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0.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1.xml" ContentType="application/vnd.openxmlformats-officedocument.spreadsheetml.comment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426"/>
  <workbookPr defaultThemeVersion="124226"/>
  <mc:AlternateContent xmlns:mc="http://schemas.openxmlformats.org/markup-compatibility/2006">
    <mc:Choice Requires="x15">
      <x15ac:absPath xmlns:x15ac="http://schemas.microsoft.com/office/spreadsheetml/2010/11/ac" url="C:\Users\blair robertson\Desktop\"/>
    </mc:Choice>
  </mc:AlternateContent>
  <bookViews>
    <workbookView xWindow="0" yWindow="0" windowWidth="19680" windowHeight="9060" tabRatio="845"/>
  </bookViews>
  <sheets>
    <sheet name="Notes" sheetId="8" r:id="rId1"/>
    <sheet name="Inputs&gt;" sheetId="58" r:id="rId2"/>
    <sheet name="Mapping A" sheetId="42" r:id="rId3"/>
    <sheet name="Mapping B" sheetId="50" r:id="rId4"/>
    <sheet name="Recovery amounts" sheetId="25" r:id="rId5"/>
    <sheet name="Volumes" sheetId="11" r:id="rId6"/>
    <sheet name="vSPD Benefits" sheetId="61" r:id="rId7"/>
    <sheet name="AMDs" sheetId="62" r:id="rId8"/>
    <sheet name="EDB data_trans" sheetId="51" r:id="rId9"/>
    <sheet name="ACOT" sheetId="65" r:id="rId10"/>
    <sheet name="Other Options" sheetId="64" r:id="rId11"/>
    <sheet name="Working&gt;" sheetId="57" r:id="rId12"/>
    <sheet name="AMD Calculations" sheetId="41" r:id="rId13"/>
    <sheet name="Charges to party by investment" sheetId="40" r:id="rId14"/>
    <sheet name="Charges as $M per year" sheetId="38" r:id="rId15"/>
    <sheet name="Charges as $ per MWh" sheetId="39" r:id="rId16"/>
    <sheet name="Results&gt;" sheetId="59" r:id="rId17"/>
    <sheet name="Residential Cap" sheetId="52" r:id="rId18"/>
    <sheet name="ACOT_trans" sheetId="54" r:id="rId19"/>
    <sheet name="Deltas_trans " sheetId="55" r:id="rId20"/>
    <sheet name="Geographic sort_trans" sheetId="53" r:id="rId21"/>
    <sheet name="DC transition table" sheetId="56" r:id="rId22"/>
  </sheets>
  <definedNames>
    <definedName name="_xlnm._FilterDatabase" localSheetId="12" hidden="1">'vSPD Benefits'!$A$3:$G$2095</definedName>
    <definedName name="_xlnm.Print_Area" localSheetId="15">'Charges as $ per MWh'!$B$1:$M$57</definedName>
    <definedName name="_xlnm.Print_Area" localSheetId="13">'Charges to party by investment'!$AK$8:$AU$65</definedName>
    <definedName name="_xlnm.Print_Area" localSheetId="2">'Mapping A'!$K$1000:$S$1014</definedName>
    <definedName name="_xlnm.Print_Area" localSheetId="0">Notes!$A$29:$C$68</definedName>
    <definedName name="_xlnm.Print_Area" localSheetId="4">'Recovery amounts'!$B$1:$R$37</definedName>
    <definedName name="_xlnm.Print_Area" localSheetId="17">'Residential Cap'!$AY$7:$BB$49</definedName>
    <definedName name="_xlnm.Print_Area" localSheetId="5">Volumes!$A$1:$G$46</definedName>
    <definedName name="solver_eng" localSheetId="17" hidden="1">1</definedName>
    <definedName name="solver_neg" localSheetId="17" hidden="1">1</definedName>
    <definedName name="solver_num" localSheetId="17" hidden="1">0</definedName>
    <definedName name="solver_opt" localSheetId="17" hidden="1">'Residential Cap'!$AE$12</definedName>
    <definedName name="solver_typ" localSheetId="17" hidden="1">1</definedName>
    <definedName name="solver_val" localSheetId="17" hidden="1">0</definedName>
    <definedName name="solver_ver" localSheetId="17" hidden="1">3</definedName>
  </definedNames>
  <calcPr calcId="171027"/>
</workbook>
</file>

<file path=xl/calcChain.xml><?xml version="1.0" encoding="utf-8"?>
<calcChain xmlns="http://schemas.openxmlformats.org/spreadsheetml/2006/main">
  <c r="E98" i="62" l="1"/>
  <c r="P176" i="41" l="1"/>
  <c r="B46" i="11"/>
  <c r="G33" i="54"/>
  <c r="E95" i="62" l="1"/>
  <c r="E94" i="62" l="1"/>
  <c r="BW3" i="52" l="1"/>
  <c r="O61" i="53" l="1"/>
  <c r="O59" i="53"/>
  <c r="O58" i="53"/>
  <c r="O57" i="53"/>
  <c r="O56" i="53"/>
  <c r="O55" i="53"/>
  <c r="BG44" i="52" s="1"/>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O20" i="53"/>
  <c r="O19" i="53"/>
  <c r="O18" i="53"/>
  <c r="O17" i="53"/>
  <c r="O16" i="53"/>
  <c r="O15" i="53"/>
  <c r="O14" i="53"/>
  <c r="O13" i="53"/>
  <c r="O12" i="53"/>
  <c r="O11" i="53"/>
  <c r="D61" i="53"/>
  <c r="D59" i="53"/>
  <c r="D58" i="53"/>
  <c r="D57" i="53"/>
  <c r="D56" i="53"/>
  <c r="D55" i="53"/>
  <c r="D54" i="53"/>
  <c r="D53" i="53"/>
  <c r="D52" i="53"/>
  <c r="D51" i="53"/>
  <c r="D50" i="53"/>
  <c r="D49" i="53"/>
  <c r="D48" i="53"/>
  <c r="D47" i="53"/>
  <c r="D46" i="53"/>
  <c r="D45" i="53"/>
  <c r="D44" i="53"/>
  <c r="D43" i="53"/>
  <c r="D42" i="53"/>
  <c r="D41" i="53"/>
  <c r="D40" i="53"/>
  <c r="D39" i="53"/>
  <c r="D38" i="53"/>
  <c r="D37" i="53"/>
  <c r="D36" i="53"/>
  <c r="D35" i="53"/>
  <c r="D34" i="53"/>
  <c r="D33" i="53"/>
  <c r="D32" i="53"/>
  <c r="D31" i="53"/>
  <c r="D30" i="53"/>
  <c r="D29" i="53"/>
  <c r="D28" i="53"/>
  <c r="D27" i="53"/>
  <c r="D26" i="53"/>
  <c r="D25" i="53"/>
  <c r="D24" i="53"/>
  <c r="D23" i="53"/>
  <c r="D22" i="53"/>
  <c r="D21" i="53"/>
  <c r="D20" i="53"/>
  <c r="D19" i="53"/>
  <c r="D18" i="53"/>
  <c r="D17" i="53"/>
  <c r="D16" i="53"/>
  <c r="D15" i="53"/>
  <c r="D14" i="53"/>
  <c r="D13" i="53"/>
  <c r="D12" i="53"/>
  <c r="D11" i="53"/>
  <c r="I4" i="54"/>
  <c r="I33" i="54"/>
  <c r="I32" i="54"/>
  <c r="I31" i="54"/>
  <c r="I30" i="54"/>
  <c r="I29" i="54"/>
  <c r="I28" i="54"/>
  <c r="I27" i="54"/>
  <c r="I26" i="54"/>
  <c r="I25" i="54"/>
  <c r="I24" i="54"/>
  <c r="I23" i="54"/>
  <c r="I22" i="54"/>
  <c r="I21" i="54"/>
  <c r="I20" i="54"/>
  <c r="I19" i="54"/>
  <c r="I18" i="54"/>
  <c r="I17" i="54"/>
  <c r="I16" i="54"/>
  <c r="I15" i="54"/>
  <c r="I14" i="54"/>
  <c r="I13" i="54"/>
  <c r="I12" i="54"/>
  <c r="I11" i="54"/>
  <c r="I10" i="54"/>
  <c r="I9" i="54"/>
  <c r="I8" i="54"/>
  <c r="I7" i="54"/>
  <c r="I6" i="54"/>
  <c r="I5" i="54"/>
  <c r="D33" i="54"/>
  <c r="D32" i="54"/>
  <c r="D31" i="54"/>
  <c r="D30" i="54"/>
  <c r="D29" i="54"/>
  <c r="D28" i="54"/>
  <c r="D27" i="54"/>
  <c r="D26" i="54"/>
  <c r="D25" i="54"/>
  <c r="D24" i="54"/>
  <c r="D23" i="54"/>
  <c r="D22" i="54"/>
  <c r="D21" i="54"/>
  <c r="D20" i="54"/>
  <c r="D19" i="54"/>
  <c r="D18" i="54"/>
  <c r="D17" i="54"/>
  <c r="D16" i="54"/>
  <c r="D15" i="54"/>
  <c r="D14" i="54"/>
  <c r="D13" i="54"/>
  <c r="D12" i="54"/>
  <c r="D11" i="54"/>
  <c r="D10" i="54"/>
  <c r="D9" i="54"/>
  <c r="D8" i="54"/>
  <c r="D7" i="54"/>
  <c r="D6" i="54"/>
  <c r="D5" i="54"/>
  <c r="H55" i="64"/>
  <c r="H54" i="64"/>
  <c r="H53" i="64"/>
  <c r="H52" i="64"/>
  <c r="H51" i="64"/>
  <c r="H50" i="64"/>
  <c r="H49" i="64"/>
  <c r="H48" i="64"/>
  <c r="H47" i="64"/>
  <c r="H46" i="64"/>
  <c r="H45" i="64"/>
  <c r="H44" i="64"/>
  <c r="H43" i="64"/>
  <c r="H42" i="64"/>
  <c r="H41" i="64"/>
  <c r="H40" i="64"/>
  <c r="H39" i="64"/>
  <c r="H38" i="64"/>
  <c r="H37" i="64"/>
  <c r="H36" i="64"/>
  <c r="H35" i="64"/>
  <c r="H34" i="64"/>
  <c r="H33" i="64"/>
  <c r="H32" i="64"/>
  <c r="H31" i="64"/>
  <c r="H30" i="64"/>
  <c r="H29" i="64"/>
  <c r="H28" i="64"/>
  <c r="H27" i="64"/>
  <c r="H26" i="64"/>
  <c r="H25" i="64"/>
  <c r="H24" i="64"/>
  <c r="H23" i="64"/>
  <c r="H22" i="64"/>
  <c r="H21" i="64"/>
  <c r="H20" i="64"/>
  <c r="H19" i="64"/>
  <c r="H18" i="64"/>
  <c r="H17" i="64"/>
  <c r="H16" i="64"/>
  <c r="H15" i="64"/>
  <c r="H14" i="64"/>
  <c r="H13" i="64"/>
  <c r="H12" i="64"/>
  <c r="H11" i="64"/>
  <c r="H10" i="64"/>
  <c r="H9" i="64"/>
  <c r="H8" i="64"/>
  <c r="H7" i="64"/>
  <c r="H6" i="64"/>
  <c r="H5" i="64"/>
  <c r="E227" i="62" l="1"/>
  <c r="E226" i="62"/>
  <c r="E225" i="62"/>
  <c r="E224" i="62"/>
  <c r="E223" i="62"/>
  <c r="E222" i="62"/>
  <c r="E221" i="62"/>
  <c r="E220" i="62"/>
  <c r="E219" i="62"/>
  <c r="E217" i="62"/>
  <c r="E216" i="62"/>
  <c r="E215" i="62"/>
  <c r="E214" i="62"/>
  <c r="E213" i="62"/>
  <c r="E212" i="62"/>
  <c r="E211" i="62"/>
  <c r="E210" i="62"/>
  <c r="E209" i="62"/>
  <c r="E208" i="62"/>
  <c r="E207" i="62"/>
  <c r="E206" i="62"/>
  <c r="E205" i="62"/>
  <c r="E204" i="62"/>
  <c r="E203" i="62"/>
  <c r="E202" i="62"/>
  <c r="E201" i="62"/>
  <c r="E200" i="62"/>
  <c r="E199" i="62"/>
  <c r="E198" i="62"/>
  <c r="E197" i="62"/>
  <c r="E196" i="62"/>
  <c r="E195" i="62"/>
  <c r="E194" i="62"/>
  <c r="E193" i="62"/>
  <c r="E192" i="62"/>
  <c r="E191" i="62"/>
  <c r="E190" i="62"/>
  <c r="E189" i="62"/>
  <c r="E188" i="62"/>
  <c r="E187" i="62"/>
  <c r="E186" i="62"/>
  <c r="E185" i="62"/>
  <c r="E184" i="62"/>
  <c r="E183" i="62"/>
  <c r="E182" i="62"/>
  <c r="E181" i="62"/>
  <c r="E180" i="62"/>
  <c r="E179" i="62"/>
  <c r="E178" i="62"/>
  <c r="E177" i="62"/>
  <c r="E176" i="62"/>
  <c r="E175" i="62"/>
  <c r="E174" i="62"/>
  <c r="E173" i="62"/>
  <c r="E172" i="62"/>
  <c r="E171" i="62"/>
  <c r="E170" i="62"/>
  <c r="E169" i="62"/>
  <c r="E168" i="62"/>
  <c r="E167" i="62"/>
  <c r="E166" i="62"/>
  <c r="E165" i="62"/>
  <c r="E164" i="62"/>
  <c r="E163" i="62"/>
  <c r="E162" i="62"/>
  <c r="E161" i="62"/>
  <c r="E160" i="62"/>
  <c r="E159" i="62"/>
  <c r="E158" i="62"/>
  <c r="E156" i="62"/>
  <c r="E155" i="62"/>
  <c r="E154" i="62"/>
  <c r="E153" i="62"/>
  <c r="E152" i="62"/>
  <c r="E151" i="62"/>
  <c r="E150" i="62"/>
  <c r="E149" i="62"/>
  <c r="E148" i="62"/>
  <c r="E147" i="62"/>
  <c r="E146" i="62"/>
  <c r="E145" i="62"/>
  <c r="E144" i="62"/>
  <c r="E143" i="62"/>
  <c r="E142" i="62"/>
  <c r="E141" i="62"/>
  <c r="E140" i="62"/>
  <c r="E139" i="62"/>
  <c r="E138" i="62"/>
  <c r="E137" i="62"/>
  <c r="E136" i="62"/>
  <c r="E135" i="62"/>
  <c r="E134" i="62"/>
  <c r="E133" i="62"/>
  <c r="E132" i="62"/>
  <c r="E131" i="62"/>
  <c r="E130" i="62"/>
  <c r="E129" i="62"/>
  <c r="E128" i="62"/>
  <c r="E127" i="62"/>
  <c r="E126" i="62"/>
  <c r="E125" i="62"/>
  <c r="E124" i="62"/>
  <c r="E123" i="62"/>
  <c r="E122" i="62"/>
  <c r="E121" i="62"/>
  <c r="E120" i="62"/>
  <c r="E119" i="62"/>
  <c r="E118" i="62"/>
  <c r="E117" i="62"/>
  <c r="E116" i="62"/>
  <c r="E114" i="62"/>
  <c r="E113" i="62"/>
  <c r="E112" i="62"/>
  <c r="E111" i="62"/>
  <c r="E110" i="62"/>
  <c r="E109" i="62"/>
  <c r="E108" i="62"/>
  <c r="E107" i="62"/>
  <c r="E106" i="62"/>
  <c r="E105" i="62"/>
  <c r="E104" i="62"/>
  <c r="E103" i="62"/>
  <c r="E102" i="62"/>
  <c r="E101" i="62"/>
  <c r="E100" i="62"/>
  <c r="E99" i="62"/>
  <c r="E26" i="62"/>
  <c r="E25" i="62"/>
  <c r="E24" i="62"/>
  <c r="E23" i="62"/>
  <c r="E22" i="62"/>
  <c r="E21" i="62"/>
  <c r="E20" i="62"/>
  <c r="E19" i="62"/>
  <c r="E18" i="62"/>
  <c r="E17" i="62"/>
  <c r="E16" i="62"/>
  <c r="E15" i="62"/>
  <c r="E14" i="62"/>
  <c r="E13" i="62"/>
  <c r="E12" i="62"/>
  <c r="E11" i="62"/>
  <c r="E10" i="62"/>
  <c r="E9" i="62"/>
  <c r="E8" i="62"/>
  <c r="E7" i="62"/>
  <c r="E6" i="62"/>
  <c r="E5" i="62"/>
  <c r="E4" i="62"/>
  <c r="E3" i="62"/>
  <c r="E93" i="62"/>
  <c r="E92" i="62"/>
  <c r="E91" i="62"/>
  <c r="E90" i="62"/>
  <c r="E89" i="62"/>
  <c r="E88" i="62"/>
  <c r="E87" i="62"/>
  <c r="E86" i="62"/>
  <c r="E85" i="62"/>
  <c r="E84" i="62"/>
  <c r="E83" i="62"/>
  <c r="E82" i="62"/>
  <c r="E81" i="62"/>
  <c r="E80" i="62"/>
  <c r="E79" i="62"/>
  <c r="E78" i="62"/>
  <c r="E77" i="62"/>
  <c r="E76" i="62"/>
  <c r="E75" i="62"/>
  <c r="E74" i="62"/>
  <c r="E73" i="62"/>
  <c r="E72" i="62"/>
  <c r="E71" i="62"/>
  <c r="E70" i="62"/>
  <c r="E69" i="62"/>
  <c r="E68" i="62"/>
  <c r="E67" i="62"/>
  <c r="E66" i="62"/>
  <c r="E65" i="62"/>
  <c r="E64" i="62"/>
  <c r="E63" i="62"/>
  <c r="E62" i="62"/>
  <c r="E61" i="62"/>
  <c r="E60" i="62"/>
  <c r="E59" i="62"/>
  <c r="E58" i="62"/>
  <c r="E57" i="62"/>
  <c r="E56" i="62"/>
  <c r="E55" i="62"/>
  <c r="E54" i="62"/>
  <c r="E53" i="62"/>
  <c r="E52" i="62"/>
  <c r="E51" i="62"/>
  <c r="E50" i="62"/>
  <c r="E49" i="62"/>
  <c r="E48" i="62"/>
  <c r="E47" i="62"/>
  <c r="E46" i="62"/>
  <c r="E45" i="62"/>
  <c r="E44" i="62"/>
  <c r="E43" i="62"/>
  <c r="E42" i="62"/>
  <c r="E41" i="62"/>
  <c r="E40" i="62"/>
  <c r="E39" i="62"/>
  <c r="E38" i="62"/>
  <c r="E37" i="62"/>
  <c r="E36" i="62"/>
  <c r="E35" i="62"/>
  <c r="E34" i="62"/>
  <c r="E33" i="62"/>
  <c r="E32" i="62"/>
  <c r="E31" i="62"/>
  <c r="E30" i="62"/>
  <c r="E29" i="62"/>
  <c r="E96" i="62"/>
  <c r="S39" i="52" l="1"/>
  <c r="S47" i="52"/>
  <c r="S45" i="52"/>
  <c r="S44" i="52"/>
  <c r="S43" i="52"/>
  <c r="S42" i="52"/>
  <c r="S40" i="52"/>
  <c r="C74" i="38"/>
  <c r="D73" i="38"/>
  <c r="C73" i="38"/>
  <c r="E71" i="38"/>
  <c r="D71" i="38"/>
  <c r="C71" i="38"/>
  <c r="D70" i="38"/>
  <c r="C70" i="38"/>
  <c r="D69" i="38"/>
  <c r="C68" i="38"/>
  <c r="D57" i="38"/>
  <c r="D56" i="38"/>
  <c r="D55" i="38"/>
  <c r="D54" i="38"/>
  <c r="D53" i="38"/>
  <c r="D52" i="38"/>
  <c r="D74" i="38" s="1"/>
  <c r="D51" i="38"/>
  <c r="D50" i="38"/>
  <c r="D49" i="38"/>
  <c r="D48" i="38"/>
  <c r="D47" i="38"/>
  <c r="D72" i="38" s="1"/>
  <c r="D44" i="38"/>
  <c r="D43" i="38"/>
  <c r="D42" i="38"/>
  <c r="D41" i="38"/>
  <c r="D40" i="38"/>
  <c r="D39" i="38"/>
  <c r="D38" i="38"/>
  <c r="D37" i="38"/>
  <c r="D36" i="38"/>
  <c r="D35"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D68" i="38" s="1"/>
  <c r="D5" i="38"/>
  <c r="D4" i="38"/>
  <c r="C57" i="38"/>
  <c r="C56" i="38"/>
  <c r="C55" i="38"/>
  <c r="C54" i="38"/>
  <c r="C53" i="38"/>
  <c r="C52" i="38"/>
  <c r="C51" i="38"/>
  <c r="C50" i="38"/>
  <c r="C49" i="38"/>
  <c r="C48" i="38"/>
  <c r="C47" i="38"/>
  <c r="C72" i="38" s="1"/>
  <c r="C44" i="38"/>
  <c r="C43" i="38"/>
  <c r="C42" i="38"/>
  <c r="C41" i="38"/>
  <c r="C40" i="38"/>
  <c r="C39" i="38"/>
  <c r="C38" i="38"/>
  <c r="C37" i="38"/>
  <c r="C36" i="38"/>
  <c r="C35" i="38"/>
  <c r="C32" i="38"/>
  <c r="C31" i="38"/>
  <c r="C30" i="38"/>
  <c r="C29" i="38"/>
  <c r="C28" i="38"/>
  <c r="C27" i="38"/>
  <c r="C26" i="38"/>
  <c r="C25" i="38"/>
  <c r="C24" i="38"/>
  <c r="C23" i="38"/>
  <c r="C22" i="38"/>
  <c r="C21" i="38"/>
  <c r="C20" i="38"/>
  <c r="C19" i="38"/>
  <c r="C18" i="38"/>
  <c r="C17" i="38"/>
  <c r="C16" i="38"/>
  <c r="C15" i="38"/>
  <c r="C14" i="38"/>
  <c r="C13" i="38"/>
  <c r="C12" i="38"/>
  <c r="C11" i="38"/>
  <c r="C69" i="38" s="1"/>
  <c r="C10" i="38"/>
  <c r="C9" i="38"/>
  <c r="C8" i="38"/>
  <c r="C7" i="38"/>
  <c r="C6" i="38"/>
  <c r="C5" i="38"/>
  <c r="C4" i="38"/>
  <c r="Z6" i="40"/>
  <c r="D59" i="38" l="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569" i="41" s="1"/>
  <c r="A334" i="41"/>
  <c r="A568" i="41" s="1"/>
  <c r="A333" i="41"/>
  <c r="A567" i="41" s="1"/>
  <c r="A332" i="41"/>
  <c r="A566" i="41" s="1"/>
  <c r="A331" i="41"/>
  <c r="A565" i="41" s="1"/>
  <c r="A330" i="41"/>
  <c r="A564" i="41" s="1"/>
  <c r="A329" i="41"/>
  <c r="A563" i="41" s="1"/>
  <c r="A328" i="41"/>
  <c r="A562" i="41" s="1"/>
  <c r="A327" i="41"/>
  <c r="A561" i="41" s="1"/>
  <c r="A326" i="41"/>
  <c r="A560" i="41" s="1"/>
  <c r="A325" i="41"/>
  <c r="A559" i="41" s="1"/>
  <c r="A324" i="41"/>
  <c r="A558" i="41" s="1"/>
  <c r="A323" i="41"/>
  <c r="A557" i="41" s="1"/>
  <c r="A322" i="41"/>
  <c r="A556" i="41" s="1"/>
  <c r="A321" i="41"/>
  <c r="A555" i="41" s="1"/>
  <c r="A320" i="41"/>
  <c r="A554" i="41" s="1"/>
  <c r="A319" i="41"/>
  <c r="A553" i="41" s="1"/>
  <c r="A318" i="41"/>
  <c r="A552" i="41" s="1"/>
  <c r="A317" i="41"/>
  <c r="A551" i="41" s="1"/>
  <c r="A316" i="41"/>
  <c r="A550" i="41" s="1"/>
  <c r="A315" i="41"/>
  <c r="A549" i="41" s="1"/>
  <c r="A314" i="41"/>
  <c r="A548" i="41" s="1"/>
  <c r="A313" i="41"/>
  <c r="A547" i="41" s="1"/>
  <c r="A312" i="41"/>
  <c r="A546" i="41" s="1"/>
  <c r="A311" i="41"/>
  <c r="A545" i="41" s="1"/>
  <c r="A310" i="41"/>
  <c r="A544" i="41" s="1"/>
  <c r="A309" i="41"/>
  <c r="A543" i="41" s="1"/>
  <c r="A308" i="41"/>
  <c r="A542" i="41" s="1"/>
  <c r="A307" i="41"/>
  <c r="A541" i="41" s="1"/>
  <c r="A306" i="41"/>
  <c r="A540" i="41" s="1"/>
  <c r="A305" i="41"/>
  <c r="A539" i="41" s="1"/>
  <c r="A304" i="41"/>
  <c r="A538" i="41" s="1"/>
  <c r="A303" i="41"/>
  <c r="A537" i="41" s="1"/>
  <c r="A302" i="41"/>
  <c r="A536" i="41" s="1"/>
  <c r="A301" i="41"/>
  <c r="A535" i="41" s="1"/>
  <c r="A300" i="41"/>
  <c r="A534" i="41" s="1"/>
  <c r="A299" i="41"/>
  <c r="A533" i="41" s="1"/>
  <c r="A298" i="41"/>
  <c r="A532" i="41" s="1"/>
  <c r="A297" i="41"/>
  <c r="A531" i="41" s="1"/>
  <c r="A296" i="41"/>
  <c r="A530" i="41" s="1"/>
  <c r="A295" i="41"/>
  <c r="A529" i="41" s="1"/>
  <c r="A294" i="41"/>
  <c r="A528" i="41" s="1"/>
  <c r="A293" i="41"/>
  <c r="A527" i="41" s="1"/>
  <c r="A292" i="41"/>
  <c r="A526" i="41" s="1"/>
  <c r="A291" i="41"/>
  <c r="A525" i="41" s="1"/>
  <c r="A290" i="41"/>
  <c r="A524" i="41" s="1"/>
  <c r="A289" i="41"/>
  <c r="A523" i="41" s="1"/>
  <c r="A288" i="41"/>
  <c r="A522" i="41" s="1"/>
  <c r="A287" i="41"/>
  <c r="A521" i="41" s="1"/>
  <c r="A286" i="41"/>
  <c r="A520" i="41" s="1"/>
  <c r="A285" i="41"/>
  <c r="A519" i="41" s="1"/>
  <c r="A284" i="41"/>
  <c r="A518" i="41" s="1"/>
  <c r="A283" i="41"/>
  <c r="A517" i="41" s="1"/>
  <c r="A282" i="41"/>
  <c r="A516" i="41" s="1"/>
  <c r="A281" i="41"/>
  <c r="A515" i="41" s="1"/>
  <c r="A280" i="41"/>
  <c r="A514" i="41" s="1"/>
  <c r="A279" i="41"/>
  <c r="A513" i="41" s="1"/>
  <c r="A278" i="41"/>
  <c r="A512" i="41" s="1"/>
  <c r="A277" i="41"/>
  <c r="A511" i="41" s="1"/>
  <c r="A276" i="41"/>
  <c r="A510" i="41" s="1"/>
  <c r="A275" i="41"/>
  <c r="A509" i="41" s="1"/>
  <c r="A274" i="41"/>
  <c r="A508" i="41" s="1"/>
  <c r="A273" i="41"/>
  <c r="A507" i="41" s="1"/>
  <c r="A272" i="41"/>
  <c r="A506" i="41" s="1"/>
  <c r="A271" i="41"/>
  <c r="A505" i="41" s="1"/>
  <c r="A270" i="41"/>
  <c r="A504" i="41" s="1"/>
  <c r="A269" i="41"/>
  <c r="A503" i="41" s="1"/>
  <c r="A268" i="41"/>
  <c r="A502" i="41" s="1"/>
  <c r="A267" i="41"/>
  <c r="A501" i="41" s="1"/>
  <c r="A266" i="41"/>
  <c r="A500" i="41" s="1"/>
  <c r="A265" i="41"/>
  <c r="A499" i="41" s="1"/>
  <c r="A264" i="41"/>
  <c r="A498" i="41" s="1"/>
  <c r="A263" i="41"/>
  <c r="A497" i="41" s="1"/>
  <c r="A262" i="41"/>
  <c r="A496" i="41" s="1"/>
  <c r="A261" i="41"/>
  <c r="A495" i="41" s="1"/>
  <c r="A260" i="41"/>
  <c r="A494" i="41" s="1"/>
  <c r="A259" i="41"/>
  <c r="A493" i="41" s="1"/>
  <c r="A258" i="41"/>
  <c r="A492" i="41" s="1"/>
  <c r="A257" i="41"/>
  <c r="A256" i="41"/>
  <c r="AW10" i="41"/>
  <c r="AB652" i="41"/>
  <c r="AA652" i="41"/>
  <c r="Z652" i="41"/>
  <c r="AB651" i="41"/>
  <c r="AA651" i="41"/>
  <c r="Z651" i="41"/>
  <c r="AB650" i="41"/>
  <c r="AA650" i="41"/>
  <c r="Z650" i="41"/>
  <c r="AB649" i="41"/>
  <c r="AA649" i="41"/>
  <c r="Z649" i="41"/>
  <c r="AB648" i="41"/>
  <c r="AA648" i="41"/>
  <c r="Z648" i="41"/>
  <c r="AB647" i="41"/>
  <c r="AA647" i="41"/>
  <c r="Z647" i="41"/>
  <c r="AB646" i="41"/>
  <c r="AA646" i="41"/>
  <c r="Z646" i="41"/>
  <c r="AB645" i="41"/>
  <c r="AA645" i="41"/>
  <c r="Z645" i="41"/>
  <c r="AB644" i="41"/>
  <c r="AA644" i="41"/>
  <c r="Z644" i="41"/>
  <c r="AB643" i="41"/>
  <c r="AA643" i="41"/>
  <c r="Z643" i="41"/>
  <c r="AB642" i="41"/>
  <c r="AA642" i="41"/>
  <c r="Z642" i="41"/>
  <c r="AB641" i="41"/>
  <c r="AA641" i="41"/>
  <c r="Z641" i="41"/>
  <c r="AB640" i="41"/>
  <c r="AA640" i="41"/>
  <c r="Z640" i="41"/>
  <c r="AB639" i="41"/>
  <c r="AA639" i="41"/>
  <c r="Z639" i="41"/>
  <c r="AB638" i="41"/>
  <c r="AA638" i="41"/>
  <c r="Z638" i="41"/>
  <c r="AB637" i="41"/>
  <c r="AA637" i="41"/>
  <c r="Z637" i="41"/>
  <c r="AB636" i="41"/>
  <c r="AA636" i="41"/>
  <c r="Z636" i="41"/>
  <c r="AB635" i="41"/>
  <c r="AA635" i="41"/>
  <c r="Z635" i="41"/>
  <c r="AB634" i="41"/>
  <c r="AA634" i="41"/>
  <c r="Z634" i="41"/>
  <c r="AB633" i="41"/>
  <c r="AA633" i="41"/>
  <c r="Z633" i="41"/>
  <c r="AB632" i="41"/>
  <c r="AA632" i="41"/>
  <c r="Z632" i="41"/>
  <c r="AB631" i="41"/>
  <c r="AA631" i="41"/>
  <c r="Z631" i="41"/>
  <c r="AB630" i="41"/>
  <c r="AA630" i="41"/>
  <c r="Z630" i="41"/>
  <c r="AB629" i="41"/>
  <c r="AA629" i="41"/>
  <c r="Z629" i="41"/>
  <c r="AB628" i="41"/>
  <c r="AA628" i="41"/>
  <c r="Z628" i="41"/>
  <c r="AB627" i="41"/>
  <c r="AA627" i="41"/>
  <c r="Z627" i="41"/>
  <c r="AB626" i="41"/>
  <c r="AA626" i="41"/>
  <c r="Z626" i="41"/>
  <c r="AB625" i="41"/>
  <c r="AA625" i="41"/>
  <c r="Z625" i="41"/>
  <c r="AB624" i="41"/>
  <c r="AA624" i="41"/>
  <c r="Z624" i="41"/>
  <c r="AB623" i="41"/>
  <c r="AA623" i="41"/>
  <c r="Z623" i="41"/>
  <c r="AB622" i="41"/>
  <c r="AA622" i="41"/>
  <c r="Z622" i="41"/>
  <c r="AB621" i="41"/>
  <c r="AA621" i="41"/>
  <c r="Z621" i="41"/>
  <c r="AB620" i="41"/>
  <c r="AA620" i="41"/>
  <c r="Z620" i="41"/>
  <c r="AB619" i="41"/>
  <c r="AA619" i="41"/>
  <c r="Z619" i="41"/>
  <c r="AB618" i="41"/>
  <c r="AA618" i="41"/>
  <c r="Z618" i="41"/>
  <c r="AB617" i="41"/>
  <c r="AA617" i="41"/>
  <c r="Z617" i="41"/>
  <c r="AB616" i="41"/>
  <c r="AA616" i="41"/>
  <c r="Z616" i="41"/>
  <c r="AB615" i="41"/>
  <c r="AA615" i="41"/>
  <c r="Z615" i="41"/>
  <c r="AB614" i="41"/>
  <c r="AA614" i="41"/>
  <c r="Z614" i="41"/>
  <c r="AB613" i="41"/>
  <c r="AA613" i="41"/>
  <c r="Z613" i="41"/>
  <c r="AB612" i="41"/>
  <c r="AA612" i="41"/>
  <c r="Z612" i="41"/>
  <c r="AB611" i="41"/>
  <c r="AA611" i="41"/>
  <c r="Z611" i="41"/>
  <c r="AB610" i="41"/>
  <c r="AA610" i="41"/>
  <c r="Z610" i="41"/>
  <c r="AB609" i="41"/>
  <c r="AA609" i="41"/>
  <c r="Z609" i="41"/>
  <c r="AB608" i="41"/>
  <c r="AA608" i="41"/>
  <c r="Z608" i="41"/>
  <c r="AB607" i="41"/>
  <c r="AA607" i="41"/>
  <c r="Z607" i="41"/>
  <c r="AB606" i="41"/>
  <c r="AA606" i="41"/>
  <c r="Z606" i="41"/>
  <c r="AB605" i="41"/>
  <c r="AA605" i="41"/>
  <c r="Z605" i="41"/>
  <c r="AB604" i="41"/>
  <c r="AA604" i="41"/>
  <c r="Z604" i="41"/>
  <c r="AB603" i="41"/>
  <c r="AA603" i="41"/>
  <c r="Z603" i="41"/>
  <c r="AB602" i="41"/>
  <c r="AA602" i="41"/>
  <c r="Z602" i="41"/>
  <c r="AB601" i="41"/>
  <c r="AA601" i="41"/>
  <c r="Z601" i="41"/>
  <c r="AB600" i="41"/>
  <c r="AA600" i="41"/>
  <c r="Z600" i="41"/>
  <c r="AB599" i="41"/>
  <c r="AA599" i="41"/>
  <c r="Z599" i="41"/>
  <c r="AB598" i="41"/>
  <c r="AA598" i="41"/>
  <c r="Z598" i="41"/>
  <c r="AB597" i="41"/>
  <c r="AA597" i="41"/>
  <c r="Z597" i="41"/>
  <c r="AB596" i="41"/>
  <c r="AA596" i="41"/>
  <c r="Z596" i="41"/>
  <c r="AB595" i="41"/>
  <c r="AA595" i="41"/>
  <c r="Z595" i="41"/>
  <c r="AB594" i="41"/>
  <c r="AA594" i="41"/>
  <c r="Z594" i="41"/>
  <c r="AB593" i="41"/>
  <c r="AA593" i="41"/>
  <c r="Z593" i="41"/>
  <c r="AB592" i="41"/>
  <c r="AA592" i="41"/>
  <c r="Z592" i="41"/>
  <c r="AB591" i="41"/>
  <c r="AA591" i="41"/>
  <c r="Z591" i="41"/>
  <c r="AB590" i="41"/>
  <c r="AA590" i="41"/>
  <c r="Z590" i="41"/>
  <c r="AB589" i="41"/>
  <c r="AA589" i="41"/>
  <c r="Z589" i="41"/>
  <c r="AB588" i="41"/>
  <c r="AA588" i="41"/>
  <c r="Z588" i="41"/>
  <c r="AB587" i="41"/>
  <c r="AA587" i="41"/>
  <c r="Z587" i="41"/>
  <c r="AB586" i="41"/>
  <c r="AA586" i="41"/>
  <c r="Z586" i="41"/>
  <c r="AB585" i="41"/>
  <c r="AA585" i="41"/>
  <c r="Z585" i="41"/>
  <c r="AB584" i="41"/>
  <c r="AA584" i="41"/>
  <c r="Z584" i="41"/>
  <c r="AB583" i="41"/>
  <c r="AA583" i="41"/>
  <c r="Z583" i="41"/>
  <c r="AB582" i="41"/>
  <c r="AA582" i="41"/>
  <c r="Z582" i="41"/>
  <c r="AB581" i="41"/>
  <c r="AA581" i="41"/>
  <c r="Z581" i="41"/>
  <c r="AB580" i="41"/>
  <c r="AA580" i="41"/>
  <c r="Z580" i="41"/>
  <c r="AB579" i="41"/>
  <c r="AA579" i="41"/>
  <c r="Z579" i="41"/>
  <c r="AB578" i="41"/>
  <c r="AA578" i="41"/>
  <c r="Z578" i="41"/>
  <c r="AB577" i="41"/>
  <c r="AA577" i="41"/>
  <c r="Z577" i="41"/>
  <c r="AB576" i="41"/>
  <c r="AA576" i="41"/>
  <c r="Z576" i="41"/>
  <c r="AB575" i="41"/>
  <c r="AA575" i="41"/>
  <c r="Z575" i="41"/>
  <c r="Y575" i="41" s="1"/>
  <c r="AB569" i="41"/>
  <c r="AA569" i="41"/>
  <c r="Z569" i="41"/>
  <c r="AB568" i="41"/>
  <c r="AA568" i="41"/>
  <c r="Y568" i="41" s="1"/>
  <c r="Z568" i="41"/>
  <c r="AB567" i="41"/>
  <c r="AA567" i="41"/>
  <c r="Z567" i="41"/>
  <c r="AB566" i="41"/>
  <c r="AA566" i="41"/>
  <c r="Y566" i="41" s="1"/>
  <c r="Z566" i="41"/>
  <c r="AB565" i="41"/>
  <c r="AA565" i="41"/>
  <c r="Y565" i="41" s="1"/>
  <c r="Z565" i="41"/>
  <c r="AB564" i="41"/>
  <c r="AA564" i="41"/>
  <c r="Y564" i="41" s="1"/>
  <c r="Z564" i="41"/>
  <c r="AB563" i="41"/>
  <c r="AA563" i="41"/>
  <c r="Z563" i="41"/>
  <c r="AB562" i="41"/>
  <c r="AA562" i="41"/>
  <c r="Z562" i="41"/>
  <c r="AB561" i="41"/>
  <c r="AA561" i="41"/>
  <c r="Z561" i="41"/>
  <c r="AB560" i="41"/>
  <c r="AA560" i="41"/>
  <c r="Y560" i="41" s="1"/>
  <c r="Z560" i="41"/>
  <c r="AB559" i="41"/>
  <c r="AA559" i="41"/>
  <c r="Z559" i="41"/>
  <c r="AB558" i="41"/>
  <c r="AA558" i="41"/>
  <c r="Y558" i="41" s="1"/>
  <c r="Z558" i="41"/>
  <c r="AB557" i="41"/>
  <c r="AA557" i="41"/>
  <c r="Y557" i="41" s="1"/>
  <c r="Z557" i="41"/>
  <c r="AB556" i="41"/>
  <c r="AA556" i="41"/>
  <c r="Y556" i="41" s="1"/>
  <c r="Z556" i="41"/>
  <c r="AB555" i="41"/>
  <c r="AA555" i="41"/>
  <c r="Z555" i="41"/>
  <c r="AB554" i="41"/>
  <c r="AA554" i="41"/>
  <c r="Z554" i="41"/>
  <c r="AB553" i="41"/>
  <c r="AA553" i="41"/>
  <c r="Z553" i="41"/>
  <c r="AB552" i="41"/>
  <c r="AA552" i="41"/>
  <c r="Z552" i="41"/>
  <c r="AB551" i="41"/>
  <c r="AA551" i="41"/>
  <c r="Z551" i="41"/>
  <c r="AB550" i="41"/>
  <c r="AA550" i="41"/>
  <c r="Y550" i="41" s="1"/>
  <c r="Z550" i="41"/>
  <c r="AB549" i="41"/>
  <c r="AA549" i="41"/>
  <c r="Y549" i="41" s="1"/>
  <c r="Z549" i="41"/>
  <c r="AB548" i="41"/>
  <c r="AA548" i="41"/>
  <c r="Z548" i="41"/>
  <c r="AB547" i="41"/>
  <c r="AA547" i="41"/>
  <c r="Z547" i="41"/>
  <c r="AB546" i="41"/>
  <c r="AA546" i="41"/>
  <c r="Z546" i="41"/>
  <c r="AB545" i="41"/>
  <c r="AA545" i="41"/>
  <c r="Z545" i="41"/>
  <c r="AB544" i="41"/>
  <c r="AA544" i="41"/>
  <c r="Z544" i="41"/>
  <c r="AB543" i="41"/>
  <c r="AA543" i="41"/>
  <c r="Z543" i="41"/>
  <c r="AB542" i="41"/>
  <c r="AA542" i="41"/>
  <c r="Y542" i="41" s="1"/>
  <c r="Z542" i="41"/>
  <c r="AB541" i="41"/>
  <c r="AA541" i="41"/>
  <c r="Y541" i="41" s="1"/>
  <c r="Z541" i="41"/>
  <c r="AB540" i="41"/>
  <c r="AA540" i="41"/>
  <c r="Z540" i="41"/>
  <c r="AB539" i="41"/>
  <c r="AA539" i="41"/>
  <c r="Z539" i="41"/>
  <c r="AB538" i="41"/>
  <c r="AA538" i="41"/>
  <c r="Z538" i="41"/>
  <c r="AB537" i="41"/>
  <c r="AA537" i="41"/>
  <c r="Z537" i="41"/>
  <c r="AB536" i="41"/>
  <c r="AA536" i="41"/>
  <c r="Z536" i="41"/>
  <c r="AB535" i="41"/>
  <c r="AA535" i="41"/>
  <c r="Z535" i="41"/>
  <c r="AB534" i="41"/>
  <c r="AA534" i="41"/>
  <c r="Y534" i="41" s="1"/>
  <c r="Z534" i="41"/>
  <c r="AB533" i="41"/>
  <c r="AA533" i="41"/>
  <c r="Y533" i="41" s="1"/>
  <c r="Z533" i="41"/>
  <c r="AB532" i="41"/>
  <c r="AA532" i="41"/>
  <c r="Z532" i="41"/>
  <c r="AB531" i="41"/>
  <c r="AA531" i="41"/>
  <c r="Z531" i="41"/>
  <c r="AB530" i="41"/>
  <c r="AA530" i="41"/>
  <c r="Z530" i="41"/>
  <c r="AB529" i="41"/>
  <c r="AA529" i="41"/>
  <c r="Z529" i="41"/>
  <c r="AB528" i="41"/>
  <c r="AA528" i="41"/>
  <c r="Z528" i="41"/>
  <c r="AB527" i="41"/>
  <c r="AA527" i="41"/>
  <c r="Z527" i="41"/>
  <c r="AB526" i="41"/>
  <c r="AA526" i="41"/>
  <c r="Y526" i="41" s="1"/>
  <c r="Z526" i="41"/>
  <c r="AB525" i="41"/>
  <c r="AA525" i="41"/>
  <c r="Y525" i="41" s="1"/>
  <c r="Z525" i="41"/>
  <c r="AB524" i="41"/>
  <c r="AA524" i="41"/>
  <c r="Z524" i="41"/>
  <c r="AB523" i="41"/>
  <c r="AA523" i="41"/>
  <c r="Z523" i="41"/>
  <c r="AB522" i="41"/>
  <c r="AA522" i="41"/>
  <c r="Z522" i="41"/>
  <c r="AB521" i="41"/>
  <c r="AA521" i="41"/>
  <c r="Z521" i="41"/>
  <c r="AB520" i="41"/>
  <c r="AA520" i="41"/>
  <c r="Z520" i="41"/>
  <c r="AB519" i="41"/>
  <c r="AA519" i="41"/>
  <c r="Z519" i="41"/>
  <c r="AB518" i="41"/>
  <c r="AA518" i="41"/>
  <c r="Y518" i="41" s="1"/>
  <c r="Z518" i="41"/>
  <c r="AB517" i="41"/>
  <c r="AA517" i="41"/>
  <c r="Y517" i="41" s="1"/>
  <c r="Z517" i="41"/>
  <c r="AB516" i="41"/>
  <c r="AA516" i="41"/>
  <c r="Z516" i="41"/>
  <c r="AB515" i="41"/>
  <c r="AA515" i="41"/>
  <c r="Z515" i="41"/>
  <c r="AB514" i="41"/>
  <c r="AA514" i="41"/>
  <c r="Z514" i="41"/>
  <c r="AB513" i="41"/>
  <c r="AA513" i="41"/>
  <c r="Z513" i="41"/>
  <c r="AB512" i="41"/>
  <c r="AA512" i="41"/>
  <c r="Z512" i="41"/>
  <c r="AB511" i="41"/>
  <c r="AA511" i="41"/>
  <c r="Z511" i="41"/>
  <c r="AB510" i="41"/>
  <c r="AA510" i="41"/>
  <c r="Y510" i="41" s="1"/>
  <c r="Z510" i="41"/>
  <c r="AB509" i="41"/>
  <c r="AA509" i="41"/>
  <c r="Y509" i="41" s="1"/>
  <c r="Z509" i="41"/>
  <c r="AB508" i="41"/>
  <c r="AA508" i="41"/>
  <c r="Z508" i="41"/>
  <c r="AB507" i="41"/>
  <c r="AA507" i="41"/>
  <c r="Z507" i="41"/>
  <c r="AB506" i="41"/>
  <c r="AA506" i="41"/>
  <c r="Z506" i="41"/>
  <c r="AB505" i="41"/>
  <c r="AA505" i="41"/>
  <c r="Z505" i="41"/>
  <c r="AB504" i="41"/>
  <c r="AA504" i="41"/>
  <c r="Z504" i="41"/>
  <c r="AB503" i="41"/>
  <c r="AA503" i="41"/>
  <c r="Z503" i="41"/>
  <c r="AB502" i="41"/>
  <c r="AA502" i="41"/>
  <c r="Y502" i="41" s="1"/>
  <c r="Z502" i="41"/>
  <c r="AB501" i="41"/>
  <c r="AA501" i="41"/>
  <c r="Z501" i="41"/>
  <c r="AB500" i="41"/>
  <c r="AA500" i="41"/>
  <c r="Z500" i="41"/>
  <c r="AB499" i="41"/>
  <c r="AA499" i="41"/>
  <c r="Z499" i="41"/>
  <c r="AB498" i="41"/>
  <c r="AA498" i="41"/>
  <c r="Y498" i="41" s="1"/>
  <c r="Z498" i="41"/>
  <c r="AB497" i="41"/>
  <c r="AA497" i="41"/>
  <c r="Z497" i="41"/>
  <c r="AB496" i="41"/>
  <c r="AA496" i="41"/>
  <c r="Z496" i="41"/>
  <c r="AB495" i="41"/>
  <c r="AA495" i="41"/>
  <c r="Z495" i="41"/>
  <c r="AB494" i="41"/>
  <c r="AA494" i="41"/>
  <c r="Y494" i="41" s="1"/>
  <c r="Z494" i="41"/>
  <c r="AB493" i="41"/>
  <c r="AA493" i="41"/>
  <c r="Z493" i="41"/>
  <c r="AB492" i="41"/>
  <c r="AA492" i="41"/>
  <c r="Z492" i="41"/>
  <c r="E652" i="41"/>
  <c r="D652" i="41"/>
  <c r="B652" i="41" s="1"/>
  <c r="C652" i="41"/>
  <c r="E651" i="41"/>
  <c r="D651" i="41"/>
  <c r="B651" i="41" s="1"/>
  <c r="C651" i="41"/>
  <c r="E650" i="41"/>
  <c r="D650" i="41"/>
  <c r="B650" i="41" s="1"/>
  <c r="C650" i="41"/>
  <c r="E649" i="41"/>
  <c r="D649" i="41"/>
  <c r="B649" i="41" s="1"/>
  <c r="C649" i="41"/>
  <c r="E648" i="41"/>
  <c r="D648" i="41"/>
  <c r="B648" i="41" s="1"/>
  <c r="C648" i="41"/>
  <c r="E647" i="41"/>
  <c r="D647" i="41"/>
  <c r="B647" i="41" s="1"/>
  <c r="C647" i="41"/>
  <c r="E646" i="41"/>
  <c r="D646" i="41"/>
  <c r="B646" i="41" s="1"/>
  <c r="C646" i="41"/>
  <c r="E645" i="41"/>
  <c r="D645" i="41"/>
  <c r="B645" i="41" s="1"/>
  <c r="C645" i="41"/>
  <c r="E644" i="41"/>
  <c r="D644" i="41"/>
  <c r="B644" i="41" s="1"/>
  <c r="C644" i="41"/>
  <c r="E643" i="41"/>
  <c r="D643" i="41"/>
  <c r="B643" i="41" s="1"/>
  <c r="C643" i="41"/>
  <c r="E642" i="41"/>
  <c r="D642" i="41"/>
  <c r="B642" i="41" s="1"/>
  <c r="C642" i="41"/>
  <c r="E641" i="41"/>
  <c r="D641" i="41"/>
  <c r="B641" i="41" s="1"/>
  <c r="C641" i="41"/>
  <c r="E640" i="41"/>
  <c r="D640" i="41"/>
  <c r="B640" i="41" s="1"/>
  <c r="C640" i="41"/>
  <c r="E639" i="41"/>
  <c r="D639" i="41"/>
  <c r="B639" i="41" s="1"/>
  <c r="C639" i="41"/>
  <c r="E638" i="41"/>
  <c r="D638" i="41"/>
  <c r="B638" i="41" s="1"/>
  <c r="C638" i="41"/>
  <c r="E637" i="41"/>
  <c r="D637" i="41"/>
  <c r="B637" i="41" s="1"/>
  <c r="C637" i="41"/>
  <c r="E636" i="41"/>
  <c r="D636" i="41"/>
  <c r="B636" i="41" s="1"/>
  <c r="C636" i="41"/>
  <c r="E635" i="41"/>
  <c r="D635" i="41"/>
  <c r="B635" i="41" s="1"/>
  <c r="C635" i="41"/>
  <c r="E634" i="41"/>
  <c r="D634" i="41"/>
  <c r="B634" i="41" s="1"/>
  <c r="C634" i="41"/>
  <c r="E633" i="41"/>
  <c r="D633" i="41"/>
  <c r="B633" i="41" s="1"/>
  <c r="C633" i="41"/>
  <c r="E632" i="41"/>
  <c r="D632" i="41"/>
  <c r="B632" i="41" s="1"/>
  <c r="C632" i="41"/>
  <c r="E631" i="41"/>
  <c r="D631" i="41"/>
  <c r="B631" i="41" s="1"/>
  <c r="C631" i="41"/>
  <c r="E630" i="41"/>
  <c r="D630" i="41"/>
  <c r="B630" i="41" s="1"/>
  <c r="C630" i="41"/>
  <c r="E629" i="41"/>
  <c r="D629" i="41"/>
  <c r="B629" i="41" s="1"/>
  <c r="C629" i="41"/>
  <c r="E628" i="41"/>
  <c r="D628" i="41"/>
  <c r="B628" i="41" s="1"/>
  <c r="C628" i="41"/>
  <c r="E627" i="41"/>
  <c r="D627" i="41"/>
  <c r="B627" i="41" s="1"/>
  <c r="C627" i="41"/>
  <c r="E626" i="41"/>
  <c r="D626" i="41"/>
  <c r="B626" i="41" s="1"/>
  <c r="C626" i="41"/>
  <c r="E625" i="41"/>
  <c r="D625" i="41"/>
  <c r="B625" i="41" s="1"/>
  <c r="C625" i="41"/>
  <c r="E624" i="41"/>
  <c r="D624" i="41"/>
  <c r="B624" i="41" s="1"/>
  <c r="C624" i="41"/>
  <c r="E623" i="41"/>
  <c r="D623" i="41"/>
  <c r="B623" i="41" s="1"/>
  <c r="C623" i="41"/>
  <c r="E622" i="41"/>
  <c r="D622" i="41"/>
  <c r="B622" i="41" s="1"/>
  <c r="C622" i="41"/>
  <c r="E621" i="41"/>
  <c r="D621" i="41"/>
  <c r="B621" i="41" s="1"/>
  <c r="C621" i="41"/>
  <c r="E620" i="41"/>
  <c r="D620" i="41"/>
  <c r="B620" i="41" s="1"/>
  <c r="C620" i="41"/>
  <c r="E619" i="41"/>
  <c r="D619" i="41"/>
  <c r="B619" i="41" s="1"/>
  <c r="C619" i="41"/>
  <c r="E618" i="41"/>
  <c r="D618" i="41"/>
  <c r="B618" i="41" s="1"/>
  <c r="C618" i="41"/>
  <c r="E617" i="41"/>
  <c r="D617" i="41"/>
  <c r="B617" i="41" s="1"/>
  <c r="C617" i="41"/>
  <c r="E616" i="41"/>
  <c r="D616" i="41"/>
  <c r="B616" i="41" s="1"/>
  <c r="C616" i="41"/>
  <c r="E615" i="41"/>
  <c r="D615" i="41"/>
  <c r="B615" i="41" s="1"/>
  <c r="C615" i="41"/>
  <c r="E614" i="41"/>
  <c r="D614" i="41"/>
  <c r="B614" i="41" s="1"/>
  <c r="C614" i="41"/>
  <c r="E613" i="41"/>
  <c r="D613" i="41"/>
  <c r="B613" i="41" s="1"/>
  <c r="C613" i="41"/>
  <c r="E612" i="41"/>
  <c r="D612" i="41"/>
  <c r="B612" i="41" s="1"/>
  <c r="C612" i="41"/>
  <c r="E611" i="41"/>
  <c r="D611" i="41"/>
  <c r="B611" i="41" s="1"/>
  <c r="C611" i="41"/>
  <c r="E610" i="41"/>
  <c r="D610" i="41"/>
  <c r="B610" i="41" s="1"/>
  <c r="C610" i="41"/>
  <c r="E609" i="41"/>
  <c r="D609" i="41"/>
  <c r="B609" i="41" s="1"/>
  <c r="C609" i="41"/>
  <c r="E608" i="41"/>
  <c r="D608" i="41"/>
  <c r="B608" i="41" s="1"/>
  <c r="C608" i="41"/>
  <c r="E607" i="41"/>
  <c r="D607" i="41"/>
  <c r="B607" i="41" s="1"/>
  <c r="C607" i="41"/>
  <c r="E606" i="41"/>
  <c r="D606" i="41"/>
  <c r="B606" i="41" s="1"/>
  <c r="C606" i="41"/>
  <c r="E605" i="41"/>
  <c r="D605" i="41"/>
  <c r="B605" i="41" s="1"/>
  <c r="C605" i="41"/>
  <c r="E604" i="41"/>
  <c r="D604" i="41"/>
  <c r="B604" i="41" s="1"/>
  <c r="C604" i="41"/>
  <c r="E603" i="41"/>
  <c r="D603" i="41"/>
  <c r="B603" i="41" s="1"/>
  <c r="C603" i="41"/>
  <c r="E602" i="41"/>
  <c r="D602" i="41"/>
  <c r="B602" i="41" s="1"/>
  <c r="C602" i="41"/>
  <c r="E601" i="41"/>
  <c r="D601" i="41"/>
  <c r="B601" i="41" s="1"/>
  <c r="C601" i="41"/>
  <c r="E600" i="41"/>
  <c r="D600" i="41"/>
  <c r="B600" i="41" s="1"/>
  <c r="C600" i="41"/>
  <c r="E599" i="41"/>
  <c r="D599" i="41"/>
  <c r="B599" i="41" s="1"/>
  <c r="C599" i="41"/>
  <c r="E598" i="41"/>
  <c r="D598" i="41"/>
  <c r="B598" i="41" s="1"/>
  <c r="C598" i="41"/>
  <c r="E597" i="41"/>
  <c r="D597" i="41"/>
  <c r="B597" i="41" s="1"/>
  <c r="C597" i="41"/>
  <c r="E596" i="41"/>
  <c r="D596" i="41"/>
  <c r="B596" i="41" s="1"/>
  <c r="C596" i="41"/>
  <c r="E595" i="41"/>
  <c r="D595" i="41"/>
  <c r="B595" i="41" s="1"/>
  <c r="C595" i="41"/>
  <c r="E594" i="41"/>
  <c r="D594" i="41"/>
  <c r="B594" i="41" s="1"/>
  <c r="C594" i="41"/>
  <c r="E593" i="41"/>
  <c r="D593" i="41"/>
  <c r="B593" i="41" s="1"/>
  <c r="C593" i="41"/>
  <c r="E592" i="41"/>
  <c r="D592" i="41"/>
  <c r="B592" i="41" s="1"/>
  <c r="C592" i="41"/>
  <c r="E591" i="41"/>
  <c r="D591" i="41"/>
  <c r="B591" i="41" s="1"/>
  <c r="C591" i="41"/>
  <c r="E590" i="41"/>
  <c r="D590" i="41"/>
  <c r="B590" i="41" s="1"/>
  <c r="C590" i="41"/>
  <c r="E589" i="41"/>
  <c r="D589" i="41"/>
  <c r="B589" i="41" s="1"/>
  <c r="C589" i="41"/>
  <c r="E588" i="41"/>
  <c r="D588" i="41"/>
  <c r="B588" i="41" s="1"/>
  <c r="C588" i="41"/>
  <c r="E587" i="41"/>
  <c r="D587" i="41"/>
  <c r="B587" i="41" s="1"/>
  <c r="C587" i="41"/>
  <c r="E586" i="41"/>
  <c r="D586" i="41"/>
  <c r="B586" i="41" s="1"/>
  <c r="C586" i="41"/>
  <c r="E585" i="41"/>
  <c r="D585" i="41"/>
  <c r="B585" i="41" s="1"/>
  <c r="C585" i="41"/>
  <c r="E584" i="41"/>
  <c r="D584" i="41"/>
  <c r="B584" i="41" s="1"/>
  <c r="C584" i="41"/>
  <c r="E583" i="41"/>
  <c r="D583" i="41"/>
  <c r="B583" i="41" s="1"/>
  <c r="C583" i="41"/>
  <c r="E582" i="41"/>
  <c r="D582" i="41"/>
  <c r="B582" i="41" s="1"/>
  <c r="C582" i="41"/>
  <c r="E581" i="41"/>
  <c r="D581" i="41"/>
  <c r="B581" i="41" s="1"/>
  <c r="C581" i="41"/>
  <c r="E580" i="41"/>
  <c r="D580" i="41"/>
  <c r="B580" i="41" s="1"/>
  <c r="C580" i="41"/>
  <c r="E579" i="41"/>
  <c r="D579" i="41"/>
  <c r="B579" i="41" s="1"/>
  <c r="C579" i="41"/>
  <c r="E578" i="41"/>
  <c r="D578" i="41"/>
  <c r="B578" i="41" s="1"/>
  <c r="C578" i="41"/>
  <c r="E577" i="41"/>
  <c r="D577" i="41"/>
  <c r="B577" i="41" s="1"/>
  <c r="C577" i="41"/>
  <c r="E576" i="41"/>
  <c r="D576" i="41"/>
  <c r="B576" i="41" s="1"/>
  <c r="C576" i="41"/>
  <c r="E575" i="41"/>
  <c r="D575" i="41"/>
  <c r="B575" i="41" s="1"/>
  <c r="C575" i="41"/>
  <c r="E569" i="41"/>
  <c r="D569" i="41"/>
  <c r="B569" i="41" s="1"/>
  <c r="C569" i="41"/>
  <c r="E568" i="41"/>
  <c r="D568" i="41"/>
  <c r="B568" i="41" s="1"/>
  <c r="C568" i="41"/>
  <c r="E567" i="41"/>
  <c r="D567" i="41"/>
  <c r="B567" i="41" s="1"/>
  <c r="C567" i="41"/>
  <c r="E566" i="41"/>
  <c r="D566" i="41"/>
  <c r="C566" i="41"/>
  <c r="E565" i="41"/>
  <c r="D565" i="41"/>
  <c r="B565" i="41" s="1"/>
  <c r="C565" i="41"/>
  <c r="E564" i="41"/>
  <c r="D564" i="41"/>
  <c r="C564" i="41"/>
  <c r="E563" i="41"/>
  <c r="D563" i="41"/>
  <c r="C563" i="41"/>
  <c r="E562" i="41"/>
  <c r="D562" i="41"/>
  <c r="B562" i="41" s="1"/>
  <c r="C562" i="41"/>
  <c r="E561" i="41"/>
  <c r="D561" i="41"/>
  <c r="B561" i="41" s="1"/>
  <c r="C561" i="41"/>
  <c r="E560" i="41"/>
  <c r="D560" i="41"/>
  <c r="B560" i="41" s="1"/>
  <c r="C560" i="41"/>
  <c r="E559" i="41"/>
  <c r="D559" i="41"/>
  <c r="B559" i="41" s="1"/>
  <c r="C559" i="41"/>
  <c r="E558" i="41"/>
  <c r="D558" i="41"/>
  <c r="C558" i="41"/>
  <c r="E557" i="41"/>
  <c r="D557" i="41"/>
  <c r="B557" i="41" s="1"/>
  <c r="C557" i="41"/>
  <c r="E556" i="41"/>
  <c r="D556" i="41"/>
  <c r="C556" i="41"/>
  <c r="E555" i="41"/>
  <c r="D555" i="41"/>
  <c r="C555" i="41"/>
  <c r="E554" i="41"/>
  <c r="D554" i="41"/>
  <c r="B554" i="41" s="1"/>
  <c r="C554" i="41"/>
  <c r="E553" i="41"/>
  <c r="D553" i="41"/>
  <c r="B553" i="41" s="1"/>
  <c r="C553" i="41"/>
  <c r="E552" i="41"/>
  <c r="D552" i="41"/>
  <c r="C552" i="41"/>
  <c r="E551" i="41"/>
  <c r="D551" i="41"/>
  <c r="B551" i="41" s="1"/>
  <c r="C551" i="41"/>
  <c r="E550" i="41"/>
  <c r="D550" i="41"/>
  <c r="C550" i="41"/>
  <c r="E549" i="41"/>
  <c r="D549" i="41"/>
  <c r="B549" i="41" s="1"/>
  <c r="C549" i="41"/>
  <c r="E548" i="41"/>
  <c r="D548" i="41"/>
  <c r="C548" i="41"/>
  <c r="E547" i="41"/>
  <c r="D547" i="41"/>
  <c r="C547" i="41"/>
  <c r="E546" i="41"/>
  <c r="D546" i="41"/>
  <c r="B546" i="41" s="1"/>
  <c r="C546" i="41"/>
  <c r="E545" i="41"/>
  <c r="D545" i="41"/>
  <c r="B545" i="41" s="1"/>
  <c r="C545" i="41"/>
  <c r="E544" i="41"/>
  <c r="D544" i="41"/>
  <c r="B544" i="41" s="1"/>
  <c r="C544" i="41"/>
  <c r="E543" i="41"/>
  <c r="D543" i="41"/>
  <c r="B543" i="41" s="1"/>
  <c r="C543" i="41"/>
  <c r="E542" i="41"/>
  <c r="D542" i="41"/>
  <c r="C542" i="41"/>
  <c r="E541" i="41"/>
  <c r="D541" i="41"/>
  <c r="B541" i="41" s="1"/>
  <c r="C541" i="41"/>
  <c r="E540" i="41"/>
  <c r="D540" i="41"/>
  <c r="C540" i="41"/>
  <c r="E539" i="41"/>
  <c r="D539" i="41"/>
  <c r="C539" i="41"/>
  <c r="E538" i="41"/>
  <c r="D538" i="41"/>
  <c r="B538" i="41" s="1"/>
  <c r="C538" i="41"/>
  <c r="E537" i="41"/>
  <c r="D537" i="41"/>
  <c r="B537" i="41" s="1"/>
  <c r="C537" i="41"/>
  <c r="E536" i="41"/>
  <c r="D536" i="41"/>
  <c r="C536" i="41"/>
  <c r="E535" i="41"/>
  <c r="D535" i="41"/>
  <c r="B535" i="41" s="1"/>
  <c r="C535" i="41"/>
  <c r="E534" i="41"/>
  <c r="D534" i="41"/>
  <c r="C534" i="41"/>
  <c r="E533" i="41"/>
  <c r="D533" i="41"/>
  <c r="B533" i="41" s="1"/>
  <c r="C533" i="41"/>
  <c r="E532" i="41"/>
  <c r="D532" i="41"/>
  <c r="C532" i="41"/>
  <c r="E531" i="41"/>
  <c r="D531" i="41"/>
  <c r="C531" i="41"/>
  <c r="E530" i="41"/>
  <c r="D530" i="41"/>
  <c r="B530" i="41" s="1"/>
  <c r="C530" i="41"/>
  <c r="E529" i="41"/>
  <c r="D529" i="41"/>
  <c r="B529" i="41" s="1"/>
  <c r="C529" i="41"/>
  <c r="E528" i="41"/>
  <c r="D528" i="41"/>
  <c r="B528" i="41" s="1"/>
  <c r="C528" i="41"/>
  <c r="E527" i="41"/>
  <c r="D527" i="41"/>
  <c r="B527" i="41" s="1"/>
  <c r="C527" i="41"/>
  <c r="E526" i="41"/>
  <c r="D526" i="41"/>
  <c r="C526" i="41"/>
  <c r="E525" i="41"/>
  <c r="D525" i="41"/>
  <c r="B525" i="41" s="1"/>
  <c r="C525" i="41"/>
  <c r="E524" i="41"/>
  <c r="D524" i="41"/>
  <c r="C524" i="41"/>
  <c r="E523" i="41"/>
  <c r="D523" i="41"/>
  <c r="C523" i="41"/>
  <c r="E522" i="41"/>
  <c r="D522" i="41"/>
  <c r="B522" i="41" s="1"/>
  <c r="C522" i="41"/>
  <c r="E521" i="41"/>
  <c r="D521" i="41"/>
  <c r="B521" i="41" s="1"/>
  <c r="C521" i="41"/>
  <c r="E520" i="41"/>
  <c r="D520" i="41"/>
  <c r="B520" i="41" s="1"/>
  <c r="C520" i="41"/>
  <c r="E519" i="41"/>
  <c r="D519" i="41"/>
  <c r="B519" i="41" s="1"/>
  <c r="C519" i="41"/>
  <c r="E518" i="41"/>
  <c r="D518" i="41"/>
  <c r="C518" i="41"/>
  <c r="E517" i="41"/>
  <c r="D517" i="41"/>
  <c r="B517" i="41" s="1"/>
  <c r="C517" i="41"/>
  <c r="E516" i="41"/>
  <c r="D516" i="41"/>
  <c r="C516" i="41"/>
  <c r="E515" i="41"/>
  <c r="D515" i="41"/>
  <c r="C515" i="41"/>
  <c r="E514" i="41"/>
  <c r="D514" i="41"/>
  <c r="B514" i="41" s="1"/>
  <c r="C514" i="41"/>
  <c r="E513" i="41"/>
  <c r="D513" i="41"/>
  <c r="B513" i="41" s="1"/>
  <c r="C513" i="41"/>
  <c r="E512" i="41"/>
  <c r="D512" i="41"/>
  <c r="B512" i="41" s="1"/>
  <c r="C512" i="41"/>
  <c r="E511" i="41"/>
  <c r="D511" i="41"/>
  <c r="B511" i="41" s="1"/>
  <c r="C511" i="41"/>
  <c r="E510" i="41"/>
  <c r="D510" i="41"/>
  <c r="C510" i="41"/>
  <c r="E509" i="41"/>
  <c r="D509" i="41"/>
  <c r="B509" i="41" s="1"/>
  <c r="C509" i="41"/>
  <c r="E508" i="41"/>
  <c r="D508" i="41"/>
  <c r="C508" i="41"/>
  <c r="E507" i="41"/>
  <c r="D507" i="41"/>
  <c r="C507" i="41"/>
  <c r="E506" i="41"/>
  <c r="D506" i="41"/>
  <c r="B506" i="41" s="1"/>
  <c r="C506" i="41"/>
  <c r="E505" i="41"/>
  <c r="D505" i="41"/>
  <c r="B505" i="41" s="1"/>
  <c r="C505" i="41"/>
  <c r="E504" i="41"/>
  <c r="D504" i="41"/>
  <c r="B504" i="41" s="1"/>
  <c r="C504" i="41"/>
  <c r="E503" i="41"/>
  <c r="D503" i="41"/>
  <c r="B503" i="41" s="1"/>
  <c r="C503" i="41"/>
  <c r="E502" i="41"/>
  <c r="D502" i="41"/>
  <c r="C502" i="41"/>
  <c r="E501" i="41"/>
  <c r="D501" i="41"/>
  <c r="B501" i="41" s="1"/>
  <c r="C501" i="41"/>
  <c r="E500" i="41"/>
  <c r="D500" i="41"/>
  <c r="C500" i="41"/>
  <c r="E499" i="41"/>
  <c r="D499" i="41"/>
  <c r="C499" i="41"/>
  <c r="E498" i="41"/>
  <c r="D498" i="41"/>
  <c r="B498" i="41" s="1"/>
  <c r="C498" i="41"/>
  <c r="E497" i="41"/>
  <c r="D497" i="41"/>
  <c r="B497" i="41" s="1"/>
  <c r="C497" i="41"/>
  <c r="E496" i="41"/>
  <c r="D496" i="41"/>
  <c r="B496" i="41" s="1"/>
  <c r="C496" i="41"/>
  <c r="E495" i="41"/>
  <c r="D495" i="41"/>
  <c r="B495" i="41" s="1"/>
  <c r="C495" i="41"/>
  <c r="E494" i="41"/>
  <c r="D494" i="41"/>
  <c r="C494" i="41"/>
  <c r="E493" i="41"/>
  <c r="D493" i="41"/>
  <c r="B493" i="41" s="1"/>
  <c r="C493" i="41"/>
  <c r="E492" i="41"/>
  <c r="D492" i="41"/>
  <c r="C492" i="41"/>
  <c r="B566" i="41"/>
  <c r="B564" i="41"/>
  <c r="B563" i="41"/>
  <c r="B558" i="41"/>
  <c r="B556" i="41"/>
  <c r="B555" i="41"/>
  <c r="B552" i="41"/>
  <c r="B550" i="41"/>
  <c r="B548" i="41"/>
  <c r="B547" i="41"/>
  <c r="B542" i="41"/>
  <c r="B540" i="41"/>
  <c r="B539" i="41"/>
  <c r="B536" i="41"/>
  <c r="B534" i="41"/>
  <c r="B532" i="41"/>
  <c r="B531" i="41"/>
  <c r="B526" i="41"/>
  <c r="B524" i="41"/>
  <c r="B523" i="41"/>
  <c r="B518" i="41"/>
  <c r="B516" i="41"/>
  <c r="B515" i="41"/>
  <c r="B510" i="41"/>
  <c r="B508" i="41"/>
  <c r="B507" i="41"/>
  <c r="B502" i="41"/>
  <c r="B500" i="41"/>
  <c r="B499" i="41"/>
  <c r="B494" i="41"/>
  <c r="B492" i="41"/>
  <c r="D246" i="41"/>
  <c r="C246" i="41"/>
  <c r="D245" i="41"/>
  <c r="AV245" i="41" s="1"/>
  <c r="C245" i="41"/>
  <c r="AU245" i="41" s="1"/>
  <c r="D244" i="41"/>
  <c r="AV244" i="41" s="1"/>
  <c r="C244" i="41"/>
  <c r="AU244" i="41" s="1"/>
  <c r="D243" i="41"/>
  <c r="C243" i="41"/>
  <c r="D242" i="41"/>
  <c r="C242" i="41"/>
  <c r="AU242" i="41" s="1"/>
  <c r="D241" i="41"/>
  <c r="B241" i="41" s="1"/>
  <c r="C241" i="41"/>
  <c r="AU241" i="41" s="1"/>
  <c r="D240" i="41"/>
  <c r="B240" i="41" s="1"/>
  <c r="C240" i="41"/>
  <c r="D239" i="41"/>
  <c r="C239" i="41"/>
  <c r="D238" i="41"/>
  <c r="C238" i="41"/>
  <c r="D237" i="41"/>
  <c r="B237" i="41" s="1"/>
  <c r="C237" i="41"/>
  <c r="D236" i="41"/>
  <c r="AV236" i="41" s="1"/>
  <c r="C236" i="41"/>
  <c r="AU236" i="41" s="1"/>
  <c r="D235" i="41"/>
  <c r="AV235" i="41" s="1"/>
  <c r="C235" i="41"/>
  <c r="D234" i="41"/>
  <c r="C234" i="41"/>
  <c r="AU234" i="41" s="1"/>
  <c r="D233" i="41"/>
  <c r="B233" i="41" s="1"/>
  <c r="C233" i="41"/>
  <c r="AU233" i="41" s="1"/>
  <c r="D232" i="41"/>
  <c r="B232" i="41" s="1"/>
  <c r="C232" i="41"/>
  <c r="D231" i="41"/>
  <c r="C231" i="41"/>
  <c r="D230" i="41"/>
  <c r="C230" i="41"/>
  <c r="AU230" i="41" s="1"/>
  <c r="D229" i="41"/>
  <c r="B229" i="41" s="1"/>
  <c r="C229" i="41"/>
  <c r="D228" i="41"/>
  <c r="AV228" i="41" s="1"/>
  <c r="C228" i="41"/>
  <c r="AU228" i="41" s="1"/>
  <c r="D227" i="41"/>
  <c r="AV227" i="41" s="1"/>
  <c r="C227" i="41"/>
  <c r="D226" i="41"/>
  <c r="C226" i="41"/>
  <c r="AU226" i="41" s="1"/>
  <c r="D225" i="41"/>
  <c r="B225" i="41" s="1"/>
  <c r="C225" i="41"/>
  <c r="AU225" i="41" s="1"/>
  <c r="D224" i="41"/>
  <c r="B224" i="41" s="1"/>
  <c r="C224" i="41"/>
  <c r="D223" i="41"/>
  <c r="C223" i="41"/>
  <c r="D222" i="41"/>
  <c r="C222" i="41"/>
  <c r="AU222" i="41" s="1"/>
  <c r="D221" i="41"/>
  <c r="B221" i="41" s="1"/>
  <c r="C221" i="41"/>
  <c r="D220" i="41"/>
  <c r="AV220" i="41" s="1"/>
  <c r="C220" i="41"/>
  <c r="AU220" i="41" s="1"/>
  <c r="D219" i="41"/>
  <c r="AV219" i="41" s="1"/>
  <c r="C219" i="41"/>
  <c r="D218" i="41"/>
  <c r="C218" i="41"/>
  <c r="AU218" i="41" s="1"/>
  <c r="D217" i="41"/>
  <c r="B217" i="41" s="1"/>
  <c r="C217" i="41"/>
  <c r="AU217" i="41" s="1"/>
  <c r="D216" i="41"/>
  <c r="B216" i="41" s="1"/>
  <c r="C216" i="41"/>
  <c r="D215" i="41"/>
  <c r="C215" i="41"/>
  <c r="D214" i="41"/>
  <c r="C214" i="41"/>
  <c r="AU214" i="41" s="1"/>
  <c r="D213" i="41"/>
  <c r="B213" i="41" s="1"/>
  <c r="C213" i="41"/>
  <c r="D212" i="41"/>
  <c r="AV212" i="41" s="1"/>
  <c r="C212" i="41"/>
  <c r="AU212" i="41" s="1"/>
  <c r="D211" i="41"/>
  <c r="AV211" i="41" s="1"/>
  <c r="C211" i="41"/>
  <c r="D210" i="41"/>
  <c r="C210" i="41"/>
  <c r="AU210" i="41" s="1"/>
  <c r="D209" i="41"/>
  <c r="B209" i="41" s="1"/>
  <c r="C209" i="41"/>
  <c r="AU209" i="41" s="1"/>
  <c r="D208" i="41"/>
  <c r="B208" i="41" s="1"/>
  <c r="C208" i="41"/>
  <c r="D207" i="41"/>
  <c r="C207" i="41"/>
  <c r="D206" i="41"/>
  <c r="C206" i="41"/>
  <c r="AU206" i="41" s="1"/>
  <c r="D205" i="41"/>
  <c r="B205" i="41" s="1"/>
  <c r="C205" i="41"/>
  <c r="D204" i="41"/>
  <c r="AV204" i="41" s="1"/>
  <c r="C204" i="41"/>
  <c r="AU204" i="41" s="1"/>
  <c r="D203" i="41"/>
  <c r="AV203" i="41" s="1"/>
  <c r="C203" i="41"/>
  <c r="D202" i="41"/>
  <c r="C202" i="41"/>
  <c r="AU202" i="41" s="1"/>
  <c r="D201" i="41"/>
  <c r="B201" i="41" s="1"/>
  <c r="C201" i="41"/>
  <c r="AU201" i="41" s="1"/>
  <c r="D200" i="41"/>
  <c r="B200" i="41" s="1"/>
  <c r="C200" i="41"/>
  <c r="D199" i="41"/>
  <c r="C199" i="41"/>
  <c r="D198" i="41"/>
  <c r="C198" i="41"/>
  <c r="AU198" i="41" s="1"/>
  <c r="D197" i="41"/>
  <c r="B197" i="41" s="1"/>
  <c r="C197" i="41"/>
  <c r="D196" i="41"/>
  <c r="AV196" i="41" s="1"/>
  <c r="C196" i="41"/>
  <c r="AU196" i="41" s="1"/>
  <c r="D195" i="41"/>
  <c r="AV195" i="41" s="1"/>
  <c r="C195" i="41"/>
  <c r="D194" i="41"/>
  <c r="C194" i="41"/>
  <c r="AU194" i="41" s="1"/>
  <c r="D193" i="41"/>
  <c r="B193" i="41" s="1"/>
  <c r="C193" i="41"/>
  <c r="AU193" i="41" s="1"/>
  <c r="D192" i="41"/>
  <c r="B192" i="41" s="1"/>
  <c r="C192" i="41"/>
  <c r="D191" i="41"/>
  <c r="C191" i="41"/>
  <c r="D190" i="41"/>
  <c r="C190" i="41"/>
  <c r="AU190" i="41" s="1"/>
  <c r="D189" i="41"/>
  <c r="B189" i="41" s="1"/>
  <c r="C189" i="41"/>
  <c r="D188" i="41"/>
  <c r="AV188" i="41" s="1"/>
  <c r="C188" i="41"/>
  <c r="AU188" i="41" s="1"/>
  <c r="D187" i="41"/>
  <c r="AV187" i="41" s="1"/>
  <c r="C187" i="41"/>
  <c r="D186" i="41"/>
  <c r="C186" i="41"/>
  <c r="AU186" i="41" s="1"/>
  <c r="D185" i="41"/>
  <c r="B185" i="41" s="1"/>
  <c r="C185" i="41"/>
  <c r="AU185" i="41" s="1"/>
  <c r="D184" i="41"/>
  <c r="B184" i="41" s="1"/>
  <c r="C184" i="41"/>
  <c r="D183" i="41"/>
  <c r="C183" i="41"/>
  <c r="D182" i="41"/>
  <c r="C182" i="41"/>
  <c r="AU182" i="41" s="1"/>
  <c r="D181" i="41"/>
  <c r="B181" i="41" s="1"/>
  <c r="C181" i="41"/>
  <c r="D180" i="41"/>
  <c r="AV180" i="41" s="1"/>
  <c r="C180" i="41"/>
  <c r="AU180" i="41" s="1"/>
  <c r="D179" i="41"/>
  <c r="AV179" i="41" s="1"/>
  <c r="C179" i="41"/>
  <c r="D178" i="41"/>
  <c r="C178" i="41"/>
  <c r="AU178" i="41" s="1"/>
  <c r="D177" i="41"/>
  <c r="B177" i="41" s="1"/>
  <c r="C177" i="41"/>
  <c r="AU177" i="41" s="1"/>
  <c r="D176" i="41"/>
  <c r="B176" i="41" s="1"/>
  <c r="C176" i="41"/>
  <c r="D175" i="41"/>
  <c r="C175" i="41"/>
  <c r="D174" i="41"/>
  <c r="C174" i="41"/>
  <c r="AU174" i="41" s="1"/>
  <c r="D173" i="41"/>
  <c r="B173" i="41" s="1"/>
  <c r="C173" i="41"/>
  <c r="D172" i="41"/>
  <c r="C172" i="41"/>
  <c r="D171" i="41"/>
  <c r="AV171" i="41" s="1"/>
  <c r="C171" i="41"/>
  <c r="AU171" i="41" s="1"/>
  <c r="D170" i="41"/>
  <c r="C170" i="41"/>
  <c r="AU170" i="41" s="1"/>
  <c r="D169" i="41"/>
  <c r="B169" i="41" s="1"/>
  <c r="C169" i="41"/>
  <c r="AU169" i="41" s="1"/>
  <c r="D168" i="41"/>
  <c r="B168" i="41" s="1"/>
  <c r="C168" i="41"/>
  <c r="D167" i="41"/>
  <c r="C167" i="41"/>
  <c r="D166" i="41"/>
  <c r="C166" i="41"/>
  <c r="AU166" i="41" s="1"/>
  <c r="D165" i="41"/>
  <c r="B165" i="41" s="1"/>
  <c r="C165" i="41"/>
  <c r="D164" i="41"/>
  <c r="C164" i="41"/>
  <c r="D163" i="41"/>
  <c r="AV163" i="41" s="1"/>
  <c r="C163" i="41"/>
  <c r="AU163" i="41" s="1"/>
  <c r="D162" i="41"/>
  <c r="C162" i="41"/>
  <c r="AU162" i="41" s="1"/>
  <c r="D161" i="41"/>
  <c r="B161" i="41" s="1"/>
  <c r="C161" i="41"/>
  <c r="AU161" i="41" s="1"/>
  <c r="D160" i="41"/>
  <c r="B160" i="41" s="1"/>
  <c r="C160" i="41"/>
  <c r="D159" i="41"/>
  <c r="C159" i="41"/>
  <c r="D158" i="41"/>
  <c r="C158" i="41"/>
  <c r="AU158" i="41" s="1"/>
  <c r="D157" i="41"/>
  <c r="B157" i="41" s="1"/>
  <c r="C157" i="41"/>
  <c r="D156" i="41"/>
  <c r="C156" i="41"/>
  <c r="D155" i="41"/>
  <c r="AV155" i="41" s="1"/>
  <c r="C155" i="41"/>
  <c r="AU155" i="41" s="1"/>
  <c r="D154" i="41"/>
  <c r="C154" i="41"/>
  <c r="AU154" i="41" s="1"/>
  <c r="D153" i="41"/>
  <c r="B153" i="41" s="1"/>
  <c r="C153" i="41"/>
  <c r="AU153" i="41" s="1"/>
  <c r="D152" i="41"/>
  <c r="B152" i="41" s="1"/>
  <c r="C152" i="41"/>
  <c r="D151" i="41"/>
  <c r="C151" i="41"/>
  <c r="D150" i="41"/>
  <c r="C150" i="41"/>
  <c r="AU150" i="41" s="1"/>
  <c r="D149" i="41"/>
  <c r="B149" i="41" s="1"/>
  <c r="C149" i="41"/>
  <c r="D148" i="41"/>
  <c r="C148" i="41"/>
  <c r="D147" i="41"/>
  <c r="AV147" i="41" s="1"/>
  <c r="C147" i="41"/>
  <c r="AU147" i="41" s="1"/>
  <c r="D146" i="41"/>
  <c r="C146" i="41"/>
  <c r="AU146" i="41" s="1"/>
  <c r="D145" i="41"/>
  <c r="B145" i="41" s="1"/>
  <c r="C145" i="41"/>
  <c r="AU145" i="41" s="1"/>
  <c r="D144" i="41"/>
  <c r="B144" i="41" s="1"/>
  <c r="C144" i="41"/>
  <c r="D143" i="41"/>
  <c r="C143" i="41"/>
  <c r="D142" i="41"/>
  <c r="C142" i="41"/>
  <c r="AU142" i="41" s="1"/>
  <c r="D141" i="41"/>
  <c r="B141" i="41" s="1"/>
  <c r="C141" i="41"/>
  <c r="D140" i="41"/>
  <c r="C140" i="41"/>
  <c r="D139" i="41"/>
  <c r="AV139" i="41" s="1"/>
  <c r="C139" i="41"/>
  <c r="AU139" i="41" s="1"/>
  <c r="D138" i="41"/>
  <c r="C138" i="41"/>
  <c r="AU138" i="41" s="1"/>
  <c r="D137" i="41"/>
  <c r="B137" i="41" s="1"/>
  <c r="C137" i="41"/>
  <c r="AU137" i="41" s="1"/>
  <c r="D136" i="41"/>
  <c r="B136" i="41" s="1"/>
  <c r="C136" i="41"/>
  <c r="D135" i="41"/>
  <c r="C135" i="41"/>
  <c r="D134" i="41"/>
  <c r="C134" i="41"/>
  <c r="AU134" i="41" s="1"/>
  <c r="D133" i="41"/>
  <c r="AV133" i="41" s="1"/>
  <c r="C133" i="41"/>
  <c r="D132" i="41"/>
  <c r="C132" i="41"/>
  <c r="D131" i="41"/>
  <c r="C131" i="41"/>
  <c r="D130" i="41"/>
  <c r="C130" i="41"/>
  <c r="AU130" i="41" s="1"/>
  <c r="D129" i="41"/>
  <c r="AV129" i="41" s="1"/>
  <c r="C129" i="41"/>
  <c r="AU129" i="41" s="1"/>
  <c r="D128" i="41"/>
  <c r="B128" i="41" s="1"/>
  <c r="C128" i="41"/>
  <c r="AU128" i="41" s="1"/>
  <c r="D127" i="41"/>
  <c r="C127" i="41"/>
  <c r="D126" i="41"/>
  <c r="C126" i="41"/>
  <c r="AU126" i="41" s="1"/>
  <c r="D125" i="41"/>
  <c r="AV125" i="41" s="1"/>
  <c r="C125" i="41"/>
  <c r="D124" i="41"/>
  <c r="AA358" i="41" s="1"/>
  <c r="C124" i="41"/>
  <c r="D123" i="41"/>
  <c r="AA357" i="41" s="1"/>
  <c r="C123" i="41"/>
  <c r="Z357" i="41" s="1"/>
  <c r="D122" i="41"/>
  <c r="AA356" i="41" s="1"/>
  <c r="C122" i="41"/>
  <c r="Z356" i="41" s="1"/>
  <c r="D121" i="41"/>
  <c r="AA355" i="41" s="1"/>
  <c r="C121" i="41"/>
  <c r="Z355" i="41" s="1"/>
  <c r="D120" i="41"/>
  <c r="AA354" i="41" s="1"/>
  <c r="C120" i="41"/>
  <c r="C354" i="41" s="1"/>
  <c r="D119" i="41"/>
  <c r="AA353" i="41" s="1"/>
  <c r="C119" i="41"/>
  <c r="Z353" i="41" s="1"/>
  <c r="D118" i="41"/>
  <c r="AA352" i="41" s="1"/>
  <c r="C118" i="41"/>
  <c r="Z352" i="41" s="1"/>
  <c r="D117" i="41"/>
  <c r="AA351" i="41" s="1"/>
  <c r="Y351" i="41" s="1"/>
  <c r="C117" i="41"/>
  <c r="Z351" i="41" s="1"/>
  <c r="D116" i="41"/>
  <c r="AA350" i="41" s="1"/>
  <c r="C116" i="41"/>
  <c r="D115" i="41"/>
  <c r="AA349" i="41" s="1"/>
  <c r="C115" i="41"/>
  <c r="Z349" i="41" s="1"/>
  <c r="D114" i="41"/>
  <c r="AA348" i="41" s="1"/>
  <c r="C114" i="41"/>
  <c r="Z348" i="41" s="1"/>
  <c r="D113" i="41"/>
  <c r="AA347" i="41" s="1"/>
  <c r="Y347" i="41" s="1"/>
  <c r="C113" i="41"/>
  <c r="Z347" i="41" s="1"/>
  <c r="D112" i="41"/>
  <c r="AA346" i="41" s="1"/>
  <c r="C112" i="41"/>
  <c r="C346" i="41" s="1"/>
  <c r="D111" i="41"/>
  <c r="AA345" i="41" s="1"/>
  <c r="Y345" i="41" s="1"/>
  <c r="C111" i="41"/>
  <c r="Z345" i="41" s="1"/>
  <c r="D110" i="41"/>
  <c r="AA344" i="41" s="1"/>
  <c r="C110" i="41"/>
  <c r="Z344" i="41" s="1"/>
  <c r="D109" i="41"/>
  <c r="AA343" i="41" s="1"/>
  <c r="Y343" i="41" s="1"/>
  <c r="C109" i="41"/>
  <c r="Z343" i="41" s="1"/>
  <c r="D108" i="41"/>
  <c r="AA342" i="41" s="1"/>
  <c r="Y342" i="41" s="1"/>
  <c r="C108" i="41"/>
  <c r="Z342" i="41" s="1"/>
  <c r="D107" i="41"/>
  <c r="AA341" i="41" s="1"/>
  <c r="Y341" i="41" s="1"/>
  <c r="C107" i="41"/>
  <c r="Z341" i="41" s="1"/>
  <c r="D106" i="41"/>
  <c r="AA340" i="41" s="1"/>
  <c r="C106" i="41"/>
  <c r="Z340" i="41" s="1"/>
  <c r="D105" i="41"/>
  <c r="AA339" i="41" s="1"/>
  <c r="Y339" i="41" s="1"/>
  <c r="C105" i="41"/>
  <c r="Z339" i="41" s="1"/>
  <c r="D104" i="41"/>
  <c r="AA338" i="41" s="1"/>
  <c r="C104" i="41"/>
  <c r="C338" i="41" s="1"/>
  <c r="D103" i="41"/>
  <c r="AA337" i="41" s="1"/>
  <c r="Y337" i="41" s="1"/>
  <c r="C103" i="41"/>
  <c r="Z337" i="41" s="1"/>
  <c r="D102" i="41"/>
  <c r="AA336" i="41" s="1"/>
  <c r="C102" i="41"/>
  <c r="Z336" i="41" s="1"/>
  <c r="D101" i="41"/>
  <c r="AA335" i="41" s="1"/>
  <c r="Y335" i="41" s="1"/>
  <c r="C101" i="41"/>
  <c r="Z335" i="41" s="1"/>
  <c r="D100" i="41"/>
  <c r="AA334" i="41" s="1"/>
  <c r="C100" i="41"/>
  <c r="D99" i="41"/>
  <c r="AA333" i="41" s="1"/>
  <c r="Y333" i="41" s="1"/>
  <c r="C99" i="41"/>
  <c r="Z333" i="41" s="1"/>
  <c r="D98" i="41"/>
  <c r="AA332" i="41" s="1"/>
  <c r="C98" i="41"/>
  <c r="Z332" i="41" s="1"/>
  <c r="D97" i="41"/>
  <c r="AA331" i="41" s="1"/>
  <c r="Y331" i="41" s="1"/>
  <c r="C97" i="41"/>
  <c r="Z331" i="41" s="1"/>
  <c r="D96" i="41"/>
  <c r="AA330" i="41" s="1"/>
  <c r="C96" i="41"/>
  <c r="C330" i="41" s="1"/>
  <c r="D95" i="41"/>
  <c r="AA329" i="41" s="1"/>
  <c r="Y329" i="41" s="1"/>
  <c r="C95" i="41"/>
  <c r="Z329" i="41" s="1"/>
  <c r="D94" i="41"/>
  <c r="AA328" i="41" s="1"/>
  <c r="C94" i="41"/>
  <c r="Z328" i="41" s="1"/>
  <c r="D93" i="41"/>
  <c r="AA327" i="41" s="1"/>
  <c r="Y327" i="41" s="1"/>
  <c r="C93" i="41"/>
  <c r="Z327" i="41" s="1"/>
  <c r="D92" i="41"/>
  <c r="AA326" i="41" s="1"/>
  <c r="C92" i="41"/>
  <c r="D91" i="41"/>
  <c r="AA325" i="41" s="1"/>
  <c r="Y325" i="41" s="1"/>
  <c r="C91" i="41"/>
  <c r="Z325" i="41" s="1"/>
  <c r="D90" i="41"/>
  <c r="AA324" i="41" s="1"/>
  <c r="Y324" i="41" s="1"/>
  <c r="C90" i="41"/>
  <c r="Z324" i="41" s="1"/>
  <c r="D89" i="41"/>
  <c r="AA323" i="41" s="1"/>
  <c r="Y323" i="41" s="1"/>
  <c r="C89" i="41"/>
  <c r="Z323" i="41" s="1"/>
  <c r="D88" i="41"/>
  <c r="AA322" i="41" s="1"/>
  <c r="C88" i="41"/>
  <c r="C322" i="41" s="1"/>
  <c r="D87" i="41"/>
  <c r="AA321" i="41" s="1"/>
  <c r="Y321" i="41" s="1"/>
  <c r="C87" i="41"/>
  <c r="Z321" i="41" s="1"/>
  <c r="D86" i="41"/>
  <c r="AA320" i="41" s="1"/>
  <c r="Y320" i="41" s="1"/>
  <c r="C86" i="41"/>
  <c r="Z320" i="41" s="1"/>
  <c r="D85" i="41"/>
  <c r="AA319" i="41" s="1"/>
  <c r="Y319" i="41" s="1"/>
  <c r="C85" i="41"/>
  <c r="Z319" i="41" s="1"/>
  <c r="D84" i="41"/>
  <c r="AA318" i="41" s="1"/>
  <c r="C84" i="41"/>
  <c r="D83" i="41"/>
  <c r="AA317" i="41" s="1"/>
  <c r="Y317" i="41" s="1"/>
  <c r="C83" i="41"/>
  <c r="Z317" i="41" s="1"/>
  <c r="D82" i="41"/>
  <c r="AA316" i="41" s="1"/>
  <c r="Y316" i="41" s="1"/>
  <c r="C82" i="41"/>
  <c r="Z316" i="41" s="1"/>
  <c r="D81" i="41"/>
  <c r="AA315" i="41" s="1"/>
  <c r="Y315" i="41" s="1"/>
  <c r="C81" i="41"/>
  <c r="Z315" i="41" s="1"/>
  <c r="D80" i="41"/>
  <c r="AA314" i="41" s="1"/>
  <c r="C80" i="41"/>
  <c r="C314" i="41" s="1"/>
  <c r="D79" i="41"/>
  <c r="AA313" i="41" s="1"/>
  <c r="Y313" i="41" s="1"/>
  <c r="C79" i="41"/>
  <c r="Z313" i="41" s="1"/>
  <c r="D78" i="41"/>
  <c r="AA312" i="41" s="1"/>
  <c r="Y312" i="41" s="1"/>
  <c r="C78" i="41"/>
  <c r="Z312" i="41" s="1"/>
  <c r="D77" i="41"/>
  <c r="AA311" i="41" s="1"/>
  <c r="Y311" i="41" s="1"/>
  <c r="C77" i="41"/>
  <c r="Z311" i="41" s="1"/>
  <c r="D76" i="41"/>
  <c r="AA310" i="41" s="1"/>
  <c r="C76" i="41"/>
  <c r="D75" i="41"/>
  <c r="AA309" i="41" s="1"/>
  <c r="Y309" i="41" s="1"/>
  <c r="C75" i="41"/>
  <c r="Z309" i="41" s="1"/>
  <c r="D74" i="41"/>
  <c r="AA308" i="41" s="1"/>
  <c r="Y308" i="41" s="1"/>
  <c r="C74" i="41"/>
  <c r="Z308" i="41" s="1"/>
  <c r="D73" i="41"/>
  <c r="AA307" i="41" s="1"/>
  <c r="Y307" i="41" s="1"/>
  <c r="C73" i="41"/>
  <c r="Z307" i="41" s="1"/>
  <c r="D72" i="41"/>
  <c r="AA306" i="41" s="1"/>
  <c r="C72" i="41"/>
  <c r="C306" i="41" s="1"/>
  <c r="D71" i="41"/>
  <c r="AA305" i="41" s="1"/>
  <c r="Y305" i="41" s="1"/>
  <c r="C71" i="41"/>
  <c r="Z305" i="41" s="1"/>
  <c r="D70" i="41"/>
  <c r="AA304" i="41" s="1"/>
  <c r="Y304" i="41" s="1"/>
  <c r="C70" i="41"/>
  <c r="Z304" i="41" s="1"/>
  <c r="D69" i="41"/>
  <c r="AA303" i="41" s="1"/>
  <c r="Y303" i="41" s="1"/>
  <c r="C69" i="41"/>
  <c r="Z303" i="41" s="1"/>
  <c r="D68" i="41"/>
  <c r="AA302" i="41" s="1"/>
  <c r="C68" i="41"/>
  <c r="D67" i="41"/>
  <c r="AA301" i="41" s="1"/>
  <c r="Y301" i="41" s="1"/>
  <c r="C67" i="41"/>
  <c r="Z301" i="41" s="1"/>
  <c r="D66" i="41"/>
  <c r="AA300" i="41" s="1"/>
  <c r="Y300" i="41" s="1"/>
  <c r="C66" i="41"/>
  <c r="Z300" i="41" s="1"/>
  <c r="D65" i="41"/>
  <c r="AA299" i="41" s="1"/>
  <c r="Y299" i="41" s="1"/>
  <c r="C65" i="41"/>
  <c r="Z299" i="41" s="1"/>
  <c r="D64" i="41"/>
  <c r="AA298" i="41" s="1"/>
  <c r="C64" i="41"/>
  <c r="C298" i="41" s="1"/>
  <c r="D63" i="41"/>
  <c r="AA297" i="41" s="1"/>
  <c r="Y297" i="41" s="1"/>
  <c r="C63" i="41"/>
  <c r="Z297" i="41" s="1"/>
  <c r="D62" i="41"/>
  <c r="AA296" i="41" s="1"/>
  <c r="Y296" i="41" s="1"/>
  <c r="C62" i="41"/>
  <c r="Z296" i="41" s="1"/>
  <c r="D61" i="41"/>
  <c r="AA295" i="41" s="1"/>
  <c r="Y295" i="41" s="1"/>
  <c r="C61" i="41"/>
  <c r="Z295" i="41" s="1"/>
  <c r="D60" i="41"/>
  <c r="AA294" i="41" s="1"/>
  <c r="C60" i="41"/>
  <c r="D59" i="41"/>
  <c r="AA293" i="41" s="1"/>
  <c r="Y293" i="41" s="1"/>
  <c r="C59" i="41"/>
  <c r="Z293" i="41" s="1"/>
  <c r="D58" i="41"/>
  <c r="AA292" i="41" s="1"/>
  <c r="Y292" i="41" s="1"/>
  <c r="C58" i="41"/>
  <c r="Z292" i="41" s="1"/>
  <c r="D57" i="41"/>
  <c r="AA291" i="41" s="1"/>
  <c r="Y291" i="41" s="1"/>
  <c r="C57" i="41"/>
  <c r="Z291" i="41" s="1"/>
  <c r="D56" i="41"/>
  <c r="AA290" i="41" s="1"/>
  <c r="C56" i="41"/>
  <c r="C290" i="41" s="1"/>
  <c r="D55" i="41"/>
  <c r="AA289" i="41" s="1"/>
  <c r="Y289" i="41" s="1"/>
  <c r="C55" i="41"/>
  <c r="Z289" i="41" s="1"/>
  <c r="D54" i="41"/>
  <c r="AA288" i="41" s="1"/>
  <c r="Y288" i="41" s="1"/>
  <c r="C54" i="41"/>
  <c r="Z288" i="41" s="1"/>
  <c r="D53" i="41"/>
  <c r="AA287" i="41" s="1"/>
  <c r="Y287" i="41" s="1"/>
  <c r="C53" i="41"/>
  <c r="Z287" i="41" s="1"/>
  <c r="D52" i="41"/>
  <c r="AA286" i="41" s="1"/>
  <c r="C52" i="41"/>
  <c r="D51" i="41"/>
  <c r="AA285" i="41" s="1"/>
  <c r="Y285" i="41" s="1"/>
  <c r="C51" i="41"/>
  <c r="Z285" i="41" s="1"/>
  <c r="D50" i="41"/>
  <c r="AA284" i="41" s="1"/>
  <c r="Y284" i="41" s="1"/>
  <c r="C50" i="41"/>
  <c r="Z284" i="41" s="1"/>
  <c r="D49" i="41"/>
  <c r="AA283" i="41" s="1"/>
  <c r="Y283" i="41" s="1"/>
  <c r="C49" i="41"/>
  <c r="Z283" i="41" s="1"/>
  <c r="D48" i="41"/>
  <c r="AA282" i="41" s="1"/>
  <c r="C48" i="41"/>
  <c r="C282" i="41" s="1"/>
  <c r="D47" i="41"/>
  <c r="AA281" i="41" s="1"/>
  <c r="Y281" i="41" s="1"/>
  <c r="C47" i="41"/>
  <c r="Z281" i="41" s="1"/>
  <c r="D46" i="41"/>
  <c r="AA280" i="41" s="1"/>
  <c r="Y280" i="41" s="1"/>
  <c r="C46" i="41"/>
  <c r="Z280" i="41" s="1"/>
  <c r="D45" i="41"/>
  <c r="AA279" i="41" s="1"/>
  <c r="Y279" i="41" s="1"/>
  <c r="C45" i="41"/>
  <c r="Z279" i="41" s="1"/>
  <c r="D44" i="41"/>
  <c r="AA278" i="41" s="1"/>
  <c r="C44" i="41"/>
  <c r="D43" i="41"/>
  <c r="AA277" i="41" s="1"/>
  <c r="Y277" i="41" s="1"/>
  <c r="C43" i="41"/>
  <c r="Z277" i="41" s="1"/>
  <c r="D42" i="41"/>
  <c r="AA276" i="41" s="1"/>
  <c r="Y276" i="41" s="1"/>
  <c r="C42" i="41"/>
  <c r="Z276" i="41" s="1"/>
  <c r="D41" i="41"/>
  <c r="AA275" i="41" s="1"/>
  <c r="Y275" i="41" s="1"/>
  <c r="C41" i="41"/>
  <c r="Z275" i="41" s="1"/>
  <c r="D40" i="41"/>
  <c r="AA274" i="41" s="1"/>
  <c r="C40" i="41"/>
  <c r="C274" i="41" s="1"/>
  <c r="D39" i="41"/>
  <c r="AA273" i="41" s="1"/>
  <c r="Y273" i="41" s="1"/>
  <c r="C39" i="41"/>
  <c r="Z273" i="41" s="1"/>
  <c r="D38" i="41"/>
  <c r="AA272" i="41" s="1"/>
  <c r="Y272" i="41" s="1"/>
  <c r="C38" i="41"/>
  <c r="Z272" i="41" s="1"/>
  <c r="D37" i="41"/>
  <c r="AA271" i="41" s="1"/>
  <c r="Y271" i="41" s="1"/>
  <c r="C37" i="41"/>
  <c r="Z271" i="41" s="1"/>
  <c r="D36" i="41"/>
  <c r="AA270" i="41" s="1"/>
  <c r="C36" i="41"/>
  <c r="D35" i="41"/>
  <c r="AA269" i="41" s="1"/>
  <c r="Y269" i="41" s="1"/>
  <c r="C35" i="41"/>
  <c r="Z269" i="41" s="1"/>
  <c r="D34" i="41"/>
  <c r="AA268" i="41" s="1"/>
  <c r="Y268" i="41" s="1"/>
  <c r="C34" i="41"/>
  <c r="Z268" i="41" s="1"/>
  <c r="D33" i="41"/>
  <c r="AA267" i="41" s="1"/>
  <c r="Y267" i="41" s="1"/>
  <c r="C33" i="41"/>
  <c r="Z267" i="41" s="1"/>
  <c r="D32" i="41"/>
  <c r="AA266" i="41" s="1"/>
  <c r="C32" i="41"/>
  <c r="C266" i="41" s="1"/>
  <c r="D31" i="41"/>
  <c r="AA265" i="41" s="1"/>
  <c r="Y265" i="41" s="1"/>
  <c r="C31" i="41"/>
  <c r="Z265" i="41" s="1"/>
  <c r="D30" i="41"/>
  <c r="AA264" i="41" s="1"/>
  <c r="Y264" i="41" s="1"/>
  <c r="C30" i="41"/>
  <c r="Z264" i="41" s="1"/>
  <c r="D29" i="41"/>
  <c r="AA263" i="41" s="1"/>
  <c r="Y263" i="41" s="1"/>
  <c r="C29" i="41"/>
  <c r="Z263" i="41" s="1"/>
  <c r="D28" i="41"/>
  <c r="AA262" i="41" s="1"/>
  <c r="C28" i="41"/>
  <c r="D27" i="41"/>
  <c r="AA261" i="41" s="1"/>
  <c r="Y261" i="41" s="1"/>
  <c r="C27" i="41"/>
  <c r="Z261" i="41" s="1"/>
  <c r="D26" i="41"/>
  <c r="AA260" i="41" s="1"/>
  <c r="Y260" i="41" s="1"/>
  <c r="C26" i="41"/>
  <c r="Z260" i="41" s="1"/>
  <c r="D25" i="41"/>
  <c r="AA259" i="41" s="1"/>
  <c r="Y259" i="41" s="1"/>
  <c r="C25" i="41"/>
  <c r="Z259" i="41" s="1"/>
  <c r="D24" i="41"/>
  <c r="AA258" i="41" s="1"/>
  <c r="C24" i="41"/>
  <c r="C258" i="41" s="1"/>
  <c r="D23" i="41"/>
  <c r="AA257" i="41" s="1"/>
  <c r="Y257" i="41" s="1"/>
  <c r="C23" i="41"/>
  <c r="Z257" i="41" s="1"/>
  <c r="C22" i="41"/>
  <c r="Z256" i="41" s="1"/>
  <c r="D22" i="41"/>
  <c r="AA256" i="41" s="1"/>
  <c r="AA246" i="41"/>
  <c r="Z246" i="41"/>
  <c r="AA245" i="41"/>
  <c r="Z245" i="41"/>
  <c r="AA244" i="41"/>
  <c r="AA243" i="41"/>
  <c r="Z243" i="41"/>
  <c r="AA242" i="41"/>
  <c r="Z242" i="41"/>
  <c r="AA241" i="41"/>
  <c r="Z241" i="41"/>
  <c r="AA240" i="41"/>
  <c r="AA239" i="41"/>
  <c r="Z239" i="41"/>
  <c r="AA238" i="41"/>
  <c r="Z238" i="41"/>
  <c r="AA237" i="41"/>
  <c r="Z237" i="41"/>
  <c r="AA236" i="41"/>
  <c r="AA235" i="41"/>
  <c r="Z235" i="41"/>
  <c r="AA234" i="41"/>
  <c r="Z234" i="41"/>
  <c r="AA233" i="41"/>
  <c r="Z233" i="41"/>
  <c r="AA232" i="41"/>
  <c r="AA231" i="41"/>
  <c r="Z231" i="41"/>
  <c r="AA230" i="41"/>
  <c r="Z230" i="41"/>
  <c r="AA229" i="41"/>
  <c r="Z229" i="41"/>
  <c r="AA228" i="41"/>
  <c r="AA227" i="41"/>
  <c r="Z227" i="41"/>
  <c r="AA226" i="41"/>
  <c r="Z226" i="41"/>
  <c r="AA225" i="41"/>
  <c r="Z225" i="41"/>
  <c r="AA224" i="41"/>
  <c r="AA223" i="41"/>
  <c r="Z223" i="41"/>
  <c r="AA222" i="41"/>
  <c r="Z222" i="41"/>
  <c r="AA221" i="41"/>
  <c r="Z221" i="41"/>
  <c r="AA220" i="41"/>
  <c r="AA219" i="41"/>
  <c r="Z219" i="41"/>
  <c r="AA218" i="41"/>
  <c r="Z218" i="41"/>
  <c r="AA217" i="41"/>
  <c r="Z217" i="41"/>
  <c r="AA216" i="41"/>
  <c r="AA215" i="41"/>
  <c r="Z215" i="41"/>
  <c r="AA214" i="41"/>
  <c r="Z214" i="41"/>
  <c r="AA213" i="41"/>
  <c r="Z213" i="41"/>
  <c r="AA212" i="41"/>
  <c r="AA211" i="41"/>
  <c r="Z211" i="41"/>
  <c r="AA210" i="41"/>
  <c r="Z210" i="41"/>
  <c r="AA209" i="41"/>
  <c r="Z209" i="41"/>
  <c r="AA208" i="41"/>
  <c r="AA207" i="41"/>
  <c r="Z207" i="41"/>
  <c r="AA206" i="41"/>
  <c r="Z206" i="41"/>
  <c r="AA205" i="41"/>
  <c r="Z205" i="41"/>
  <c r="AA204" i="41"/>
  <c r="AA203" i="41"/>
  <c r="Z203" i="41"/>
  <c r="AA202" i="41"/>
  <c r="Z202" i="41"/>
  <c r="AA201" i="41"/>
  <c r="Z201" i="41"/>
  <c r="AA200" i="41"/>
  <c r="AA199" i="41"/>
  <c r="Z199" i="41"/>
  <c r="AA198" i="41"/>
  <c r="Z198" i="41"/>
  <c r="AA197" i="41"/>
  <c r="Z197" i="41"/>
  <c r="AA196" i="41"/>
  <c r="AA195" i="41"/>
  <c r="Z195" i="41"/>
  <c r="AA194" i="41"/>
  <c r="Z194" i="41"/>
  <c r="AA193" i="41"/>
  <c r="Z193" i="41"/>
  <c r="AA192" i="41"/>
  <c r="AA191" i="41"/>
  <c r="Z191" i="41"/>
  <c r="AA190" i="41"/>
  <c r="Z190" i="41"/>
  <c r="AA189" i="41"/>
  <c r="Z189" i="41"/>
  <c r="AA188" i="41"/>
  <c r="AA187" i="41"/>
  <c r="Z187" i="41"/>
  <c r="AA186" i="41"/>
  <c r="Z186" i="41"/>
  <c r="AA185" i="41"/>
  <c r="Z185" i="41"/>
  <c r="AA184" i="41"/>
  <c r="AA183" i="41"/>
  <c r="Z183" i="41"/>
  <c r="AA182" i="41"/>
  <c r="Z182" i="41"/>
  <c r="AA181" i="41"/>
  <c r="Z181" i="41"/>
  <c r="AA180" i="41"/>
  <c r="AA179" i="41"/>
  <c r="Z179" i="41"/>
  <c r="AA178" i="41"/>
  <c r="Z178" i="41"/>
  <c r="AA177" i="41"/>
  <c r="Z177" i="41"/>
  <c r="AA176" i="41"/>
  <c r="AA175" i="41"/>
  <c r="Z175" i="41"/>
  <c r="AA174" i="41"/>
  <c r="Z174" i="41"/>
  <c r="AA173" i="41"/>
  <c r="Z173" i="41"/>
  <c r="AA172" i="41"/>
  <c r="AA171" i="41"/>
  <c r="Z171" i="41"/>
  <c r="AA170" i="41"/>
  <c r="Z170" i="41"/>
  <c r="AA169" i="41"/>
  <c r="Z169" i="41"/>
  <c r="AA168" i="41"/>
  <c r="AA167" i="41"/>
  <c r="Z167" i="41"/>
  <c r="AA166" i="41"/>
  <c r="Z166" i="41"/>
  <c r="AA165" i="41"/>
  <c r="Z165" i="41"/>
  <c r="AA164" i="41"/>
  <c r="AA163" i="41"/>
  <c r="Z163" i="41"/>
  <c r="AA162" i="41"/>
  <c r="Z162" i="41"/>
  <c r="AA161" i="41"/>
  <c r="Z161" i="41"/>
  <c r="AA160" i="41"/>
  <c r="AA159" i="41"/>
  <c r="Z159" i="41"/>
  <c r="AA158" i="41"/>
  <c r="Z158" i="41"/>
  <c r="AA157" i="41"/>
  <c r="Z157" i="41"/>
  <c r="AA156" i="41"/>
  <c r="AA155" i="41"/>
  <c r="Z155" i="41"/>
  <c r="AA154" i="41"/>
  <c r="Z154" i="41"/>
  <c r="AA153" i="41"/>
  <c r="Z153" i="41"/>
  <c r="AA152" i="41"/>
  <c r="AA151" i="41"/>
  <c r="Z151" i="41"/>
  <c r="AA150" i="41"/>
  <c r="Z150" i="41"/>
  <c r="AA149" i="41"/>
  <c r="Z149" i="41"/>
  <c r="AA148" i="41"/>
  <c r="AA147" i="41"/>
  <c r="Z147" i="41"/>
  <c r="AA146" i="41"/>
  <c r="Z146" i="41"/>
  <c r="AA145" i="41"/>
  <c r="Z145" i="41"/>
  <c r="AA144" i="41"/>
  <c r="AA143" i="41"/>
  <c r="Z143" i="41"/>
  <c r="AA142" i="41"/>
  <c r="Z142" i="41"/>
  <c r="AA141" i="41"/>
  <c r="Z141" i="41"/>
  <c r="AA140" i="41"/>
  <c r="AA139" i="41"/>
  <c r="Z139" i="41"/>
  <c r="AA138" i="41"/>
  <c r="Z138" i="41"/>
  <c r="AA137" i="41"/>
  <c r="Z137" i="41"/>
  <c r="AA136" i="41"/>
  <c r="AA135" i="41"/>
  <c r="Z135" i="41"/>
  <c r="AA134" i="41"/>
  <c r="Z134" i="41"/>
  <c r="AA133" i="41"/>
  <c r="Z133" i="41"/>
  <c r="AA132" i="41"/>
  <c r="AA131" i="41"/>
  <c r="Z131" i="41"/>
  <c r="AA130" i="41"/>
  <c r="Z130" i="41"/>
  <c r="AA129" i="41"/>
  <c r="Z129" i="41"/>
  <c r="AA128" i="41"/>
  <c r="AA127" i="41"/>
  <c r="Z127" i="41"/>
  <c r="AA126" i="41"/>
  <c r="Z126" i="41"/>
  <c r="AA125" i="41"/>
  <c r="Z125" i="41"/>
  <c r="AA124" i="41"/>
  <c r="AA123" i="41"/>
  <c r="Z123" i="41"/>
  <c r="AA122" i="41"/>
  <c r="Z122" i="41"/>
  <c r="AA121" i="41"/>
  <c r="Z121" i="41"/>
  <c r="AA120" i="41"/>
  <c r="AA119" i="41"/>
  <c r="Z119" i="41"/>
  <c r="AA118" i="41"/>
  <c r="Z118" i="41"/>
  <c r="AA117" i="41"/>
  <c r="Z117" i="41"/>
  <c r="AA116" i="41"/>
  <c r="AA115" i="41"/>
  <c r="Z115" i="41"/>
  <c r="AA114" i="41"/>
  <c r="Z114" i="41"/>
  <c r="AA113" i="41"/>
  <c r="Z113" i="41"/>
  <c r="AA112" i="41"/>
  <c r="AA111" i="41"/>
  <c r="Z111" i="41"/>
  <c r="AA110" i="41"/>
  <c r="Z110" i="41"/>
  <c r="AA109" i="41"/>
  <c r="Z109" i="41"/>
  <c r="AA108" i="41"/>
  <c r="AA107" i="41"/>
  <c r="Z107" i="41"/>
  <c r="AA106" i="41"/>
  <c r="Z106" i="41"/>
  <c r="AA105" i="41"/>
  <c r="Z105" i="41"/>
  <c r="AA104" i="41"/>
  <c r="AA103" i="41"/>
  <c r="Z103" i="41"/>
  <c r="AA102" i="41"/>
  <c r="Z102" i="41"/>
  <c r="AA101" i="41"/>
  <c r="Z101" i="41"/>
  <c r="AA100" i="41"/>
  <c r="AA99" i="41"/>
  <c r="Z99" i="41"/>
  <c r="AA98" i="41"/>
  <c r="Z98" i="41"/>
  <c r="AA97" i="41"/>
  <c r="Z97" i="41"/>
  <c r="AA96" i="41"/>
  <c r="AA95" i="41"/>
  <c r="Z95" i="41"/>
  <c r="AA94" i="41"/>
  <c r="Z94" i="41"/>
  <c r="AA93" i="41"/>
  <c r="Z93" i="41"/>
  <c r="AA92" i="41"/>
  <c r="AA91" i="41"/>
  <c r="Z91" i="41"/>
  <c r="AA90" i="41"/>
  <c r="Z90" i="41"/>
  <c r="AA89" i="41"/>
  <c r="Z89" i="41"/>
  <c r="AA88" i="41"/>
  <c r="AA87" i="41"/>
  <c r="Z87" i="41"/>
  <c r="AA86" i="41"/>
  <c r="Z86" i="41"/>
  <c r="AA85" i="41"/>
  <c r="Z85" i="41"/>
  <c r="AA84" i="41"/>
  <c r="AA83" i="41"/>
  <c r="Z83" i="41"/>
  <c r="AA82" i="41"/>
  <c r="Z82" i="41"/>
  <c r="AA81" i="41"/>
  <c r="Z81" i="41"/>
  <c r="AA80" i="41"/>
  <c r="AA79" i="41"/>
  <c r="Z79" i="41"/>
  <c r="AA78" i="41"/>
  <c r="Z78" i="41"/>
  <c r="AA77" i="41"/>
  <c r="Z77" i="41"/>
  <c r="AA76" i="41"/>
  <c r="AA75" i="41"/>
  <c r="Z75" i="41"/>
  <c r="AA74" i="41"/>
  <c r="Z74" i="41"/>
  <c r="AA73" i="41"/>
  <c r="Z73" i="41"/>
  <c r="AA72" i="41"/>
  <c r="AA71" i="41"/>
  <c r="Z71" i="41"/>
  <c r="AA70" i="41"/>
  <c r="Z70" i="41"/>
  <c r="AA69" i="41"/>
  <c r="Z69" i="41"/>
  <c r="AA68" i="41"/>
  <c r="AA67" i="41"/>
  <c r="Z67" i="41"/>
  <c r="AA66" i="41"/>
  <c r="Z66" i="41"/>
  <c r="AA65" i="41"/>
  <c r="Z65" i="41"/>
  <c r="AA64" i="41"/>
  <c r="AA63" i="41"/>
  <c r="Z63" i="41"/>
  <c r="AA62" i="41"/>
  <c r="Z62" i="41"/>
  <c r="AA61" i="41"/>
  <c r="Z61" i="41"/>
  <c r="AA60" i="41"/>
  <c r="AA59" i="41"/>
  <c r="Z59" i="41"/>
  <c r="AA58" i="41"/>
  <c r="Z58" i="41"/>
  <c r="AA57" i="41"/>
  <c r="Z57" i="41"/>
  <c r="AA56" i="41"/>
  <c r="AA55" i="41"/>
  <c r="Z55" i="41"/>
  <c r="AA54" i="41"/>
  <c r="Z54" i="41"/>
  <c r="AA53" i="41"/>
  <c r="Z53" i="41"/>
  <c r="AA52" i="41"/>
  <c r="AA51" i="41"/>
  <c r="Z51" i="41"/>
  <c r="AA50" i="41"/>
  <c r="Z50" i="41"/>
  <c r="AA49" i="41"/>
  <c r="Z49" i="41"/>
  <c r="AA48" i="41"/>
  <c r="AA47" i="41"/>
  <c r="Z47" i="41"/>
  <c r="AA46" i="41"/>
  <c r="Z46" i="41"/>
  <c r="AA45" i="41"/>
  <c r="Z45" i="41"/>
  <c r="AA44" i="41"/>
  <c r="AA43" i="41"/>
  <c r="Z43" i="41"/>
  <c r="AA42" i="41"/>
  <c r="Z42" i="41"/>
  <c r="AA41" i="41"/>
  <c r="Z41" i="41"/>
  <c r="AA40" i="41"/>
  <c r="AA39" i="41"/>
  <c r="Z39" i="41"/>
  <c r="AA38" i="41"/>
  <c r="Z38" i="41"/>
  <c r="AA37" i="41"/>
  <c r="Z37" i="41"/>
  <c r="AA36" i="41"/>
  <c r="AA35" i="41"/>
  <c r="Z35" i="41"/>
  <c r="AA34" i="41"/>
  <c r="Z34" i="41"/>
  <c r="AA33" i="41"/>
  <c r="Z33" i="41"/>
  <c r="AA32" i="41"/>
  <c r="AA31" i="41"/>
  <c r="Z31" i="41"/>
  <c r="AA30" i="41"/>
  <c r="Z30" i="41"/>
  <c r="AA29" i="41"/>
  <c r="Z29" i="41"/>
  <c r="AA28" i="41"/>
  <c r="AA27" i="41"/>
  <c r="Z27" i="41"/>
  <c r="AA26" i="41"/>
  <c r="Z26" i="41"/>
  <c r="AA25" i="41"/>
  <c r="Z25" i="41"/>
  <c r="AA24" i="41"/>
  <c r="AA23" i="41"/>
  <c r="Z23" i="41"/>
  <c r="AA22" i="41"/>
  <c r="Z22" i="41"/>
  <c r="BY3" i="52"/>
  <c r="F94" i="62"/>
  <c r="E218" i="62"/>
  <c r="F218" i="62" s="1"/>
  <c r="F227" i="62"/>
  <c r="F226" i="62"/>
  <c r="F225" i="62"/>
  <c r="F224" i="62"/>
  <c r="F223" i="62"/>
  <c r="F222" i="62"/>
  <c r="F221" i="62"/>
  <c r="F220" i="62"/>
  <c r="F219" i="62"/>
  <c r="F217" i="62"/>
  <c r="F216" i="62"/>
  <c r="F215" i="62"/>
  <c r="F214" i="62"/>
  <c r="F213" i="62"/>
  <c r="F212" i="62"/>
  <c r="F211" i="62"/>
  <c r="F210" i="62"/>
  <c r="F209" i="62"/>
  <c r="F208" i="62"/>
  <c r="F207" i="62"/>
  <c r="F206" i="62"/>
  <c r="F205" i="62"/>
  <c r="F204" i="62"/>
  <c r="F203" i="62"/>
  <c r="F202" i="62"/>
  <c r="F201" i="62"/>
  <c r="F200" i="62"/>
  <c r="F199" i="62"/>
  <c r="F198" i="62"/>
  <c r="F197" i="62"/>
  <c r="F196" i="62"/>
  <c r="F195" i="62"/>
  <c r="F194" i="62"/>
  <c r="F193" i="62"/>
  <c r="F192" i="62"/>
  <c r="F191" i="62"/>
  <c r="F190" i="62"/>
  <c r="F189" i="62"/>
  <c r="F188" i="62"/>
  <c r="F187" i="62"/>
  <c r="F186" i="62"/>
  <c r="F185" i="62"/>
  <c r="F184" i="62"/>
  <c r="F183" i="62"/>
  <c r="F182" i="62"/>
  <c r="F181" i="62"/>
  <c r="F180" i="62"/>
  <c r="F179" i="62"/>
  <c r="F178" i="62"/>
  <c r="F177" i="62"/>
  <c r="F176" i="62"/>
  <c r="F175" i="62"/>
  <c r="F174" i="62"/>
  <c r="F173" i="62"/>
  <c r="F172" i="62"/>
  <c r="F171" i="62"/>
  <c r="F170" i="62"/>
  <c r="F169" i="62"/>
  <c r="F168" i="62"/>
  <c r="F167" i="62"/>
  <c r="F166" i="62"/>
  <c r="F165" i="62"/>
  <c r="F164" i="62"/>
  <c r="F163" i="62"/>
  <c r="F162" i="62"/>
  <c r="F161" i="62"/>
  <c r="F160" i="62"/>
  <c r="F159" i="62"/>
  <c r="F158" i="62"/>
  <c r="F157" i="62"/>
  <c r="F156" i="62"/>
  <c r="F155" i="62"/>
  <c r="F154" i="62"/>
  <c r="F153" i="62"/>
  <c r="F152" i="62"/>
  <c r="F151" i="62"/>
  <c r="F150" i="62"/>
  <c r="F149" i="62"/>
  <c r="F148" i="62"/>
  <c r="F147" i="62"/>
  <c r="F146" i="62"/>
  <c r="F145" i="62"/>
  <c r="F144" i="62"/>
  <c r="F143" i="62"/>
  <c r="F142" i="62"/>
  <c r="F141" i="62"/>
  <c r="F140" i="62"/>
  <c r="F139" i="62"/>
  <c r="F138" i="62"/>
  <c r="F137" i="62"/>
  <c r="F136" i="62"/>
  <c r="F135" i="62"/>
  <c r="F134" i="62"/>
  <c r="F133" i="62"/>
  <c r="F132" i="62"/>
  <c r="F131" i="62"/>
  <c r="F130" i="62"/>
  <c r="F129" i="62"/>
  <c r="F128" i="62"/>
  <c r="F127" i="62"/>
  <c r="F126" i="62"/>
  <c r="F125" i="62"/>
  <c r="F124" i="62"/>
  <c r="F123" i="62"/>
  <c r="F122" i="62"/>
  <c r="F121" i="62"/>
  <c r="F120" i="62"/>
  <c r="F119" i="62"/>
  <c r="F118" i="62"/>
  <c r="F117" i="62"/>
  <c r="F116" i="62"/>
  <c r="F115" i="62"/>
  <c r="F114" i="62"/>
  <c r="F113" i="62"/>
  <c r="F112" i="62"/>
  <c r="F111" i="62"/>
  <c r="F110" i="62"/>
  <c r="F109" i="62"/>
  <c r="F108" i="62"/>
  <c r="F107" i="62"/>
  <c r="F106" i="62"/>
  <c r="F105" i="62"/>
  <c r="F104" i="62"/>
  <c r="F103" i="62"/>
  <c r="F102" i="62"/>
  <c r="F101" i="62"/>
  <c r="F100" i="62"/>
  <c r="F99" i="62"/>
  <c r="F98" i="62"/>
  <c r="F97" i="62"/>
  <c r="F96" i="62"/>
  <c r="F95" i="62"/>
  <c r="F93" i="62"/>
  <c r="F92" i="62"/>
  <c r="F91" i="62"/>
  <c r="F90" i="62"/>
  <c r="F89" i="62"/>
  <c r="F88" i="62"/>
  <c r="F87" i="62"/>
  <c r="F86" i="62"/>
  <c r="F85" i="62"/>
  <c r="F84" i="62"/>
  <c r="F83" i="62"/>
  <c r="F82" i="62"/>
  <c r="F81" i="62"/>
  <c r="F80" i="62"/>
  <c r="F79" i="62"/>
  <c r="F78" i="62"/>
  <c r="F77" i="62"/>
  <c r="F76" i="62"/>
  <c r="F75" i="62"/>
  <c r="F74" i="62"/>
  <c r="F73" i="62"/>
  <c r="F72" i="62"/>
  <c r="F71" i="62"/>
  <c r="F70" i="62"/>
  <c r="F69" i="62"/>
  <c r="F68" i="62"/>
  <c r="F67" i="62"/>
  <c r="F66" i="62"/>
  <c r="F65" i="62"/>
  <c r="F64" i="62"/>
  <c r="F63" i="62"/>
  <c r="F62" i="62"/>
  <c r="F61" i="62"/>
  <c r="F60" i="62"/>
  <c r="F59" i="62"/>
  <c r="F58" i="62"/>
  <c r="F57" i="62"/>
  <c r="F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9" i="62"/>
  <c r="F8" i="62"/>
  <c r="F7" i="62"/>
  <c r="F6" i="62"/>
  <c r="F5" i="62"/>
  <c r="F4" i="62"/>
  <c r="F3" i="62"/>
  <c r="C24" i="11"/>
  <c r="S57" i="52" s="1"/>
  <c r="Y492" i="41" l="1"/>
  <c r="Y500" i="41"/>
  <c r="Y508" i="41"/>
  <c r="Y516" i="41"/>
  <c r="Y524" i="41"/>
  <c r="Y532" i="41"/>
  <c r="Y540" i="41"/>
  <c r="Y548" i="41"/>
  <c r="Y496" i="41"/>
  <c r="Y504" i="41"/>
  <c r="Y512" i="41"/>
  <c r="Y520" i="41"/>
  <c r="Y528" i="41"/>
  <c r="Y536" i="41"/>
  <c r="Y544" i="41"/>
  <c r="Y552" i="41"/>
  <c r="Y497" i="41"/>
  <c r="Y505" i="41"/>
  <c r="Y513" i="41"/>
  <c r="Y521" i="41"/>
  <c r="Y529" i="41"/>
  <c r="Y537" i="41"/>
  <c r="Y545" i="41"/>
  <c r="Y553" i="41"/>
  <c r="Y561" i="41"/>
  <c r="Y569" i="41"/>
  <c r="Y495" i="41"/>
  <c r="Y503" i="41"/>
  <c r="Y511" i="41"/>
  <c r="Y519" i="41"/>
  <c r="Y527" i="41"/>
  <c r="Y535" i="41"/>
  <c r="Y543" i="41"/>
  <c r="Y551" i="41"/>
  <c r="Y559" i="41"/>
  <c r="Y567" i="41"/>
  <c r="Y506" i="41"/>
  <c r="Y514" i="41"/>
  <c r="Y522" i="41"/>
  <c r="Y530" i="41"/>
  <c r="Y538" i="41"/>
  <c r="Y546" i="41"/>
  <c r="Y554" i="41"/>
  <c r="Y562" i="41"/>
  <c r="Y493" i="41"/>
  <c r="Y501" i="41"/>
  <c r="Y499" i="41"/>
  <c r="Y507" i="41"/>
  <c r="Y515" i="41"/>
  <c r="Y523" i="41"/>
  <c r="Y531" i="41"/>
  <c r="Y539" i="41"/>
  <c r="Y547" i="41"/>
  <c r="Y555" i="41"/>
  <c r="Y563" i="41"/>
  <c r="S128" i="41"/>
  <c r="K128" i="41"/>
  <c r="P128" i="41"/>
  <c r="H128" i="41"/>
  <c r="O128" i="41"/>
  <c r="Q128" i="41"/>
  <c r="N128" i="41"/>
  <c r="M128" i="41"/>
  <c r="L128" i="41"/>
  <c r="T128" i="41"/>
  <c r="R128" i="41"/>
  <c r="S136" i="41"/>
  <c r="P136" i="41"/>
  <c r="O136" i="41"/>
  <c r="L136" i="41"/>
  <c r="T136" i="41"/>
  <c r="R136" i="41"/>
  <c r="M144" i="41"/>
  <c r="S144" i="41"/>
  <c r="K144" i="41"/>
  <c r="Q144" i="41"/>
  <c r="P144" i="41"/>
  <c r="H144" i="41"/>
  <c r="O144" i="41"/>
  <c r="R144" i="41"/>
  <c r="N144" i="41"/>
  <c r="L144" i="41"/>
  <c r="T144" i="41"/>
  <c r="M152" i="41"/>
  <c r="S152" i="41"/>
  <c r="K152" i="41"/>
  <c r="Q152" i="41"/>
  <c r="I152" i="41"/>
  <c r="P152" i="41"/>
  <c r="H152" i="41"/>
  <c r="O152" i="41"/>
  <c r="T152" i="41"/>
  <c r="R152" i="41"/>
  <c r="N152" i="41"/>
  <c r="L152" i="41"/>
  <c r="J152" i="41"/>
  <c r="M160" i="41"/>
  <c r="L160" i="41"/>
  <c r="S160" i="41"/>
  <c r="K160" i="41"/>
  <c r="R160" i="41"/>
  <c r="J160" i="41"/>
  <c r="Q160" i="41"/>
  <c r="H160" i="41"/>
  <c r="O160" i="41"/>
  <c r="N160" i="41"/>
  <c r="T168" i="41"/>
  <c r="L168" i="41"/>
  <c r="S168" i="41"/>
  <c r="K168" i="41"/>
  <c r="R168" i="41"/>
  <c r="P168" i="41"/>
  <c r="O168" i="41"/>
  <c r="M176" i="41"/>
  <c r="L176" i="41"/>
  <c r="S176" i="41"/>
  <c r="K176" i="41"/>
  <c r="R176" i="41"/>
  <c r="J176" i="41"/>
  <c r="Q176" i="41"/>
  <c r="H176" i="41"/>
  <c r="O176" i="41"/>
  <c r="N176" i="41"/>
  <c r="O184" i="41"/>
  <c r="S184" i="41"/>
  <c r="K184" i="41"/>
  <c r="R184" i="41"/>
  <c r="H184" i="41"/>
  <c r="Q184" i="41"/>
  <c r="P184" i="41"/>
  <c r="N184" i="41"/>
  <c r="M184" i="41"/>
  <c r="L184" i="41"/>
  <c r="T184" i="41"/>
  <c r="O192" i="41"/>
  <c r="T192" i="41"/>
  <c r="L192" i="41"/>
  <c r="S192" i="41"/>
  <c r="K192" i="41"/>
  <c r="R192" i="41"/>
  <c r="Q192" i="41"/>
  <c r="P192" i="41"/>
  <c r="N192" i="41"/>
  <c r="H192" i="41"/>
  <c r="O200" i="41"/>
  <c r="T200" i="41"/>
  <c r="L200" i="41"/>
  <c r="S200" i="41"/>
  <c r="K200" i="41"/>
  <c r="Q200" i="41"/>
  <c r="P200" i="41"/>
  <c r="N200" i="41"/>
  <c r="M200" i="41"/>
  <c r="H200" i="41"/>
  <c r="R200" i="41"/>
  <c r="O208" i="41"/>
  <c r="T208" i="41"/>
  <c r="L208" i="41"/>
  <c r="S208" i="41"/>
  <c r="K208" i="41"/>
  <c r="P208" i="41"/>
  <c r="N208" i="41"/>
  <c r="M208" i="41"/>
  <c r="H208" i="41"/>
  <c r="R208" i="41"/>
  <c r="Q208" i="41"/>
  <c r="O216" i="41"/>
  <c r="T216" i="41"/>
  <c r="L216" i="41"/>
  <c r="S216" i="41"/>
  <c r="K216" i="41"/>
  <c r="N216" i="41"/>
  <c r="M216" i="41"/>
  <c r="J216" i="41"/>
  <c r="H216" i="41"/>
  <c r="Q216" i="41"/>
  <c r="P216" i="41"/>
  <c r="O224" i="41"/>
  <c r="T224" i="41"/>
  <c r="L224" i="41"/>
  <c r="S224" i="41"/>
  <c r="R224" i="41"/>
  <c r="P224" i="41"/>
  <c r="O232" i="41"/>
  <c r="T232" i="41"/>
  <c r="L232" i="41"/>
  <c r="S232" i="41"/>
  <c r="K232" i="41"/>
  <c r="H232" i="41"/>
  <c r="R232" i="41"/>
  <c r="Q232" i="41"/>
  <c r="P232" i="41"/>
  <c r="N232" i="41"/>
  <c r="M232" i="41"/>
  <c r="O240" i="41"/>
  <c r="T240" i="41"/>
  <c r="L240" i="41"/>
  <c r="S240" i="41"/>
  <c r="K240" i="41"/>
  <c r="H240" i="41"/>
  <c r="R240" i="41"/>
  <c r="Q240" i="41"/>
  <c r="P240" i="41"/>
  <c r="N240" i="41"/>
  <c r="M240" i="41"/>
  <c r="P137" i="41"/>
  <c r="H137" i="41"/>
  <c r="N137" i="41"/>
  <c r="T137" i="41"/>
  <c r="L137" i="41"/>
  <c r="S137" i="41"/>
  <c r="K137" i="41"/>
  <c r="R137" i="41"/>
  <c r="Q137" i="41"/>
  <c r="O137" i="41"/>
  <c r="M137" i="41"/>
  <c r="T141" i="41"/>
  <c r="L141" i="41"/>
  <c r="R141" i="41"/>
  <c r="P141" i="41"/>
  <c r="O141" i="41"/>
  <c r="S141" i="41"/>
  <c r="P145" i="41"/>
  <c r="H145" i="41"/>
  <c r="N145" i="41"/>
  <c r="T145" i="41"/>
  <c r="L145" i="41"/>
  <c r="S145" i="41"/>
  <c r="K145" i="41"/>
  <c r="R145" i="41"/>
  <c r="J145" i="41"/>
  <c r="Q145" i="41"/>
  <c r="O145" i="41"/>
  <c r="M145" i="41"/>
  <c r="T149" i="41"/>
  <c r="L149" i="41"/>
  <c r="R149" i="41"/>
  <c r="J149" i="41"/>
  <c r="P149" i="41"/>
  <c r="H149" i="41"/>
  <c r="O149" i="41"/>
  <c r="N149" i="41"/>
  <c r="Q149" i="41"/>
  <c r="M149" i="41"/>
  <c r="K149" i="41"/>
  <c r="S149" i="41"/>
  <c r="P153" i="41"/>
  <c r="H153" i="41"/>
  <c r="N153" i="41"/>
  <c r="T153" i="41"/>
  <c r="L153" i="41"/>
  <c r="S153" i="41"/>
  <c r="K153" i="41"/>
  <c r="R153" i="41"/>
  <c r="J153" i="41"/>
  <c r="Q153" i="41"/>
  <c r="O153" i="41"/>
  <c r="M153" i="41"/>
  <c r="I153" i="41"/>
  <c r="T157" i="41"/>
  <c r="L157" i="41"/>
  <c r="R157" i="41"/>
  <c r="P157" i="41"/>
  <c r="H157" i="41"/>
  <c r="O157" i="41"/>
  <c r="N157" i="41"/>
  <c r="S157" i="41"/>
  <c r="Q157" i="41"/>
  <c r="M157" i="41"/>
  <c r="K157" i="41"/>
  <c r="P161" i="41"/>
  <c r="O161" i="41"/>
  <c r="T161" i="41"/>
  <c r="L161" i="41"/>
  <c r="S161" i="41"/>
  <c r="K161" i="41"/>
  <c r="R161" i="41"/>
  <c r="T165" i="41"/>
  <c r="L165" i="41"/>
  <c r="S165" i="41"/>
  <c r="K165" i="41"/>
  <c r="R165" i="41"/>
  <c r="P165" i="41"/>
  <c r="O165" i="41"/>
  <c r="P169" i="41"/>
  <c r="O169" i="41"/>
  <c r="T169" i="41"/>
  <c r="L169" i="41"/>
  <c r="S169" i="41"/>
  <c r="K169" i="41"/>
  <c r="R169" i="41"/>
  <c r="T173" i="41"/>
  <c r="L173" i="41"/>
  <c r="S173" i="41"/>
  <c r="K173" i="41"/>
  <c r="R173" i="41"/>
  <c r="Q173" i="41"/>
  <c r="P173" i="41"/>
  <c r="H173" i="41"/>
  <c r="O173" i="41"/>
  <c r="N173" i="41"/>
  <c r="P177" i="41"/>
  <c r="O177" i="41"/>
  <c r="T177" i="41"/>
  <c r="L177" i="41"/>
  <c r="S177" i="41"/>
  <c r="K177" i="41"/>
  <c r="R177" i="41"/>
  <c r="N181" i="41"/>
  <c r="R181" i="41"/>
  <c r="O181" i="41"/>
  <c r="L181" i="41"/>
  <c r="K181" i="41"/>
  <c r="T181" i="41"/>
  <c r="S181" i="41"/>
  <c r="H181" i="41"/>
  <c r="Q181" i="41"/>
  <c r="P181" i="41"/>
  <c r="R185" i="41"/>
  <c r="N185" i="41"/>
  <c r="P185" i="41"/>
  <c r="O185" i="41"/>
  <c r="M185" i="41"/>
  <c r="L185" i="41"/>
  <c r="K185" i="41"/>
  <c r="T185" i="41"/>
  <c r="S185" i="41"/>
  <c r="H185" i="41"/>
  <c r="Q185" i="41"/>
  <c r="S189" i="41"/>
  <c r="K189" i="41"/>
  <c r="R189" i="41"/>
  <c r="T189" i="41"/>
  <c r="P189" i="41"/>
  <c r="O189" i="41"/>
  <c r="L189" i="41"/>
  <c r="R193" i="41"/>
  <c r="O193" i="41"/>
  <c r="N193" i="41"/>
  <c r="S193" i="41"/>
  <c r="Q193" i="41"/>
  <c r="P193" i="41"/>
  <c r="L193" i="41"/>
  <c r="K193" i="41"/>
  <c r="T193" i="41"/>
  <c r="H193" i="41"/>
  <c r="N197" i="41"/>
  <c r="S197" i="41"/>
  <c r="K197" i="41"/>
  <c r="R197" i="41"/>
  <c r="J197" i="41"/>
  <c r="Q197" i="41"/>
  <c r="P197" i="41"/>
  <c r="O197" i="41"/>
  <c r="M197" i="41"/>
  <c r="L197" i="41"/>
  <c r="H197" i="41"/>
  <c r="T197" i="41"/>
  <c r="R201" i="41"/>
  <c r="O201" i="41"/>
  <c r="N201" i="41"/>
  <c r="Q201" i="41"/>
  <c r="P201" i="41"/>
  <c r="M201" i="41"/>
  <c r="L201" i="41"/>
  <c r="K201" i="41"/>
  <c r="T201" i="41"/>
  <c r="H201" i="41"/>
  <c r="S201" i="41"/>
  <c r="N205" i="41"/>
  <c r="S205" i="41"/>
  <c r="K205" i="41"/>
  <c r="R205" i="41"/>
  <c r="J205" i="41"/>
  <c r="P205" i="41"/>
  <c r="O205" i="41"/>
  <c r="M205" i="41"/>
  <c r="L205" i="41"/>
  <c r="H205" i="41"/>
  <c r="T205" i="41"/>
  <c r="Q205" i="41"/>
  <c r="R209" i="41"/>
  <c r="O209" i="41"/>
  <c r="N209" i="41"/>
  <c r="P209" i="41"/>
  <c r="M209" i="41"/>
  <c r="L209" i="41"/>
  <c r="K209" i="41"/>
  <c r="T209" i="41"/>
  <c r="H209" i="41"/>
  <c r="S209" i="41"/>
  <c r="Q209" i="41"/>
  <c r="N213" i="41"/>
  <c r="S213" i="41"/>
  <c r="K213" i="41"/>
  <c r="R213" i="41"/>
  <c r="O213" i="41"/>
  <c r="L213" i="41"/>
  <c r="H213" i="41"/>
  <c r="T213" i="41"/>
  <c r="Q213" i="41"/>
  <c r="P213" i="41"/>
  <c r="R217" i="41"/>
  <c r="J217" i="41"/>
  <c r="O217" i="41"/>
  <c r="N217" i="41"/>
  <c r="M217" i="41"/>
  <c r="L217" i="41"/>
  <c r="K217" i="41"/>
  <c r="T217" i="41"/>
  <c r="H217" i="41"/>
  <c r="S217" i="41"/>
  <c r="Q217" i="41"/>
  <c r="P217" i="41"/>
  <c r="N221" i="41"/>
  <c r="S221" i="41"/>
  <c r="K221" i="41"/>
  <c r="R221" i="41"/>
  <c r="L221" i="41"/>
  <c r="H221" i="41"/>
  <c r="T221" i="41"/>
  <c r="Q221" i="41"/>
  <c r="P221" i="41"/>
  <c r="O221" i="41"/>
  <c r="R225" i="41"/>
  <c r="O225" i="41"/>
  <c r="N225" i="41"/>
  <c r="L225" i="41"/>
  <c r="K225" i="41"/>
  <c r="T225" i="41"/>
  <c r="H225" i="41"/>
  <c r="S225" i="41"/>
  <c r="Q225" i="41"/>
  <c r="P225" i="41"/>
  <c r="M225" i="41"/>
  <c r="N229" i="41"/>
  <c r="S229" i="41"/>
  <c r="K229" i="41"/>
  <c r="R229" i="41"/>
  <c r="L229" i="41"/>
  <c r="H229" i="41"/>
  <c r="T229" i="41"/>
  <c r="Q229" i="41"/>
  <c r="P229" i="41"/>
  <c r="O229" i="41"/>
  <c r="R233" i="41"/>
  <c r="O233" i="41"/>
  <c r="N233" i="41"/>
  <c r="K233" i="41"/>
  <c r="T233" i="41"/>
  <c r="H233" i="41"/>
  <c r="S233" i="41"/>
  <c r="Q233" i="41"/>
  <c r="P233" i="41"/>
  <c r="L233" i="41"/>
  <c r="N237" i="41"/>
  <c r="S237" i="41"/>
  <c r="K237" i="41"/>
  <c r="R237" i="41"/>
  <c r="J237" i="41"/>
  <c r="H237" i="41"/>
  <c r="Q237" i="41"/>
  <c r="O237" i="41"/>
  <c r="M237" i="41"/>
  <c r="L237" i="41"/>
  <c r="R241" i="41"/>
  <c r="O241" i="41"/>
  <c r="N241" i="41"/>
  <c r="T241" i="41"/>
  <c r="H241" i="41"/>
  <c r="S241" i="41"/>
  <c r="Q241" i="41"/>
  <c r="P241" i="41"/>
  <c r="M241" i="41"/>
  <c r="L241" i="41"/>
  <c r="K241" i="41"/>
  <c r="Y328" i="41"/>
  <c r="Y332" i="41"/>
  <c r="Y336" i="41"/>
  <c r="Y340" i="41"/>
  <c r="Y344" i="41"/>
  <c r="Y348" i="41"/>
  <c r="Y352" i="41"/>
  <c r="Y356" i="41"/>
  <c r="AA360" i="41"/>
  <c r="D360" i="41"/>
  <c r="B360" i="41" s="1"/>
  <c r="AA364" i="41"/>
  <c r="D364" i="41"/>
  <c r="B364" i="41" s="1"/>
  <c r="AA368" i="41"/>
  <c r="D368" i="41"/>
  <c r="B368" i="41" s="1"/>
  <c r="AA372" i="41"/>
  <c r="D372" i="41"/>
  <c r="B372" i="41" s="1"/>
  <c r="AA376" i="41"/>
  <c r="D376" i="41"/>
  <c r="B376" i="41" s="1"/>
  <c r="AA380" i="41"/>
  <c r="D380" i="41"/>
  <c r="B380" i="41" s="1"/>
  <c r="AA384" i="41"/>
  <c r="D384" i="41"/>
  <c r="B384" i="41" s="1"/>
  <c r="AA388" i="41"/>
  <c r="D388" i="41"/>
  <c r="B388" i="41" s="1"/>
  <c r="AA392" i="41"/>
  <c r="D392" i="41"/>
  <c r="B392" i="41" s="1"/>
  <c r="AA396" i="41"/>
  <c r="D396" i="41"/>
  <c r="B396" i="41" s="1"/>
  <c r="AA400" i="41"/>
  <c r="D400" i="41"/>
  <c r="B400" i="41" s="1"/>
  <c r="AA404" i="41"/>
  <c r="D404" i="41"/>
  <c r="B404" i="41" s="1"/>
  <c r="AA408" i="41"/>
  <c r="D408" i="41"/>
  <c r="B408" i="41" s="1"/>
  <c r="AA412" i="41"/>
  <c r="D412" i="41"/>
  <c r="B412" i="41" s="1"/>
  <c r="AA416" i="41"/>
  <c r="D416" i="41"/>
  <c r="B416" i="41" s="1"/>
  <c r="AA420" i="41"/>
  <c r="D420" i="41"/>
  <c r="B420" i="41" s="1"/>
  <c r="AA424" i="41"/>
  <c r="D424" i="41"/>
  <c r="B424" i="41" s="1"/>
  <c r="AA428" i="41"/>
  <c r="D428" i="41"/>
  <c r="B428" i="41" s="1"/>
  <c r="AA432" i="41"/>
  <c r="D432" i="41"/>
  <c r="B432" i="41" s="1"/>
  <c r="AA436" i="41"/>
  <c r="D436" i="41"/>
  <c r="B436" i="41" s="1"/>
  <c r="AA440" i="41"/>
  <c r="D440" i="41"/>
  <c r="B440" i="41" s="1"/>
  <c r="AA444" i="41"/>
  <c r="D444" i="41"/>
  <c r="B444" i="41" s="1"/>
  <c r="AA448" i="41"/>
  <c r="D448" i="41"/>
  <c r="B448" i="41" s="1"/>
  <c r="AA452" i="41"/>
  <c r="D452" i="41"/>
  <c r="B452" i="41" s="1"/>
  <c r="AA456" i="41"/>
  <c r="D456" i="41"/>
  <c r="B456" i="41" s="1"/>
  <c r="AA460" i="41"/>
  <c r="D460" i="41"/>
  <c r="B460" i="41" s="1"/>
  <c r="AA464" i="41"/>
  <c r="D464" i="41"/>
  <c r="B464" i="41" s="1"/>
  <c r="AA468" i="41"/>
  <c r="D468" i="41"/>
  <c r="B468" i="41" s="1"/>
  <c r="AA472" i="41"/>
  <c r="D472" i="41"/>
  <c r="B472" i="41" s="1"/>
  <c r="D476" i="41"/>
  <c r="B476" i="41" s="1"/>
  <c r="AA476" i="41"/>
  <c r="AA480" i="41"/>
  <c r="D480" i="41"/>
  <c r="B480" i="41" s="1"/>
  <c r="B29" i="41"/>
  <c r="B37" i="41"/>
  <c r="B45" i="41"/>
  <c r="B53" i="41"/>
  <c r="B61" i="41"/>
  <c r="B69" i="41"/>
  <c r="B77" i="41"/>
  <c r="B85" i="41"/>
  <c r="B93" i="41"/>
  <c r="B101" i="41"/>
  <c r="B109" i="41"/>
  <c r="B117" i="41"/>
  <c r="B125" i="41"/>
  <c r="B133" i="41"/>
  <c r="B245" i="41"/>
  <c r="AU24" i="41"/>
  <c r="AV29" i="41"/>
  <c r="AU32" i="41"/>
  <c r="AV37" i="41"/>
  <c r="AU40" i="41"/>
  <c r="AV45" i="41"/>
  <c r="AU48" i="41"/>
  <c r="AV53" i="41"/>
  <c r="AU56" i="41"/>
  <c r="AV61" i="41"/>
  <c r="AU64" i="41"/>
  <c r="AV69" i="41"/>
  <c r="AU72" i="41"/>
  <c r="AV77" i="41"/>
  <c r="AU80" i="41"/>
  <c r="AV85" i="41"/>
  <c r="AU88" i="41"/>
  <c r="AV93" i="41"/>
  <c r="AU96" i="41"/>
  <c r="AV101" i="41"/>
  <c r="AU104" i="41"/>
  <c r="AV109" i="41"/>
  <c r="AU112" i="41"/>
  <c r="AV117" i="41"/>
  <c r="AU120" i="41"/>
  <c r="AV136" i="41"/>
  <c r="AV144" i="41"/>
  <c r="AV152" i="41"/>
  <c r="AV160" i="41"/>
  <c r="AV168" i="41"/>
  <c r="AV176" i="41"/>
  <c r="AV238" i="41"/>
  <c r="AV246" i="41"/>
  <c r="D263" i="41"/>
  <c r="B263" i="41" s="1"/>
  <c r="D271" i="41"/>
  <c r="B271" i="41" s="1"/>
  <c r="D279" i="41"/>
  <c r="B279" i="41" s="1"/>
  <c r="D287" i="41"/>
  <c r="B287" i="41" s="1"/>
  <c r="D295" i="41"/>
  <c r="B295" i="41" s="1"/>
  <c r="D303" i="41"/>
  <c r="B303" i="41" s="1"/>
  <c r="D311" i="41"/>
  <c r="B311" i="41" s="1"/>
  <c r="D319" i="41"/>
  <c r="B319" i="41" s="1"/>
  <c r="D327" i="41"/>
  <c r="B327" i="41" s="1"/>
  <c r="D335" i="41"/>
  <c r="B335" i="41" s="1"/>
  <c r="D343" i="41"/>
  <c r="B343" i="41" s="1"/>
  <c r="D351" i="41"/>
  <c r="B351" i="41" s="1"/>
  <c r="Z361" i="41"/>
  <c r="C361" i="41"/>
  <c r="Z365" i="41"/>
  <c r="C365" i="41"/>
  <c r="C369" i="41"/>
  <c r="Z369" i="41"/>
  <c r="Z373" i="41"/>
  <c r="C373" i="41"/>
  <c r="C377" i="41"/>
  <c r="Z377" i="41"/>
  <c r="Z381" i="41"/>
  <c r="C381" i="41"/>
  <c r="C385" i="41"/>
  <c r="Z385" i="41"/>
  <c r="Z389" i="41"/>
  <c r="C389" i="41"/>
  <c r="C393" i="41"/>
  <c r="Z393" i="41"/>
  <c r="Z397" i="41"/>
  <c r="C397" i="41"/>
  <c r="C401" i="41"/>
  <c r="Z401" i="41"/>
  <c r="Z405" i="41"/>
  <c r="C405" i="41"/>
  <c r="C409" i="41"/>
  <c r="Z409" i="41"/>
  <c r="Z413" i="41"/>
  <c r="C413" i="41"/>
  <c r="Z417" i="41"/>
  <c r="C417" i="41"/>
  <c r="Z421" i="41"/>
  <c r="C421" i="41"/>
  <c r="Z425" i="41"/>
  <c r="C425" i="41"/>
  <c r="Z429" i="41"/>
  <c r="C429" i="41"/>
  <c r="Z433" i="41"/>
  <c r="C433" i="41"/>
  <c r="Z437" i="41"/>
  <c r="C437" i="41"/>
  <c r="Z441" i="41"/>
  <c r="C441" i="41"/>
  <c r="Z445" i="41"/>
  <c r="C445" i="41"/>
  <c r="Z449" i="41"/>
  <c r="C449" i="41"/>
  <c r="Z453" i="41"/>
  <c r="C453" i="41"/>
  <c r="Z457" i="41"/>
  <c r="C457" i="41"/>
  <c r="Z461" i="41"/>
  <c r="C461" i="41"/>
  <c r="Z465" i="41"/>
  <c r="C465" i="41"/>
  <c r="Z469" i="41"/>
  <c r="C469" i="41"/>
  <c r="Z473" i="41"/>
  <c r="C473" i="41"/>
  <c r="Z477" i="41"/>
  <c r="C477" i="41"/>
  <c r="B22" i="41"/>
  <c r="B30" i="41"/>
  <c r="B38" i="41"/>
  <c r="B46" i="41"/>
  <c r="B54" i="41"/>
  <c r="B62" i="41"/>
  <c r="B70" i="41"/>
  <c r="B78" i="41"/>
  <c r="B86" i="41"/>
  <c r="B94" i="41"/>
  <c r="B102" i="41"/>
  <c r="B110" i="41"/>
  <c r="B118" i="41"/>
  <c r="B126" i="41"/>
  <c r="B134" i="41"/>
  <c r="B142" i="41"/>
  <c r="B150" i="41"/>
  <c r="B158" i="41"/>
  <c r="B166" i="41"/>
  <c r="B174" i="41"/>
  <c r="B182" i="41"/>
  <c r="B190" i="41"/>
  <c r="B198" i="41"/>
  <c r="B206" i="41"/>
  <c r="B214" i="41"/>
  <c r="B222" i="41"/>
  <c r="B230" i="41"/>
  <c r="B238" i="41"/>
  <c r="B246" i="41"/>
  <c r="AV24" i="41"/>
  <c r="AU27" i="41"/>
  <c r="AV32" i="41"/>
  <c r="AU35" i="41"/>
  <c r="AV40" i="41"/>
  <c r="AU43" i="41"/>
  <c r="AV48" i="41"/>
  <c r="AU51" i="41"/>
  <c r="AV56" i="41"/>
  <c r="AU59" i="41"/>
  <c r="AV64" i="41"/>
  <c r="AU67" i="41"/>
  <c r="AV72" i="41"/>
  <c r="AU75" i="41"/>
  <c r="AV80" i="41"/>
  <c r="AU83" i="41"/>
  <c r="AV88" i="41"/>
  <c r="AU91" i="41"/>
  <c r="AV96" i="41"/>
  <c r="AU99" i="41"/>
  <c r="AV104" i="41"/>
  <c r="AU107" i="41"/>
  <c r="AV112" i="41"/>
  <c r="AU115" i="41"/>
  <c r="AV120" i="41"/>
  <c r="AU123" i="41"/>
  <c r="AV128" i="41"/>
  <c r="AU131" i="41"/>
  <c r="AV182" i="41"/>
  <c r="AV190" i="41"/>
  <c r="AV198" i="41"/>
  <c r="AV206" i="41"/>
  <c r="AV214" i="41"/>
  <c r="AV222" i="41"/>
  <c r="AV230" i="41"/>
  <c r="AV241" i="41"/>
  <c r="D258" i="41"/>
  <c r="B258" i="41" s="1"/>
  <c r="C261" i="41"/>
  <c r="D266" i="41"/>
  <c r="B266" i="41" s="1"/>
  <c r="C269" i="41"/>
  <c r="D274" i="41"/>
  <c r="B274" i="41" s="1"/>
  <c r="C277" i="41"/>
  <c r="D282" i="41"/>
  <c r="B282" i="41" s="1"/>
  <c r="C285" i="41"/>
  <c r="D290" i="41"/>
  <c r="B290" i="41" s="1"/>
  <c r="C293" i="41"/>
  <c r="D298" i="41"/>
  <c r="B298" i="41" s="1"/>
  <c r="C301" i="41"/>
  <c r="D306" i="41"/>
  <c r="B306" i="41" s="1"/>
  <c r="C309" i="41"/>
  <c r="D314" i="41"/>
  <c r="B314" i="41" s="1"/>
  <c r="C317" i="41"/>
  <c r="D322" i="41"/>
  <c r="B322" i="41" s="1"/>
  <c r="C325" i="41"/>
  <c r="D330" i="41"/>
  <c r="B330" i="41" s="1"/>
  <c r="C333" i="41"/>
  <c r="D338" i="41"/>
  <c r="B338" i="41" s="1"/>
  <c r="C341" i="41"/>
  <c r="D346" i="41"/>
  <c r="B346" i="41" s="1"/>
  <c r="C349" i="41"/>
  <c r="D354" i="41"/>
  <c r="B354" i="41" s="1"/>
  <c r="C357" i="41"/>
  <c r="Y349" i="41"/>
  <c r="Y353" i="41"/>
  <c r="Y357" i="41"/>
  <c r="AA361" i="41"/>
  <c r="Y361" i="41" s="1"/>
  <c r="D361" i="41"/>
  <c r="B361" i="41" s="1"/>
  <c r="AA365" i="41"/>
  <c r="D365" i="41"/>
  <c r="B365" i="41" s="1"/>
  <c r="AA369" i="41"/>
  <c r="D369" i="41"/>
  <c r="B369" i="41" s="1"/>
  <c r="AA373" i="41"/>
  <c r="D373" i="41"/>
  <c r="B373" i="41" s="1"/>
  <c r="AA377" i="41"/>
  <c r="Y377" i="41" s="1"/>
  <c r="D377" i="41"/>
  <c r="B377" i="41" s="1"/>
  <c r="AA381" i="41"/>
  <c r="D381" i="41"/>
  <c r="B381" i="41" s="1"/>
  <c r="AA385" i="41"/>
  <c r="D385" i="41"/>
  <c r="B385" i="41" s="1"/>
  <c r="AA389" i="41"/>
  <c r="D389" i="41"/>
  <c r="B389" i="41" s="1"/>
  <c r="AA393" i="41"/>
  <c r="Y393" i="41" s="1"/>
  <c r="D393" i="41"/>
  <c r="B393" i="41" s="1"/>
  <c r="AA397" i="41"/>
  <c r="D397" i="41"/>
  <c r="B397" i="41" s="1"/>
  <c r="AA401" i="41"/>
  <c r="D401" i="41"/>
  <c r="B401" i="41" s="1"/>
  <c r="AA405" i="41"/>
  <c r="D405" i="41"/>
  <c r="B405" i="41" s="1"/>
  <c r="AA409" i="41"/>
  <c r="Y409" i="41" s="1"/>
  <c r="D409" i="41"/>
  <c r="B409" i="41" s="1"/>
  <c r="AA413" i="41"/>
  <c r="D413" i="41"/>
  <c r="B413" i="41" s="1"/>
  <c r="D417" i="41"/>
  <c r="B417" i="41" s="1"/>
  <c r="AA417" i="41"/>
  <c r="Y417" i="41" s="1"/>
  <c r="AA421" i="41"/>
  <c r="D421" i="41"/>
  <c r="B421" i="41" s="1"/>
  <c r="D425" i="41"/>
  <c r="B425" i="41" s="1"/>
  <c r="AA425" i="41"/>
  <c r="Y425" i="41" s="1"/>
  <c r="AA429" i="41"/>
  <c r="D429" i="41"/>
  <c r="B429" i="41" s="1"/>
  <c r="D433" i="41"/>
  <c r="B433" i="41" s="1"/>
  <c r="AA433" i="41"/>
  <c r="Y433" i="41" s="1"/>
  <c r="AA437" i="41"/>
  <c r="D437" i="41"/>
  <c r="B437" i="41" s="1"/>
  <c r="D441" i="41"/>
  <c r="B441" i="41" s="1"/>
  <c r="AA441" i="41"/>
  <c r="Y441" i="41" s="1"/>
  <c r="AA445" i="41"/>
  <c r="D445" i="41"/>
  <c r="B445" i="41" s="1"/>
  <c r="D449" i="41"/>
  <c r="B449" i="41" s="1"/>
  <c r="AA449" i="41"/>
  <c r="Y449" i="41" s="1"/>
  <c r="AA453" i="41"/>
  <c r="D453" i="41"/>
  <c r="B453" i="41" s="1"/>
  <c r="D457" i="41"/>
  <c r="B457" i="41" s="1"/>
  <c r="AA457" i="41"/>
  <c r="Y457" i="41" s="1"/>
  <c r="AA461" i="41"/>
  <c r="D461" i="41"/>
  <c r="B461" i="41" s="1"/>
  <c r="D465" i="41"/>
  <c r="B465" i="41" s="1"/>
  <c r="AA465" i="41"/>
  <c r="Y465" i="41" s="1"/>
  <c r="AA469" i="41"/>
  <c r="D469" i="41"/>
  <c r="B469" i="41" s="1"/>
  <c r="AA473" i="41"/>
  <c r="Y473" i="41" s="1"/>
  <c r="D473" i="41"/>
  <c r="B473" i="41" s="1"/>
  <c r="AA477" i="41"/>
  <c r="D477" i="41"/>
  <c r="B477" i="41" s="1"/>
  <c r="B23" i="41"/>
  <c r="B31" i="41"/>
  <c r="B39" i="41"/>
  <c r="B47" i="41"/>
  <c r="B55" i="41"/>
  <c r="B63" i="41"/>
  <c r="B71" i="41"/>
  <c r="B79" i="41"/>
  <c r="B87" i="41"/>
  <c r="B95" i="41"/>
  <c r="B103" i="41"/>
  <c r="B111" i="41"/>
  <c r="B119" i="41"/>
  <c r="B127" i="41"/>
  <c r="B135" i="41"/>
  <c r="B143" i="41"/>
  <c r="B151" i="41"/>
  <c r="B159" i="41"/>
  <c r="B167" i="41"/>
  <c r="B175" i="41"/>
  <c r="B183" i="41"/>
  <c r="B191" i="41"/>
  <c r="B199" i="41"/>
  <c r="B207" i="41"/>
  <c r="B215" i="41"/>
  <c r="B223" i="41"/>
  <c r="B231" i="41"/>
  <c r="B239" i="41"/>
  <c r="AU22" i="41"/>
  <c r="AV27" i="41"/>
  <c r="AU30" i="41"/>
  <c r="AV35" i="41"/>
  <c r="AU38" i="41"/>
  <c r="AV43" i="41"/>
  <c r="AU46" i="41"/>
  <c r="AV51" i="41"/>
  <c r="AU54" i="41"/>
  <c r="AV59" i="41"/>
  <c r="AU62" i="41"/>
  <c r="AV67" i="41"/>
  <c r="AU70" i="41"/>
  <c r="AV75" i="41"/>
  <c r="AU78" i="41"/>
  <c r="AV83" i="41"/>
  <c r="AU86" i="41"/>
  <c r="AV91" i="41"/>
  <c r="AU94" i="41"/>
  <c r="AV99" i="41"/>
  <c r="AU102" i="41"/>
  <c r="AV107" i="41"/>
  <c r="AU110" i="41"/>
  <c r="AV115" i="41"/>
  <c r="AU118" i="41"/>
  <c r="AV123" i="41"/>
  <c r="AV131" i="41"/>
  <c r="AV142" i="41"/>
  <c r="AV150" i="41"/>
  <c r="AV158" i="41"/>
  <c r="AV166" i="41"/>
  <c r="AV174" i="41"/>
  <c r="AV177" i="41"/>
  <c r="AV185" i="41"/>
  <c r="AV193" i="41"/>
  <c r="AV201" i="41"/>
  <c r="AV209" i="41"/>
  <c r="AV217" i="41"/>
  <c r="AV225" i="41"/>
  <c r="AV233" i="41"/>
  <c r="AU239" i="41"/>
  <c r="C256" i="41"/>
  <c r="D261" i="41"/>
  <c r="B261" i="41" s="1"/>
  <c r="C264" i="41"/>
  <c r="D269" i="41"/>
  <c r="B269" i="41" s="1"/>
  <c r="C272" i="41"/>
  <c r="D277" i="41"/>
  <c r="B277" i="41" s="1"/>
  <c r="C280" i="41"/>
  <c r="D285" i="41"/>
  <c r="B285" i="41" s="1"/>
  <c r="C288" i="41"/>
  <c r="D293" i="41"/>
  <c r="B293" i="41" s="1"/>
  <c r="C296" i="41"/>
  <c r="D301" i="41"/>
  <c r="B301" i="41" s="1"/>
  <c r="C304" i="41"/>
  <c r="D309" i="41"/>
  <c r="B309" i="41" s="1"/>
  <c r="C312" i="41"/>
  <c r="D317" i="41"/>
  <c r="B317" i="41" s="1"/>
  <c r="C320" i="41"/>
  <c r="D325" i="41"/>
  <c r="B325" i="41" s="1"/>
  <c r="C328" i="41"/>
  <c r="D333" i="41"/>
  <c r="B333" i="41" s="1"/>
  <c r="C336" i="41"/>
  <c r="D341" i="41"/>
  <c r="B341" i="41" s="1"/>
  <c r="C344" i="41"/>
  <c r="D349" i="41"/>
  <c r="B349" i="41" s="1"/>
  <c r="C352" i="41"/>
  <c r="D357" i="41"/>
  <c r="B357" i="41" s="1"/>
  <c r="Z24" i="41"/>
  <c r="Z258" i="41"/>
  <c r="Y258" i="41" s="1"/>
  <c r="Z28" i="41"/>
  <c r="Z262" i="41"/>
  <c r="Y262" i="41" s="1"/>
  <c r="Z32" i="41"/>
  <c r="Z266" i="41"/>
  <c r="Z36" i="41"/>
  <c r="Z270" i="41"/>
  <c r="Z40" i="41"/>
  <c r="Z274" i="41"/>
  <c r="Y274" i="41" s="1"/>
  <c r="Z44" i="41"/>
  <c r="Z278" i="41"/>
  <c r="Z48" i="41"/>
  <c r="Z282" i="41"/>
  <c r="Z52" i="41"/>
  <c r="Z286" i="41"/>
  <c r="Z56" i="41"/>
  <c r="Z290" i="41"/>
  <c r="Y290" i="41" s="1"/>
  <c r="Z60" i="41"/>
  <c r="Z294" i="41"/>
  <c r="Y294" i="41" s="1"/>
  <c r="Z64" i="41"/>
  <c r="Z298" i="41"/>
  <c r="Z68" i="41"/>
  <c r="Z302" i="41"/>
  <c r="Z72" i="41"/>
  <c r="Z306" i="41"/>
  <c r="Y306" i="41" s="1"/>
  <c r="Z76" i="41"/>
  <c r="Z310" i="41"/>
  <c r="Z80" i="41"/>
  <c r="Z314" i="41"/>
  <c r="Z84" i="41"/>
  <c r="Z318" i="41"/>
  <c r="Z88" i="41"/>
  <c r="Z322" i="41"/>
  <c r="Y322" i="41" s="1"/>
  <c r="Z92" i="41"/>
  <c r="Z326" i="41"/>
  <c r="Y326" i="41" s="1"/>
  <c r="Z96" i="41"/>
  <c r="Z330" i="41"/>
  <c r="Z100" i="41"/>
  <c r="Z334" i="41"/>
  <c r="Z104" i="41"/>
  <c r="Z338" i="41"/>
  <c r="Y338" i="41" s="1"/>
  <c r="Z112" i="41"/>
  <c r="Z346" i="41"/>
  <c r="Z116" i="41"/>
  <c r="Z350" i="41"/>
  <c r="Z120" i="41"/>
  <c r="Z354" i="41"/>
  <c r="Z124" i="41"/>
  <c r="C358" i="41"/>
  <c r="Z358" i="41"/>
  <c r="Y358" i="41" s="1"/>
  <c r="Z128" i="41"/>
  <c r="Z362" i="41"/>
  <c r="C362" i="41"/>
  <c r="Z132" i="41"/>
  <c r="C366" i="41"/>
  <c r="Z366" i="41"/>
  <c r="Z136" i="41"/>
  <c r="Z370" i="41"/>
  <c r="C370" i="41"/>
  <c r="Z140" i="41"/>
  <c r="Z374" i="41"/>
  <c r="C374" i="41"/>
  <c r="Z144" i="41"/>
  <c r="Z378" i="41"/>
  <c r="C378" i="41"/>
  <c r="Z148" i="41"/>
  <c r="Z382" i="41"/>
  <c r="C382" i="41"/>
  <c r="Z152" i="41"/>
  <c r="Z386" i="41"/>
  <c r="C386" i="41"/>
  <c r="Z156" i="41"/>
  <c r="Z390" i="41"/>
  <c r="C390" i="41"/>
  <c r="Z160" i="41"/>
  <c r="Z394" i="41"/>
  <c r="C394" i="41"/>
  <c r="Z164" i="41"/>
  <c r="Z398" i="41"/>
  <c r="C398" i="41"/>
  <c r="Z168" i="41"/>
  <c r="Z402" i="41"/>
  <c r="C402" i="41"/>
  <c r="Z172" i="41"/>
  <c r="Z406" i="41"/>
  <c r="C406" i="41"/>
  <c r="Z176" i="41"/>
  <c r="Z410" i="41"/>
  <c r="C410" i="41"/>
  <c r="Z180" i="41"/>
  <c r="Z414" i="41"/>
  <c r="C414" i="41"/>
  <c r="Z184" i="41"/>
  <c r="Z418" i="41"/>
  <c r="C418" i="41"/>
  <c r="Z188" i="41"/>
  <c r="Z422" i="41"/>
  <c r="C422" i="41"/>
  <c r="Z192" i="41"/>
  <c r="Z426" i="41"/>
  <c r="C426" i="41"/>
  <c r="Z196" i="41"/>
  <c r="Z430" i="41"/>
  <c r="C430" i="41"/>
  <c r="Z200" i="41"/>
  <c r="Z434" i="41"/>
  <c r="C434" i="41"/>
  <c r="Z204" i="41"/>
  <c r="Z438" i="41"/>
  <c r="C438" i="41"/>
  <c r="Z208" i="41"/>
  <c r="Z442" i="41"/>
  <c r="C442" i="41"/>
  <c r="Z212" i="41"/>
  <c r="Z446" i="41"/>
  <c r="C446" i="41"/>
  <c r="Z216" i="41"/>
  <c r="Z450" i="41"/>
  <c r="C450" i="41"/>
  <c r="Z220" i="41"/>
  <c r="Z454" i="41"/>
  <c r="C454" i="41"/>
  <c r="Z224" i="41"/>
  <c r="Z458" i="41"/>
  <c r="C458" i="41"/>
  <c r="Z228" i="41"/>
  <c r="Z462" i="41"/>
  <c r="C462" i="41"/>
  <c r="Z232" i="41"/>
  <c r="Z466" i="41"/>
  <c r="C466" i="41"/>
  <c r="Z236" i="41"/>
  <c r="Z470" i="41"/>
  <c r="C470" i="41"/>
  <c r="Z240" i="41"/>
  <c r="Z474" i="41"/>
  <c r="C474" i="41"/>
  <c r="Z244" i="41"/>
  <c r="Z478" i="41"/>
  <c r="C478" i="41"/>
  <c r="B24" i="41"/>
  <c r="B32" i="41"/>
  <c r="B40" i="41"/>
  <c r="B48" i="41"/>
  <c r="B56" i="41"/>
  <c r="B64" i="41"/>
  <c r="B72" i="41"/>
  <c r="B80" i="41"/>
  <c r="B88" i="41"/>
  <c r="B96" i="41"/>
  <c r="B104" i="41"/>
  <c r="B112" i="41"/>
  <c r="B120" i="41"/>
  <c r="AV22" i="41"/>
  <c r="AU25" i="41"/>
  <c r="AV30" i="41"/>
  <c r="AU33" i="41"/>
  <c r="AV38" i="41"/>
  <c r="AU41" i="41"/>
  <c r="AV46" i="41"/>
  <c r="AU49" i="41"/>
  <c r="AV54" i="41"/>
  <c r="AU57" i="41"/>
  <c r="AV62" i="41"/>
  <c r="AU65" i="41"/>
  <c r="AV70" i="41"/>
  <c r="AU73" i="41"/>
  <c r="AV78" i="41"/>
  <c r="AU81" i="41"/>
  <c r="AV86" i="41"/>
  <c r="AU89" i="41"/>
  <c r="AV94" i="41"/>
  <c r="AU97" i="41"/>
  <c r="AV102" i="41"/>
  <c r="AU105" i="41"/>
  <c r="AV110" i="41"/>
  <c r="AU113" i="41"/>
  <c r="AV118" i="41"/>
  <c r="AU121" i="41"/>
  <c r="AV126" i="41"/>
  <c r="AV134" i="41"/>
  <c r="AV137" i="41"/>
  <c r="AU140" i="41"/>
  <c r="AV145" i="41"/>
  <c r="AU148" i="41"/>
  <c r="AV153" i="41"/>
  <c r="AU156" i="41"/>
  <c r="AV161" i="41"/>
  <c r="AU164" i="41"/>
  <c r="AV169" i="41"/>
  <c r="AU172" i="41"/>
  <c r="AU183" i="41"/>
  <c r="AU191" i="41"/>
  <c r="AU199" i="41"/>
  <c r="AU207" i="41"/>
  <c r="AU215" i="41"/>
  <c r="AU223" i="41"/>
  <c r="AU231" i="41"/>
  <c r="AV239" i="41"/>
  <c r="D256" i="41"/>
  <c r="B256" i="41" s="1"/>
  <c r="C259" i="41"/>
  <c r="D264" i="41"/>
  <c r="B264" i="41" s="1"/>
  <c r="C267" i="41"/>
  <c r="D272" i="41"/>
  <c r="B272" i="41" s="1"/>
  <c r="C275" i="41"/>
  <c r="D280" i="41"/>
  <c r="B280" i="41" s="1"/>
  <c r="C283" i="41"/>
  <c r="D288" i="41"/>
  <c r="B288" i="41" s="1"/>
  <c r="C291" i="41"/>
  <c r="D296" i="41"/>
  <c r="B296" i="41" s="1"/>
  <c r="C299" i="41"/>
  <c r="D304" i="41"/>
  <c r="B304" i="41" s="1"/>
  <c r="C307" i="41"/>
  <c r="D312" i="41"/>
  <c r="B312" i="41" s="1"/>
  <c r="C315" i="41"/>
  <c r="D320" i="41"/>
  <c r="B320" i="41" s="1"/>
  <c r="C323" i="41"/>
  <c r="D328" i="41"/>
  <c r="B328" i="41" s="1"/>
  <c r="C331" i="41"/>
  <c r="D336" i="41"/>
  <c r="B336" i="41" s="1"/>
  <c r="C339" i="41"/>
  <c r="D344" i="41"/>
  <c r="B344" i="41" s="1"/>
  <c r="C347" i="41"/>
  <c r="D352" i="41"/>
  <c r="B352" i="41" s="1"/>
  <c r="C355" i="41"/>
  <c r="D358" i="41"/>
  <c r="B358" i="41" s="1"/>
  <c r="Y266" i="41"/>
  <c r="Y270" i="41"/>
  <c r="Y278" i="41"/>
  <c r="Y282" i="41"/>
  <c r="Y286" i="41"/>
  <c r="Y298" i="41"/>
  <c r="Y302" i="41"/>
  <c r="Y310" i="41"/>
  <c r="Y314" i="41"/>
  <c r="Y318" i="41"/>
  <c r="Y330" i="41"/>
  <c r="Y334" i="41"/>
  <c r="Y346" i="41"/>
  <c r="Y350" i="41"/>
  <c r="Y354" i="41"/>
  <c r="AA362" i="41"/>
  <c r="Y362" i="41" s="1"/>
  <c r="D362" i="41"/>
  <c r="B362" i="41" s="1"/>
  <c r="AA366" i="41"/>
  <c r="Y366" i="41" s="1"/>
  <c r="D366" i="41"/>
  <c r="B366" i="41" s="1"/>
  <c r="AA370" i="41"/>
  <c r="Y370" i="41" s="1"/>
  <c r="D370" i="41"/>
  <c r="B370" i="41" s="1"/>
  <c r="D374" i="41"/>
  <c r="B374" i="41" s="1"/>
  <c r="AA374" i="41"/>
  <c r="AA378" i="41"/>
  <c r="D378" i="41"/>
  <c r="B378" i="41" s="1"/>
  <c r="D382" i="41"/>
  <c r="B382" i="41" s="1"/>
  <c r="AA382" i="41"/>
  <c r="Y382" i="41" s="1"/>
  <c r="AA386" i="41"/>
  <c r="Y386" i="41" s="1"/>
  <c r="D386" i="41"/>
  <c r="B386" i="41" s="1"/>
  <c r="D390" i="41"/>
  <c r="B390" i="41" s="1"/>
  <c r="AA390" i="41"/>
  <c r="AA394" i="41"/>
  <c r="Y394" i="41" s="1"/>
  <c r="D394" i="41"/>
  <c r="B394" i="41" s="1"/>
  <c r="D398" i="41"/>
  <c r="B398" i="41" s="1"/>
  <c r="AA398" i="41"/>
  <c r="Y398" i="41" s="1"/>
  <c r="AA402" i="41"/>
  <c r="Y402" i="41" s="1"/>
  <c r="D402" i="41"/>
  <c r="B402" i="41" s="1"/>
  <c r="D406" i="41"/>
  <c r="B406" i="41" s="1"/>
  <c r="AA406" i="41"/>
  <c r="AA410" i="41"/>
  <c r="D410" i="41"/>
  <c r="B410" i="41" s="1"/>
  <c r="AA414" i="41"/>
  <c r="Y414" i="41" s="1"/>
  <c r="D414" i="41"/>
  <c r="B414" i="41" s="1"/>
  <c r="AA418" i="41"/>
  <c r="Y418" i="41" s="1"/>
  <c r="D418" i="41"/>
  <c r="B418" i="41" s="1"/>
  <c r="AA422" i="41"/>
  <c r="D422" i="41"/>
  <c r="B422" i="41" s="1"/>
  <c r="AA426" i="41"/>
  <c r="Y426" i="41" s="1"/>
  <c r="D426" i="41"/>
  <c r="B426" i="41" s="1"/>
  <c r="AA430" i="41"/>
  <c r="Y430" i="41" s="1"/>
  <c r="D430" i="41"/>
  <c r="B430" i="41" s="1"/>
  <c r="AA434" i="41"/>
  <c r="Y434" i="41" s="1"/>
  <c r="D434" i="41"/>
  <c r="B434" i="41" s="1"/>
  <c r="AA438" i="41"/>
  <c r="D438" i="41"/>
  <c r="B438" i="41" s="1"/>
  <c r="AA442" i="41"/>
  <c r="D442" i="41"/>
  <c r="B442" i="41" s="1"/>
  <c r="AA446" i="41"/>
  <c r="Y446" i="41" s="1"/>
  <c r="D446" i="41"/>
  <c r="B446" i="41" s="1"/>
  <c r="AA450" i="41"/>
  <c r="Y450" i="41" s="1"/>
  <c r="D450" i="41"/>
  <c r="B450" i="41" s="1"/>
  <c r="AA454" i="41"/>
  <c r="D454" i="41"/>
  <c r="B454" i="41" s="1"/>
  <c r="AA458" i="41"/>
  <c r="Y458" i="41" s="1"/>
  <c r="D458" i="41"/>
  <c r="B458" i="41" s="1"/>
  <c r="AA462" i="41"/>
  <c r="Y462" i="41" s="1"/>
  <c r="D462" i="41"/>
  <c r="B462" i="41" s="1"/>
  <c r="AA466" i="41"/>
  <c r="Y466" i="41" s="1"/>
  <c r="D466" i="41"/>
  <c r="B466" i="41" s="1"/>
  <c r="AA470" i="41"/>
  <c r="D470" i="41"/>
  <c r="B470" i="41" s="1"/>
  <c r="AA474" i="41"/>
  <c r="D474" i="41"/>
  <c r="B474" i="41" s="1"/>
  <c r="AA478" i="41"/>
  <c r="Y478" i="41" s="1"/>
  <c r="D478" i="41"/>
  <c r="B478" i="41" s="1"/>
  <c r="B25" i="41"/>
  <c r="B33" i="41"/>
  <c r="B41" i="41"/>
  <c r="B49" i="41"/>
  <c r="B57" i="41"/>
  <c r="B65" i="41"/>
  <c r="B73" i="41"/>
  <c r="B81" i="41"/>
  <c r="B89" i="41"/>
  <c r="B97" i="41"/>
  <c r="B105" i="41"/>
  <c r="B113" i="41"/>
  <c r="B121" i="41"/>
  <c r="B129" i="41"/>
  <c r="AV25" i="41"/>
  <c r="AU28" i="41"/>
  <c r="AV33" i="41"/>
  <c r="AU36" i="41"/>
  <c r="AV41" i="41"/>
  <c r="AU44" i="41"/>
  <c r="AV49" i="41"/>
  <c r="AU52" i="41"/>
  <c r="AV57" i="41"/>
  <c r="AU60" i="41"/>
  <c r="AV65" i="41"/>
  <c r="AU68" i="41"/>
  <c r="AV73" i="41"/>
  <c r="AU76" i="41"/>
  <c r="AV81" i="41"/>
  <c r="AU84" i="41"/>
  <c r="AV89" i="41"/>
  <c r="AU92" i="41"/>
  <c r="AV97" i="41"/>
  <c r="AU100" i="41"/>
  <c r="AV105" i="41"/>
  <c r="AU108" i="41"/>
  <c r="AV113" i="41"/>
  <c r="AU116" i="41"/>
  <c r="AV121" i="41"/>
  <c r="AU124" i="41"/>
  <c r="AU132" i="41"/>
  <c r="AU135" i="41"/>
  <c r="AV140" i="41"/>
  <c r="AU143" i="41"/>
  <c r="AV148" i="41"/>
  <c r="AU151" i="41"/>
  <c r="AV156" i="41"/>
  <c r="AU159" i="41"/>
  <c r="AV164" i="41"/>
  <c r="AU167" i="41"/>
  <c r="AV172" i="41"/>
  <c r="AU175" i="41"/>
  <c r="AV183" i="41"/>
  <c r="AV191" i="41"/>
  <c r="AV199" i="41"/>
  <c r="AV207" i="41"/>
  <c r="AV215" i="41"/>
  <c r="AV223" i="41"/>
  <c r="AV231" i="41"/>
  <c r="AV242" i="41"/>
  <c r="D259" i="41"/>
  <c r="B259" i="41" s="1"/>
  <c r="C262" i="41"/>
  <c r="D267" i="41"/>
  <c r="B267" i="41" s="1"/>
  <c r="C270" i="41"/>
  <c r="D275" i="41"/>
  <c r="B275" i="41" s="1"/>
  <c r="C278" i="41"/>
  <c r="D283" i="41"/>
  <c r="B283" i="41" s="1"/>
  <c r="C286" i="41"/>
  <c r="D291" i="41"/>
  <c r="B291" i="41" s="1"/>
  <c r="C294" i="41"/>
  <c r="D299" i="41"/>
  <c r="B299" i="41" s="1"/>
  <c r="C302" i="41"/>
  <c r="D307" i="41"/>
  <c r="B307" i="41" s="1"/>
  <c r="C310" i="41"/>
  <c r="D315" i="41"/>
  <c r="B315" i="41" s="1"/>
  <c r="C318" i="41"/>
  <c r="D323" i="41"/>
  <c r="B323" i="41" s="1"/>
  <c r="C326" i="41"/>
  <c r="D331" i="41"/>
  <c r="B331" i="41" s="1"/>
  <c r="C334" i="41"/>
  <c r="D339" i="41"/>
  <c r="B339" i="41" s="1"/>
  <c r="C342" i="41"/>
  <c r="D347" i="41"/>
  <c r="B347" i="41" s="1"/>
  <c r="C350" i="41"/>
  <c r="D355" i="41"/>
  <c r="B355" i="41" s="1"/>
  <c r="Z359" i="41"/>
  <c r="C359" i="41"/>
  <c r="Z363" i="41"/>
  <c r="C363" i="41"/>
  <c r="Z367" i="41"/>
  <c r="C367" i="41"/>
  <c r="Z371" i="41"/>
  <c r="C371" i="41"/>
  <c r="Z375" i="41"/>
  <c r="C375" i="41"/>
  <c r="Z379" i="41"/>
  <c r="C379" i="41"/>
  <c r="Z383" i="41"/>
  <c r="C383" i="41"/>
  <c r="Z387" i="41"/>
  <c r="C387" i="41"/>
  <c r="Z391" i="41"/>
  <c r="C391" i="41"/>
  <c r="Z395" i="41"/>
  <c r="C395" i="41"/>
  <c r="Z399" i="41"/>
  <c r="C399" i="41"/>
  <c r="Z403" i="41"/>
  <c r="C403" i="41"/>
  <c r="Z407" i="41"/>
  <c r="C407" i="41"/>
  <c r="Z411" i="41"/>
  <c r="C411" i="41"/>
  <c r="Z415" i="41"/>
  <c r="C415" i="41"/>
  <c r="Z419" i="41"/>
  <c r="C419" i="41"/>
  <c r="Z423" i="41"/>
  <c r="C423" i="41"/>
  <c r="Z427" i="41"/>
  <c r="C427" i="41"/>
  <c r="Z431" i="41"/>
  <c r="C431" i="41"/>
  <c r="Z435" i="41"/>
  <c r="C435" i="41"/>
  <c r="Z439" i="41"/>
  <c r="C439" i="41"/>
  <c r="Z443" i="41"/>
  <c r="C443" i="41"/>
  <c r="Z447" i="41"/>
  <c r="C447" i="41"/>
  <c r="Z451" i="41"/>
  <c r="C451" i="41"/>
  <c r="Z455" i="41"/>
  <c r="C455" i="41"/>
  <c r="Z459" i="41"/>
  <c r="C459" i="41"/>
  <c r="Z463" i="41"/>
  <c r="C463" i="41"/>
  <c r="Z467" i="41"/>
  <c r="C467" i="41"/>
  <c r="Z471" i="41"/>
  <c r="C471" i="41"/>
  <c r="Z475" i="41"/>
  <c r="C475" i="41"/>
  <c r="C479" i="41"/>
  <c r="Z479" i="41"/>
  <c r="B26" i="41"/>
  <c r="B34" i="41"/>
  <c r="B42" i="41"/>
  <c r="B50" i="41"/>
  <c r="B58" i="41"/>
  <c r="B66" i="41"/>
  <c r="B74" i="41"/>
  <c r="B82" i="41"/>
  <c r="B90" i="41"/>
  <c r="B98" i="41"/>
  <c r="B106" i="41"/>
  <c r="B114" i="41"/>
  <c r="B122" i="41"/>
  <c r="B130" i="41"/>
  <c r="B138" i="41"/>
  <c r="B146" i="41"/>
  <c r="B154" i="41"/>
  <c r="B162" i="41"/>
  <c r="B170" i="41"/>
  <c r="B178" i="41"/>
  <c r="B186" i="41"/>
  <c r="B194" i="41"/>
  <c r="B202" i="41"/>
  <c r="B210" i="41"/>
  <c r="B218" i="41"/>
  <c r="B226" i="41"/>
  <c r="B234" i="41"/>
  <c r="B242" i="41"/>
  <c r="AU23" i="41"/>
  <c r="AV28" i="41"/>
  <c r="AU31" i="41"/>
  <c r="AV36" i="41"/>
  <c r="AU39" i="41"/>
  <c r="AV44" i="41"/>
  <c r="AU47" i="41"/>
  <c r="AV52" i="41"/>
  <c r="AU55" i="41"/>
  <c r="AV60" i="41"/>
  <c r="AU63" i="41"/>
  <c r="AV68" i="41"/>
  <c r="AU71" i="41"/>
  <c r="AV76" i="41"/>
  <c r="AU79" i="41"/>
  <c r="AV84" i="41"/>
  <c r="AU87" i="41"/>
  <c r="AV92" i="41"/>
  <c r="AU95" i="41"/>
  <c r="AV100" i="41"/>
  <c r="AU103" i="41"/>
  <c r="AV108" i="41"/>
  <c r="AU111" i="41"/>
  <c r="AV116" i="41"/>
  <c r="AU119" i="41"/>
  <c r="AV124" i="41"/>
  <c r="AU127" i="41"/>
  <c r="AV132" i="41"/>
  <c r="AV135" i="41"/>
  <c r="AV143" i="41"/>
  <c r="AV151" i="41"/>
  <c r="AV159" i="41"/>
  <c r="AV167" i="41"/>
  <c r="AV175" i="41"/>
  <c r="AV178" i="41"/>
  <c r="AU181" i="41"/>
  <c r="AV186" i="41"/>
  <c r="AU189" i="41"/>
  <c r="AV194" i="41"/>
  <c r="AU197" i="41"/>
  <c r="AV202" i="41"/>
  <c r="AU205" i="41"/>
  <c r="AV210" i="41"/>
  <c r="AU213" i="41"/>
  <c r="AV218" i="41"/>
  <c r="AU221" i="41"/>
  <c r="AV226" i="41"/>
  <c r="AU229" i="41"/>
  <c r="AV234" i="41"/>
  <c r="AU237" i="41"/>
  <c r="AU240" i="41"/>
  <c r="C257" i="41"/>
  <c r="D262" i="41"/>
  <c r="B262" i="41" s="1"/>
  <c r="C265" i="41"/>
  <c r="D270" i="41"/>
  <c r="B270" i="41" s="1"/>
  <c r="C273" i="41"/>
  <c r="D278" i="41"/>
  <c r="B278" i="41" s="1"/>
  <c r="C281" i="41"/>
  <c r="D286" i="41"/>
  <c r="B286" i="41" s="1"/>
  <c r="C289" i="41"/>
  <c r="D294" i="41"/>
  <c r="B294" i="41" s="1"/>
  <c r="C297" i="41"/>
  <c r="D302" i="41"/>
  <c r="B302" i="41" s="1"/>
  <c r="C305" i="41"/>
  <c r="D310" i="41"/>
  <c r="B310" i="41" s="1"/>
  <c r="C313" i="41"/>
  <c r="D318" i="41"/>
  <c r="B318" i="41" s="1"/>
  <c r="C321" i="41"/>
  <c r="D326" i="41"/>
  <c r="B326" i="41" s="1"/>
  <c r="C329" i="41"/>
  <c r="D334" i="41"/>
  <c r="B334" i="41" s="1"/>
  <c r="C337" i="41"/>
  <c r="D342" i="41"/>
  <c r="B342" i="41" s="1"/>
  <c r="C345" i="41"/>
  <c r="D350" i="41"/>
  <c r="B350" i="41" s="1"/>
  <c r="C353" i="41"/>
  <c r="Y355" i="41"/>
  <c r="AA359" i="41"/>
  <c r="D359" i="41"/>
  <c r="B359" i="41" s="1"/>
  <c r="D363" i="41"/>
  <c r="B363" i="41" s="1"/>
  <c r="AA363" i="41"/>
  <c r="Y363" i="41" s="1"/>
  <c r="AA367" i="41"/>
  <c r="Y367" i="41" s="1"/>
  <c r="D367" i="41"/>
  <c r="B367" i="41" s="1"/>
  <c r="AA371" i="41"/>
  <c r="Y371" i="41" s="1"/>
  <c r="D371" i="41"/>
  <c r="B371" i="41" s="1"/>
  <c r="AA375" i="41"/>
  <c r="D375" i="41"/>
  <c r="B375" i="41" s="1"/>
  <c r="AA379" i="41"/>
  <c r="Y379" i="41" s="1"/>
  <c r="D379" i="41"/>
  <c r="B379" i="41" s="1"/>
  <c r="AA383" i="41"/>
  <c r="Y383" i="41" s="1"/>
  <c r="D383" i="41"/>
  <c r="B383" i="41" s="1"/>
  <c r="AA387" i="41"/>
  <c r="Y387" i="41" s="1"/>
  <c r="D387" i="41"/>
  <c r="B387" i="41" s="1"/>
  <c r="AA391" i="41"/>
  <c r="D391" i="41"/>
  <c r="B391" i="41" s="1"/>
  <c r="AA395" i="41"/>
  <c r="Y395" i="41" s="1"/>
  <c r="D395" i="41"/>
  <c r="B395" i="41" s="1"/>
  <c r="AA399" i="41"/>
  <c r="Y399" i="41" s="1"/>
  <c r="D399" i="41"/>
  <c r="B399" i="41" s="1"/>
  <c r="AA403" i="41"/>
  <c r="Y403" i="41" s="1"/>
  <c r="D403" i="41"/>
  <c r="B403" i="41" s="1"/>
  <c r="AA407" i="41"/>
  <c r="D407" i="41"/>
  <c r="B407" i="41" s="1"/>
  <c r="AA411" i="41"/>
  <c r="Y411" i="41" s="1"/>
  <c r="D411" i="41"/>
  <c r="B411" i="41" s="1"/>
  <c r="AA415" i="41"/>
  <c r="Y415" i="41" s="1"/>
  <c r="D415" i="41"/>
  <c r="B415" i="41" s="1"/>
  <c r="AA419" i="41"/>
  <c r="Y419" i="41" s="1"/>
  <c r="D419" i="41"/>
  <c r="B419" i="41" s="1"/>
  <c r="AA423" i="41"/>
  <c r="D423" i="41"/>
  <c r="B423" i="41" s="1"/>
  <c r="AA427" i="41"/>
  <c r="Y427" i="41" s="1"/>
  <c r="D427" i="41"/>
  <c r="B427" i="41" s="1"/>
  <c r="AA431" i="41"/>
  <c r="Y431" i="41" s="1"/>
  <c r="D431" i="41"/>
  <c r="B431" i="41" s="1"/>
  <c r="AA435" i="41"/>
  <c r="Y435" i="41" s="1"/>
  <c r="D435" i="41"/>
  <c r="B435" i="41" s="1"/>
  <c r="AA439" i="41"/>
  <c r="D439" i="41"/>
  <c r="B439" i="41" s="1"/>
  <c r="AA443" i="41"/>
  <c r="Y443" i="41" s="1"/>
  <c r="D443" i="41"/>
  <c r="B443" i="41" s="1"/>
  <c r="AA447" i="41"/>
  <c r="Y447" i="41" s="1"/>
  <c r="D447" i="41"/>
  <c r="B447" i="41" s="1"/>
  <c r="AA451" i="41"/>
  <c r="Y451" i="41" s="1"/>
  <c r="D451" i="41"/>
  <c r="B451" i="41" s="1"/>
  <c r="AA455" i="41"/>
  <c r="D455" i="41"/>
  <c r="B455" i="41" s="1"/>
  <c r="AA459" i="41"/>
  <c r="Y459" i="41" s="1"/>
  <c r="D459" i="41"/>
  <c r="B459" i="41" s="1"/>
  <c r="AA463" i="41"/>
  <c r="Y463" i="41" s="1"/>
  <c r="D463" i="41"/>
  <c r="B463" i="41" s="1"/>
  <c r="AA467" i="41"/>
  <c r="Y467" i="41" s="1"/>
  <c r="D467" i="41"/>
  <c r="B467" i="41" s="1"/>
  <c r="AA471" i="41"/>
  <c r="D471" i="41"/>
  <c r="B471" i="41" s="1"/>
  <c r="AA475" i="41"/>
  <c r="Y475" i="41" s="1"/>
  <c r="D475" i="41"/>
  <c r="B475" i="41" s="1"/>
  <c r="AA479" i="41"/>
  <c r="Y479" i="41" s="1"/>
  <c r="D479" i="41"/>
  <c r="B479" i="41" s="1"/>
  <c r="B27" i="41"/>
  <c r="B35" i="41"/>
  <c r="B43" i="41"/>
  <c r="B51" i="41"/>
  <c r="B59" i="41"/>
  <c r="B67" i="41"/>
  <c r="B75" i="41"/>
  <c r="B83" i="41"/>
  <c r="B91" i="41"/>
  <c r="B99" i="41"/>
  <c r="B107" i="41"/>
  <c r="B115" i="41"/>
  <c r="B123" i="41"/>
  <c r="B131" i="41"/>
  <c r="B139" i="41"/>
  <c r="B147" i="41"/>
  <c r="B155" i="41"/>
  <c r="B163" i="41"/>
  <c r="B171" i="41"/>
  <c r="B179" i="41"/>
  <c r="B187" i="41"/>
  <c r="B195" i="41"/>
  <c r="B203" i="41"/>
  <c r="B211" i="41"/>
  <c r="B219" i="41"/>
  <c r="B227" i="41"/>
  <c r="B235" i="41"/>
  <c r="B243" i="41"/>
  <c r="AV23" i="41"/>
  <c r="AU26" i="41"/>
  <c r="AV31" i="41"/>
  <c r="AU34" i="41"/>
  <c r="AV39" i="41"/>
  <c r="AU42" i="41"/>
  <c r="AV47" i="41"/>
  <c r="AU50" i="41"/>
  <c r="AV55" i="41"/>
  <c r="AU58" i="41"/>
  <c r="AV63" i="41"/>
  <c r="AU66" i="41"/>
  <c r="AV71" i="41"/>
  <c r="AU74" i="41"/>
  <c r="AV79" i="41"/>
  <c r="AU82" i="41"/>
  <c r="AV87" i="41"/>
  <c r="AU90" i="41"/>
  <c r="AV95" i="41"/>
  <c r="AU98" i="41"/>
  <c r="AV103" i="41"/>
  <c r="AU106" i="41"/>
  <c r="AV111" i="41"/>
  <c r="AU114" i="41"/>
  <c r="AV119" i="41"/>
  <c r="AU122" i="41"/>
  <c r="AV127" i="41"/>
  <c r="AV138" i="41"/>
  <c r="AU141" i="41"/>
  <c r="AV146" i="41"/>
  <c r="AU149" i="41"/>
  <c r="AV154" i="41"/>
  <c r="AU157" i="41"/>
  <c r="AV162" i="41"/>
  <c r="AU165" i="41"/>
  <c r="AV170" i="41"/>
  <c r="AU173" i="41"/>
  <c r="AV181" i="41"/>
  <c r="AU184" i="41"/>
  <c r="AV189" i="41"/>
  <c r="AU192" i="41"/>
  <c r="AV197" i="41"/>
  <c r="AU200" i="41"/>
  <c r="AV205" i="41"/>
  <c r="AU208" i="41"/>
  <c r="AV213" i="41"/>
  <c r="AU216" i="41"/>
  <c r="AV221" i="41"/>
  <c r="AU224" i="41"/>
  <c r="AV229" i="41"/>
  <c r="AU232" i="41"/>
  <c r="AV237" i="41"/>
  <c r="AV240" i="41"/>
  <c r="AU243" i="41"/>
  <c r="D257" i="41"/>
  <c r="B257" i="41" s="1"/>
  <c r="C260" i="41"/>
  <c r="D265" i="41"/>
  <c r="B265" i="41" s="1"/>
  <c r="C268" i="41"/>
  <c r="D273" i="41"/>
  <c r="B273" i="41" s="1"/>
  <c r="C276" i="41"/>
  <c r="D281" i="41"/>
  <c r="B281" i="41" s="1"/>
  <c r="C284" i="41"/>
  <c r="D289" i="41"/>
  <c r="B289" i="41" s="1"/>
  <c r="C292" i="41"/>
  <c r="D297" i="41"/>
  <c r="B297" i="41" s="1"/>
  <c r="C300" i="41"/>
  <c r="D305" i="41"/>
  <c r="B305" i="41" s="1"/>
  <c r="C308" i="41"/>
  <c r="D313" i="41"/>
  <c r="B313" i="41" s="1"/>
  <c r="C316" i="41"/>
  <c r="D321" i="41"/>
  <c r="B321" i="41" s="1"/>
  <c r="C324" i="41"/>
  <c r="D329" i="41"/>
  <c r="B329" i="41" s="1"/>
  <c r="C332" i="41"/>
  <c r="D337" i="41"/>
  <c r="B337" i="41" s="1"/>
  <c r="C340" i="41"/>
  <c r="D345" i="41"/>
  <c r="B345" i="41" s="1"/>
  <c r="C348" i="41"/>
  <c r="D353" i="41"/>
  <c r="B353" i="41" s="1"/>
  <c r="C356" i="41"/>
  <c r="Y256" i="41"/>
  <c r="Z360" i="41"/>
  <c r="C360" i="41"/>
  <c r="Z364" i="41"/>
  <c r="C364" i="41"/>
  <c r="Z368" i="41"/>
  <c r="C368" i="41"/>
  <c r="Z372" i="41"/>
  <c r="C372" i="41"/>
  <c r="Z376" i="41"/>
  <c r="C376" i="41"/>
  <c r="Z380" i="41"/>
  <c r="C380" i="41"/>
  <c r="Z384" i="41"/>
  <c r="C384" i="41"/>
  <c r="Z388" i="41"/>
  <c r="C388" i="41"/>
  <c r="Z392" i="41"/>
  <c r="C392" i="41"/>
  <c r="Z396" i="41"/>
  <c r="C396" i="41"/>
  <c r="Z400" i="41"/>
  <c r="C400" i="41"/>
  <c r="Z404" i="41"/>
  <c r="C404" i="41"/>
  <c r="Z408" i="41"/>
  <c r="C408" i="41"/>
  <c r="C412" i="41"/>
  <c r="Z412" i="41"/>
  <c r="Z416" i="41"/>
  <c r="C416" i="41"/>
  <c r="C420" i="41"/>
  <c r="Z420" i="41"/>
  <c r="Z424" i="41"/>
  <c r="C424" i="41"/>
  <c r="C428" i="41"/>
  <c r="Z428" i="41"/>
  <c r="Z432" i="41"/>
  <c r="C432" i="41"/>
  <c r="C436" i="41"/>
  <c r="Z436" i="41"/>
  <c r="Z440" i="41"/>
  <c r="C440" i="41"/>
  <c r="C444" i="41"/>
  <c r="Z444" i="41"/>
  <c r="Z448" i="41"/>
  <c r="C448" i="41"/>
  <c r="C452" i="41"/>
  <c r="Z452" i="41"/>
  <c r="Z456" i="41"/>
  <c r="C456" i="41"/>
  <c r="C460" i="41"/>
  <c r="Z460" i="41"/>
  <c r="Z464" i="41"/>
  <c r="C464" i="41"/>
  <c r="C468" i="41"/>
  <c r="Z468" i="41"/>
  <c r="Z472" i="41"/>
  <c r="C472" i="41"/>
  <c r="Z476" i="41"/>
  <c r="C476" i="41"/>
  <c r="Z480" i="41"/>
  <c r="C480" i="41"/>
  <c r="B28" i="41"/>
  <c r="B36" i="41"/>
  <c r="B44" i="41"/>
  <c r="B52" i="41"/>
  <c r="B60" i="41"/>
  <c r="B68" i="41"/>
  <c r="B76" i="41"/>
  <c r="B84" i="41"/>
  <c r="B92" i="41"/>
  <c r="B100" i="41"/>
  <c r="B108" i="41"/>
  <c r="B116" i="41"/>
  <c r="B124" i="41"/>
  <c r="B132" i="41"/>
  <c r="B140" i="41"/>
  <c r="B148" i="41"/>
  <c r="B156" i="41"/>
  <c r="B164" i="41"/>
  <c r="B172" i="41"/>
  <c r="B180" i="41"/>
  <c r="B188" i="41"/>
  <c r="B196" i="41"/>
  <c r="B204" i="41"/>
  <c r="B212" i="41"/>
  <c r="B220" i="41"/>
  <c r="B228" i="41"/>
  <c r="B236" i="41"/>
  <c r="B244" i="41"/>
  <c r="AV26" i="41"/>
  <c r="AU29" i="41"/>
  <c r="AV34" i="41"/>
  <c r="AU37" i="41"/>
  <c r="AV42" i="41"/>
  <c r="AU45" i="41"/>
  <c r="AV50" i="41"/>
  <c r="AU53" i="41"/>
  <c r="AV58" i="41"/>
  <c r="AU61" i="41"/>
  <c r="AV66" i="41"/>
  <c r="AU69" i="41"/>
  <c r="AV74" i="41"/>
  <c r="AU77" i="41"/>
  <c r="AV82" i="41"/>
  <c r="AU85" i="41"/>
  <c r="AV90" i="41"/>
  <c r="AU93" i="41"/>
  <c r="AV98" i="41"/>
  <c r="AU101" i="41"/>
  <c r="AV106" i="41"/>
  <c r="AU109" i="41"/>
  <c r="AV114" i="41"/>
  <c r="AU117" i="41"/>
  <c r="AV122" i="41"/>
  <c r="AU125" i="41"/>
  <c r="AV130" i="41"/>
  <c r="AU133" i="41"/>
  <c r="AU136" i="41"/>
  <c r="AV141" i="41"/>
  <c r="AU144" i="41"/>
  <c r="AV149" i="41"/>
  <c r="AU152" i="41"/>
  <c r="AV157" i="41"/>
  <c r="AU160" i="41"/>
  <c r="AV165" i="41"/>
  <c r="AU168" i="41"/>
  <c r="AV173" i="41"/>
  <c r="AU176" i="41"/>
  <c r="AU179" i="41"/>
  <c r="AV184" i="41"/>
  <c r="AU187" i="41"/>
  <c r="AV192" i="41"/>
  <c r="AU195" i="41"/>
  <c r="AV200" i="41"/>
  <c r="AU203" i="41"/>
  <c r="AV208" i="41"/>
  <c r="AU211" i="41"/>
  <c r="AV216" i="41"/>
  <c r="AU219" i="41"/>
  <c r="AV224" i="41"/>
  <c r="AU227" i="41"/>
  <c r="AV232" i="41"/>
  <c r="AU235" i="41"/>
  <c r="AU238" i="41"/>
  <c r="AV243" i="41"/>
  <c r="AU246" i="41"/>
  <c r="D260" i="41"/>
  <c r="B260" i="41" s="1"/>
  <c r="C263" i="41"/>
  <c r="D268" i="41"/>
  <c r="B268" i="41" s="1"/>
  <c r="C271" i="41"/>
  <c r="D276" i="41"/>
  <c r="B276" i="41" s="1"/>
  <c r="C279" i="41"/>
  <c r="D284" i="41"/>
  <c r="B284" i="41" s="1"/>
  <c r="C287" i="41"/>
  <c r="D292" i="41"/>
  <c r="B292" i="41" s="1"/>
  <c r="C295" i="41"/>
  <c r="D300" i="41"/>
  <c r="B300" i="41" s="1"/>
  <c r="C303" i="41"/>
  <c r="D308" i="41"/>
  <c r="B308" i="41" s="1"/>
  <c r="C311" i="41"/>
  <c r="D316" i="41"/>
  <c r="B316" i="41" s="1"/>
  <c r="C319" i="41"/>
  <c r="D324" i="41"/>
  <c r="B324" i="41" s="1"/>
  <c r="C327" i="41"/>
  <c r="D332" i="41"/>
  <c r="B332" i="41" s="1"/>
  <c r="C335" i="41"/>
  <c r="D340" i="41"/>
  <c r="B340" i="41" s="1"/>
  <c r="C343" i="41"/>
  <c r="D348" i="41"/>
  <c r="B348" i="41" s="1"/>
  <c r="C351" i="41"/>
  <c r="D356" i="41"/>
  <c r="B356" i="41" s="1"/>
  <c r="S575" i="41"/>
  <c r="Q575" i="41"/>
  <c r="I575" i="41"/>
  <c r="O575" i="41"/>
  <c r="P575" i="41"/>
  <c r="M575" i="41"/>
  <c r="J575" i="41"/>
  <c r="T575" i="41"/>
  <c r="N575" i="41"/>
  <c r="L575" i="41"/>
  <c r="H575" i="41"/>
  <c r="S583" i="41"/>
  <c r="K583" i="41"/>
  <c r="Q583" i="41"/>
  <c r="I583" i="41"/>
  <c r="N583" i="41"/>
  <c r="L583" i="41"/>
  <c r="H583" i="41"/>
  <c r="T583" i="41"/>
  <c r="R583" i="41"/>
  <c r="P583" i="41"/>
  <c r="M583" i="41"/>
  <c r="S591" i="41"/>
  <c r="K591" i="41"/>
  <c r="Q591" i="41"/>
  <c r="I591" i="41"/>
  <c r="O591" i="41"/>
  <c r="P591" i="41"/>
  <c r="N591" i="41"/>
  <c r="L591" i="41"/>
  <c r="J591" i="41"/>
  <c r="H591" i="41"/>
  <c r="T591" i="41"/>
  <c r="R591" i="41"/>
  <c r="S599" i="41"/>
  <c r="K599" i="41"/>
  <c r="I599" i="41"/>
  <c r="O599" i="41"/>
  <c r="N599" i="41"/>
  <c r="M599" i="41"/>
  <c r="L599" i="41"/>
  <c r="J599" i="41"/>
  <c r="H599" i="41"/>
  <c r="R599" i="41"/>
  <c r="P599" i="41"/>
  <c r="M607" i="41"/>
  <c r="T607" i="41"/>
  <c r="L607" i="41"/>
  <c r="S607" i="41"/>
  <c r="K607" i="41"/>
  <c r="J607" i="41"/>
  <c r="Q607" i="41"/>
  <c r="I607" i="41"/>
  <c r="P607" i="41"/>
  <c r="H607" i="41"/>
  <c r="O607" i="41"/>
  <c r="N607" i="41"/>
  <c r="T615" i="41"/>
  <c r="L615" i="41"/>
  <c r="S615" i="41"/>
  <c r="K615" i="41"/>
  <c r="R615" i="41"/>
  <c r="J615" i="41"/>
  <c r="Q615" i="41"/>
  <c r="P615" i="41"/>
  <c r="H615" i="41"/>
  <c r="O615" i="41"/>
  <c r="N615" i="41"/>
  <c r="M623" i="41"/>
  <c r="T623" i="41"/>
  <c r="L623" i="41"/>
  <c r="K623" i="41"/>
  <c r="R623" i="41"/>
  <c r="J623" i="41"/>
  <c r="Q623" i="41"/>
  <c r="I623" i="41"/>
  <c r="P623" i="41"/>
  <c r="H623" i="41"/>
  <c r="N623" i="41"/>
  <c r="M631" i="41"/>
  <c r="T631" i="41"/>
  <c r="L631" i="41"/>
  <c r="S631" i="41"/>
  <c r="K631" i="41"/>
  <c r="R631" i="41"/>
  <c r="Q631" i="41"/>
  <c r="I631" i="41"/>
  <c r="P631" i="41"/>
  <c r="H631" i="41"/>
  <c r="O631" i="41"/>
  <c r="N631" i="41"/>
  <c r="M639" i="41"/>
  <c r="L639" i="41"/>
  <c r="S639" i="41"/>
  <c r="K639" i="41"/>
  <c r="R639" i="41"/>
  <c r="J639" i="41"/>
  <c r="Q639" i="41"/>
  <c r="I639" i="41"/>
  <c r="H639" i="41"/>
  <c r="O639" i="41"/>
  <c r="N639" i="41"/>
  <c r="M647" i="41"/>
  <c r="T647" i="41"/>
  <c r="L647" i="41"/>
  <c r="S647" i="41"/>
  <c r="R647" i="41"/>
  <c r="J647" i="41"/>
  <c r="Q647" i="41"/>
  <c r="I647" i="41"/>
  <c r="P647" i="41"/>
  <c r="H647" i="41"/>
  <c r="O647" i="41"/>
  <c r="A575" i="41"/>
  <c r="A583" i="41"/>
  <c r="A591" i="41"/>
  <c r="A599" i="41"/>
  <c r="A607" i="41"/>
  <c r="A615" i="41"/>
  <c r="A623" i="41"/>
  <c r="A631" i="41"/>
  <c r="A639" i="41"/>
  <c r="A647" i="41"/>
  <c r="A576" i="41"/>
  <c r="N576" i="41" s="1"/>
  <c r="A584" i="41"/>
  <c r="R584" i="41" s="1"/>
  <c r="A592" i="41"/>
  <c r="O592" i="41" s="1"/>
  <c r="A600" i="41"/>
  <c r="S600" i="41" s="1"/>
  <c r="A608" i="41"/>
  <c r="M608" i="41" s="1"/>
  <c r="A616" i="41"/>
  <c r="S616" i="41" s="1"/>
  <c r="A624" i="41"/>
  <c r="O624" i="41" s="1"/>
  <c r="A632" i="41"/>
  <c r="T632" i="41" s="1"/>
  <c r="A640" i="41"/>
  <c r="P640" i="41" s="1"/>
  <c r="A648" i="41"/>
  <c r="N648" i="41" s="1"/>
  <c r="A577" i="41"/>
  <c r="A585" i="41"/>
  <c r="A593" i="41"/>
  <c r="A601" i="41"/>
  <c r="A609" i="41"/>
  <c r="A617" i="41"/>
  <c r="A625" i="41"/>
  <c r="A633" i="41"/>
  <c r="A641" i="41"/>
  <c r="A649" i="41"/>
  <c r="T576" i="41"/>
  <c r="L576" i="41"/>
  <c r="R576" i="41"/>
  <c r="J576" i="41"/>
  <c r="P576" i="41"/>
  <c r="M576" i="41"/>
  <c r="I576" i="41"/>
  <c r="H576" i="41"/>
  <c r="S576" i="41"/>
  <c r="Q576" i="41"/>
  <c r="O576" i="41"/>
  <c r="N584" i="41"/>
  <c r="T584" i="41"/>
  <c r="L584" i="41"/>
  <c r="J584" i="41"/>
  <c r="O584" i="41"/>
  <c r="K584" i="41"/>
  <c r="H584" i="41"/>
  <c r="I584" i="41"/>
  <c r="S584" i="41"/>
  <c r="Q584" i="41"/>
  <c r="M584" i="41"/>
  <c r="N592" i="41"/>
  <c r="T592" i="41"/>
  <c r="L592" i="41"/>
  <c r="R592" i="41"/>
  <c r="J592" i="41"/>
  <c r="P592" i="41"/>
  <c r="M592" i="41"/>
  <c r="K592" i="41"/>
  <c r="I592" i="41"/>
  <c r="H592" i="41"/>
  <c r="S592" i="41"/>
  <c r="Q592" i="41"/>
  <c r="T600" i="41"/>
  <c r="R600" i="41"/>
  <c r="N600" i="41"/>
  <c r="L600" i="41"/>
  <c r="J600" i="41"/>
  <c r="O600" i="41"/>
  <c r="M600" i="41"/>
  <c r="K600" i="41"/>
  <c r="H600" i="41"/>
  <c r="Q600" i="41"/>
  <c r="P600" i="41"/>
  <c r="P608" i="41"/>
  <c r="H608" i="41"/>
  <c r="O608" i="41"/>
  <c r="N608" i="41"/>
  <c r="T608" i="41"/>
  <c r="L608" i="41"/>
  <c r="S608" i="41"/>
  <c r="K608" i="41"/>
  <c r="R608" i="41"/>
  <c r="J608" i="41"/>
  <c r="Q608" i="41"/>
  <c r="P616" i="41"/>
  <c r="H616" i="41"/>
  <c r="O616" i="41"/>
  <c r="N616" i="41"/>
  <c r="M616" i="41"/>
  <c r="T616" i="41"/>
  <c r="L616" i="41"/>
  <c r="K616" i="41"/>
  <c r="R616" i="41"/>
  <c r="J616" i="41"/>
  <c r="Q616" i="41"/>
  <c r="I616" i="41"/>
  <c r="P624" i="41"/>
  <c r="H624" i="41"/>
  <c r="N624" i="41"/>
  <c r="M624" i="41"/>
  <c r="T624" i="41"/>
  <c r="L624" i="41"/>
  <c r="S624" i="41"/>
  <c r="K624" i="41"/>
  <c r="R624" i="41"/>
  <c r="I624" i="41"/>
  <c r="Q624" i="41"/>
  <c r="P632" i="41"/>
  <c r="H632" i="41"/>
  <c r="O632" i="41"/>
  <c r="N632" i="41"/>
  <c r="M632" i="41"/>
  <c r="L632" i="41"/>
  <c r="S632" i="41"/>
  <c r="K632" i="41"/>
  <c r="R632" i="41"/>
  <c r="J632" i="41"/>
  <c r="Q632" i="41"/>
  <c r="I632" i="41"/>
  <c r="H640" i="41"/>
  <c r="O640" i="41"/>
  <c r="N640" i="41"/>
  <c r="M640" i="41"/>
  <c r="T640" i="41"/>
  <c r="L640" i="41"/>
  <c r="S640" i="41"/>
  <c r="R640" i="41"/>
  <c r="J640" i="41"/>
  <c r="I640" i="41"/>
  <c r="Q640" i="41"/>
  <c r="P648" i="41"/>
  <c r="H648" i="41"/>
  <c r="O648" i="41"/>
  <c r="M648" i="41"/>
  <c r="T648" i="41"/>
  <c r="L648" i="41"/>
  <c r="S648" i="41"/>
  <c r="K648" i="41"/>
  <c r="R648" i="41"/>
  <c r="J648" i="41"/>
  <c r="I648" i="41"/>
  <c r="A578" i="41"/>
  <c r="L578" i="41" s="1"/>
  <c r="A586" i="41"/>
  <c r="P586" i="41" s="1"/>
  <c r="A594" i="41"/>
  <c r="N594" i="41" s="1"/>
  <c r="A602" i="41"/>
  <c r="T602" i="41" s="1"/>
  <c r="A610" i="41"/>
  <c r="K610" i="41" s="1"/>
  <c r="A618" i="41"/>
  <c r="N618" i="41" s="1"/>
  <c r="A626" i="41"/>
  <c r="L626" i="41" s="1"/>
  <c r="A634" i="41"/>
  <c r="R634" i="41" s="1"/>
  <c r="A642" i="41"/>
  <c r="M642" i="41" s="1"/>
  <c r="A650" i="41"/>
  <c r="S650" i="41" s="1"/>
  <c r="S579" i="41"/>
  <c r="K579" i="41"/>
  <c r="P579" i="41"/>
  <c r="T579" i="41"/>
  <c r="R579" i="41"/>
  <c r="Q579" i="41"/>
  <c r="J587" i="41"/>
  <c r="T587" i="41"/>
  <c r="H587" i="41"/>
  <c r="O595" i="41"/>
  <c r="M595" i="41"/>
  <c r="S595" i="41"/>
  <c r="I595" i="41"/>
  <c r="T595" i="41"/>
  <c r="H595" i="41"/>
  <c r="H603" i="41"/>
  <c r="O603" i="41"/>
  <c r="N603" i="41"/>
  <c r="R603" i="41"/>
  <c r="J603" i="41"/>
  <c r="Q611" i="41"/>
  <c r="M611" i="41"/>
  <c r="T611" i="41"/>
  <c r="L611" i="41"/>
  <c r="I619" i="41"/>
  <c r="P619" i="41"/>
  <c r="H619" i="41"/>
  <c r="S619" i="41"/>
  <c r="K619" i="41"/>
  <c r="J619" i="41"/>
  <c r="O627" i="41"/>
  <c r="N627" i="41"/>
  <c r="M627" i="41"/>
  <c r="J627" i="41"/>
  <c r="Q635" i="41"/>
  <c r="I635" i="41"/>
  <c r="T635" i="41"/>
  <c r="L635" i="41"/>
  <c r="S635" i="41"/>
  <c r="P643" i="41"/>
  <c r="H643" i="41"/>
  <c r="O643" i="41"/>
  <c r="K643" i="41"/>
  <c r="R643" i="41"/>
  <c r="J643" i="41"/>
  <c r="N651" i="41"/>
  <c r="M651" i="41"/>
  <c r="T651" i="41"/>
  <c r="A579" i="41"/>
  <c r="L579" i="41" s="1"/>
  <c r="A587" i="41"/>
  <c r="O587" i="41" s="1"/>
  <c r="A595" i="41"/>
  <c r="K595" i="41" s="1"/>
  <c r="A603" i="41"/>
  <c r="M603" i="41" s="1"/>
  <c r="A611" i="41"/>
  <c r="I611" i="41" s="1"/>
  <c r="A619" i="41"/>
  <c r="O619" i="41" s="1"/>
  <c r="A627" i="41"/>
  <c r="T627" i="41" s="1"/>
  <c r="A635" i="41"/>
  <c r="P635" i="41" s="1"/>
  <c r="A643" i="41"/>
  <c r="N643" i="41" s="1"/>
  <c r="A651" i="41"/>
  <c r="Q651" i="41" s="1"/>
  <c r="A580" i="41"/>
  <c r="A588" i="41"/>
  <c r="A596" i="41"/>
  <c r="A604" i="41"/>
  <c r="A612" i="41"/>
  <c r="A620" i="41"/>
  <c r="A628" i="41"/>
  <c r="A636" i="41"/>
  <c r="A644" i="41"/>
  <c r="A652" i="41"/>
  <c r="Q577" i="41"/>
  <c r="I577" i="41"/>
  <c r="O577" i="41"/>
  <c r="M577" i="41"/>
  <c r="P577" i="41"/>
  <c r="L577" i="41"/>
  <c r="J577" i="41"/>
  <c r="S577" i="41"/>
  <c r="R577" i="41"/>
  <c r="N577" i="41"/>
  <c r="K577" i="41"/>
  <c r="H577" i="41"/>
  <c r="T577" i="41"/>
  <c r="Q585" i="41"/>
  <c r="I585" i="41"/>
  <c r="O585" i="41"/>
  <c r="M585" i="41"/>
  <c r="N585" i="41"/>
  <c r="K585" i="41"/>
  <c r="T585" i="41"/>
  <c r="H585" i="41"/>
  <c r="R585" i="41"/>
  <c r="P585" i="41"/>
  <c r="L585" i="41"/>
  <c r="J585" i="41"/>
  <c r="S585" i="41"/>
  <c r="Q593" i="41"/>
  <c r="I593" i="41"/>
  <c r="O593" i="41"/>
  <c r="M593" i="41"/>
  <c r="P593" i="41"/>
  <c r="N593" i="41"/>
  <c r="L593" i="41"/>
  <c r="K593" i="41"/>
  <c r="J593" i="41"/>
  <c r="T593" i="41"/>
  <c r="H593" i="41"/>
  <c r="S593" i="41"/>
  <c r="R593" i="41"/>
  <c r="S601" i="41"/>
  <c r="K601" i="41"/>
  <c r="R601" i="41"/>
  <c r="J601" i="41"/>
  <c r="P601" i="41"/>
  <c r="H601" i="41"/>
  <c r="O601" i="41"/>
  <c r="N601" i="41"/>
  <c r="M601" i="41"/>
  <c r="Q601" i="41"/>
  <c r="I601" i="41"/>
  <c r="T601" i="41"/>
  <c r="L601" i="41"/>
  <c r="S609" i="41"/>
  <c r="K609" i="41"/>
  <c r="R609" i="41"/>
  <c r="J609" i="41"/>
  <c r="Q609" i="41"/>
  <c r="I609" i="41"/>
  <c r="P609" i="41"/>
  <c r="H609" i="41"/>
  <c r="O609" i="41"/>
  <c r="N609" i="41"/>
  <c r="M609" i="41"/>
  <c r="L609" i="41"/>
  <c r="T609" i="41"/>
  <c r="S617" i="41"/>
  <c r="K617" i="41"/>
  <c r="R617" i="41"/>
  <c r="J617" i="41"/>
  <c r="Q617" i="41"/>
  <c r="I617" i="41"/>
  <c r="P617" i="41"/>
  <c r="H617" i="41"/>
  <c r="O617" i="41"/>
  <c r="N617" i="41"/>
  <c r="M617" i="41"/>
  <c r="T617" i="41"/>
  <c r="L617" i="41"/>
  <c r="S625" i="41"/>
  <c r="K625" i="41"/>
  <c r="R625" i="41"/>
  <c r="J625" i="41"/>
  <c r="Q625" i="41"/>
  <c r="I625" i="41"/>
  <c r="P625" i="41"/>
  <c r="H625" i="41"/>
  <c r="O625" i="41"/>
  <c r="N625" i="41"/>
  <c r="M625" i="41"/>
  <c r="L625" i="41"/>
  <c r="T625" i="41"/>
  <c r="S633" i="41"/>
  <c r="K633" i="41"/>
  <c r="R633" i="41"/>
  <c r="J633" i="41"/>
  <c r="Q633" i="41"/>
  <c r="I633" i="41"/>
  <c r="P633" i="41"/>
  <c r="H633" i="41"/>
  <c r="O633" i="41"/>
  <c r="N633" i="41"/>
  <c r="M633" i="41"/>
  <c r="T633" i="41"/>
  <c r="L633" i="41"/>
  <c r="S641" i="41"/>
  <c r="K641" i="41"/>
  <c r="R641" i="41"/>
  <c r="J641" i="41"/>
  <c r="Q641" i="41"/>
  <c r="I641" i="41"/>
  <c r="P641" i="41"/>
  <c r="H641" i="41"/>
  <c r="O641" i="41"/>
  <c r="N641" i="41"/>
  <c r="M641" i="41"/>
  <c r="L641" i="41"/>
  <c r="T641" i="41"/>
  <c r="S649" i="41"/>
  <c r="K649" i="41"/>
  <c r="R649" i="41"/>
  <c r="J649" i="41"/>
  <c r="Q649" i="41"/>
  <c r="I649" i="41"/>
  <c r="P649" i="41"/>
  <c r="H649" i="41"/>
  <c r="O649" i="41"/>
  <c r="N649" i="41"/>
  <c r="M649" i="41"/>
  <c r="T649" i="41"/>
  <c r="L649" i="41"/>
  <c r="A581" i="41"/>
  <c r="M581" i="41" s="1"/>
  <c r="A589" i="41"/>
  <c r="Q589" i="41" s="1"/>
  <c r="A597" i="41"/>
  <c r="N597" i="41" s="1"/>
  <c r="A605" i="41"/>
  <c r="N605" i="41" s="1"/>
  <c r="A613" i="41"/>
  <c r="L613" i="41" s="1"/>
  <c r="A621" i="41"/>
  <c r="R621" i="41" s="1"/>
  <c r="A629" i="41"/>
  <c r="M629" i="41" s="1"/>
  <c r="A637" i="41"/>
  <c r="S637" i="41" s="1"/>
  <c r="A645" i="41"/>
  <c r="O645" i="41" s="1"/>
  <c r="R580" i="41"/>
  <c r="J580" i="41"/>
  <c r="P580" i="41"/>
  <c r="H580" i="41"/>
  <c r="N580" i="41"/>
  <c r="O580" i="41"/>
  <c r="L580" i="41"/>
  <c r="I580" i="41"/>
  <c r="T580" i="41"/>
  <c r="S580" i="41"/>
  <c r="Q580" i="41"/>
  <c r="M580" i="41"/>
  <c r="K580" i="41"/>
  <c r="R588" i="41"/>
  <c r="J588" i="41"/>
  <c r="P588" i="41"/>
  <c r="H588" i="41"/>
  <c r="N588" i="41"/>
  <c r="O588" i="41"/>
  <c r="M588" i="41"/>
  <c r="L588" i="41"/>
  <c r="K588" i="41"/>
  <c r="T588" i="41"/>
  <c r="S588" i="41"/>
  <c r="Q588" i="41"/>
  <c r="I588" i="41"/>
  <c r="R596" i="41"/>
  <c r="J596" i="41"/>
  <c r="P596" i="41"/>
  <c r="H596" i="41"/>
  <c r="N596" i="41"/>
  <c r="O596" i="41"/>
  <c r="M596" i="41"/>
  <c r="L596" i="41"/>
  <c r="K596" i="41"/>
  <c r="I596" i="41"/>
  <c r="T596" i="41"/>
  <c r="S596" i="41"/>
  <c r="Q596" i="41"/>
  <c r="T604" i="41"/>
  <c r="L604" i="41"/>
  <c r="S604" i="41"/>
  <c r="K604" i="41"/>
  <c r="R604" i="41"/>
  <c r="J604" i="41"/>
  <c r="Q604" i="41"/>
  <c r="I604" i="41"/>
  <c r="P604" i="41"/>
  <c r="H604" i="41"/>
  <c r="O604" i="41"/>
  <c r="N604" i="41"/>
  <c r="M604" i="41"/>
  <c r="T612" i="41"/>
  <c r="L612" i="41"/>
  <c r="S612" i="41"/>
  <c r="K612" i="41"/>
  <c r="R612" i="41"/>
  <c r="J612" i="41"/>
  <c r="Q612" i="41"/>
  <c r="I612" i="41"/>
  <c r="P612" i="41"/>
  <c r="H612" i="41"/>
  <c r="O612" i="41"/>
  <c r="N612" i="41"/>
  <c r="M612" i="41"/>
  <c r="T620" i="41"/>
  <c r="L620" i="41"/>
  <c r="S620" i="41"/>
  <c r="K620" i="41"/>
  <c r="R620" i="41"/>
  <c r="J620" i="41"/>
  <c r="Q620" i="41"/>
  <c r="I620" i="41"/>
  <c r="P620" i="41"/>
  <c r="H620" i="41"/>
  <c r="O620" i="41"/>
  <c r="N620" i="41"/>
  <c r="M620" i="41"/>
  <c r="T628" i="41"/>
  <c r="L628" i="41"/>
  <c r="S628" i="41"/>
  <c r="K628" i="41"/>
  <c r="R628" i="41"/>
  <c r="J628" i="41"/>
  <c r="Q628" i="41"/>
  <c r="I628" i="41"/>
  <c r="P628" i="41"/>
  <c r="H628" i="41"/>
  <c r="O628" i="41"/>
  <c r="N628" i="41"/>
  <c r="M628" i="41"/>
  <c r="T636" i="41"/>
  <c r="L636" i="41"/>
  <c r="S636" i="41"/>
  <c r="K636" i="41"/>
  <c r="R636" i="41"/>
  <c r="J636" i="41"/>
  <c r="Q636" i="41"/>
  <c r="I636" i="41"/>
  <c r="P636" i="41"/>
  <c r="H636" i="41"/>
  <c r="O636" i="41"/>
  <c r="N636" i="41"/>
  <c r="M636" i="41"/>
  <c r="T644" i="41"/>
  <c r="L644" i="41"/>
  <c r="S644" i="41"/>
  <c r="K644" i="41"/>
  <c r="R644" i="41"/>
  <c r="J644" i="41"/>
  <c r="Q644" i="41"/>
  <c r="I644" i="41"/>
  <c r="P644" i="41"/>
  <c r="H644" i="41"/>
  <c r="O644" i="41"/>
  <c r="N644" i="41"/>
  <c r="M644" i="41"/>
  <c r="T652" i="41"/>
  <c r="L652" i="41"/>
  <c r="S652" i="41"/>
  <c r="K652" i="41"/>
  <c r="R652" i="41"/>
  <c r="J652" i="41"/>
  <c r="Q652" i="41"/>
  <c r="I652" i="41"/>
  <c r="P652" i="41"/>
  <c r="H652" i="41"/>
  <c r="O652" i="41"/>
  <c r="N652" i="41"/>
  <c r="M652" i="41"/>
  <c r="A582" i="41"/>
  <c r="H582" i="41" s="1"/>
  <c r="A590" i="41"/>
  <c r="L590" i="41" s="1"/>
  <c r="A598" i="41"/>
  <c r="K598" i="41" s="1"/>
  <c r="A606" i="41"/>
  <c r="Q606" i="41" s="1"/>
  <c r="A614" i="41"/>
  <c r="H614" i="41" s="1"/>
  <c r="A622" i="41"/>
  <c r="R622" i="41" s="1"/>
  <c r="A630" i="41"/>
  <c r="I630" i="41" s="1"/>
  <c r="A638" i="41"/>
  <c r="O638" i="41" s="1"/>
  <c r="A646" i="41"/>
  <c r="J646" i="41" s="1"/>
  <c r="R502" i="41"/>
  <c r="J502" i="41"/>
  <c r="Q502" i="41"/>
  <c r="I502" i="41"/>
  <c r="P502" i="41"/>
  <c r="H502" i="41"/>
  <c r="O502" i="41"/>
  <c r="M502" i="41"/>
  <c r="T502" i="41"/>
  <c r="S502" i="41"/>
  <c r="N502" i="41"/>
  <c r="L502" i="41"/>
  <c r="K502" i="41"/>
  <c r="R515" i="41"/>
  <c r="J515" i="41"/>
  <c r="Q515" i="41"/>
  <c r="I515" i="41"/>
  <c r="P515" i="41"/>
  <c r="H515" i="41"/>
  <c r="O515" i="41"/>
  <c r="N515" i="41"/>
  <c r="M515" i="41"/>
  <c r="T515" i="41"/>
  <c r="L515" i="41"/>
  <c r="S515" i="41"/>
  <c r="K515" i="41"/>
  <c r="Q528" i="41"/>
  <c r="I528" i="41"/>
  <c r="P528" i="41"/>
  <c r="H528" i="41"/>
  <c r="O528" i="41"/>
  <c r="N528" i="41"/>
  <c r="M528" i="41"/>
  <c r="T528" i="41"/>
  <c r="L528" i="41"/>
  <c r="S528" i="41"/>
  <c r="K528" i="41"/>
  <c r="J528" i="41"/>
  <c r="R528" i="41"/>
  <c r="R540" i="41"/>
  <c r="J540" i="41"/>
  <c r="P540" i="41"/>
  <c r="H540" i="41"/>
  <c r="N540" i="41"/>
  <c r="Q540" i="41"/>
  <c r="O540" i="41"/>
  <c r="M540" i="41"/>
  <c r="L540" i="41"/>
  <c r="K540" i="41"/>
  <c r="I540" i="41"/>
  <c r="T540" i="41"/>
  <c r="S540" i="41"/>
  <c r="S554" i="41"/>
  <c r="K554" i="41"/>
  <c r="Q554" i="41"/>
  <c r="I554" i="41"/>
  <c r="O554" i="41"/>
  <c r="T554" i="41"/>
  <c r="P554" i="41"/>
  <c r="M554" i="41"/>
  <c r="H554" i="41"/>
  <c r="R554" i="41"/>
  <c r="N554" i="41"/>
  <c r="L554" i="41"/>
  <c r="J554" i="41"/>
  <c r="O566" i="41"/>
  <c r="M566" i="41"/>
  <c r="S566" i="41"/>
  <c r="K566" i="41"/>
  <c r="Q566" i="41"/>
  <c r="N566" i="41"/>
  <c r="J566" i="41"/>
  <c r="P566" i="41"/>
  <c r="L566" i="41"/>
  <c r="I566" i="41"/>
  <c r="H566" i="41"/>
  <c r="T566" i="41"/>
  <c r="R566" i="41"/>
  <c r="P504" i="41"/>
  <c r="H504" i="41"/>
  <c r="O504" i="41"/>
  <c r="N504" i="41"/>
  <c r="M504" i="41"/>
  <c r="S504" i="41"/>
  <c r="K504" i="41"/>
  <c r="T504" i="41"/>
  <c r="R504" i="41"/>
  <c r="Q504" i="41"/>
  <c r="L504" i="41"/>
  <c r="J504" i="41"/>
  <c r="I504" i="41"/>
  <c r="M516" i="41"/>
  <c r="T516" i="41"/>
  <c r="L516" i="41"/>
  <c r="S516" i="41"/>
  <c r="K516" i="41"/>
  <c r="R516" i="41"/>
  <c r="J516" i="41"/>
  <c r="Q516" i="41"/>
  <c r="I516" i="41"/>
  <c r="P516" i="41"/>
  <c r="H516" i="41"/>
  <c r="O516" i="41"/>
  <c r="N516" i="41"/>
  <c r="R530" i="41"/>
  <c r="P530" i="41"/>
  <c r="O530" i="41"/>
  <c r="N530" i="41"/>
  <c r="M530" i="41"/>
  <c r="L530" i="41"/>
  <c r="K530" i="41"/>
  <c r="T530" i="41"/>
  <c r="J530" i="41"/>
  <c r="S530" i="41"/>
  <c r="I530" i="41"/>
  <c r="Q530" i="41"/>
  <c r="H530" i="41"/>
  <c r="P542" i="41"/>
  <c r="H542" i="41"/>
  <c r="N542" i="41"/>
  <c r="T542" i="41"/>
  <c r="L542" i="41"/>
  <c r="Q542" i="41"/>
  <c r="O542" i="41"/>
  <c r="M542" i="41"/>
  <c r="K542" i="41"/>
  <c r="J542" i="41"/>
  <c r="I542" i="41"/>
  <c r="S542" i="41"/>
  <c r="R542" i="41"/>
  <c r="N555" i="41"/>
  <c r="T555" i="41"/>
  <c r="L555" i="41"/>
  <c r="R555" i="41"/>
  <c r="J555" i="41"/>
  <c r="S555" i="41"/>
  <c r="P555" i="41"/>
  <c r="M555" i="41"/>
  <c r="O555" i="41"/>
  <c r="K555" i="41"/>
  <c r="I555" i="41"/>
  <c r="H555" i="41"/>
  <c r="Q555" i="41"/>
  <c r="M568" i="41"/>
  <c r="S568" i="41"/>
  <c r="K568" i="41"/>
  <c r="Q568" i="41"/>
  <c r="I568" i="41"/>
  <c r="P568" i="41"/>
  <c r="N568" i="41"/>
  <c r="J568" i="41"/>
  <c r="H568" i="41"/>
  <c r="T568" i="41"/>
  <c r="R568" i="41"/>
  <c r="O568" i="41"/>
  <c r="L568" i="41"/>
  <c r="T492" i="41"/>
  <c r="L492" i="41"/>
  <c r="S492" i="41"/>
  <c r="K492" i="41"/>
  <c r="R492" i="41"/>
  <c r="J492" i="41"/>
  <c r="Q492" i="41"/>
  <c r="I492" i="41"/>
  <c r="O492" i="41"/>
  <c r="P492" i="41"/>
  <c r="N492" i="41"/>
  <c r="M492" i="41"/>
  <c r="H492" i="41"/>
  <c r="O506" i="41"/>
  <c r="N506" i="41"/>
  <c r="M506" i="41"/>
  <c r="T506" i="41"/>
  <c r="L506" i="41"/>
  <c r="S506" i="41"/>
  <c r="K506" i="41"/>
  <c r="R506" i="41"/>
  <c r="J506" i="41"/>
  <c r="Q506" i="41"/>
  <c r="I506" i="41"/>
  <c r="P506" i="41"/>
  <c r="H506" i="41"/>
  <c r="S518" i="41"/>
  <c r="K518" i="41"/>
  <c r="R518" i="41"/>
  <c r="J518" i="41"/>
  <c r="Q518" i="41"/>
  <c r="I518" i="41"/>
  <c r="P518" i="41"/>
  <c r="H518" i="41"/>
  <c r="O518" i="41"/>
  <c r="N518" i="41"/>
  <c r="M518" i="41"/>
  <c r="L518" i="41"/>
  <c r="T518" i="41"/>
  <c r="M531" i="41"/>
  <c r="S531" i="41"/>
  <c r="K531" i="41"/>
  <c r="N531" i="41"/>
  <c r="L531" i="41"/>
  <c r="J531" i="41"/>
  <c r="T531" i="41"/>
  <c r="I531" i="41"/>
  <c r="R531" i="41"/>
  <c r="H531" i="41"/>
  <c r="Q531" i="41"/>
  <c r="P531" i="41"/>
  <c r="O531" i="41"/>
  <c r="N544" i="41"/>
  <c r="T544" i="41"/>
  <c r="L544" i="41"/>
  <c r="R544" i="41"/>
  <c r="J544" i="41"/>
  <c r="P544" i="41"/>
  <c r="O544" i="41"/>
  <c r="M544" i="41"/>
  <c r="K544" i="41"/>
  <c r="I544" i="41"/>
  <c r="H544" i="41"/>
  <c r="S544" i="41"/>
  <c r="Q544" i="41"/>
  <c r="Q556" i="41"/>
  <c r="I556" i="41"/>
  <c r="O556" i="41"/>
  <c r="M556" i="41"/>
  <c r="S556" i="41"/>
  <c r="P556" i="41"/>
  <c r="L556" i="41"/>
  <c r="T556" i="41"/>
  <c r="R556" i="41"/>
  <c r="N556" i="41"/>
  <c r="K556" i="41"/>
  <c r="J556" i="41"/>
  <c r="H556" i="41"/>
  <c r="S497" i="41"/>
  <c r="K497" i="41"/>
  <c r="R497" i="41"/>
  <c r="J497" i="41"/>
  <c r="Q497" i="41"/>
  <c r="I497" i="41"/>
  <c r="P497" i="41"/>
  <c r="H497" i="41"/>
  <c r="N497" i="41"/>
  <c r="T497" i="41"/>
  <c r="O497" i="41"/>
  <c r="M497" i="41"/>
  <c r="L497" i="41"/>
  <c r="T505" i="41"/>
  <c r="S505" i="41"/>
  <c r="K505" i="41"/>
  <c r="R505" i="41"/>
  <c r="J505" i="41"/>
  <c r="Q505" i="41"/>
  <c r="I505" i="41"/>
  <c r="P505" i="41"/>
  <c r="H505" i="41"/>
  <c r="N505" i="41"/>
  <c r="O505" i="41"/>
  <c r="M505" i="41"/>
  <c r="L505" i="41"/>
  <c r="T513" i="41"/>
  <c r="L513" i="41"/>
  <c r="S513" i="41"/>
  <c r="K513" i="41"/>
  <c r="R513" i="41"/>
  <c r="J513" i="41"/>
  <c r="Q513" i="41"/>
  <c r="I513" i="41"/>
  <c r="P513" i="41"/>
  <c r="H513" i="41"/>
  <c r="O513" i="41"/>
  <c r="N513" i="41"/>
  <c r="M513" i="41"/>
  <c r="T521" i="41"/>
  <c r="L521" i="41"/>
  <c r="S521" i="41"/>
  <c r="K521" i="41"/>
  <c r="R521" i="41"/>
  <c r="J521" i="41"/>
  <c r="Q521" i="41"/>
  <c r="I521" i="41"/>
  <c r="P521" i="41"/>
  <c r="H521" i="41"/>
  <c r="O521" i="41"/>
  <c r="N521" i="41"/>
  <c r="M521" i="41"/>
  <c r="T529" i="41"/>
  <c r="L529" i="41"/>
  <c r="S529" i="41"/>
  <c r="K529" i="41"/>
  <c r="R529" i="41"/>
  <c r="J529" i="41"/>
  <c r="Q529" i="41"/>
  <c r="I529" i="41"/>
  <c r="P529" i="41"/>
  <c r="H529" i="41"/>
  <c r="O529" i="41"/>
  <c r="N529" i="41"/>
  <c r="M529" i="41"/>
  <c r="O537" i="41"/>
  <c r="M537" i="41"/>
  <c r="T537" i="41"/>
  <c r="J537" i="41"/>
  <c r="S537" i="41"/>
  <c r="I537" i="41"/>
  <c r="R537" i="41"/>
  <c r="H537" i="41"/>
  <c r="Q537" i="41"/>
  <c r="P537" i="41"/>
  <c r="N537" i="41"/>
  <c r="L537" i="41"/>
  <c r="K537" i="41"/>
  <c r="Q545" i="41"/>
  <c r="I545" i="41"/>
  <c r="O545" i="41"/>
  <c r="M545" i="41"/>
  <c r="P545" i="41"/>
  <c r="N545" i="41"/>
  <c r="L545" i="41"/>
  <c r="K545" i="41"/>
  <c r="J545" i="41"/>
  <c r="T545" i="41"/>
  <c r="H545" i="41"/>
  <c r="S545" i="41"/>
  <c r="R545" i="41"/>
  <c r="P553" i="41"/>
  <c r="H553" i="41"/>
  <c r="N553" i="41"/>
  <c r="T553" i="41"/>
  <c r="L553" i="41"/>
  <c r="S553" i="41"/>
  <c r="Q553" i="41"/>
  <c r="M553" i="41"/>
  <c r="R553" i="41"/>
  <c r="O553" i="41"/>
  <c r="K553" i="41"/>
  <c r="J553" i="41"/>
  <c r="I553" i="41"/>
  <c r="P561" i="41"/>
  <c r="H561" i="41"/>
  <c r="N561" i="41"/>
  <c r="T561" i="41"/>
  <c r="L561" i="41"/>
  <c r="R561" i="41"/>
  <c r="O561" i="41"/>
  <c r="K561" i="41"/>
  <c r="S561" i="41"/>
  <c r="Q561" i="41"/>
  <c r="M561" i="41"/>
  <c r="J561" i="41"/>
  <c r="I561" i="41"/>
  <c r="P569" i="41"/>
  <c r="H569" i="41"/>
  <c r="N569" i="41"/>
  <c r="T569" i="41"/>
  <c r="L569" i="41"/>
  <c r="Q569" i="41"/>
  <c r="M569" i="41"/>
  <c r="J569" i="41"/>
  <c r="R569" i="41"/>
  <c r="O569" i="41"/>
  <c r="K569" i="41"/>
  <c r="I569" i="41"/>
  <c r="S569" i="41"/>
  <c r="R494" i="41"/>
  <c r="J494" i="41"/>
  <c r="Q494" i="41"/>
  <c r="I494" i="41"/>
  <c r="P494" i="41"/>
  <c r="H494" i="41"/>
  <c r="O494" i="41"/>
  <c r="M494" i="41"/>
  <c r="T494" i="41"/>
  <c r="S494" i="41"/>
  <c r="N494" i="41"/>
  <c r="L494" i="41"/>
  <c r="K494" i="41"/>
  <c r="R507" i="41"/>
  <c r="J507" i="41"/>
  <c r="Q507" i="41"/>
  <c r="I507" i="41"/>
  <c r="P507" i="41"/>
  <c r="H507" i="41"/>
  <c r="O507" i="41"/>
  <c r="N507" i="41"/>
  <c r="M507" i="41"/>
  <c r="T507" i="41"/>
  <c r="L507" i="41"/>
  <c r="S507" i="41"/>
  <c r="K507" i="41"/>
  <c r="Q520" i="41"/>
  <c r="I520" i="41"/>
  <c r="P520" i="41"/>
  <c r="H520" i="41"/>
  <c r="O520" i="41"/>
  <c r="N520" i="41"/>
  <c r="M520" i="41"/>
  <c r="T520" i="41"/>
  <c r="L520" i="41"/>
  <c r="S520" i="41"/>
  <c r="K520" i="41"/>
  <c r="R520" i="41"/>
  <c r="J520" i="41"/>
  <c r="P532" i="41"/>
  <c r="H532" i="41"/>
  <c r="N532" i="41"/>
  <c r="K532" i="41"/>
  <c r="T532" i="41"/>
  <c r="J532" i="41"/>
  <c r="S532" i="41"/>
  <c r="I532" i="41"/>
  <c r="R532" i="41"/>
  <c r="Q532" i="41"/>
  <c r="O532" i="41"/>
  <c r="M532" i="41"/>
  <c r="L532" i="41"/>
  <c r="T546" i="41"/>
  <c r="L546" i="41"/>
  <c r="R546" i="41"/>
  <c r="J546" i="41"/>
  <c r="P546" i="41"/>
  <c r="H546" i="41"/>
  <c r="O546" i="41"/>
  <c r="N546" i="41"/>
  <c r="M546" i="41"/>
  <c r="K546" i="41"/>
  <c r="I546" i="41"/>
  <c r="S546" i="41"/>
  <c r="Q546" i="41"/>
  <c r="O558" i="41"/>
  <c r="M558" i="41"/>
  <c r="S558" i="41"/>
  <c r="K558" i="41"/>
  <c r="R558" i="41"/>
  <c r="P558" i="41"/>
  <c r="L558" i="41"/>
  <c r="Q558" i="41"/>
  <c r="N558" i="41"/>
  <c r="J558" i="41"/>
  <c r="I558" i="41"/>
  <c r="H558" i="41"/>
  <c r="T558" i="41"/>
  <c r="P496" i="41"/>
  <c r="H496" i="41"/>
  <c r="O496" i="41"/>
  <c r="N496" i="41"/>
  <c r="M496" i="41"/>
  <c r="S496" i="41"/>
  <c r="K496" i="41"/>
  <c r="R496" i="41"/>
  <c r="Q496" i="41"/>
  <c r="L496" i="41"/>
  <c r="J496" i="41"/>
  <c r="I496" i="41"/>
  <c r="T496" i="41"/>
  <c r="M508" i="41"/>
  <c r="T508" i="41"/>
  <c r="L508" i="41"/>
  <c r="S508" i="41"/>
  <c r="K508" i="41"/>
  <c r="R508" i="41"/>
  <c r="J508" i="41"/>
  <c r="Q508" i="41"/>
  <c r="I508" i="41"/>
  <c r="P508" i="41"/>
  <c r="H508" i="41"/>
  <c r="O508" i="41"/>
  <c r="N508" i="41"/>
  <c r="O522" i="41"/>
  <c r="N522" i="41"/>
  <c r="M522" i="41"/>
  <c r="T522" i="41"/>
  <c r="L522" i="41"/>
  <c r="S522" i="41"/>
  <c r="K522" i="41"/>
  <c r="R522" i="41"/>
  <c r="J522" i="41"/>
  <c r="Q522" i="41"/>
  <c r="I522" i="41"/>
  <c r="P522" i="41"/>
  <c r="H522" i="41"/>
  <c r="N534" i="41"/>
  <c r="T534" i="41"/>
  <c r="L534" i="41"/>
  <c r="Q534" i="41"/>
  <c r="P534" i="41"/>
  <c r="O534" i="41"/>
  <c r="M534" i="41"/>
  <c r="K534" i="41"/>
  <c r="J534" i="41"/>
  <c r="S534" i="41"/>
  <c r="I534" i="41"/>
  <c r="H534" i="41"/>
  <c r="R534" i="41"/>
  <c r="O547" i="41"/>
  <c r="M547" i="41"/>
  <c r="S547" i="41"/>
  <c r="K547" i="41"/>
  <c r="P547" i="41"/>
  <c r="N547" i="41"/>
  <c r="L547" i="41"/>
  <c r="J547" i="41"/>
  <c r="I547" i="41"/>
  <c r="T547" i="41"/>
  <c r="H547" i="41"/>
  <c r="R547" i="41"/>
  <c r="Q547" i="41"/>
  <c r="M560" i="41"/>
  <c r="S560" i="41"/>
  <c r="K560" i="41"/>
  <c r="Q560" i="41"/>
  <c r="I560" i="41"/>
  <c r="R560" i="41"/>
  <c r="O560" i="41"/>
  <c r="L560" i="41"/>
  <c r="J560" i="41"/>
  <c r="H560" i="41"/>
  <c r="T560" i="41"/>
  <c r="P560" i="41"/>
  <c r="N560" i="41"/>
  <c r="M495" i="41"/>
  <c r="T495" i="41"/>
  <c r="L495" i="41"/>
  <c r="S495" i="41"/>
  <c r="K495" i="41"/>
  <c r="R495" i="41"/>
  <c r="J495" i="41"/>
  <c r="P495" i="41"/>
  <c r="H495" i="41"/>
  <c r="I495" i="41"/>
  <c r="Q495" i="41"/>
  <c r="O495" i="41"/>
  <c r="N495" i="41"/>
  <c r="M503" i="41"/>
  <c r="T503" i="41"/>
  <c r="L503" i="41"/>
  <c r="S503" i="41"/>
  <c r="K503" i="41"/>
  <c r="R503" i="41"/>
  <c r="J503" i="41"/>
  <c r="P503" i="41"/>
  <c r="H503" i="41"/>
  <c r="N503" i="41"/>
  <c r="I503" i="41"/>
  <c r="Q503" i="41"/>
  <c r="O503" i="41"/>
  <c r="N511" i="41"/>
  <c r="M511" i="41"/>
  <c r="T511" i="41"/>
  <c r="L511" i="41"/>
  <c r="S511" i="41"/>
  <c r="K511" i="41"/>
  <c r="R511" i="41"/>
  <c r="J511" i="41"/>
  <c r="Q511" i="41"/>
  <c r="I511" i="41"/>
  <c r="P511" i="41"/>
  <c r="H511" i="41"/>
  <c r="O511" i="41"/>
  <c r="N519" i="41"/>
  <c r="M519" i="41"/>
  <c r="T519" i="41"/>
  <c r="L519" i="41"/>
  <c r="S519" i="41"/>
  <c r="K519" i="41"/>
  <c r="R519" i="41"/>
  <c r="J519" i="41"/>
  <c r="Q519" i="41"/>
  <c r="I519" i="41"/>
  <c r="P519" i="41"/>
  <c r="H519" i="41"/>
  <c r="O519" i="41"/>
  <c r="N527" i="41"/>
  <c r="M527" i="41"/>
  <c r="T527" i="41"/>
  <c r="L527" i="41"/>
  <c r="S527" i="41"/>
  <c r="K527" i="41"/>
  <c r="R527" i="41"/>
  <c r="J527" i="41"/>
  <c r="Q527" i="41"/>
  <c r="I527" i="41"/>
  <c r="P527" i="41"/>
  <c r="H527" i="41"/>
  <c r="O527" i="41"/>
  <c r="Q535" i="41"/>
  <c r="I535" i="41"/>
  <c r="O535" i="41"/>
  <c r="N535" i="41"/>
  <c r="M535" i="41"/>
  <c r="L535" i="41"/>
  <c r="K535" i="41"/>
  <c r="T535" i="41"/>
  <c r="J535" i="41"/>
  <c r="S535" i="41"/>
  <c r="H535" i="41"/>
  <c r="R535" i="41"/>
  <c r="P535" i="41"/>
  <c r="S543" i="41"/>
  <c r="K543" i="41"/>
  <c r="Q543" i="41"/>
  <c r="I543" i="41"/>
  <c r="O543" i="41"/>
  <c r="P543" i="41"/>
  <c r="N543" i="41"/>
  <c r="M543" i="41"/>
  <c r="L543" i="41"/>
  <c r="J543" i="41"/>
  <c r="H543" i="41"/>
  <c r="T543" i="41"/>
  <c r="R543" i="41"/>
  <c r="R551" i="41"/>
  <c r="J551" i="41"/>
  <c r="P551" i="41"/>
  <c r="H551" i="41"/>
  <c r="N551" i="41"/>
  <c r="T551" i="41"/>
  <c r="Q551" i="41"/>
  <c r="M551" i="41"/>
  <c r="S551" i="41"/>
  <c r="O551" i="41"/>
  <c r="L551" i="41"/>
  <c r="K551" i="41"/>
  <c r="I551" i="41"/>
  <c r="R559" i="41"/>
  <c r="J559" i="41"/>
  <c r="P559" i="41"/>
  <c r="H559" i="41"/>
  <c r="N559" i="41"/>
  <c r="S559" i="41"/>
  <c r="O559" i="41"/>
  <c r="L559" i="41"/>
  <c r="T559" i="41"/>
  <c r="Q559" i="41"/>
  <c r="M559" i="41"/>
  <c r="K559" i="41"/>
  <c r="I559" i="41"/>
  <c r="R567" i="41"/>
  <c r="J567" i="41"/>
  <c r="P567" i="41"/>
  <c r="H567" i="41"/>
  <c r="N567" i="41"/>
  <c r="Q567" i="41"/>
  <c r="M567" i="41"/>
  <c r="K567" i="41"/>
  <c r="T567" i="41"/>
  <c r="S567" i="41"/>
  <c r="O567" i="41"/>
  <c r="L567" i="41"/>
  <c r="I567" i="41"/>
  <c r="N498" i="41"/>
  <c r="M498" i="41"/>
  <c r="T498" i="41"/>
  <c r="L498" i="41"/>
  <c r="S498" i="41"/>
  <c r="K498" i="41"/>
  <c r="Q498" i="41"/>
  <c r="I498" i="41"/>
  <c r="O498" i="41"/>
  <c r="J498" i="41"/>
  <c r="H498" i="41"/>
  <c r="R498" i="41"/>
  <c r="P498" i="41"/>
  <c r="S510" i="41"/>
  <c r="K510" i="41"/>
  <c r="R510" i="41"/>
  <c r="J510" i="41"/>
  <c r="Q510" i="41"/>
  <c r="I510" i="41"/>
  <c r="P510" i="41"/>
  <c r="H510" i="41"/>
  <c r="O510" i="41"/>
  <c r="N510" i="41"/>
  <c r="M510" i="41"/>
  <c r="T510" i="41"/>
  <c r="L510" i="41"/>
  <c r="R523" i="41"/>
  <c r="J523" i="41"/>
  <c r="Q523" i="41"/>
  <c r="I523" i="41"/>
  <c r="P523" i="41"/>
  <c r="H523" i="41"/>
  <c r="O523" i="41"/>
  <c r="N523" i="41"/>
  <c r="M523" i="41"/>
  <c r="T523" i="41"/>
  <c r="L523" i="41"/>
  <c r="K523" i="41"/>
  <c r="S523" i="41"/>
  <c r="T536" i="41"/>
  <c r="L536" i="41"/>
  <c r="R536" i="41"/>
  <c r="J536" i="41"/>
  <c r="M536" i="41"/>
  <c r="K536" i="41"/>
  <c r="I536" i="41"/>
  <c r="S536" i="41"/>
  <c r="H536" i="41"/>
  <c r="Q536" i="41"/>
  <c r="P536" i="41"/>
  <c r="O536" i="41"/>
  <c r="N536" i="41"/>
  <c r="R548" i="41"/>
  <c r="J548" i="41"/>
  <c r="P548" i="41"/>
  <c r="H548" i="41"/>
  <c r="N548" i="41"/>
  <c r="O548" i="41"/>
  <c r="M548" i="41"/>
  <c r="L548" i="41"/>
  <c r="K548" i="41"/>
  <c r="I548" i="41"/>
  <c r="T548" i="41"/>
  <c r="S548" i="41"/>
  <c r="Q548" i="41"/>
  <c r="S562" i="41"/>
  <c r="K562" i="41"/>
  <c r="Q562" i="41"/>
  <c r="I562" i="41"/>
  <c r="O562" i="41"/>
  <c r="R562" i="41"/>
  <c r="N562" i="41"/>
  <c r="L562" i="41"/>
  <c r="T562" i="41"/>
  <c r="P562" i="41"/>
  <c r="M562" i="41"/>
  <c r="J562" i="41"/>
  <c r="H562" i="41"/>
  <c r="Q499" i="41"/>
  <c r="I499" i="41"/>
  <c r="P499" i="41"/>
  <c r="H499" i="41"/>
  <c r="O499" i="41"/>
  <c r="N499" i="41"/>
  <c r="T499" i="41"/>
  <c r="L499" i="41"/>
  <c r="S499" i="41"/>
  <c r="R499" i="41"/>
  <c r="M499" i="41"/>
  <c r="K499" i="41"/>
  <c r="J499" i="41"/>
  <c r="Q512" i="41"/>
  <c r="I512" i="41"/>
  <c r="P512" i="41"/>
  <c r="H512" i="41"/>
  <c r="O512" i="41"/>
  <c r="N512" i="41"/>
  <c r="M512" i="41"/>
  <c r="T512" i="41"/>
  <c r="L512" i="41"/>
  <c r="S512" i="41"/>
  <c r="K512" i="41"/>
  <c r="R512" i="41"/>
  <c r="J512" i="41"/>
  <c r="M524" i="41"/>
  <c r="T524" i="41"/>
  <c r="L524" i="41"/>
  <c r="S524" i="41"/>
  <c r="K524" i="41"/>
  <c r="R524" i="41"/>
  <c r="J524" i="41"/>
  <c r="Q524" i="41"/>
  <c r="I524" i="41"/>
  <c r="P524" i="41"/>
  <c r="H524" i="41"/>
  <c r="O524" i="41"/>
  <c r="N524" i="41"/>
  <c r="R538" i="41"/>
  <c r="J538" i="41"/>
  <c r="P538" i="41"/>
  <c r="H538" i="41"/>
  <c r="S538" i="41"/>
  <c r="Q538" i="41"/>
  <c r="O538" i="41"/>
  <c r="N538" i="41"/>
  <c r="M538" i="41"/>
  <c r="L538" i="41"/>
  <c r="K538" i="41"/>
  <c r="T538" i="41"/>
  <c r="I538" i="41"/>
  <c r="O550" i="41"/>
  <c r="M550" i="41"/>
  <c r="S550" i="41"/>
  <c r="K550" i="41"/>
  <c r="T550" i="41"/>
  <c r="H550" i="41"/>
  <c r="Q550" i="41"/>
  <c r="N550" i="41"/>
  <c r="R550" i="41"/>
  <c r="P550" i="41"/>
  <c r="L550" i="41"/>
  <c r="J550" i="41"/>
  <c r="I550" i="41"/>
  <c r="N563" i="41"/>
  <c r="T563" i="41"/>
  <c r="L563" i="41"/>
  <c r="R563" i="41"/>
  <c r="J563" i="41"/>
  <c r="Q563" i="41"/>
  <c r="O563" i="41"/>
  <c r="K563" i="41"/>
  <c r="M563" i="41"/>
  <c r="I563" i="41"/>
  <c r="H563" i="41"/>
  <c r="S563" i="41"/>
  <c r="P563" i="41"/>
  <c r="O493" i="41"/>
  <c r="N493" i="41"/>
  <c r="M493" i="41"/>
  <c r="T493" i="41"/>
  <c r="L493" i="41"/>
  <c r="R493" i="41"/>
  <c r="J493" i="41"/>
  <c r="P493" i="41"/>
  <c r="K493" i="41"/>
  <c r="I493" i="41"/>
  <c r="H493" i="41"/>
  <c r="S493" i="41"/>
  <c r="Q493" i="41"/>
  <c r="O501" i="41"/>
  <c r="N501" i="41"/>
  <c r="M501" i="41"/>
  <c r="T501" i="41"/>
  <c r="L501" i="41"/>
  <c r="R501" i="41"/>
  <c r="J501" i="41"/>
  <c r="Q501" i="41"/>
  <c r="P501" i="41"/>
  <c r="K501" i="41"/>
  <c r="I501" i="41"/>
  <c r="H501" i="41"/>
  <c r="S501" i="41"/>
  <c r="P509" i="41"/>
  <c r="H509" i="41"/>
  <c r="O509" i="41"/>
  <c r="N509" i="41"/>
  <c r="M509" i="41"/>
  <c r="T509" i="41"/>
  <c r="L509" i="41"/>
  <c r="S509" i="41"/>
  <c r="K509" i="41"/>
  <c r="R509" i="41"/>
  <c r="J509" i="41"/>
  <c r="Q509" i="41"/>
  <c r="I509" i="41"/>
  <c r="P517" i="41"/>
  <c r="H517" i="41"/>
  <c r="O517" i="41"/>
  <c r="N517" i="41"/>
  <c r="M517" i="41"/>
  <c r="T517" i="41"/>
  <c r="L517" i="41"/>
  <c r="S517" i="41"/>
  <c r="K517" i="41"/>
  <c r="R517" i="41"/>
  <c r="J517" i="41"/>
  <c r="Q517" i="41"/>
  <c r="I517" i="41"/>
  <c r="P525" i="41"/>
  <c r="H525" i="41"/>
  <c r="O525" i="41"/>
  <c r="N525" i="41"/>
  <c r="M525" i="41"/>
  <c r="T525" i="41"/>
  <c r="L525" i="41"/>
  <c r="S525" i="41"/>
  <c r="K525" i="41"/>
  <c r="R525" i="41"/>
  <c r="J525" i="41"/>
  <c r="Q525" i="41"/>
  <c r="I525" i="41"/>
  <c r="S533" i="41"/>
  <c r="K533" i="41"/>
  <c r="Q533" i="41"/>
  <c r="I533" i="41"/>
  <c r="T533" i="41"/>
  <c r="H533" i="41"/>
  <c r="R533" i="41"/>
  <c r="P533" i="41"/>
  <c r="O533" i="41"/>
  <c r="N533" i="41"/>
  <c r="M533" i="41"/>
  <c r="L533" i="41"/>
  <c r="J533" i="41"/>
  <c r="M541" i="41"/>
  <c r="S541" i="41"/>
  <c r="K541" i="41"/>
  <c r="Q541" i="41"/>
  <c r="I541" i="41"/>
  <c r="P541" i="41"/>
  <c r="O541" i="41"/>
  <c r="N541" i="41"/>
  <c r="L541" i="41"/>
  <c r="J541" i="41"/>
  <c r="H541" i="41"/>
  <c r="T541" i="41"/>
  <c r="R541" i="41"/>
  <c r="M549" i="41"/>
  <c r="S549" i="41"/>
  <c r="K549" i="41"/>
  <c r="Q549" i="41"/>
  <c r="I549" i="41"/>
  <c r="O549" i="41"/>
  <c r="N549" i="41"/>
  <c r="L549" i="41"/>
  <c r="J549" i="41"/>
  <c r="H549" i="41"/>
  <c r="T549" i="41"/>
  <c r="R549" i="41"/>
  <c r="P549" i="41"/>
  <c r="T557" i="41"/>
  <c r="L557" i="41"/>
  <c r="R557" i="41"/>
  <c r="J557" i="41"/>
  <c r="P557" i="41"/>
  <c r="H557" i="41"/>
  <c r="S557" i="41"/>
  <c r="O557" i="41"/>
  <c r="M557" i="41"/>
  <c r="I557" i="41"/>
  <c r="Q557" i="41"/>
  <c r="N557" i="41"/>
  <c r="K557" i="41"/>
  <c r="T565" i="41"/>
  <c r="L565" i="41"/>
  <c r="R565" i="41"/>
  <c r="J565" i="41"/>
  <c r="P565" i="41"/>
  <c r="H565" i="41"/>
  <c r="Q565" i="41"/>
  <c r="N565" i="41"/>
  <c r="K565" i="41"/>
  <c r="S565" i="41"/>
  <c r="O565" i="41"/>
  <c r="M565" i="41"/>
  <c r="I565" i="41"/>
  <c r="T500" i="41"/>
  <c r="L500" i="41"/>
  <c r="S500" i="41"/>
  <c r="K500" i="41"/>
  <c r="R500" i="41"/>
  <c r="J500" i="41"/>
  <c r="Q500" i="41"/>
  <c r="I500" i="41"/>
  <c r="O500" i="41"/>
  <c r="H500" i="41"/>
  <c r="P500" i="41"/>
  <c r="N500" i="41"/>
  <c r="M500" i="41"/>
  <c r="O514" i="41"/>
  <c r="N514" i="41"/>
  <c r="M514" i="41"/>
  <c r="T514" i="41"/>
  <c r="L514" i="41"/>
  <c r="S514" i="41"/>
  <c r="K514" i="41"/>
  <c r="R514" i="41"/>
  <c r="J514" i="41"/>
  <c r="Q514" i="41"/>
  <c r="I514" i="41"/>
  <c r="P514" i="41"/>
  <c r="H514" i="41"/>
  <c r="S526" i="41"/>
  <c r="K526" i="41"/>
  <c r="R526" i="41"/>
  <c r="J526" i="41"/>
  <c r="Q526" i="41"/>
  <c r="I526" i="41"/>
  <c r="P526" i="41"/>
  <c r="H526" i="41"/>
  <c r="O526" i="41"/>
  <c r="N526" i="41"/>
  <c r="M526" i="41"/>
  <c r="T526" i="41"/>
  <c r="L526" i="41"/>
  <c r="O539" i="41"/>
  <c r="M539" i="41"/>
  <c r="S539" i="41"/>
  <c r="K539" i="41"/>
  <c r="Q539" i="41"/>
  <c r="P539" i="41"/>
  <c r="N539" i="41"/>
  <c r="L539" i="41"/>
  <c r="J539" i="41"/>
  <c r="I539" i="41"/>
  <c r="T539" i="41"/>
  <c r="H539" i="41"/>
  <c r="R539" i="41"/>
  <c r="M552" i="41"/>
  <c r="S552" i="41"/>
  <c r="K552" i="41"/>
  <c r="Q552" i="41"/>
  <c r="I552" i="41"/>
  <c r="T552" i="41"/>
  <c r="P552" i="41"/>
  <c r="N552" i="41"/>
  <c r="L552" i="41"/>
  <c r="J552" i="41"/>
  <c r="H552" i="41"/>
  <c r="R552" i="41"/>
  <c r="O552" i="41"/>
  <c r="Q564" i="41"/>
  <c r="I564" i="41"/>
  <c r="O564" i="41"/>
  <c r="M564" i="41"/>
  <c r="R564" i="41"/>
  <c r="N564" i="41"/>
  <c r="K564" i="41"/>
  <c r="T564" i="41"/>
  <c r="S564" i="41"/>
  <c r="P564" i="41"/>
  <c r="L564" i="41"/>
  <c r="J564" i="41"/>
  <c r="H564" i="41"/>
  <c r="AI514" i="41" l="1"/>
  <c r="AI539" i="41"/>
  <c r="AI502" i="41"/>
  <c r="AI540" i="41"/>
  <c r="AQ516" i="41"/>
  <c r="AI556" i="41"/>
  <c r="AI553" i="41"/>
  <c r="AI517" i="41"/>
  <c r="AI519" i="41"/>
  <c r="AI494" i="41"/>
  <c r="AI568" i="41"/>
  <c r="AI546" i="41"/>
  <c r="AI492" i="41"/>
  <c r="AI561" i="41"/>
  <c r="AK565" i="41"/>
  <c r="AI515" i="41"/>
  <c r="AI493" i="41"/>
  <c r="AI495" i="41"/>
  <c r="AI516" i="41"/>
  <c r="AM493" i="41"/>
  <c r="AI510" i="41"/>
  <c r="AI547" i="41"/>
  <c r="AI525" i="41"/>
  <c r="AI527" i="41"/>
  <c r="AI548" i="41"/>
  <c r="AI518" i="41"/>
  <c r="AI555" i="41"/>
  <c r="AI533" i="41"/>
  <c r="AI535" i="41"/>
  <c r="AI529" i="41"/>
  <c r="AN497" i="41"/>
  <c r="AI542" i="41"/>
  <c r="AI528" i="41"/>
  <c r="AI557" i="41"/>
  <c r="AI559" i="41"/>
  <c r="AI521" i="41"/>
  <c r="AI513" i="41"/>
  <c r="AI508" i="41"/>
  <c r="AI551" i="41"/>
  <c r="AI562" i="41"/>
  <c r="AI549" i="41"/>
  <c r="AI520" i="41"/>
  <c r="AI496" i="41"/>
  <c r="AI507" i="41"/>
  <c r="AI534" i="41"/>
  <c r="AI569" i="41"/>
  <c r="AI564" i="41"/>
  <c r="AI500" i="41"/>
  <c r="AI543" i="41"/>
  <c r="AI554" i="41"/>
  <c r="AI541" i="41"/>
  <c r="AI512" i="41"/>
  <c r="AI563" i="41"/>
  <c r="AI499" i="41"/>
  <c r="AI526" i="41"/>
  <c r="AI537" i="41"/>
  <c r="AI532" i="41"/>
  <c r="AI498" i="41"/>
  <c r="AI511" i="41"/>
  <c r="AI522" i="41"/>
  <c r="AI509" i="41"/>
  <c r="AI544" i="41"/>
  <c r="AI531" i="41"/>
  <c r="AI558" i="41"/>
  <c r="AI497" i="41"/>
  <c r="AQ523" i="41"/>
  <c r="AI566" i="41"/>
  <c r="AI552" i="41"/>
  <c r="AI530" i="41"/>
  <c r="AI506" i="41"/>
  <c r="AI545" i="41"/>
  <c r="AE492" i="41"/>
  <c r="AO512" i="41"/>
  <c r="AI505" i="41"/>
  <c r="AI560" i="41"/>
  <c r="AI538" i="41"/>
  <c r="AH494" i="41"/>
  <c r="AI504" i="41"/>
  <c r="AI550" i="41"/>
  <c r="AI523" i="41"/>
  <c r="AI536" i="41"/>
  <c r="AI501" i="41"/>
  <c r="AI565" i="41"/>
  <c r="AI503" i="41"/>
  <c r="AI567" i="41"/>
  <c r="AI524" i="41"/>
  <c r="AN563" i="41"/>
  <c r="AN555" i="41"/>
  <c r="AM547" i="41"/>
  <c r="AN539" i="41"/>
  <c r="AM531" i="41"/>
  <c r="AE523" i="41"/>
  <c r="AN515" i="41"/>
  <c r="AN507" i="41"/>
  <c r="AN499" i="41"/>
  <c r="AH562" i="41"/>
  <c r="AH554" i="41"/>
  <c r="AH546" i="41"/>
  <c r="AH538" i="41"/>
  <c r="AH530" i="41"/>
  <c r="AH522" i="41"/>
  <c r="AH514" i="41"/>
  <c r="AH506" i="41"/>
  <c r="AH498" i="41"/>
  <c r="S646" i="41"/>
  <c r="P646" i="41"/>
  <c r="T638" i="41"/>
  <c r="J638" i="41"/>
  <c r="O630" i="41"/>
  <c r="S622" i="41"/>
  <c r="I622" i="41"/>
  <c r="M614" i="41"/>
  <c r="R614" i="41"/>
  <c r="H606" i="41"/>
  <c r="S598" i="41"/>
  <c r="N598" i="41"/>
  <c r="M590" i="41"/>
  <c r="R582" i="41"/>
  <c r="L582" i="41"/>
  <c r="AH568" i="41"/>
  <c r="AH560" i="41"/>
  <c r="AH552" i="41"/>
  <c r="AE544" i="41"/>
  <c r="AH536" i="41"/>
  <c r="AH528" i="41"/>
  <c r="AO520" i="41"/>
  <c r="AE512" i="41"/>
  <c r="AO504" i="41"/>
  <c r="AO496" i="41"/>
  <c r="S651" i="41"/>
  <c r="I651" i="41"/>
  <c r="M643" i="41"/>
  <c r="J635" i="41"/>
  <c r="H635" i="41"/>
  <c r="L627" i="41"/>
  <c r="Q627" i="41"/>
  <c r="N619" i="41"/>
  <c r="K611" i="41"/>
  <c r="P611" i="41"/>
  <c r="T603" i="41"/>
  <c r="Q595" i="41"/>
  <c r="P595" i="41"/>
  <c r="I587" i="41"/>
  <c r="M587" i="41"/>
  <c r="I579" i="41"/>
  <c r="AO567" i="41"/>
  <c r="AO559" i="41"/>
  <c r="AO551" i="41"/>
  <c r="AO543" i="41"/>
  <c r="AN535" i="41"/>
  <c r="AN527" i="41"/>
  <c r="AO519" i="41"/>
  <c r="AO511" i="41"/>
  <c r="AO503" i="41"/>
  <c r="AO495" i="41"/>
  <c r="Q648" i="41"/>
  <c r="K640" i="41"/>
  <c r="J624" i="41"/>
  <c r="I608" i="41"/>
  <c r="I600" i="41"/>
  <c r="P584" i="41"/>
  <c r="K576" i="41"/>
  <c r="AK566" i="41"/>
  <c r="AK558" i="41"/>
  <c r="AK550" i="41"/>
  <c r="AK542" i="41"/>
  <c r="AK534" i="41"/>
  <c r="AK526" i="41"/>
  <c r="AK518" i="41"/>
  <c r="AK510" i="41"/>
  <c r="AK502" i="41"/>
  <c r="AK494" i="41"/>
  <c r="S645" i="41"/>
  <c r="I637" i="41"/>
  <c r="M637" i="41"/>
  <c r="R629" i="41"/>
  <c r="H621" i="41"/>
  <c r="L621" i="41"/>
  <c r="Q613" i="41"/>
  <c r="N613" i="41"/>
  <c r="K605" i="41"/>
  <c r="R597" i="41"/>
  <c r="Q597" i="41"/>
  <c r="L589" i="41"/>
  <c r="M589" i="41"/>
  <c r="O581" i="41"/>
  <c r="AM565" i="41"/>
  <c r="AN557" i="41"/>
  <c r="AN549" i="41"/>
  <c r="AN541" i="41"/>
  <c r="AN533" i="41"/>
  <c r="AN525" i="41"/>
  <c r="AK517" i="41"/>
  <c r="AN509" i="41"/>
  <c r="AN501" i="41"/>
  <c r="AN493" i="41"/>
  <c r="P650" i="41"/>
  <c r="T650" i="41"/>
  <c r="J642" i="41"/>
  <c r="O634" i="41"/>
  <c r="S634" i="41"/>
  <c r="I626" i="41"/>
  <c r="M626" i="41"/>
  <c r="R618" i="41"/>
  <c r="H610" i="41"/>
  <c r="L610" i="41"/>
  <c r="I602" i="41"/>
  <c r="N602" i="41"/>
  <c r="H594" i="41"/>
  <c r="O586" i="41"/>
  <c r="R586" i="41"/>
  <c r="M578" i="41"/>
  <c r="N647" i="41"/>
  <c r="K647" i="41"/>
  <c r="P639" i="41"/>
  <c r="T639" i="41"/>
  <c r="J631" i="41"/>
  <c r="O623" i="41"/>
  <c r="S623" i="41"/>
  <c r="I615" i="41"/>
  <c r="M615" i="41"/>
  <c r="R607" i="41"/>
  <c r="T599" i="41"/>
  <c r="Q599" i="41"/>
  <c r="M591" i="41"/>
  <c r="J583" i="41"/>
  <c r="O583" i="41"/>
  <c r="R575" i="41"/>
  <c r="K575" i="41"/>
  <c r="R332" i="41"/>
  <c r="P332" i="41"/>
  <c r="H332" i="41"/>
  <c r="O332" i="41"/>
  <c r="M332" i="41"/>
  <c r="L332" i="41"/>
  <c r="T332" i="41"/>
  <c r="I332" i="41"/>
  <c r="S332" i="41"/>
  <c r="Q332" i="41"/>
  <c r="N332" i="41"/>
  <c r="K332" i="41"/>
  <c r="S300" i="41"/>
  <c r="K300" i="41"/>
  <c r="Q300" i="41"/>
  <c r="I300" i="41"/>
  <c r="P300" i="41"/>
  <c r="H300" i="41"/>
  <c r="N300" i="41"/>
  <c r="M300" i="41"/>
  <c r="T300" i="41"/>
  <c r="R300" i="41"/>
  <c r="O300" i="41"/>
  <c r="L300" i="41"/>
  <c r="J300" i="41"/>
  <c r="Q268" i="41"/>
  <c r="I268" i="41"/>
  <c r="M268" i="41"/>
  <c r="O268" i="41"/>
  <c r="L268" i="41"/>
  <c r="T268" i="41"/>
  <c r="J268" i="41"/>
  <c r="S268" i="41"/>
  <c r="H268" i="41"/>
  <c r="R268" i="41"/>
  <c r="K268" i="41"/>
  <c r="P268" i="41"/>
  <c r="N268" i="41"/>
  <c r="S212" i="41"/>
  <c r="K212" i="41"/>
  <c r="P212" i="41"/>
  <c r="H212" i="41"/>
  <c r="O212" i="41"/>
  <c r="N212" i="41"/>
  <c r="L212" i="41"/>
  <c r="T212" i="41"/>
  <c r="R212" i="41"/>
  <c r="Q212" i="41"/>
  <c r="Q148" i="41"/>
  <c r="O148" i="41"/>
  <c r="M148" i="41"/>
  <c r="T148" i="41"/>
  <c r="L148" i="41"/>
  <c r="S148" i="41"/>
  <c r="K148" i="41"/>
  <c r="H148" i="41"/>
  <c r="R148" i="41"/>
  <c r="P148" i="41"/>
  <c r="N148" i="41"/>
  <c r="P84" i="41"/>
  <c r="O84" i="41"/>
  <c r="T84" i="41"/>
  <c r="L84" i="41"/>
  <c r="S84" i="41"/>
  <c r="K84" i="41"/>
  <c r="R84" i="41"/>
  <c r="S353" i="41"/>
  <c r="K353" i="41"/>
  <c r="Q353" i="41"/>
  <c r="I353" i="41"/>
  <c r="O353" i="41"/>
  <c r="T353" i="41"/>
  <c r="R353" i="41"/>
  <c r="P353" i="41"/>
  <c r="N353" i="41"/>
  <c r="M353" i="41"/>
  <c r="L353" i="41"/>
  <c r="H353" i="41"/>
  <c r="R321" i="41"/>
  <c r="J321" i="41"/>
  <c r="P321" i="41"/>
  <c r="H321" i="41"/>
  <c r="O321" i="41"/>
  <c r="M321" i="41"/>
  <c r="T321" i="41"/>
  <c r="L321" i="41"/>
  <c r="I321" i="41"/>
  <c r="S321" i="41"/>
  <c r="Q321" i="41"/>
  <c r="N321" i="41"/>
  <c r="K321" i="41"/>
  <c r="P289" i="41"/>
  <c r="H289" i="41"/>
  <c r="M289" i="41"/>
  <c r="T289" i="41"/>
  <c r="L289" i="41"/>
  <c r="S289" i="41"/>
  <c r="R289" i="41"/>
  <c r="Q289" i="41"/>
  <c r="O289" i="41"/>
  <c r="N289" i="41"/>
  <c r="K289" i="41"/>
  <c r="I289" i="41"/>
  <c r="Q257" i="41"/>
  <c r="I257" i="41"/>
  <c r="O257" i="41"/>
  <c r="M257" i="41"/>
  <c r="T257" i="41"/>
  <c r="L257" i="41"/>
  <c r="S257" i="41"/>
  <c r="K257" i="41"/>
  <c r="R257" i="41"/>
  <c r="P257" i="41"/>
  <c r="N257" i="41"/>
  <c r="J257" i="41"/>
  <c r="H257" i="41"/>
  <c r="H235" i="41"/>
  <c r="M235" i="41"/>
  <c r="T235" i="41"/>
  <c r="L235" i="41"/>
  <c r="J235" i="41"/>
  <c r="S235" i="41"/>
  <c r="R235" i="41"/>
  <c r="Q235" i="41"/>
  <c r="O235" i="41"/>
  <c r="N235" i="41"/>
  <c r="K235" i="41"/>
  <c r="T171" i="41"/>
  <c r="L171" i="41"/>
  <c r="S171" i="41"/>
  <c r="K171" i="41"/>
  <c r="R171" i="41"/>
  <c r="P171" i="41"/>
  <c r="O171" i="41"/>
  <c r="T107" i="41"/>
  <c r="L107" i="41"/>
  <c r="P107" i="41"/>
  <c r="H107" i="41"/>
  <c r="K107" i="41"/>
  <c r="S107" i="41"/>
  <c r="R107" i="41"/>
  <c r="Q107" i="41"/>
  <c r="O107" i="41"/>
  <c r="N107" i="41"/>
  <c r="M43" i="41"/>
  <c r="T43" i="41"/>
  <c r="L43" i="41"/>
  <c r="S43" i="41"/>
  <c r="K43" i="41"/>
  <c r="R43" i="41"/>
  <c r="Q43" i="41"/>
  <c r="P43" i="41"/>
  <c r="H43" i="41"/>
  <c r="O43" i="41"/>
  <c r="N43" i="41"/>
  <c r="Y471" i="41"/>
  <c r="Y455" i="41"/>
  <c r="Y439" i="41"/>
  <c r="Y423" i="41"/>
  <c r="Y407" i="41"/>
  <c r="Y391" i="41"/>
  <c r="Y375" i="41"/>
  <c r="Y359" i="41"/>
  <c r="R226" i="41"/>
  <c r="Q226" i="41"/>
  <c r="L226" i="41"/>
  <c r="K226" i="41"/>
  <c r="H226" i="41"/>
  <c r="T226" i="41"/>
  <c r="S226" i="41"/>
  <c r="P226" i="41"/>
  <c r="O226" i="41"/>
  <c r="N226" i="41"/>
  <c r="S162" i="41"/>
  <c r="K162" i="41"/>
  <c r="R162" i="41"/>
  <c r="P162" i="41"/>
  <c r="O162" i="41"/>
  <c r="T162" i="41"/>
  <c r="L162" i="41"/>
  <c r="Q98" i="41"/>
  <c r="M98" i="41"/>
  <c r="L98" i="41"/>
  <c r="K98" i="41"/>
  <c r="T98" i="41"/>
  <c r="J98" i="41"/>
  <c r="S98" i="41"/>
  <c r="H98" i="41"/>
  <c r="R98" i="41"/>
  <c r="P98" i="41"/>
  <c r="O98" i="41"/>
  <c r="N98" i="41"/>
  <c r="R34" i="41"/>
  <c r="J34" i="41"/>
  <c r="P34" i="41"/>
  <c r="H34" i="41"/>
  <c r="O34" i="41"/>
  <c r="M34" i="41"/>
  <c r="T34" i="41"/>
  <c r="L34" i="41"/>
  <c r="I34" i="41"/>
  <c r="K34" i="41"/>
  <c r="S34" i="41"/>
  <c r="Q34" i="41"/>
  <c r="N34" i="41"/>
  <c r="Q355" i="41"/>
  <c r="I355" i="41"/>
  <c r="O355" i="41"/>
  <c r="M355" i="41"/>
  <c r="S355" i="41"/>
  <c r="R355" i="41"/>
  <c r="P355" i="41"/>
  <c r="N355" i="41"/>
  <c r="L355" i="41"/>
  <c r="K355" i="41"/>
  <c r="J355" i="41"/>
  <c r="T355" i="41"/>
  <c r="H355" i="41"/>
  <c r="P323" i="41"/>
  <c r="H323" i="41"/>
  <c r="N323" i="41"/>
  <c r="M323" i="41"/>
  <c r="S323" i="41"/>
  <c r="K323" i="41"/>
  <c r="R323" i="41"/>
  <c r="J323" i="41"/>
  <c r="T323" i="41"/>
  <c r="Q323" i="41"/>
  <c r="O323" i="41"/>
  <c r="L323" i="41"/>
  <c r="I323" i="41"/>
  <c r="N291" i="41"/>
  <c r="S291" i="41"/>
  <c r="K291" i="41"/>
  <c r="R291" i="41"/>
  <c r="J291" i="41"/>
  <c r="T291" i="41"/>
  <c r="Q291" i="41"/>
  <c r="P291" i="41"/>
  <c r="O291" i="41"/>
  <c r="M291" i="41"/>
  <c r="L291" i="41"/>
  <c r="I291" i="41"/>
  <c r="H291" i="41"/>
  <c r="R259" i="41"/>
  <c r="O259" i="41"/>
  <c r="M259" i="41"/>
  <c r="T259" i="41"/>
  <c r="K259" i="41"/>
  <c r="S259" i="41"/>
  <c r="Q259" i="41"/>
  <c r="I259" i="41"/>
  <c r="N259" i="41"/>
  <c r="L259" i="41"/>
  <c r="H259" i="41"/>
  <c r="P259" i="41"/>
  <c r="N121" i="41"/>
  <c r="S121" i="41"/>
  <c r="K121" i="41"/>
  <c r="R121" i="41"/>
  <c r="Q121" i="41"/>
  <c r="P121" i="41"/>
  <c r="O121" i="41"/>
  <c r="L121" i="41"/>
  <c r="H121" i="41"/>
  <c r="T121" i="41"/>
  <c r="O57" i="41"/>
  <c r="N57" i="41"/>
  <c r="M57" i="41"/>
  <c r="T57" i="41"/>
  <c r="L57" i="41"/>
  <c r="S57" i="41"/>
  <c r="K57" i="41"/>
  <c r="R57" i="41"/>
  <c r="Q57" i="41"/>
  <c r="P57" i="41"/>
  <c r="H57" i="41"/>
  <c r="Y474" i="41"/>
  <c r="Y442" i="41"/>
  <c r="Y410" i="41"/>
  <c r="Y378" i="41"/>
  <c r="P336" i="41"/>
  <c r="H336" i="41"/>
  <c r="N336" i="41"/>
  <c r="T336" i="41"/>
  <c r="L336" i="41"/>
  <c r="S336" i="41"/>
  <c r="R336" i="41"/>
  <c r="O336" i="41"/>
  <c r="M336" i="41"/>
  <c r="Q336" i="41"/>
  <c r="K336" i="41"/>
  <c r="I336" i="41"/>
  <c r="O304" i="41"/>
  <c r="M304" i="41"/>
  <c r="T304" i="41"/>
  <c r="L304" i="41"/>
  <c r="R304" i="41"/>
  <c r="Q304" i="41"/>
  <c r="I304" i="41"/>
  <c r="P304" i="41"/>
  <c r="N304" i="41"/>
  <c r="K304" i="41"/>
  <c r="H304" i="41"/>
  <c r="S304" i="41"/>
  <c r="M272" i="41"/>
  <c r="Q272" i="41"/>
  <c r="I272" i="41"/>
  <c r="P272" i="41"/>
  <c r="N272" i="41"/>
  <c r="K272" i="41"/>
  <c r="T272" i="41"/>
  <c r="J272" i="41"/>
  <c r="S272" i="41"/>
  <c r="H272" i="41"/>
  <c r="O272" i="41"/>
  <c r="L272" i="41"/>
  <c r="R272" i="41"/>
  <c r="T80" i="41"/>
  <c r="L80" i="41"/>
  <c r="S80" i="41"/>
  <c r="K80" i="41"/>
  <c r="R80" i="41"/>
  <c r="Q80" i="41"/>
  <c r="P80" i="41"/>
  <c r="H80" i="41"/>
  <c r="O80" i="41"/>
  <c r="N80" i="41"/>
  <c r="T239" i="41"/>
  <c r="L239" i="41"/>
  <c r="P239" i="41"/>
  <c r="S239" i="41"/>
  <c r="R239" i="41"/>
  <c r="O239" i="41"/>
  <c r="R175" i="41"/>
  <c r="Q175" i="41"/>
  <c r="P175" i="41"/>
  <c r="H175" i="41"/>
  <c r="O175" i="41"/>
  <c r="N175" i="41"/>
  <c r="T175" i="41"/>
  <c r="L175" i="41"/>
  <c r="S175" i="41"/>
  <c r="K175" i="41"/>
  <c r="H111" i="41"/>
  <c r="T111" i="41"/>
  <c r="L111" i="41"/>
  <c r="N111" i="41"/>
  <c r="M111" i="41"/>
  <c r="K111" i="41"/>
  <c r="J111" i="41"/>
  <c r="S111" i="41"/>
  <c r="R111" i="41"/>
  <c r="Q111" i="41"/>
  <c r="O111" i="41"/>
  <c r="P47" i="41"/>
  <c r="O47" i="41"/>
  <c r="T47" i="41"/>
  <c r="L47" i="41"/>
  <c r="S47" i="41"/>
  <c r="R47" i="41"/>
  <c r="P469" i="41"/>
  <c r="H469" i="41"/>
  <c r="O469" i="41"/>
  <c r="N469" i="41"/>
  <c r="M469" i="41"/>
  <c r="S469" i="41"/>
  <c r="K469" i="41"/>
  <c r="L469" i="41"/>
  <c r="I469" i="41"/>
  <c r="T469" i="41"/>
  <c r="R469" i="41"/>
  <c r="Q469" i="41"/>
  <c r="S453" i="41"/>
  <c r="R453" i="41"/>
  <c r="Q453" i="41"/>
  <c r="I453" i="41"/>
  <c r="N453" i="41"/>
  <c r="M453" i="41"/>
  <c r="L453" i="41"/>
  <c r="K453" i="41"/>
  <c r="H453" i="41"/>
  <c r="T453" i="41"/>
  <c r="P453" i="41"/>
  <c r="O453" i="41"/>
  <c r="R437" i="41"/>
  <c r="J437" i="41"/>
  <c r="Q437" i="41"/>
  <c r="I437" i="41"/>
  <c r="N437" i="41"/>
  <c r="P437" i="41"/>
  <c r="O437" i="41"/>
  <c r="M437" i="41"/>
  <c r="L437" i="41"/>
  <c r="K437" i="41"/>
  <c r="H437" i="41"/>
  <c r="T437" i="41"/>
  <c r="S437" i="41"/>
  <c r="R421" i="41"/>
  <c r="Q421" i="41"/>
  <c r="I421" i="41"/>
  <c r="N421" i="41"/>
  <c r="T421" i="41"/>
  <c r="S421" i="41"/>
  <c r="P421" i="41"/>
  <c r="O421" i="41"/>
  <c r="M421" i="41"/>
  <c r="L421" i="41"/>
  <c r="K421" i="41"/>
  <c r="H421" i="41"/>
  <c r="R405" i="41"/>
  <c r="J405" i="41"/>
  <c r="Q405" i="41"/>
  <c r="I405" i="41"/>
  <c r="N405" i="41"/>
  <c r="K405" i="41"/>
  <c r="H405" i="41"/>
  <c r="T405" i="41"/>
  <c r="S405" i="41"/>
  <c r="P405" i="41"/>
  <c r="O405" i="41"/>
  <c r="M405" i="41"/>
  <c r="L405" i="41"/>
  <c r="R389" i="41"/>
  <c r="J389" i="41"/>
  <c r="Q389" i="41"/>
  <c r="I389" i="41"/>
  <c r="N389" i="41"/>
  <c r="M389" i="41"/>
  <c r="K389" i="41"/>
  <c r="T389" i="41"/>
  <c r="S389" i="41"/>
  <c r="P389" i="41"/>
  <c r="O389" i="41"/>
  <c r="L389" i="41"/>
  <c r="H389" i="41"/>
  <c r="Q373" i="41"/>
  <c r="I373" i="41"/>
  <c r="O373" i="41"/>
  <c r="M373" i="41"/>
  <c r="T373" i="41"/>
  <c r="L373" i="41"/>
  <c r="S373" i="41"/>
  <c r="K373" i="41"/>
  <c r="R373" i="41"/>
  <c r="P373" i="41"/>
  <c r="N373" i="41"/>
  <c r="J373" i="41"/>
  <c r="H373" i="41"/>
  <c r="N338" i="41"/>
  <c r="T338" i="41"/>
  <c r="L338" i="41"/>
  <c r="R338" i="41"/>
  <c r="I338" i="41"/>
  <c r="H338" i="41"/>
  <c r="S338" i="41"/>
  <c r="Q338" i="41"/>
  <c r="O338" i="41"/>
  <c r="M338" i="41"/>
  <c r="P338" i="41"/>
  <c r="K338" i="41"/>
  <c r="M306" i="41"/>
  <c r="S306" i="41"/>
  <c r="K306" i="41"/>
  <c r="R306" i="41"/>
  <c r="J306" i="41"/>
  <c r="P306" i="41"/>
  <c r="H306" i="41"/>
  <c r="O306" i="41"/>
  <c r="L306" i="41"/>
  <c r="I306" i="41"/>
  <c r="T306" i="41"/>
  <c r="Q306" i="41"/>
  <c r="N306" i="41"/>
  <c r="S274" i="41"/>
  <c r="K274" i="41"/>
  <c r="O274" i="41"/>
  <c r="L274" i="41"/>
  <c r="T274" i="41"/>
  <c r="I274" i="41"/>
  <c r="Q274" i="41"/>
  <c r="P274" i="41"/>
  <c r="N274" i="41"/>
  <c r="R274" i="41"/>
  <c r="M274" i="41"/>
  <c r="J274" i="41"/>
  <c r="H274" i="41"/>
  <c r="S190" i="41"/>
  <c r="R190" i="41"/>
  <c r="P190" i="41"/>
  <c r="O190" i="41"/>
  <c r="L190" i="41"/>
  <c r="K190" i="41"/>
  <c r="T190" i="41"/>
  <c r="M126" i="41"/>
  <c r="R126" i="41"/>
  <c r="J126" i="41"/>
  <c r="Q126" i="41"/>
  <c r="O126" i="41"/>
  <c r="N126" i="41"/>
  <c r="L126" i="41"/>
  <c r="K126" i="41"/>
  <c r="H126" i="41"/>
  <c r="S126" i="41"/>
  <c r="N62" i="41"/>
  <c r="M62" i="41"/>
  <c r="T62" i="41"/>
  <c r="L62" i="41"/>
  <c r="S62" i="41"/>
  <c r="K62" i="41"/>
  <c r="R62" i="41"/>
  <c r="J62" i="41"/>
  <c r="Q62" i="41"/>
  <c r="P62" i="41"/>
  <c r="H62" i="41"/>
  <c r="O62" i="41"/>
  <c r="T303" i="41"/>
  <c r="L303" i="41"/>
  <c r="R303" i="41"/>
  <c r="J303" i="41"/>
  <c r="Q303" i="41"/>
  <c r="I303" i="41"/>
  <c r="O303" i="41"/>
  <c r="N303" i="41"/>
  <c r="H303" i="41"/>
  <c r="S303" i="41"/>
  <c r="P303" i="41"/>
  <c r="M303" i="41"/>
  <c r="K303" i="41"/>
  <c r="T133" i="41"/>
  <c r="L133" i="41"/>
  <c r="R133" i="41"/>
  <c r="P133" i="41"/>
  <c r="O133" i="41"/>
  <c r="K133" i="41"/>
  <c r="S133" i="41"/>
  <c r="S69" i="41"/>
  <c r="K69" i="41"/>
  <c r="R69" i="41"/>
  <c r="Q69" i="41"/>
  <c r="P69" i="41"/>
  <c r="H69" i="41"/>
  <c r="O69" i="41"/>
  <c r="N69" i="41"/>
  <c r="T69" i="41"/>
  <c r="L69" i="41"/>
  <c r="Y476" i="41"/>
  <c r="R460" i="41"/>
  <c r="J460" i="41"/>
  <c r="P460" i="41"/>
  <c r="H460" i="41"/>
  <c r="S460" i="41"/>
  <c r="Q460" i="41"/>
  <c r="O460" i="41"/>
  <c r="N460" i="41"/>
  <c r="M460" i="41"/>
  <c r="L460" i="41"/>
  <c r="K460" i="41"/>
  <c r="T460" i="41"/>
  <c r="I460" i="41"/>
  <c r="O444" i="41"/>
  <c r="N444" i="41"/>
  <c r="S444" i="41"/>
  <c r="K444" i="41"/>
  <c r="P444" i="41"/>
  <c r="M444" i="41"/>
  <c r="L444" i="41"/>
  <c r="J444" i="41"/>
  <c r="I444" i="41"/>
  <c r="T444" i="41"/>
  <c r="H444" i="41"/>
  <c r="R444" i="41"/>
  <c r="Q444" i="41"/>
  <c r="O428" i="41"/>
  <c r="N428" i="41"/>
  <c r="S428" i="41"/>
  <c r="K428" i="41"/>
  <c r="R428" i="41"/>
  <c r="Q428" i="41"/>
  <c r="P428" i="41"/>
  <c r="M428" i="41"/>
  <c r="L428" i="41"/>
  <c r="J428" i="41"/>
  <c r="I428" i="41"/>
  <c r="T428" i="41"/>
  <c r="H428" i="41"/>
  <c r="O412" i="41"/>
  <c r="N412" i="41"/>
  <c r="S412" i="41"/>
  <c r="K412" i="41"/>
  <c r="I412" i="41"/>
  <c r="T412" i="41"/>
  <c r="H412" i="41"/>
  <c r="R412" i="41"/>
  <c r="Q412" i="41"/>
  <c r="P412" i="41"/>
  <c r="M412" i="41"/>
  <c r="L412" i="41"/>
  <c r="J412" i="41"/>
  <c r="O396" i="41"/>
  <c r="N396" i="41"/>
  <c r="S396" i="41"/>
  <c r="K396" i="41"/>
  <c r="L396" i="41"/>
  <c r="I396" i="41"/>
  <c r="R396" i="41"/>
  <c r="Q396" i="41"/>
  <c r="P396" i="41"/>
  <c r="M396" i="41"/>
  <c r="J396" i="41"/>
  <c r="H396" i="41"/>
  <c r="T396" i="41"/>
  <c r="O380" i="41"/>
  <c r="N380" i="41"/>
  <c r="S380" i="41"/>
  <c r="K380" i="41"/>
  <c r="P380" i="41"/>
  <c r="L380" i="41"/>
  <c r="I380" i="41"/>
  <c r="T380" i="41"/>
  <c r="H380" i="41"/>
  <c r="R380" i="41"/>
  <c r="Q380" i="41"/>
  <c r="M380" i="41"/>
  <c r="J380" i="41"/>
  <c r="N364" i="41"/>
  <c r="T364" i="41"/>
  <c r="L364" i="41"/>
  <c r="R364" i="41"/>
  <c r="J364" i="41"/>
  <c r="Q364" i="41"/>
  <c r="I364" i="41"/>
  <c r="P364" i="41"/>
  <c r="H364" i="41"/>
  <c r="O364" i="41"/>
  <c r="M364" i="41"/>
  <c r="K364" i="41"/>
  <c r="S364" i="41"/>
  <c r="AO563" i="41"/>
  <c r="AO555" i="41"/>
  <c r="AN547" i="41"/>
  <c r="AO539" i="41"/>
  <c r="AN531" i="41"/>
  <c r="AN523" i="41"/>
  <c r="AO515" i="41"/>
  <c r="AO507" i="41"/>
  <c r="AO499" i="41"/>
  <c r="AK562" i="41"/>
  <c r="AK554" i="41"/>
  <c r="AK546" i="41"/>
  <c r="AK538" i="41"/>
  <c r="AK530" i="41"/>
  <c r="AK522" i="41"/>
  <c r="AK514" i="41"/>
  <c r="AK506" i="41"/>
  <c r="AK498" i="41"/>
  <c r="AE569" i="41"/>
  <c r="AE561" i="41"/>
  <c r="AE553" i="41"/>
  <c r="AE545" i="41"/>
  <c r="AE537" i="41"/>
  <c r="AE529" i="41"/>
  <c r="AE521" i="41"/>
  <c r="AE513" i="41"/>
  <c r="AE505" i="41"/>
  <c r="AE497" i="41"/>
  <c r="K646" i="41"/>
  <c r="I646" i="41"/>
  <c r="M638" i="41"/>
  <c r="R638" i="41"/>
  <c r="H630" i="41"/>
  <c r="L622" i="41"/>
  <c r="Q622" i="41"/>
  <c r="N614" i="41"/>
  <c r="K606" i="41"/>
  <c r="P606" i="41"/>
  <c r="I598" i="41"/>
  <c r="H598" i="41"/>
  <c r="O590" i="41"/>
  <c r="S582" i="41"/>
  <c r="T582" i="41"/>
  <c r="AK568" i="41"/>
  <c r="AK560" i="41"/>
  <c r="AK552" i="41"/>
  <c r="AH544" i="41"/>
  <c r="AO536" i="41"/>
  <c r="AO528" i="41"/>
  <c r="AH520" i="41"/>
  <c r="AH512" i="41"/>
  <c r="AH504" i="41"/>
  <c r="AH496" i="41"/>
  <c r="L651" i="41"/>
  <c r="K635" i="41"/>
  <c r="R619" i="41"/>
  <c r="S611" i="41"/>
  <c r="R595" i="41"/>
  <c r="L587" i="41"/>
  <c r="AN567" i="41"/>
  <c r="AQ559" i="41"/>
  <c r="AQ551" i="41"/>
  <c r="AQ543" i="41"/>
  <c r="AO535" i="41"/>
  <c r="AO527" i="41"/>
  <c r="AQ519" i="41"/>
  <c r="AQ511" i="41"/>
  <c r="AN503" i="41"/>
  <c r="AQ495" i="41"/>
  <c r="P645" i="41"/>
  <c r="L645" i="41"/>
  <c r="Q637" i="41"/>
  <c r="N637" i="41"/>
  <c r="K629" i="41"/>
  <c r="P621" i="41"/>
  <c r="T621" i="41"/>
  <c r="J613" i="41"/>
  <c r="O613" i="41"/>
  <c r="S605" i="41"/>
  <c r="T597" i="41"/>
  <c r="K597" i="41"/>
  <c r="N589" i="41"/>
  <c r="J581" i="41"/>
  <c r="I581" i="41"/>
  <c r="AN565" i="41"/>
  <c r="AO557" i="41"/>
  <c r="AO549" i="41"/>
  <c r="AO541" i="41"/>
  <c r="AO533" i="41"/>
  <c r="AO525" i="41"/>
  <c r="AN517" i="41"/>
  <c r="AO509" i="41"/>
  <c r="AO501" i="41"/>
  <c r="AO493" i="41"/>
  <c r="I650" i="41"/>
  <c r="M650" i="41"/>
  <c r="R642" i="41"/>
  <c r="H634" i="41"/>
  <c r="L634" i="41"/>
  <c r="Q626" i="41"/>
  <c r="N626" i="41"/>
  <c r="K618" i="41"/>
  <c r="P610" i="41"/>
  <c r="T610" i="41"/>
  <c r="Q602" i="41"/>
  <c r="Q594" i="41"/>
  <c r="P594" i="41"/>
  <c r="Q586" i="41"/>
  <c r="L586" i="41"/>
  <c r="O578" i="41"/>
  <c r="AK564" i="41"/>
  <c r="AK556" i="41"/>
  <c r="AK548" i="41"/>
  <c r="AK540" i="41"/>
  <c r="AK532" i="41"/>
  <c r="AK524" i="41"/>
  <c r="AK516" i="41"/>
  <c r="AK508" i="41"/>
  <c r="AK500" i="41"/>
  <c r="AK492" i="41"/>
  <c r="S204" i="41"/>
  <c r="K204" i="41"/>
  <c r="P204" i="41"/>
  <c r="H204" i="41"/>
  <c r="O204" i="41"/>
  <c r="Q204" i="41"/>
  <c r="N204" i="41"/>
  <c r="L204" i="41"/>
  <c r="T204" i="41"/>
  <c r="R204" i="41"/>
  <c r="Q140" i="41"/>
  <c r="O140" i="41"/>
  <c r="M140" i="41"/>
  <c r="T140" i="41"/>
  <c r="L140" i="41"/>
  <c r="S140" i="41"/>
  <c r="K140" i="41"/>
  <c r="R140" i="41"/>
  <c r="P140" i="41"/>
  <c r="N140" i="41"/>
  <c r="H140" i="41"/>
  <c r="H76" i="41"/>
  <c r="O76" i="41"/>
  <c r="N76" i="41"/>
  <c r="M76" i="41"/>
  <c r="L76" i="41"/>
  <c r="S76" i="41"/>
  <c r="K76" i="41"/>
  <c r="R76" i="41"/>
  <c r="J76" i="41"/>
  <c r="Q76" i="41"/>
  <c r="P227" i="41"/>
  <c r="H227" i="41"/>
  <c r="T227" i="41"/>
  <c r="L227" i="41"/>
  <c r="K227" i="41"/>
  <c r="S227" i="41"/>
  <c r="R227" i="41"/>
  <c r="Q227" i="41"/>
  <c r="O227" i="41"/>
  <c r="N227" i="41"/>
  <c r="N163" i="41"/>
  <c r="M163" i="41"/>
  <c r="L163" i="41"/>
  <c r="S163" i="41"/>
  <c r="K163" i="41"/>
  <c r="R163" i="41"/>
  <c r="J163" i="41"/>
  <c r="Q163" i="41"/>
  <c r="H163" i="41"/>
  <c r="O163" i="41"/>
  <c r="T99" i="41"/>
  <c r="L99" i="41"/>
  <c r="P99" i="41"/>
  <c r="H99" i="41"/>
  <c r="J99" i="41"/>
  <c r="S99" i="41"/>
  <c r="R99" i="41"/>
  <c r="Q99" i="41"/>
  <c r="O99" i="41"/>
  <c r="N99" i="41"/>
  <c r="M99" i="41"/>
  <c r="K99" i="41"/>
  <c r="M35" i="41"/>
  <c r="T35" i="41"/>
  <c r="S35" i="41"/>
  <c r="K35" i="41"/>
  <c r="J35" i="41"/>
  <c r="P35" i="41"/>
  <c r="H35" i="41"/>
  <c r="O35" i="41"/>
  <c r="Q35" i="41"/>
  <c r="N35" i="41"/>
  <c r="L35" i="41"/>
  <c r="R467" i="41"/>
  <c r="J467" i="41"/>
  <c r="Q467" i="41"/>
  <c r="I467" i="41"/>
  <c r="P467" i="41"/>
  <c r="H467" i="41"/>
  <c r="O467" i="41"/>
  <c r="M467" i="41"/>
  <c r="S467" i="41"/>
  <c r="N467" i="41"/>
  <c r="L467" i="41"/>
  <c r="K467" i="41"/>
  <c r="T467" i="41"/>
  <c r="T451" i="41"/>
  <c r="L451" i="41"/>
  <c r="S451" i="41"/>
  <c r="K451" i="41"/>
  <c r="P451" i="41"/>
  <c r="H451" i="41"/>
  <c r="N451" i="41"/>
  <c r="M451" i="41"/>
  <c r="I451" i="41"/>
  <c r="R451" i="41"/>
  <c r="Q451" i="41"/>
  <c r="O451" i="41"/>
  <c r="T435" i="41"/>
  <c r="L435" i="41"/>
  <c r="S435" i="41"/>
  <c r="K435" i="41"/>
  <c r="P435" i="41"/>
  <c r="H435" i="41"/>
  <c r="Q435" i="41"/>
  <c r="O435" i="41"/>
  <c r="N435" i="41"/>
  <c r="M435" i="41"/>
  <c r="J435" i="41"/>
  <c r="I435" i="41"/>
  <c r="R435" i="41"/>
  <c r="T419" i="41"/>
  <c r="L419" i="41"/>
  <c r="S419" i="41"/>
  <c r="K419" i="41"/>
  <c r="P419" i="41"/>
  <c r="H419" i="41"/>
  <c r="R419" i="41"/>
  <c r="Q419" i="41"/>
  <c r="O419" i="41"/>
  <c r="N419" i="41"/>
  <c r="M419" i="41"/>
  <c r="J419" i="41"/>
  <c r="I419" i="41"/>
  <c r="T403" i="41"/>
  <c r="L403" i="41"/>
  <c r="S403" i="41"/>
  <c r="K403" i="41"/>
  <c r="P403" i="41"/>
  <c r="H403" i="41"/>
  <c r="J403" i="41"/>
  <c r="I403" i="41"/>
  <c r="R403" i="41"/>
  <c r="Q403" i="41"/>
  <c r="O403" i="41"/>
  <c r="N403" i="41"/>
  <c r="M403" i="41"/>
  <c r="T387" i="41"/>
  <c r="L387" i="41"/>
  <c r="S387" i="41"/>
  <c r="K387" i="41"/>
  <c r="P387" i="41"/>
  <c r="H387" i="41"/>
  <c r="N387" i="41"/>
  <c r="J387" i="41"/>
  <c r="R387" i="41"/>
  <c r="Q387" i="41"/>
  <c r="O387" i="41"/>
  <c r="M387" i="41"/>
  <c r="I387" i="41"/>
  <c r="S371" i="41"/>
  <c r="K371" i="41"/>
  <c r="Q371" i="41"/>
  <c r="I371" i="41"/>
  <c r="O371" i="41"/>
  <c r="N371" i="41"/>
  <c r="M371" i="41"/>
  <c r="J371" i="41"/>
  <c r="H371" i="41"/>
  <c r="T371" i="41"/>
  <c r="R371" i="41"/>
  <c r="P371" i="41"/>
  <c r="L371" i="41"/>
  <c r="P326" i="41"/>
  <c r="H326" i="41"/>
  <c r="N326" i="41"/>
  <c r="S326" i="41"/>
  <c r="I326" i="41"/>
  <c r="Q326" i="41"/>
  <c r="O326" i="41"/>
  <c r="L326" i="41"/>
  <c r="K326" i="41"/>
  <c r="R326" i="41"/>
  <c r="M326" i="41"/>
  <c r="J326" i="41"/>
  <c r="T326" i="41"/>
  <c r="O294" i="41"/>
  <c r="T294" i="41"/>
  <c r="L294" i="41"/>
  <c r="S294" i="41"/>
  <c r="K294" i="41"/>
  <c r="R294" i="41"/>
  <c r="Q294" i="41"/>
  <c r="P294" i="41"/>
  <c r="N294" i="41"/>
  <c r="M294" i="41"/>
  <c r="I294" i="41"/>
  <c r="H294" i="41"/>
  <c r="O262" i="41"/>
  <c r="S262" i="41"/>
  <c r="K262" i="41"/>
  <c r="R262" i="41"/>
  <c r="H262" i="41"/>
  <c r="P262" i="41"/>
  <c r="M262" i="41"/>
  <c r="L262" i="41"/>
  <c r="J262" i="41"/>
  <c r="T262" i="41"/>
  <c r="Q262" i="41"/>
  <c r="N262" i="41"/>
  <c r="I262" i="41"/>
  <c r="M218" i="41"/>
  <c r="R218" i="41"/>
  <c r="J218" i="41"/>
  <c r="Q218" i="41"/>
  <c r="N218" i="41"/>
  <c r="L218" i="41"/>
  <c r="K218" i="41"/>
  <c r="H218" i="41"/>
  <c r="T218" i="41"/>
  <c r="S218" i="41"/>
  <c r="P218" i="41"/>
  <c r="O218" i="41"/>
  <c r="S154" i="41"/>
  <c r="K154" i="41"/>
  <c r="Q154" i="41"/>
  <c r="I154" i="41"/>
  <c r="O154" i="41"/>
  <c r="N154" i="41"/>
  <c r="M154" i="41"/>
  <c r="P154" i="41"/>
  <c r="L154" i="41"/>
  <c r="J154" i="41"/>
  <c r="H154" i="41"/>
  <c r="T154" i="41"/>
  <c r="R154" i="41"/>
  <c r="R90" i="41"/>
  <c r="J90" i="41"/>
  <c r="Q90" i="41"/>
  <c r="H90" i="41"/>
  <c r="O90" i="41"/>
  <c r="N90" i="41"/>
  <c r="M90" i="41"/>
  <c r="T90" i="41"/>
  <c r="L90" i="41"/>
  <c r="K90" i="41"/>
  <c r="S90" i="41"/>
  <c r="R26" i="41"/>
  <c r="J26" i="41"/>
  <c r="P26" i="41"/>
  <c r="H26" i="41"/>
  <c r="O26" i="41"/>
  <c r="M26" i="41"/>
  <c r="T26" i="41"/>
  <c r="L26" i="41"/>
  <c r="I26" i="41"/>
  <c r="S26" i="41"/>
  <c r="Q26" i="41"/>
  <c r="N26" i="41"/>
  <c r="K26" i="41"/>
  <c r="N113" i="41"/>
  <c r="R113" i="41"/>
  <c r="T113" i="41"/>
  <c r="S113" i="41"/>
  <c r="H113" i="41"/>
  <c r="Q113" i="41"/>
  <c r="P113" i="41"/>
  <c r="O113" i="41"/>
  <c r="L113" i="41"/>
  <c r="K113" i="41"/>
  <c r="O49" i="41"/>
  <c r="N49" i="41"/>
  <c r="M49" i="41"/>
  <c r="T49" i="41"/>
  <c r="L49" i="41"/>
  <c r="S49" i="41"/>
  <c r="K49" i="41"/>
  <c r="R49" i="41"/>
  <c r="J49" i="41"/>
  <c r="Q49" i="41"/>
  <c r="H49" i="41"/>
  <c r="S470" i="41"/>
  <c r="K470" i="41"/>
  <c r="R470" i="41"/>
  <c r="Q470" i="41"/>
  <c r="I470" i="41"/>
  <c r="P470" i="41"/>
  <c r="H470" i="41"/>
  <c r="N470" i="41"/>
  <c r="T470" i="41"/>
  <c r="O470" i="41"/>
  <c r="M470" i="41"/>
  <c r="L470" i="41"/>
  <c r="O454" i="41"/>
  <c r="N454" i="41"/>
  <c r="M454" i="41"/>
  <c r="T454" i="41"/>
  <c r="L454" i="41"/>
  <c r="S454" i="41"/>
  <c r="R454" i="41"/>
  <c r="J454" i="41"/>
  <c r="Q454" i="41"/>
  <c r="I454" i="41"/>
  <c r="P454" i="41"/>
  <c r="K454" i="41"/>
  <c r="H454" i="41"/>
  <c r="M438" i="41"/>
  <c r="T438" i="41"/>
  <c r="L438" i="41"/>
  <c r="Q438" i="41"/>
  <c r="I438" i="41"/>
  <c r="P438" i="41"/>
  <c r="O438" i="41"/>
  <c r="N438" i="41"/>
  <c r="K438" i="41"/>
  <c r="J438" i="41"/>
  <c r="H438" i="41"/>
  <c r="S438" i="41"/>
  <c r="R438" i="41"/>
  <c r="M422" i="41"/>
  <c r="T422" i="41"/>
  <c r="L422" i="41"/>
  <c r="Q422" i="41"/>
  <c r="I422" i="41"/>
  <c r="S422" i="41"/>
  <c r="R422" i="41"/>
  <c r="P422" i="41"/>
  <c r="O422" i="41"/>
  <c r="N422" i="41"/>
  <c r="K422" i="41"/>
  <c r="J422" i="41"/>
  <c r="H422" i="41"/>
  <c r="Y406" i="41"/>
  <c r="Y390" i="41"/>
  <c r="Y374" i="41"/>
  <c r="T72" i="41"/>
  <c r="L72" i="41"/>
  <c r="S72" i="41"/>
  <c r="K72" i="41"/>
  <c r="R72" i="41"/>
  <c r="Q72" i="41"/>
  <c r="P72" i="41"/>
  <c r="H72" i="41"/>
  <c r="O72" i="41"/>
  <c r="N72" i="41"/>
  <c r="M72" i="41"/>
  <c r="O341" i="41"/>
  <c r="M341" i="41"/>
  <c r="S341" i="41"/>
  <c r="K341" i="41"/>
  <c r="I341" i="41"/>
  <c r="T341" i="41"/>
  <c r="H341" i="41"/>
  <c r="R341" i="41"/>
  <c r="Q341" i="41"/>
  <c r="P341" i="41"/>
  <c r="N341" i="41"/>
  <c r="L341" i="41"/>
  <c r="J341" i="41"/>
  <c r="N309" i="41"/>
  <c r="T309" i="41"/>
  <c r="L309" i="41"/>
  <c r="S309" i="41"/>
  <c r="K309" i="41"/>
  <c r="Q309" i="41"/>
  <c r="I309" i="41"/>
  <c r="P309" i="41"/>
  <c r="H309" i="41"/>
  <c r="O309" i="41"/>
  <c r="M309" i="41"/>
  <c r="R309" i="41"/>
  <c r="T277" i="41"/>
  <c r="L277" i="41"/>
  <c r="Q277" i="41"/>
  <c r="I277" i="41"/>
  <c r="P277" i="41"/>
  <c r="H277" i="41"/>
  <c r="J277" i="41"/>
  <c r="S277" i="41"/>
  <c r="O277" i="41"/>
  <c r="N277" i="41"/>
  <c r="M277" i="41"/>
  <c r="K277" i="41"/>
  <c r="R277" i="41"/>
  <c r="T231" i="41"/>
  <c r="L231" i="41"/>
  <c r="P231" i="41"/>
  <c r="K231" i="41"/>
  <c r="S231" i="41"/>
  <c r="R231" i="41"/>
  <c r="O231" i="41"/>
  <c r="R167" i="41"/>
  <c r="P167" i="41"/>
  <c r="O167" i="41"/>
  <c r="T167" i="41"/>
  <c r="L167" i="41"/>
  <c r="S167" i="41"/>
  <c r="K167" i="41"/>
  <c r="P103" i="41"/>
  <c r="H103" i="41"/>
  <c r="T103" i="41"/>
  <c r="L103" i="41"/>
  <c r="K103" i="41"/>
  <c r="J103" i="41"/>
  <c r="S103" i="41"/>
  <c r="Q103" i="41"/>
  <c r="O103" i="41"/>
  <c r="N103" i="41"/>
  <c r="M103" i="41"/>
  <c r="Q39" i="41"/>
  <c r="H39" i="41"/>
  <c r="O39" i="41"/>
  <c r="N39" i="41"/>
  <c r="L39" i="41"/>
  <c r="S39" i="41"/>
  <c r="K39" i="41"/>
  <c r="R39" i="41"/>
  <c r="M39" i="41"/>
  <c r="J39" i="41"/>
  <c r="Y469" i="41"/>
  <c r="Y453" i="41"/>
  <c r="Y437" i="41"/>
  <c r="Y421" i="41"/>
  <c r="Y405" i="41"/>
  <c r="Y389" i="41"/>
  <c r="Y373" i="41"/>
  <c r="S246" i="41"/>
  <c r="K246" i="41"/>
  <c r="Q246" i="41"/>
  <c r="O246" i="41"/>
  <c r="N246" i="41"/>
  <c r="M246" i="41"/>
  <c r="T246" i="41"/>
  <c r="R246" i="41"/>
  <c r="P246" i="41"/>
  <c r="L246" i="41"/>
  <c r="H246" i="41"/>
  <c r="Q182" i="41"/>
  <c r="M182" i="41"/>
  <c r="L182" i="41"/>
  <c r="K182" i="41"/>
  <c r="T182" i="41"/>
  <c r="J182" i="41"/>
  <c r="S182" i="41"/>
  <c r="H182" i="41"/>
  <c r="R182" i="41"/>
  <c r="O182" i="41"/>
  <c r="N182" i="41"/>
  <c r="R118" i="41"/>
  <c r="Q118" i="41"/>
  <c r="S118" i="41"/>
  <c r="P118" i="41"/>
  <c r="O118" i="41"/>
  <c r="N118" i="41"/>
  <c r="L118" i="41"/>
  <c r="K118" i="41"/>
  <c r="H118" i="41"/>
  <c r="T118" i="41"/>
  <c r="N54" i="41"/>
  <c r="M54" i="41"/>
  <c r="T54" i="41"/>
  <c r="L54" i="41"/>
  <c r="S54" i="41"/>
  <c r="K54" i="41"/>
  <c r="R54" i="41"/>
  <c r="J54" i="41"/>
  <c r="Q54" i="41"/>
  <c r="I54" i="41"/>
  <c r="P54" i="41"/>
  <c r="H54" i="41"/>
  <c r="O54" i="41"/>
  <c r="R295" i="41"/>
  <c r="O295" i="41"/>
  <c r="N295" i="41"/>
  <c r="S295" i="41"/>
  <c r="Q295" i="41"/>
  <c r="P295" i="41"/>
  <c r="M295" i="41"/>
  <c r="L295" i="41"/>
  <c r="K295" i="41"/>
  <c r="I295" i="41"/>
  <c r="T295" i="41"/>
  <c r="H295" i="41"/>
  <c r="R125" i="41"/>
  <c r="O125" i="41"/>
  <c r="N125" i="41"/>
  <c r="Q125" i="41"/>
  <c r="P125" i="41"/>
  <c r="L125" i="41"/>
  <c r="K125" i="41"/>
  <c r="T125" i="41"/>
  <c r="H125" i="41"/>
  <c r="S125" i="41"/>
  <c r="S61" i="41"/>
  <c r="K61" i="41"/>
  <c r="R61" i="41"/>
  <c r="J61" i="41"/>
  <c r="Q61" i="41"/>
  <c r="H61" i="41"/>
  <c r="O61" i="41"/>
  <c r="N61" i="41"/>
  <c r="M61" i="41"/>
  <c r="T61" i="41"/>
  <c r="L61" i="41"/>
  <c r="M476" i="41"/>
  <c r="T476" i="41"/>
  <c r="L476" i="41"/>
  <c r="S476" i="41"/>
  <c r="K476" i="41"/>
  <c r="R476" i="41"/>
  <c r="P476" i="41"/>
  <c r="H476" i="41"/>
  <c r="Q476" i="41"/>
  <c r="O476" i="41"/>
  <c r="N476" i="41"/>
  <c r="I476" i="41"/>
  <c r="Y460" i="41"/>
  <c r="Y444" i="41"/>
  <c r="Y428" i="41"/>
  <c r="Y412" i="41"/>
  <c r="Y396" i="41"/>
  <c r="Y380" i="41"/>
  <c r="Y364" i="41"/>
  <c r="AQ563" i="41"/>
  <c r="AQ555" i="41"/>
  <c r="AO547" i="41"/>
  <c r="AQ539" i="41"/>
  <c r="AO531" i="41"/>
  <c r="AO523" i="41"/>
  <c r="AQ515" i="41"/>
  <c r="AQ507" i="41"/>
  <c r="AQ499" i="41"/>
  <c r="AM562" i="41"/>
  <c r="AM554" i="41"/>
  <c r="AM546" i="41"/>
  <c r="AM538" i="41"/>
  <c r="AM530" i="41"/>
  <c r="AM522" i="41"/>
  <c r="AM514" i="41"/>
  <c r="AM506" i="41"/>
  <c r="AM498" i="41"/>
  <c r="AQ569" i="41"/>
  <c r="AQ561" i="41"/>
  <c r="AQ553" i="41"/>
  <c r="AH545" i="41"/>
  <c r="AH537" i="41"/>
  <c r="AQ529" i="41"/>
  <c r="AQ521" i="41"/>
  <c r="AH513" i="41"/>
  <c r="AQ505" i="41"/>
  <c r="AQ497" i="41"/>
  <c r="L646" i="41"/>
  <c r="Q646" i="41"/>
  <c r="N638" i="41"/>
  <c r="S630" i="41"/>
  <c r="P630" i="41"/>
  <c r="T622" i="41"/>
  <c r="J622" i="41"/>
  <c r="O614" i="41"/>
  <c r="S606" i="41"/>
  <c r="I606" i="41"/>
  <c r="J598" i="41"/>
  <c r="P598" i="41"/>
  <c r="Q590" i="41"/>
  <c r="J582" i="41"/>
  <c r="N582" i="41"/>
  <c r="AO568" i="41"/>
  <c r="AO560" i="41"/>
  <c r="AO552" i="41"/>
  <c r="AK544" i="41"/>
  <c r="AK536" i="41"/>
  <c r="AK528" i="41"/>
  <c r="AK520" i="41"/>
  <c r="AK512" i="41"/>
  <c r="AK504" i="41"/>
  <c r="AK496" i="41"/>
  <c r="AQ567" i="41"/>
  <c r="AE559" i="41"/>
  <c r="AE551" i="41"/>
  <c r="AN543" i="41"/>
  <c r="AQ535" i="41"/>
  <c r="AQ527" i="41"/>
  <c r="AE519" i="41"/>
  <c r="AN511" i="41"/>
  <c r="AQ503" i="41"/>
  <c r="AE495" i="41"/>
  <c r="AN566" i="41"/>
  <c r="AM558" i="41"/>
  <c r="AM550" i="41"/>
  <c r="AM542" i="41"/>
  <c r="AN534" i="41"/>
  <c r="AN526" i="41"/>
  <c r="AM518" i="41"/>
  <c r="AM510" i="41"/>
  <c r="AM502" i="41"/>
  <c r="AM494" i="41"/>
  <c r="H645" i="41"/>
  <c r="T645" i="41"/>
  <c r="J637" i="41"/>
  <c r="O637" i="41"/>
  <c r="S629" i="41"/>
  <c r="I621" i="41"/>
  <c r="M621" i="41"/>
  <c r="R613" i="41"/>
  <c r="H605" i="41"/>
  <c r="L605" i="41"/>
  <c r="H597" i="41"/>
  <c r="S597" i="41"/>
  <c r="O589" i="41"/>
  <c r="N581" i="41"/>
  <c r="Q581" i="41"/>
  <c r="AO565" i="41"/>
  <c r="AK557" i="41"/>
  <c r="AK549" i="41"/>
  <c r="AK541" i="41"/>
  <c r="AQ533" i="41"/>
  <c r="AQ525" i="41"/>
  <c r="AO517" i="41"/>
  <c r="AQ509" i="41"/>
  <c r="AQ501" i="41"/>
  <c r="AQ493" i="41"/>
  <c r="Q650" i="41"/>
  <c r="N650" i="41"/>
  <c r="K642" i="41"/>
  <c r="P634" i="41"/>
  <c r="T634" i="41"/>
  <c r="J626" i="41"/>
  <c r="O618" i="41"/>
  <c r="S618" i="41"/>
  <c r="I610" i="41"/>
  <c r="M610" i="41"/>
  <c r="J602" i="41"/>
  <c r="S594" i="41"/>
  <c r="J594" i="41"/>
  <c r="S586" i="41"/>
  <c r="T586" i="41"/>
  <c r="H578" i="41"/>
  <c r="AM564" i="41"/>
  <c r="AH556" i="41"/>
  <c r="AM548" i="41"/>
  <c r="AM540" i="41"/>
  <c r="AM532" i="41"/>
  <c r="AM524" i="41"/>
  <c r="AM516" i="41"/>
  <c r="AM508" i="41"/>
  <c r="AM500" i="41"/>
  <c r="AM492" i="41"/>
  <c r="T356" i="41"/>
  <c r="L356" i="41"/>
  <c r="R356" i="41"/>
  <c r="J356" i="41"/>
  <c r="P356" i="41"/>
  <c r="H356" i="41"/>
  <c r="S356" i="41"/>
  <c r="Q356" i="41"/>
  <c r="O356" i="41"/>
  <c r="N356" i="41"/>
  <c r="M356" i="41"/>
  <c r="K356" i="41"/>
  <c r="I356" i="41"/>
  <c r="R324" i="41"/>
  <c r="P324" i="41"/>
  <c r="H324" i="41"/>
  <c r="M324" i="41"/>
  <c r="K324" i="41"/>
  <c r="T324" i="41"/>
  <c r="I324" i="41"/>
  <c r="Q324" i="41"/>
  <c r="O324" i="41"/>
  <c r="N324" i="41"/>
  <c r="L324" i="41"/>
  <c r="S324" i="41"/>
  <c r="Q292" i="41"/>
  <c r="I292" i="41"/>
  <c r="N292" i="41"/>
  <c r="M292" i="41"/>
  <c r="S292" i="41"/>
  <c r="R292" i="41"/>
  <c r="P292" i="41"/>
  <c r="O292" i="41"/>
  <c r="L292" i="41"/>
  <c r="K292" i="41"/>
  <c r="J292" i="41"/>
  <c r="T292" i="41"/>
  <c r="H292" i="41"/>
  <c r="Q260" i="41"/>
  <c r="I260" i="41"/>
  <c r="M260" i="41"/>
  <c r="L260" i="41"/>
  <c r="T260" i="41"/>
  <c r="J260" i="41"/>
  <c r="R260" i="41"/>
  <c r="P260" i="41"/>
  <c r="O260" i="41"/>
  <c r="S260" i="41"/>
  <c r="N260" i="41"/>
  <c r="K260" i="41"/>
  <c r="H260" i="41"/>
  <c r="S196" i="41"/>
  <c r="K196" i="41"/>
  <c r="P196" i="41"/>
  <c r="H196" i="41"/>
  <c r="O196" i="41"/>
  <c r="R196" i="41"/>
  <c r="Q196" i="41"/>
  <c r="N196" i="41"/>
  <c r="M196" i="41"/>
  <c r="L196" i="41"/>
  <c r="J196" i="41"/>
  <c r="T196" i="41"/>
  <c r="Q132" i="41"/>
  <c r="O132" i="41"/>
  <c r="M132" i="41"/>
  <c r="T132" i="41"/>
  <c r="L132" i="41"/>
  <c r="S132" i="41"/>
  <c r="K132" i="41"/>
  <c r="R132" i="41"/>
  <c r="P132" i="41"/>
  <c r="N132" i="41"/>
  <c r="H132" i="41"/>
  <c r="P68" i="41"/>
  <c r="H68" i="41"/>
  <c r="O68" i="41"/>
  <c r="N68" i="41"/>
  <c r="M68" i="41"/>
  <c r="T68" i="41"/>
  <c r="L68" i="41"/>
  <c r="S68" i="41"/>
  <c r="K68" i="41"/>
  <c r="J68" i="41"/>
  <c r="Q68" i="41"/>
  <c r="S345" i="41"/>
  <c r="K345" i="41"/>
  <c r="Q345" i="41"/>
  <c r="I345" i="41"/>
  <c r="O345" i="41"/>
  <c r="H345" i="41"/>
  <c r="T345" i="41"/>
  <c r="R345" i="41"/>
  <c r="P345" i="41"/>
  <c r="N345" i="41"/>
  <c r="M345" i="41"/>
  <c r="L345" i="41"/>
  <c r="R313" i="41"/>
  <c r="J313" i="41"/>
  <c r="P313" i="41"/>
  <c r="H313" i="41"/>
  <c r="O313" i="41"/>
  <c r="M313" i="41"/>
  <c r="T313" i="41"/>
  <c r="L313" i="41"/>
  <c r="S313" i="41"/>
  <c r="Q313" i="41"/>
  <c r="N313" i="41"/>
  <c r="K313" i="41"/>
  <c r="I313" i="41"/>
  <c r="P281" i="41"/>
  <c r="H281" i="41"/>
  <c r="M281" i="41"/>
  <c r="T281" i="41"/>
  <c r="L281" i="41"/>
  <c r="I281" i="41"/>
  <c r="R281" i="41"/>
  <c r="O281" i="41"/>
  <c r="N281" i="41"/>
  <c r="K281" i="41"/>
  <c r="S281" i="41"/>
  <c r="Q281" i="41"/>
  <c r="J281" i="41"/>
  <c r="P219" i="41"/>
  <c r="H219" i="41"/>
  <c r="M219" i="41"/>
  <c r="T219" i="41"/>
  <c r="L219" i="41"/>
  <c r="N219" i="41"/>
  <c r="K219" i="41"/>
  <c r="J219" i="41"/>
  <c r="S219" i="41"/>
  <c r="R219" i="41"/>
  <c r="Q219" i="41"/>
  <c r="O219" i="41"/>
  <c r="N155" i="41"/>
  <c r="T155" i="41"/>
  <c r="L155" i="41"/>
  <c r="R155" i="41"/>
  <c r="J155" i="41"/>
  <c r="Q155" i="41"/>
  <c r="I155" i="41"/>
  <c r="P155" i="41"/>
  <c r="H155" i="41"/>
  <c r="S155" i="41"/>
  <c r="O155" i="41"/>
  <c r="M155" i="41"/>
  <c r="K155" i="41"/>
  <c r="M91" i="41"/>
  <c r="T91" i="41"/>
  <c r="L91" i="41"/>
  <c r="S91" i="41"/>
  <c r="K91" i="41"/>
  <c r="R91" i="41"/>
  <c r="J91" i="41"/>
  <c r="Q91" i="41"/>
  <c r="H91" i="41"/>
  <c r="O91" i="41"/>
  <c r="N91" i="41"/>
  <c r="M27" i="41"/>
  <c r="S27" i="41"/>
  <c r="K27" i="41"/>
  <c r="R27" i="41"/>
  <c r="J27" i="41"/>
  <c r="H27" i="41"/>
  <c r="O27" i="41"/>
  <c r="N27" i="41"/>
  <c r="L27" i="41"/>
  <c r="Q27" i="41"/>
  <c r="M210" i="41"/>
  <c r="R210" i="41"/>
  <c r="Q210" i="41"/>
  <c r="O210" i="41"/>
  <c r="N210" i="41"/>
  <c r="L210" i="41"/>
  <c r="K210" i="41"/>
  <c r="H210" i="41"/>
  <c r="T210" i="41"/>
  <c r="S210" i="41"/>
  <c r="P210" i="41"/>
  <c r="S146" i="41"/>
  <c r="K146" i="41"/>
  <c r="Q146" i="41"/>
  <c r="O146" i="41"/>
  <c r="N146" i="41"/>
  <c r="M146" i="41"/>
  <c r="L146" i="41"/>
  <c r="H146" i="41"/>
  <c r="T146" i="41"/>
  <c r="R146" i="41"/>
  <c r="P146" i="41"/>
  <c r="R82" i="41"/>
  <c r="Q82" i="41"/>
  <c r="P82" i="41"/>
  <c r="H82" i="41"/>
  <c r="O82" i="41"/>
  <c r="N82" i="41"/>
  <c r="M82" i="41"/>
  <c r="T82" i="41"/>
  <c r="L82" i="41"/>
  <c r="S82" i="41"/>
  <c r="K82" i="41"/>
  <c r="Q347" i="41"/>
  <c r="I347" i="41"/>
  <c r="O347" i="41"/>
  <c r="M347" i="41"/>
  <c r="T347" i="41"/>
  <c r="H347" i="41"/>
  <c r="S347" i="41"/>
  <c r="R347" i="41"/>
  <c r="P347" i="41"/>
  <c r="N347" i="41"/>
  <c r="L347" i="41"/>
  <c r="K347" i="41"/>
  <c r="J347" i="41"/>
  <c r="P315" i="41"/>
  <c r="H315" i="41"/>
  <c r="N315" i="41"/>
  <c r="M315" i="41"/>
  <c r="S315" i="41"/>
  <c r="K315" i="41"/>
  <c r="R315" i="41"/>
  <c r="J315" i="41"/>
  <c r="T315" i="41"/>
  <c r="Q315" i="41"/>
  <c r="O315" i="41"/>
  <c r="L315" i="41"/>
  <c r="I315" i="41"/>
  <c r="N283" i="41"/>
  <c r="S283" i="41"/>
  <c r="K283" i="41"/>
  <c r="R283" i="41"/>
  <c r="H283" i="41"/>
  <c r="Q283" i="41"/>
  <c r="O283" i="41"/>
  <c r="M283" i="41"/>
  <c r="L283" i="41"/>
  <c r="T283" i="41"/>
  <c r="P283" i="41"/>
  <c r="I283" i="41"/>
  <c r="N105" i="41"/>
  <c r="R105" i="41"/>
  <c r="J105" i="41"/>
  <c r="Q105" i="41"/>
  <c r="O105" i="41"/>
  <c r="M105" i="41"/>
  <c r="L105" i="41"/>
  <c r="K105" i="41"/>
  <c r="T105" i="41"/>
  <c r="S105" i="41"/>
  <c r="H105" i="41"/>
  <c r="O41" i="41"/>
  <c r="T41" i="41"/>
  <c r="L41" i="41"/>
  <c r="S41" i="41"/>
  <c r="K41" i="41"/>
  <c r="R41" i="41"/>
  <c r="P41" i="41"/>
  <c r="Y470" i="41"/>
  <c r="Y454" i="41"/>
  <c r="Y438" i="41"/>
  <c r="Y422" i="41"/>
  <c r="M406" i="41"/>
  <c r="T406" i="41"/>
  <c r="L406" i="41"/>
  <c r="Q406" i="41"/>
  <c r="I406" i="41"/>
  <c r="J406" i="41"/>
  <c r="H406" i="41"/>
  <c r="S406" i="41"/>
  <c r="R406" i="41"/>
  <c r="P406" i="41"/>
  <c r="O406" i="41"/>
  <c r="N406" i="41"/>
  <c r="K406" i="41"/>
  <c r="M390" i="41"/>
  <c r="T390" i="41"/>
  <c r="L390" i="41"/>
  <c r="Q390" i="41"/>
  <c r="I390" i="41"/>
  <c r="N390" i="41"/>
  <c r="J390" i="41"/>
  <c r="S390" i="41"/>
  <c r="R390" i="41"/>
  <c r="P390" i="41"/>
  <c r="O390" i="41"/>
  <c r="K390" i="41"/>
  <c r="H390" i="41"/>
  <c r="T374" i="41"/>
  <c r="L374" i="41"/>
  <c r="R374" i="41"/>
  <c r="J374" i="41"/>
  <c r="P374" i="41"/>
  <c r="H374" i="41"/>
  <c r="O374" i="41"/>
  <c r="N374" i="41"/>
  <c r="M374" i="41"/>
  <c r="K374" i="41"/>
  <c r="I374" i="41"/>
  <c r="S374" i="41"/>
  <c r="Q374" i="41"/>
  <c r="R358" i="41"/>
  <c r="J358" i="41"/>
  <c r="P358" i="41"/>
  <c r="H358" i="41"/>
  <c r="N358" i="41"/>
  <c r="S358" i="41"/>
  <c r="Q358" i="41"/>
  <c r="O358" i="41"/>
  <c r="M358" i="41"/>
  <c r="L358" i="41"/>
  <c r="K358" i="41"/>
  <c r="I358" i="41"/>
  <c r="T358" i="41"/>
  <c r="N328" i="41"/>
  <c r="T328" i="41"/>
  <c r="L328" i="41"/>
  <c r="O328" i="41"/>
  <c r="K328" i="41"/>
  <c r="J328" i="41"/>
  <c r="R328" i="41"/>
  <c r="H328" i="41"/>
  <c r="Q328" i="41"/>
  <c r="S328" i="41"/>
  <c r="P328" i="41"/>
  <c r="M328" i="41"/>
  <c r="I328" i="41"/>
  <c r="M296" i="41"/>
  <c r="R296" i="41"/>
  <c r="Q296" i="41"/>
  <c r="I296" i="41"/>
  <c r="S296" i="41"/>
  <c r="P296" i="41"/>
  <c r="O296" i="41"/>
  <c r="N296" i="41"/>
  <c r="L296" i="41"/>
  <c r="K296" i="41"/>
  <c r="H296" i="41"/>
  <c r="T296" i="41"/>
  <c r="M264" i="41"/>
  <c r="Q264" i="41"/>
  <c r="I264" i="41"/>
  <c r="N264" i="41"/>
  <c r="K264" i="41"/>
  <c r="S264" i="41"/>
  <c r="H264" i="41"/>
  <c r="R264" i="41"/>
  <c r="P264" i="41"/>
  <c r="T264" i="41"/>
  <c r="O264" i="41"/>
  <c r="L264" i="41"/>
  <c r="T64" i="41"/>
  <c r="L64" i="41"/>
  <c r="S64" i="41"/>
  <c r="K64" i="41"/>
  <c r="R64" i="41"/>
  <c r="J64" i="41"/>
  <c r="Q64" i="41"/>
  <c r="P64" i="41"/>
  <c r="H64" i="41"/>
  <c r="O64" i="41"/>
  <c r="N64" i="41"/>
  <c r="M64" i="41"/>
  <c r="T223" i="41"/>
  <c r="L223" i="41"/>
  <c r="Q223" i="41"/>
  <c r="P223" i="41"/>
  <c r="H223" i="41"/>
  <c r="M223" i="41"/>
  <c r="K223" i="41"/>
  <c r="S223" i="41"/>
  <c r="R223" i="41"/>
  <c r="O223" i="41"/>
  <c r="N223" i="41"/>
  <c r="R159" i="41"/>
  <c r="P159" i="41"/>
  <c r="H159" i="41"/>
  <c r="N159" i="41"/>
  <c r="M159" i="41"/>
  <c r="T159" i="41"/>
  <c r="L159" i="41"/>
  <c r="O159" i="41"/>
  <c r="K159" i="41"/>
  <c r="S159" i="41"/>
  <c r="Q159" i="41"/>
  <c r="Q95" i="41"/>
  <c r="P95" i="41"/>
  <c r="H95" i="41"/>
  <c r="O95" i="41"/>
  <c r="N95" i="41"/>
  <c r="M95" i="41"/>
  <c r="T95" i="41"/>
  <c r="L95" i="41"/>
  <c r="K95" i="41"/>
  <c r="R95" i="41"/>
  <c r="Q31" i="41"/>
  <c r="O31" i="41"/>
  <c r="N31" i="41"/>
  <c r="T31" i="41"/>
  <c r="L31" i="41"/>
  <c r="S31" i="41"/>
  <c r="K31" i="41"/>
  <c r="R31" i="41"/>
  <c r="M31" i="41"/>
  <c r="J31" i="41"/>
  <c r="H31" i="41"/>
  <c r="N401" i="41"/>
  <c r="M401" i="41"/>
  <c r="R401" i="41"/>
  <c r="J401" i="41"/>
  <c r="K401" i="41"/>
  <c r="I401" i="41"/>
  <c r="T401" i="41"/>
  <c r="H401" i="41"/>
  <c r="S401" i="41"/>
  <c r="Q401" i="41"/>
  <c r="P401" i="41"/>
  <c r="O401" i="41"/>
  <c r="L401" i="41"/>
  <c r="N385" i="41"/>
  <c r="M385" i="41"/>
  <c r="R385" i="41"/>
  <c r="J385" i="41"/>
  <c r="O385" i="41"/>
  <c r="K385" i="41"/>
  <c r="T385" i="41"/>
  <c r="H385" i="41"/>
  <c r="S385" i="41"/>
  <c r="Q385" i="41"/>
  <c r="P385" i="41"/>
  <c r="L385" i="41"/>
  <c r="I385" i="41"/>
  <c r="M369" i="41"/>
  <c r="S369" i="41"/>
  <c r="K369" i="41"/>
  <c r="Q369" i="41"/>
  <c r="I369" i="41"/>
  <c r="P369" i="41"/>
  <c r="H369" i="41"/>
  <c r="O369" i="41"/>
  <c r="N369" i="41"/>
  <c r="L369" i="41"/>
  <c r="J369" i="41"/>
  <c r="T369" i="41"/>
  <c r="R369" i="41"/>
  <c r="T330" i="41"/>
  <c r="L330" i="41"/>
  <c r="R330" i="41"/>
  <c r="J330" i="41"/>
  <c r="I330" i="41"/>
  <c r="Q330" i="41"/>
  <c r="P330" i="41"/>
  <c r="N330" i="41"/>
  <c r="M330" i="41"/>
  <c r="S330" i="41"/>
  <c r="O330" i="41"/>
  <c r="K330" i="41"/>
  <c r="H330" i="41"/>
  <c r="M298" i="41"/>
  <c r="S298" i="41"/>
  <c r="K298" i="41"/>
  <c r="R298" i="41"/>
  <c r="P298" i="41"/>
  <c r="H298" i="41"/>
  <c r="O298" i="41"/>
  <c r="I298" i="41"/>
  <c r="T298" i="41"/>
  <c r="Q298" i="41"/>
  <c r="N298" i="41"/>
  <c r="L298" i="41"/>
  <c r="S266" i="41"/>
  <c r="K266" i="41"/>
  <c r="O266" i="41"/>
  <c r="T266" i="41"/>
  <c r="I266" i="41"/>
  <c r="Q266" i="41"/>
  <c r="N266" i="41"/>
  <c r="M266" i="41"/>
  <c r="L266" i="41"/>
  <c r="H266" i="41"/>
  <c r="R266" i="41"/>
  <c r="P266" i="41"/>
  <c r="J266" i="41"/>
  <c r="Q238" i="41"/>
  <c r="N238" i="41"/>
  <c r="M238" i="41"/>
  <c r="T238" i="41"/>
  <c r="H238" i="41"/>
  <c r="S238" i="41"/>
  <c r="R238" i="41"/>
  <c r="P238" i="41"/>
  <c r="O238" i="41"/>
  <c r="L238" i="41"/>
  <c r="K238" i="41"/>
  <c r="O174" i="41"/>
  <c r="N174" i="41"/>
  <c r="M174" i="41"/>
  <c r="T174" i="41"/>
  <c r="L174" i="41"/>
  <c r="S174" i="41"/>
  <c r="K174" i="41"/>
  <c r="R174" i="41"/>
  <c r="Q174" i="41"/>
  <c r="P174" i="41"/>
  <c r="H174" i="41"/>
  <c r="M110" i="41"/>
  <c r="Q110" i="41"/>
  <c r="O110" i="41"/>
  <c r="N110" i="41"/>
  <c r="L110" i="41"/>
  <c r="K110" i="41"/>
  <c r="T110" i="41"/>
  <c r="J110" i="41"/>
  <c r="S110" i="41"/>
  <c r="H110" i="41"/>
  <c r="R110" i="41"/>
  <c r="T46" i="41"/>
  <c r="L46" i="41"/>
  <c r="S46" i="41"/>
  <c r="R46" i="41"/>
  <c r="P46" i="41"/>
  <c r="O46" i="41"/>
  <c r="M351" i="41"/>
  <c r="S351" i="41"/>
  <c r="K351" i="41"/>
  <c r="Q351" i="41"/>
  <c r="I351" i="41"/>
  <c r="T351" i="41"/>
  <c r="R351" i="41"/>
  <c r="P351" i="41"/>
  <c r="O351" i="41"/>
  <c r="N351" i="41"/>
  <c r="L351" i="41"/>
  <c r="J351" i="41"/>
  <c r="H351" i="41"/>
  <c r="R287" i="41"/>
  <c r="O287" i="41"/>
  <c r="N287" i="41"/>
  <c r="T287" i="41"/>
  <c r="H287" i="41"/>
  <c r="S287" i="41"/>
  <c r="Q287" i="41"/>
  <c r="P287" i="41"/>
  <c r="M287" i="41"/>
  <c r="L287" i="41"/>
  <c r="K287" i="41"/>
  <c r="I287" i="41"/>
  <c r="R117" i="41"/>
  <c r="O117" i="41"/>
  <c r="S117" i="41"/>
  <c r="P117" i="41"/>
  <c r="L117" i="41"/>
  <c r="T117" i="41"/>
  <c r="S53" i="41"/>
  <c r="K53" i="41"/>
  <c r="R53" i="41"/>
  <c r="J53" i="41"/>
  <c r="Q53" i="41"/>
  <c r="P53" i="41"/>
  <c r="H53" i="41"/>
  <c r="O53" i="41"/>
  <c r="N53" i="41"/>
  <c r="M53" i="41"/>
  <c r="T53" i="41"/>
  <c r="L53" i="41"/>
  <c r="Q472" i="41"/>
  <c r="I472" i="41"/>
  <c r="P472" i="41"/>
  <c r="H472" i="41"/>
  <c r="O472" i="41"/>
  <c r="N472" i="41"/>
  <c r="T472" i="41"/>
  <c r="L472" i="41"/>
  <c r="R472" i="41"/>
  <c r="M472" i="41"/>
  <c r="K472" i="41"/>
  <c r="J472" i="41"/>
  <c r="S472" i="41"/>
  <c r="M456" i="41"/>
  <c r="T456" i="41"/>
  <c r="L456" i="41"/>
  <c r="S456" i="41"/>
  <c r="K456" i="41"/>
  <c r="R456" i="41"/>
  <c r="J456" i="41"/>
  <c r="Q456" i="41"/>
  <c r="I456" i="41"/>
  <c r="P456" i="41"/>
  <c r="H456" i="41"/>
  <c r="O456" i="41"/>
  <c r="N456" i="41"/>
  <c r="S440" i="41"/>
  <c r="K440" i="41"/>
  <c r="R440" i="41"/>
  <c r="J440" i="41"/>
  <c r="O440" i="41"/>
  <c r="P440" i="41"/>
  <c r="N440" i="41"/>
  <c r="M440" i="41"/>
  <c r="L440" i="41"/>
  <c r="I440" i="41"/>
  <c r="H440" i="41"/>
  <c r="T440" i="41"/>
  <c r="Q440" i="41"/>
  <c r="S424" i="41"/>
  <c r="K424" i="41"/>
  <c r="R424" i="41"/>
  <c r="J424" i="41"/>
  <c r="O424" i="41"/>
  <c r="T424" i="41"/>
  <c r="Q424" i="41"/>
  <c r="P424" i="41"/>
  <c r="N424" i="41"/>
  <c r="M424" i="41"/>
  <c r="L424" i="41"/>
  <c r="I424" i="41"/>
  <c r="H424" i="41"/>
  <c r="S408" i="41"/>
  <c r="K408" i="41"/>
  <c r="R408" i="41"/>
  <c r="J408" i="41"/>
  <c r="O408" i="41"/>
  <c r="I408" i="41"/>
  <c r="H408" i="41"/>
  <c r="T408" i="41"/>
  <c r="Q408" i="41"/>
  <c r="P408" i="41"/>
  <c r="N408" i="41"/>
  <c r="M408" i="41"/>
  <c r="L408" i="41"/>
  <c r="S392" i="41"/>
  <c r="K392" i="41"/>
  <c r="R392" i="41"/>
  <c r="J392" i="41"/>
  <c r="O392" i="41"/>
  <c r="M392" i="41"/>
  <c r="I392" i="41"/>
  <c r="T392" i="41"/>
  <c r="Q392" i="41"/>
  <c r="P392" i="41"/>
  <c r="N392" i="41"/>
  <c r="L392" i="41"/>
  <c r="H392" i="41"/>
  <c r="R376" i="41"/>
  <c r="O376" i="41"/>
  <c r="T376" i="41"/>
  <c r="J376" i="41"/>
  <c r="Q376" i="41"/>
  <c r="H376" i="41"/>
  <c r="N376" i="41"/>
  <c r="M376" i="41"/>
  <c r="L376" i="41"/>
  <c r="I376" i="41"/>
  <c r="S376" i="41"/>
  <c r="P376" i="41"/>
  <c r="K376" i="41"/>
  <c r="P360" i="41"/>
  <c r="H360" i="41"/>
  <c r="N360" i="41"/>
  <c r="T360" i="41"/>
  <c r="L360" i="41"/>
  <c r="R360" i="41"/>
  <c r="Q360" i="41"/>
  <c r="O360" i="41"/>
  <c r="M360" i="41"/>
  <c r="K360" i="41"/>
  <c r="I360" i="41"/>
  <c r="S360" i="41"/>
  <c r="AE563" i="41"/>
  <c r="AE555" i="41"/>
  <c r="AQ547" i="41"/>
  <c r="AE539" i="41"/>
  <c r="AQ531" i="41"/>
  <c r="AE515" i="41"/>
  <c r="AE507" i="41"/>
  <c r="AE499" i="41"/>
  <c r="AN562" i="41"/>
  <c r="AN554" i="41"/>
  <c r="AN546" i="41"/>
  <c r="AN538" i="41"/>
  <c r="AN530" i="41"/>
  <c r="AN522" i="41"/>
  <c r="AN514" i="41"/>
  <c r="AN506" i="41"/>
  <c r="AN498" i="41"/>
  <c r="AH569" i="41"/>
  <c r="AH561" i="41"/>
  <c r="AH553" i="41"/>
  <c r="AK545" i="41"/>
  <c r="AK537" i="41"/>
  <c r="AH529" i="41"/>
  <c r="AH521" i="41"/>
  <c r="AK513" i="41"/>
  <c r="AH505" i="41"/>
  <c r="AH497" i="41"/>
  <c r="T646" i="41"/>
  <c r="K630" i="41"/>
  <c r="M622" i="41"/>
  <c r="L606" i="41"/>
  <c r="R590" i="41"/>
  <c r="M582" i="41"/>
  <c r="AM568" i="41"/>
  <c r="AM560" i="41"/>
  <c r="AM552" i="41"/>
  <c r="AM544" i="41"/>
  <c r="AM536" i="41"/>
  <c r="AM528" i="41"/>
  <c r="AM520" i="41"/>
  <c r="AM512" i="41"/>
  <c r="AM504" i="41"/>
  <c r="AM496" i="41"/>
  <c r="AE567" i="41"/>
  <c r="AN559" i="41"/>
  <c r="AN551" i="41"/>
  <c r="AE543" i="41"/>
  <c r="AE535" i="41"/>
  <c r="AE527" i="41"/>
  <c r="AH519" i="41"/>
  <c r="AE511" i="41"/>
  <c r="AE503" i="41"/>
  <c r="AN495" i="41"/>
  <c r="AO566" i="41"/>
  <c r="AN558" i="41"/>
  <c r="AN550" i="41"/>
  <c r="AN542" i="41"/>
  <c r="AO534" i="41"/>
  <c r="AO526" i="41"/>
  <c r="AN518" i="41"/>
  <c r="AN510" i="41"/>
  <c r="AN502" i="41"/>
  <c r="AN494" i="41"/>
  <c r="I645" i="41"/>
  <c r="M645" i="41"/>
  <c r="R637" i="41"/>
  <c r="P629" i="41"/>
  <c r="L629" i="41"/>
  <c r="Q621" i="41"/>
  <c r="N621" i="41"/>
  <c r="K613" i="41"/>
  <c r="P605" i="41"/>
  <c r="T605" i="41"/>
  <c r="J597" i="41"/>
  <c r="M597" i="41"/>
  <c r="P589" i="41"/>
  <c r="P581" i="41"/>
  <c r="K581" i="41"/>
  <c r="AQ565" i="41"/>
  <c r="AQ557" i="41"/>
  <c r="AQ549" i="41"/>
  <c r="AQ541" i="41"/>
  <c r="AK533" i="41"/>
  <c r="AK525" i="41"/>
  <c r="AQ517" i="41"/>
  <c r="AK509" i="41"/>
  <c r="AK501" i="41"/>
  <c r="AK493" i="41"/>
  <c r="J650" i="41"/>
  <c r="O642" i="41"/>
  <c r="S642" i="41"/>
  <c r="I634" i="41"/>
  <c r="M634" i="41"/>
  <c r="R626" i="41"/>
  <c r="H618" i="41"/>
  <c r="L618" i="41"/>
  <c r="Q610" i="41"/>
  <c r="N610" i="41"/>
  <c r="R602" i="41"/>
  <c r="I594" i="41"/>
  <c r="R594" i="41"/>
  <c r="K586" i="41"/>
  <c r="K578" i="41"/>
  <c r="P578" i="41"/>
  <c r="AN564" i="41"/>
  <c r="AM556" i="41"/>
  <c r="AN548" i="41"/>
  <c r="AH540" i="41"/>
  <c r="AN532" i="41"/>
  <c r="AN524" i="41"/>
  <c r="AN516" i="41"/>
  <c r="AN508" i="41"/>
  <c r="AN500" i="41"/>
  <c r="AN492" i="41"/>
  <c r="S188" i="41"/>
  <c r="O188" i="41"/>
  <c r="T188" i="41"/>
  <c r="R188" i="41"/>
  <c r="P188" i="41"/>
  <c r="L188" i="41"/>
  <c r="O124" i="41"/>
  <c r="T124" i="41"/>
  <c r="L124" i="41"/>
  <c r="S124" i="41"/>
  <c r="K124" i="41"/>
  <c r="Q124" i="41"/>
  <c r="P124" i="41"/>
  <c r="N124" i="41"/>
  <c r="H124" i="41"/>
  <c r="R124" i="41"/>
  <c r="H60" i="41"/>
  <c r="O60" i="41"/>
  <c r="N60" i="41"/>
  <c r="M60" i="41"/>
  <c r="T60" i="41"/>
  <c r="L60" i="41"/>
  <c r="S60" i="41"/>
  <c r="K60" i="41"/>
  <c r="R60" i="41"/>
  <c r="J60" i="41"/>
  <c r="Q60" i="41"/>
  <c r="P211" i="41"/>
  <c r="H211" i="41"/>
  <c r="T211" i="41"/>
  <c r="L211" i="41"/>
  <c r="O211" i="41"/>
  <c r="N211" i="41"/>
  <c r="K211" i="41"/>
  <c r="S211" i="41"/>
  <c r="R211" i="41"/>
  <c r="Q211" i="41"/>
  <c r="N147" i="41"/>
  <c r="T147" i="41"/>
  <c r="L147" i="41"/>
  <c r="R147" i="41"/>
  <c r="Q147" i="41"/>
  <c r="P147" i="41"/>
  <c r="H147" i="41"/>
  <c r="S147" i="41"/>
  <c r="O147" i="41"/>
  <c r="M147" i="41"/>
  <c r="K147" i="41"/>
  <c r="T83" i="41"/>
  <c r="L83" i="41"/>
  <c r="S83" i="41"/>
  <c r="R83" i="41"/>
  <c r="P83" i="41"/>
  <c r="O83" i="41"/>
  <c r="N479" i="41"/>
  <c r="M479" i="41"/>
  <c r="T479" i="41"/>
  <c r="L479" i="41"/>
  <c r="S479" i="41"/>
  <c r="K479" i="41"/>
  <c r="Q479" i="41"/>
  <c r="I479" i="41"/>
  <c r="J479" i="41"/>
  <c r="H479" i="41"/>
  <c r="R479" i="41"/>
  <c r="P479" i="41"/>
  <c r="O479" i="41"/>
  <c r="M463" i="41"/>
  <c r="S463" i="41"/>
  <c r="K463" i="41"/>
  <c r="Q463" i="41"/>
  <c r="I463" i="41"/>
  <c r="L463" i="41"/>
  <c r="J463" i="41"/>
  <c r="H463" i="41"/>
  <c r="T463" i="41"/>
  <c r="R463" i="41"/>
  <c r="P463" i="41"/>
  <c r="O463" i="41"/>
  <c r="N463" i="41"/>
  <c r="P447" i="41"/>
  <c r="H447" i="41"/>
  <c r="O447" i="41"/>
  <c r="T447" i="41"/>
  <c r="L447" i="41"/>
  <c r="N447" i="41"/>
  <c r="M447" i="41"/>
  <c r="K447" i="41"/>
  <c r="J447" i="41"/>
  <c r="I447" i="41"/>
  <c r="S447" i="41"/>
  <c r="R447" i="41"/>
  <c r="Q447" i="41"/>
  <c r="P431" i="41"/>
  <c r="H431" i="41"/>
  <c r="O431" i="41"/>
  <c r="T431" i="41"/>
  <c r="L431" i="41"/>
  <c r="R431" i="41"/>
  <c r="Q431" i="41"/>
  <c r="N431" i="41"/>
  <c r="M431" i="41"/>
  <c r="K431" i="41"/>
  <c r="I431" i="41"/>
  <c r="S431" i="41"/>
  <c r="P415" i="41"/>
  <c r="H415" i="41"/>
  <c r="O415" i="41"/>
  <c r="T415" i="41"/>
  <c r="L415" i="41"/>
  <c r="I415" i="41"/>
  <c r="S415" i="41"/>
  <c r="R415" i="41"/>
  <c r="Q415" i="41"/>
  <c r="N415" i="41"/>
  <c r="M415" i="41"/>
  <c r="K415" i="41"/>
  <c r="J415" i="41"/>
  <c r="P399" i="41"/>
  <c r="H399" i="41"/>
  <c r="O399" i="41"/>
  <c r="T399" i="41"/>
  <c r="L399" i="41"/>
  <c r="K399" i="41"/>
  <c r="J399" i="41"/>
  <c r="I399" i="41"/>
  <c r="S399" i="41"/>
  <c r="R399" i="41"/>
  <c r="Q399" i="41"/>
  <c r="N399" i="41"/>
  <c r="M399" i="41"/>
  <c r="P383" i="41"/>
  <c r="H383" i="41"/>
  <c r="O383" i="41"/>
  <c r="T383" i="41"/>
  <c r="L383" i="41"/>
  <c r="N383" i="41"/>
  <c r="K383" i="41"/>
  <c r="I383" i="41"/>
  <c r="S383" i="41"/>
  <c r="R383" i="41"/>
  <c r="M383" i="41"/>
  <c r="Q383" i="41"/>
  <c r="O367" i="41"/>
  <c r="M367" i="41"/>
  <c r="S367" i="41"/>
  <c r="K367" i="41"/>
  <c r="R367" i="41"/>
  <c r="J367" i="41"/>
  <c r="Q367" i="41"/>
  <c r="I367" i="41"/>
  <c r="T367" i="41"/>
  <c r="P367" i="41"/>
  <c r="N367" i="41"/>
  <c r="L367" i="41"/>
  <c r="H367" i="41"/>
  <c r="R350" i="41"/>
  <c r="J350" i="41"/>
  <c r="P350" i="41"/>
  <c r="H350" i="41"/>
  <c r="N350" i="41"/>
  <c r="T350" i="41"/>
  <c r="S350" i="41"/>
  <c r="Q350" i="41"/>
  <c r="O350" i="41"/>
  <c r="M350" i="41"/>
  <c r="L350" i="41"/>
  <c r="K350" i="41"/>
  <c r="I350" i="41"/>
  <c r="Q318" i="41"/>
  <c r="I318" i="41"/>
  <c r="O318" i="41"/>
  <c r="N318" i="41"/>
  <c r="T318" i="41"/>
  <c r="L318" i="41"/>
  <c r="S318" i="41"/>
  <c r="K318" i="41"/>
  <c r="R318" i="41"/>
  <c r="P318" i="41"/>
  <c r="M318" i="41"/>
  <c r="J318" i="41"/>
  <c r="H318" i="41"/>
  <c r="O286" i="41"/>
  <c r="T286" i="41"/>
  <c r="L286" i="41"/>
  <c r="S286" i="41"/>
  <c r="K286" i="41"/>
  <c r="H286" i="41"/>
  <c r="R286" i="41"/>
  <c r="Q286" i="41"/>
  <c r="P286" i="41"/>
  <c r="N286" i="41"/>
  <c r="M286" i="41"/>
  <c r="I286" i="41"/>
  <c r="M202" i="41"/>
  <c r="R202" i="41"/>
  <c r="Q202" i="41"/>
  <c r="P202" i="41"/>
  <c r="O202" i="41"/>
  <c r="N202" i="41"/>
  <c r="L202" i="41"/>
  <c r="K202" i="41"/>
  <c r="H202" i="41"/>
  <c r="T202" i="41"/>
  <c r="S202" i="41"/>
  <c r="S138" i="41"/>
  <c r="K138" i="41"/>
  <c r="Q138" i="41"/>
  <c r="I138" i="41"/>
  <c r="O138" i="41"/>
  <c r="N138" i="41"/>
  <c r="M138" i="41"/>
  <c r="J138" i="41"/>
  <c r="H138" i="41"/>
  <c r="T138" i="41"/>
  <c r="R138" i="41"/>
  <c r="P138" i="41"/>
  <c r="L138" i="41"/>
  <c r="R74" i="41"/>
  <c r="P74" i="41"/>
  <c r="O74" i="41"/>
  <c r="T74" i="41"/>
  <c r="L74" i="41"/>
  <c r="S74" i="41"/>
  <c r="K74" i="41"/>
  <c r="R97" i="41"/>
  <c r="O97" i="41"/>
  <c r="N97" i="41"/>
  <c r="M97" i="41"/>
  <c r="L97" i="41"/>
  <c r="T97" i="41"/>
  <c r="K97" i="41"/>
  <c r="Q97" i="41"/>
  <c r="P97" i="41"/>
  <c r="H97" i="41"/>
  <c r="O33" i="41"/>
  <c r="M33" i="41"/>
  <c r="L33" i="41"/>
  <c r="R33" i="41"/>
  <c r="J33" i="41"/>
  <c r="Q33" i="41"/>
  <c r="S33" i="41"/>
  <c r="N33" i="41"/>
  <c r="K33" i="41"/>
  <c r="H33" i="41"/>
  <c r="O466" i="41"/>
  <c r="N466" i="41"/>
  <c r="T466" i="41"/>
  <c r="L466" i="41"/>
  <c r="R466" i="41"/>
  <c r="J466" i="41"/>
  <c r="K466" i="41"/>
  <c r="I466" i="41"/>
  <c r="H466" i="41"/>
  <c r="S466" i="41"/>
  <c r="Q466" i="41"/>
  <c r="P466" i="41"/>
  <c r="M466" i="41"/>
  <c r="Q450" i="41"/>
  <c r="I450" i="41"/>
  <c r="P450" i="41"/>
  <c r="H450" i="41"/>
  <c r="M450" i="41"/>
  <c r="N450" i="41"/>
  <c r="L450" i="41"/>
  <c r="K450" i="41"/>
  <c r="T450" i="41"/>
  <c r="S450" i="41"/>
  <c r="R450" i="41"/>
  <c r="O450" i="41"/>
  <c r="Q434" i="41"/>
  <c r="I434" i="41"/>
  <c r="P434" i="41"/>
  <c r="H434" i="41"/>
  <c r="M434" i="41"/>
  <c r="R434" i="41"/>
  <c r="O434" i="41"/>
  <c r="N434" i="41"/>
  <c r="L434" i="41"/>
  <c r="K434" i="41"/>
  <c r="J434" i="41"/>
  <c r="T434" i="41"/>
  <c r="S434" i="41"/>
  <c r="Q418" i="41"/>
  <c r="I418" i="41"/>
  <c r="P418" i="41"/>
  <c r="H418" i="41"/>
  <c r="M418" i="41"/>
  <c r="T418" i="41"/>
  <c r="S418" i="41"/>
  <c r="R418" i="41"/>
  <c r="O418" i="41"/>
  <c r="N418" i="41"/>
  <c r="L418" i="41"/>
  <c r="K418" i="41"/>
  <c r="J418" i="41"/>
  <c r="Q402" i="41"/>
  <c r="I402" i="41"/>
  <c r="P402" i="41"/>
  <c r="H402" i="41"/>
  <c r="M402" i="41"/>
  <c r="K402" i="41"/>
  <c r="J402" i="41"/>
  <c r="T402" i="41"/>
  <c r="S402" i="41"/>
  <c r="R402" i="41"/>
  <c r="O402" i="41"/>
  <c r="N402" i="41"/>
  <c r="L402" i="41"/>
  <c r="Q386" i="41"/>
  <c r="I386" i="41"/>
  <c r="P386" i="41"/>
  <c r="H386" i="41"/>
  <c r="M386" i="41"/>
  <c r="N386" i="41"/>
  <c r="K386" i="41"/>
  <c r="T386" i="41"/>
  <c r="S386" i="41"/>
  <c r="R386" i="41"/>
  <c r="J386" i="41"/>
  <c r="O386" i="41"/>
  <c r="L386" i="41"/>
  <c r="P370" i="41"/>
  <c r="H370" i="41"/>
  <c r="N370" i="41"/>
  <c r="T370" i="41"/>
  <c r="L370" i="41"/>
  <c r="S370" i="41"/>
  <c r="K370" i="41"/>
  <c r="R370" i="41"/>
  <c r="J370" i="41"/>
  <c r="Q370" i="41"/>
  <c r="O370" i="41"/>
  <c r="M370" i="41"/>
  <c r="I370" i="41"/>
  <c r="S120" i="41"/>
  <c r="K120" i="41"/>
  <c r="P120" i="41"/>
  <c r="H120" i="41"/>
  <c r="O120" i="41"/>
  <c r="R120" i="41"/>
  <c r="Q120" i="41"/>
  <c r="N120" i="41"/>
  <c r="M120" i="41"/>
  <c r="L120" i="41"/>
  <c r="T120" i="41"/>
  <c r="T56" i="41"/>
  <c r="L56" i="41"/>
  <c r="S56" i="41"/>
  <c r="K56" i="41"/>
  <c r="R56" i="41"/>
  <c r="J56" i="41"/>
  <c r="Q56" i="41"/>
  <c r="H56" i="41"/>
  <c r="O56" i="41"/>
  <c r="N56" i="41"/>
  <c r="M56" i="41"/>
  <c r="M333" i="41"/>
  <c r="S333" i="41"/>
  <c r="K333" i="41"/>
  <c r="N333" i="41"/>
  <c r="T333" i="41"/>
  <c r="I333" i="41"/>
  <c r="Q333" i="41"/>
  <c r="P333" i="41"/>
  <c r="L333" i="41"/>
  <c r="H333" i="41"/>
  <c r="R333" i="41"/>
  <c r="O333" i="41"/>
  <c r="N301" i="41"/>
  <c r="T301" i="41"/>
  <c r="L301" i="41"/>
  <c r="S301" i="41"/>
  <c r="K301" i="41"/>
  <c r="Q301" i="41"/>
  <c r="I301" i="41"/>
  <c r="P301" i="41"/>
  <c r="H301" i="41"/>
  <c r="M301" i="41"/>
  <c r="J301" i="41"/>
  <c r="R301" i="41"/>
  <c r="O301" i="41"/>
  <c r="T269" i="41"/>
  <c r="L269" i="41"/>
  <c r="P269" i="41"/>
  <c r="H269" i="41"/>
  <c r="M269" i="41"/>
  <c r="R269" i="41"/>
  <c r="Q269" i="41"/>
  <c r="O269" i="41"/>
  <c r="S269" i="41"/>
  <c r="N269" i="41"/>
  <c r="K269" i="41"/>
  <c r="I269" i="41"/>
  <c r="T215" i="41"/>
  <c r="L215" i="41"/>
  <c r="Q215" i="41"/>
  <c r="P215" i="41"/>
  <c r="H215" i="41"/>
  <c r="N215" i="41"/>
  <c r="K215" i="41"/>
  <c r="S215" i="41"/>
  <c r="R215" i="41"/>
  <c r="O215" i="41"/>
  <c r="R151" i="41"/>
  <c r="J151" i="41"/>
  <c r="P151" i="41"/>
  <c r="H151" i="41"/>
  <c r="N151" i="41"/>
  <c r="M151" i="41"/>
  <c r="T151" i="41"/>
  <c r="L151" i="41"/>
  <c r="K151" i="41"/>
  <c r="I151" i="41"/>
  <c r="S151" i="41"/>
  <c r="Q151" i="41"/>
  <c r="O151" i="41"/>
  <c r="Q87" i="41"/>
  <c r="P87" i="41"/>
  <c r="H87" i="41"/>
  <c r="O87" i="41"/>
  <c r="N87" i="41"/>
  <c r="T87" i="41"/>
  <c r="L87" i="41"/>
  <c r="S87" i="41"/>
  <c r="K87" i="41"/>
  <c r="R87" i="41"/>
  <c r="O23" i="41"/>
  <c r="T23" i="41"/>
  <c r="L23" i="41"/>
  <c r="S23" i="41"/>
  <c r="R23" i="41"/>
  <c r="P23" i="41"/>
  <c r="S465" i="41"/>
  <c r="K465" i="41"/>
  <c r="Q465" i="41"/>
  <c r="I465" i="41"/>
  <c r="O465" i="41"/>
  <c r="L465" i="41"/>
  <c r="J465" i="41"/>
  <c r="H465" i="41"/>
  <c r="T465" i="41"/>
  <c r="R465" i="41"/>
  <c r="P465" i="41"/>
  <c r="N465" i="41"/>
  <c r="M465" i="41"/>
  <c r="N449" i="41"/>
  <c r="M449" i="41"/>
  <c r="R449" i="41"/>
  <c r="J449" i="41"/>
  <c r="O449" i="41"/>
  <c r="L449" i="41"/>
  <c r="K449" i="41"/>
  <c r="I449" i="41"/>
  <c r="T449" i="41"/>
  <c r="H449" i="41"/>
  <c r="S449" i="41"/>
  <c r="Q449" i="41"/>
  <c r="P449" i="41"/>
  <c r="N433" i="41"/>
  <c r="M433" i="41"/>
  <c r="R433" i="41"/>
  <c r="J433" i="41"/>
  <c r="Q433" i="41"/>
  <c r="P433" i="41"/>
  <c r="O433" i="41"/>
  <c r="L433" i="41"/>
  <c r="K433" i="41"/>
  <c r="I433" i="41"/>
  <c r="T433" i="41"/>
  <c r="H433" i="41"/>
  <c r="S433" i="41"/>
  <c r="N417" i="41"/>
  <c r="M417" i="41"/>
  <c r="R417" i="41"/>
  <c r="T417" i="41"/>
  <c r="H417" i="41"/>
  <c r="S417" i="41"/>
  <c r="Q417" i="41"/>
  <c r="P417" i="41"/>
  <c r="O417" i="41"/>
  <c r="L417" i="41"/>
  <c r="K417" i="41"/>
  <c r="I417" i="41"/>
  <c r="Y401" i="41"/>
  <c r="Y385" i="41"/>
  <c r="Y369" i="41"/>
  <c r="Q230" i="41"/>
  <c r="N230" i="41"/>
  <c r="M230" i="41"/>
  <c r="K230" i="41"/>
  <c r="T230" i="41"/>
  <c r="H230" i="41"/>
  <c r="S230" i="41"/>
  <c r="R230" i="41"/>
  <c r="P230" i="41"/>
  <c r="O230" i="41"/>
  <c r="L230" i="41"/>
  <c r="O166" i="41"/>
  <c r="N166" i="41"/>
  <c r="M166" i="41"/>
  <c r="T166" i="41"/>
  <c r="L166" i="41"/>
  <c r="S166" i="41"/>
  <c r="K166" i="41"/>
  <c r="R166" i="41"/>
  <c r="Q166" i="41"/>
  <c r="P166" i="41"/>
  <c r="H166" i="41"/>
  <c r="M102" i="41"/>
  <c r="Q102" i="41"/>
  <c r="N102" i="41"/>
  <c r="L102" i="41"/>
  <c r="K102" i="41"/>
  <c r="T102" i="41"/>
  <c r="J102" i="41"/>
  <c r="S102" i="41"/>
  <c r="H102" i="41"/>
  <c r="P102" i="41"/>
  <c r="O102" i="41"/>
  <c r="N38" i="41"/>
  <c r="M38" i="41"/>
  <c r="T38" i="41"/>
  <c r="L38" i="41"/>
  <c r="S38" i="41"/>
  <c r="K38" i="41"/>
  <c r="Q38" i="41"/>
  <c r="I38" i="41"/>
  <c r="P38" i="41"/>
  <c r="H38" i="41"/>
  <c r="J38" i="41"/>
  <c r="O38" i="41"/>
  <c r="R38" i="41"/>
  <c r="M343" i="41"/>
  <c r="S343" i="41"/>
  <c r="K343" i="41"/>
  <c r="Q343" i="41"/>
  <c r="I343" i="41"/>
  <c r="H343" i="41"/>
  <c r="T343" i="41"/>
  <c r="R343" i="41"/>
  <c r="P343" i="41"/>
  <c r="O343" i="41"/>
  <c r="N343" i="41"/>
  <c r="L343" i="41"/>
  <c r="J343" i="41"/>
  <c r="R279" i="41"/>
  <c r="O279" i="41"/>
  <c r="N279" i="41"/>
  <c r="I279" i="41"/>
  <c r="S279" i="41"/>
  <c r="P279" i="41"/>
  <c r="M279" i="41"/>
  <c r="L279" i="41"/>
  <c r="T279" i="41"/>
  <c r="Q279" i="41"/>
  <c r="K279" i="41"/>
  <c r="H279" i="41"/>
  <c r="R109" i="41"/>
  <c r="N109" i="41"/>
  <c r="S109" i="41"/>
  <c r="H109" i="41"/>
  <c r="Q109" i="41"/>
  <c r="P109" i="41"/>
  <c r="O109" i="41"/>
  <c r="L109" i="41"/>
  <c r="K109" i="41"/>
  <c r="T109" i="41"/>
  <c r="S45" i="41"/>
  <c r="K45" i="41"/>
  <c r="R45" i="41"/>
  <c r="J45" i="41"/>
  <c r="Q45" i="41"/>
  <c r="P45" i="41"/>
  <c r="H45" i="41"/>
  <c r="O45" i="41"/>
  <c r="N45" i="41"/>
  <c r="M45" i="41"/>
  <c r="T45" i="41"/>
  <c r="L45" i="41"/>
  <c r="Y472" i="41"/>
  <c r="Y456" i="41"/>
  <c r="Y440" i="41"/>
  <c r="Y424" i="41"/>
  <c r="Y408" i="41"/>
  <c r="Y392" i="41"/>
  <c r="Y376" i="41"/>
  <c r="Y360" i="41"/>
  <c r="AO562" i="41"/>
  <c r="AO554" i="41"/>
  <c r="AO546" i="41"/>
  <c r="AO538" i="41"/>
  <c r="AO530" i="41"/>
  <c r="AO522" i="41"/>
  <c r="AO514" i="41"/>
  <c r="AO506" i="41"/>
  <c r="AO498" i="41"/>
  <c r="AK569" i="41"/>
  <c r="AK561" i="41"/>
  <c r="AK553" i="41"/>
  <c r="AM545" i="41"/>
  <c r="AM537" i="41"/>
  <c r="AK529" i="41"/>
  <c r="AK521" i="41"/>
  <c r="AM513" i="41"/>
  <c r="AK505" i="41"/>
  <c r="AK497" i="41"/>
  <c r="M646" i="41"/>
  <c r="R646" i="41"/>
  <c r="H638" i="41"/>
  <c r="L630" i="41"/>
  <c r="Q630" i="41"/>
  <c r="N622" i="41"/>
  <c r="S614" i="41"/>
  <c r="P614" i="41"/>
  <c r="T606" i="41"/>
  <c r="J606" i="41"/>
  <c r="M598" i="41"/>
  <c r="S590" i="41"/>
  <c r="T590" i="41"/>
  <c r="Q582" i="41"/>
  <c r="P582" i="41"/>
  <c r="AN568" i="41"/>
  <c r="AN560" i="41"/>
  <c r="AN552" i="41"/>
  <c r="AN544" i="41"/>
  <c r="AN536" i="41"/>
  <c r="AN528" i="41"/>
  <c r="AN520" i="41"/>
  <c r="AN512" i="41"/>
  <c r="AN504" i="41"/>
  <c r="AN496" i="41"/>
  <c r="AH567" i="41"/>
  <c r="AH559" i="41"/>
  <c r="AH551" i="41"/>
  <c r="AH543" i="41"/>
  <c r="AH535" i="41"/>
  <c r="AH527" i="41"/>
  <c r="AN519" i="41"/>
  <c r="AH511" i="41"/>
  <c r="AH503" i="41"/>
  <c r="AH495" i="41"/>
  <c r="AQ566" i="41"/>
  <c r="AO558" i="41"/>
  <c r="AO550" i="41"/>
  <c r="AO542" i="41"/>
  <c r="AQ534" i="41"/>
  <c r="AQ526" i="41"/>
  <c r="AO518" i="41"/>
  <c r="AO510" i="41"/>
  <c r="AO502" i="41"/>
  <c r="AO494" i="41"/>
  <c r="Q645" i="41"/>
  <c r="N645" i="41"/>
  <c r="K637" i="41"/>
  <c r="H629" i="41"/>
  <c r="T629" i="41"/>
  <c r="J621" i="41"/>
  <c r="O621" i="41"/>
  <c r="S613" i="41"/>
  <c r="I605" i="41"/>
  <c r="M605" i="41"/>
  <c r="L597" i="41"/>
  <c r="R589" i="41"/>
  <c r="I589" i="41"/>
  <c r="R581" i="41"/>
  <c r="S581" i="41"/>
  <c r="AE565" i="41"/>
  <c r="AE557" i="41"/>
  <c r="AE549" i="41"/>
  <c r="AE541" i="41"/>
  <c r="AE533" i="41"/>
  <c r="AE525" i="41"/>
  <c r="AE517" i="41"/>
  <c r="AE509" i="41"/>
  <c r="AE501" i="41"/>
  <c r="AE493" i="41"/>
  <c r="R650" i="41"/>
  <c r="H642" i="41"/>
  <c r="L642" i="41"/>
  <c r="Q634" i="41"/>
  <c r="N634" i="41"/>
  <c r="K626" i="41"/>
  <c r="P618" i="41"/>
  <c r="T618" i="41"/>
  <c r="J610" i="41"/>
  <c r="O602" i="41"/>
  <c r="K602" i="41"/>
  <c r="K594" i="41"/>
  <c r="L594" i="41"/>
  <c r="N586" i="41"/>
  <c r="N578" i="41"/>
  <c r="J578" i="41"/>
  <c r="AH564" i="41"/>
  <c r="AN556" i="41"/>
  <c r="AO548" i="41"/>
  <c r="AN540" i="41"/>
  <c r="AO532" i="41"/>
  <c r="AO524" i="41"/>
  <c r="AH516" i="41"/>
  <c r="AO508" i="41"/>
  <c r="AO500" i="41"/>
  <c r="AO492" i="41"/>
  <c r="T348" i="41"/>
  <c r="L348" i="41"/>
  <c r="R348" i="41"/>
  <c r="J348" i="41"/>
  <c r="P348" i="41"/>
  <c r="H348" i="41"/>
  <c r="S348" i="41"/>
  <c r="Q348" i="41"/>
  <c r="O348" i="41"/>
  <c r="N348" i="41"/>
  <c r="M348" i="41"/>
  <c r="K348" i="41"/>
  <c r="I348" i="41"/>
  <c r="S316" i="41"/>
  <c r="K316" i="41"/>
  <c r="Q316" i="41"/>
  <c r="I316" i="41"/>
  <c r="P316" i="41"/>
  <c r="H316" i="41"/>
  <c r="N316" i="41"/>
  <c r="M316" i="41"/>
  <c r="J316" i="41"/>
  <c r="T316" i="41"/>
  <c r="R316" i="41"/>
  <c r="O316" i="41"/>
  <c r="L316" i="41"/>
  <c r="Q284" i="41"/>
  <c r="I284" i="41"/>
  <c r="N284" i="41"/>
  <c r="M284" i="41"/>
  <c r="T284" i="41"/>
  <c r="H284" i="41"/>
  <c r="R284" i="41"/>
  <c r="O284" i="41"/>
  <c r="L284" i="41"/>
  <c r="K284" i="41"/>
  <c r="S284" i="41"/>
  <c r="P284" i="41"/>
  <c r="M244" i="41"/>
  <c r="K244" i="41"/>
  <c r="Q244" i="41"/>
  <c r="P244" i="41"/>
  <c r="H244" i="41"/>
  <c r="O244" i="41"/>
  <c r="T244" i="41"/>
  <c r="R244" i="41"/>
  <c r="N244" i="41"/>
  <c r="L244" i="41"/>
  <c r="S180" i="41"/>
  <c r="K180" i="41"/>
  <c r="O180" i="41"/>
  <c r="Q180" i="41"/>
  <c r="P180" i="41"/>
  <c r="N180" i="41"/>
  <c r="L180" i="41"/>
  <c r="T180" i="41"/>
  <c r="R180" i="41"/>
  <c r="H180" i="41"/>
  <c r="O116" i="41"/>
  <c r="T116" i="41"/>
  <c r="L116" i="41"/>
  <c r="S116" i="41"/>
  <c r="R116" i="41"/>
  <c r="P116" i="41"/>
  <c r="H52" i="41"/>
  <c r="O52" i="41"/>
  <c r="N52" i="41"/>
  <c r="M52" i="41"/>
  <c r="L52" i="41"/>
  <c r="S52" i="41"/>
  <c r="K52" i="41"/>
  <c r="R52" i="41"/>
  <c r="J52" i="41"/>
  <c r="Q52" i="41"/>
  <c r="S337" i="41"/>
  <c r="K337" i="41"/>
  <c r="Q337" i="41"/>
  <c r="I337" i="41"/>
  <c r="O337" i="41"/>
  <c r="T337" i="41"/>
  <c r="R337" i="41"/>
  <c r="N337" i="41"/>
  <c r="M337" i="41"/>
  <c r="P337" i="41"/>
  <c r="L337" i="41"/>
  <c r="H337" i="41"/>
  <c r="R305" i="41"/>
  <c r="P305" i="41"/>
  <c r="H305" i="41"/>
  <c r="O305" i="41"/>
  <c r="M305" i="41"/>
  <c r="T305" i="41"/>
  <c r="L305" i="41"/>
  <c r="S305" i="41"/>
  <c r="Q305" i="41"/>
  <c r="N305" i="41"/>
  <c r="K305" i="41"/>
  <c r="I305" i="41"/>
  <c r="P273" i="41"/>
  <c r="H273" i="41"/>
  <c r="T273" i="41"/>
  <c r="L273" i="41"/>
  <c r="N273" i="41"/>
  <c r="K273" i="41"/>
  <c r="S273" i="41"/>
  <c r="I273" i="41"/>
  <c r="R273" i="41"/>
  <c r="Q273" i="41"/>
  <c r="O273" i="41"/>
  <c r="M273" i="41"/>
  <c r="P203" i="41"/>
  <c r="H203" i="41"/>
  <c r="M203" i="41"/>
  <c r="T203" i="41"/>
  <c r="L203" i="41"/>
  <c r="Q203" i="41"/>
  <c r="O203" i="41"/>
  <c r="N203" i="41"/>
  <c r="K203" i="41"/>
  <c r="S203" i="41"/>
  <c r="R203" i="41"/>
  <c r="N139" i="41"/>
  <c r="T139" i="41"/>
  <c r="L139" i="41"/>
  <c r="R139" i="41"/>
  <c r="Q139" i="41"/>
  <c r="P139" i="41"/>
  <c r="H139" i="41"/>
  <c r="S139" i="41"/>
  <c r="O139" i="41"/>
  <c r="K139" i="41"/>
  <c r="M75" i="41"/>
  <c r="T75" i="41"/>
  <c r="L75" i="41"/>
  <c r="S75" i="41"/>
  <c r="K75" i="41"/>
  <c r="J75" i="41"/>
  <c r="Q75" i="41"/>
  <c r="P75" i="41"/>
  <c r="H75" i="41"/>
  <c r="O75" i="41"/>
  <c r="N75" i="41"/>
  <c r="M194" i="41"/>
  <c r="R194" i="41"/>
  <c r="Q194" i="41"/>
  <c r="S194" i="41"/>
  <c r="P194" i="41"/>
  <c r="O194" i="41"/>
  <c r="N194" i="41"/>
  <c r="L194" i="41"/>
  <c r="K194" i="41"/>
  <c r="H194" i="41"/>
  <c r="T194" i="41"/>
  <c r="S130" i="41"/>
  <c r="K130" i="41"/>
  <c r="Q130" i="41"/>
  <c r="O130" i="41"/>
  <c r="N130" i="41"/>
  <c r="M130" i="41"/>
  <c r="H130" i="41"/>
  <c r="T130" i="41"/>
  <c r="R130" i="41"/>
  <c r="P130" i="41"/>
  <c r="L130" i="41"/>
  <c r="R66" i="41"/>
  <c r="Q66" i="41"/>
  <c r="P66" i="41"/>
  <c r="H66" i="41"/>
  <c r="O66" i="41"/>
  <c r="N66" i="41"/>
  <c r="M66" i="41"/>
  <c r="T66" i="41"/>
  <c r="L66" i="41"/>
  <c r="S66" i="41"/>
  <c r="K66" i="41"/>
  <c r="Q339" i="41"/>
  <c r="I339" i="41"/>
  <c r="O339" i="41"/>
  <c r="M339" i="41"/>
  <c r="T339" i="41"/>
  <c r="H339" i="41"/>
  <c r="S339" i="41"/>
  <c r="R339" i="41"/>
  <c r="P339" i="41"/>
  <c r="N339" i="41"/>
  <c r="L339" i="41"/>
  <c r="K339" i="41"/>
  <c r="P307" i="41"/>
  <c r="H307" i="41"/>
  <c r="N307" i="41"/>
  <c r="M307" i="41"/>
  <c r="S307" i="41"/>
  <c r="K307" i="41"/>
  <c r="R307" i="41"/>
  <c r="J307" i="41"/>
  <c r="T307" i="41"/>
  <c r="Q307" i="41"/>
  <c r="O307" i="41"/>
  <c r="L307" i="41"/>
  <c r="I307" i="41"/>
  <c r="N275" i="41"/>
  <c r="S275" i="41"/>
  <c r="K275" i="41"/>
  <c r="R275" i="41"/>
  <c r="J275" i="41"/>
  <c r="I275" i="41"/>
  <c r="T275" i="41"/>
  <c r="P275" i="41"/>
  <c r="O275" i="41"/>
  <c r="M275" i="41"/>
  <c r="Q275" i="41"/>
  <c r="L275" i="41"/>
  <c r="H275" i="41"/>
  <c r="O89" i="41"/>
  <c r="T89" i="41"/>
  <c r="L89" i="41"/>
  <c r="S89" i="41"/>
  <c r="K89" i="41"/>
  <c r="R89" i="41"/>
  <c r="P89" i="41"/>
  <c r="O25" i="41"/>
  <c r="M25" i="41"/>
  <c r="L25" i="41"/>
  <c r="R25" i="41"/>
  <c r="J25" i="41"/>
  <c r="Q25" i="41"/>
  <c r="S25" i="41"/>
  <c r="N25" i="41"/>
  <c r="K25" i="41"/>
  <c r="H25" i="41"/>
  <c r="P352" i="41"/>
  <c r="H352" i="41"/>
  <c r="N352" i="41"/>
  <c r="T352" i="41"/>
  <c r="L352" i="41"/>
  <c r="S352" i="41"/>
  <c r="R352" i="41"/>
  <c r="Q352" i="41"/>
  <c r="O352" i="41"/>
  <c r="M352" i="41"/>
  <c r="K352" i="41"/>
  <c r="J352" i="41"/>
  <c r="I352" i="41"/>
  <c r="O320" i="41"/>
  <c r="M320" i="41"/>
  <c r="T320" i="41"/>
  <c r="L320" i="41"/>
  <c r="R320" i="41"/>
  <c r="Q320" i="41"/>
  <c r="I320" i="41"/>
  <c r="S320" i="41"/>
  <c r="P320" i="41"/>
  <c r="N320" i="41"/>
  <c r="K320" i="41"/>
  <c r="H320" i="41"/>
  <c r="M288" i="41"/>
  <c r="R288" i="41"/>
  <c r="J288" i="41"/>
  <c r="Q288" i="41"/>
  <c r="I288" i="41"/>
  <c r="T288" i="41"/>
  <c r="S288" i="41"/>
  <c r="P288" i="41"/>
  <c r="O288" i="41"/>
  <c r="N288" i="41"/>
  <c r="L288" i="41"/>
  <c r="K288" i="41"/>
  <c r="H288" i="41"/>
  <c r="N256" i="41"/>
  <c r="T256" i="41"/>
  <c r="L256" i="41"/>
  <c r="R256" i="41"/>
  <c r="Q256" i="41"/>
  <c r="I256" i="41"/>
  <c r="P256" i="41"/>
  <c r="H256" i="41"/>
  <c r="K256" i="41"/>
  <c r="S256" i="41"/>
  <c r="O256" i="41"/>
  <c r="M256" i="41"/>
  <c r="S112" i="41"/>
  <c r="K112" i="41"/>
  <c r="O112" i="41"/>
  <c r="L112" i="41"/>
  <c r="J112" i="41"/>
  <c r="R112" i="41"/>
  <c r="H112" i="41"/>
  <c r="Q112" i="41"/>
  <c r="N112" i="41"/>
  <c r="M112" i="41"/>
  <c r="T48" i="41"/>
  <c r="L48" i="41"/>
  <c r="S48" i="41"/>
  <c r="K48" i="41"/>
  <c r="R48" i="41"/>
  <c r="Q48" i="41"/>
  <c r="P48" i="41"/>
  <c r="H48" i="41"/>
  <c r="O48" i="41"/>
  <c r="N48" i="41"/>
  <c r="M48" i="41"/>
  <c r="T207" i="41"/>
  <c r="L207" i="41"/>
  <c r="Q207" i="41"/>
  <c r="P207" i="41"/>
  <c r="H207" i="41"/>
  <c r="O207" i="41"/>
  <c r="N207" i="41"/>
  <c r="K207" i="41"/>
  <c r="S207" i="41"/>
  <c r="R207" i="41"/>
  <c r="R143" i="41"/>
  <c r="P143" i="41"/>
  <c r="H143" i="41"/>
  <c r="N143" i="41"/>
  <c r="M143" i="41"/>
  <c r="T143" i="41"/>
  <c r="L143" i="41"/>
  <c r="S143" i="41"/>
  <c r="Q143" i="41"/>
  <c r="O143" i="41"/>
  <c r="K143" i="41"/>
  <c r="Q79" i="41"/>
  <c r="P79" i="41"/>
  <c r="H79" i="41"/>
  <c r="O79" i="41"/>
  <c r="N79" i="41"/>
  <c r="T79" i="41"/>
  <c r="L79" i="41"/>
  <c r="S79" i="41"/>
  <c r="K79" i="41"/>
  <c r="R79" i="41"/>
  <c r="P477" i="41"/>
  <c r="H477" i="41"/>
  <c r="O477" i="41"/>
  <c r="N477" i="41"/>
  <c r="M477" i="41"/>
  <c r="S477" i="41"/>
  <c r="K477" i="41"/>
  <c r="Q477" i="41"/>
  <c r="L477" i="41"/>
  <c r="J477" i="41"/>
  <c r="I477" i="41"/>
  <c r="T477" i="41"/>
  <c r="R477" i="41"/>
  <c r="M461" i="41"/>
  <c r="S461" i="41"/>
  <c r="K461" i="41"/>
  <c r="P461" i="41"/>
  <c r="O461" i="41"/>
  <c r="N461" i="41"/>
  <c r="L461" i="41"/>
  <c r="J461" i="41"/>
  <c r="T461" i="41"/>
  <c r="I461" i="41"/>
  <c r="R461" i="41"/>
  <c r="H461" i="41"/>
  <c r="Q461" i="41"/>
  <c r="R445" i="41"/>
  <c r="J445" i="41"/>
  <c r="Q445" i="41"/>
  <c r="I445" i="41"/>
  <c r="N445" i="41"/>
  <c r="O445" i="41"/>
  <c r="M445" i="41"/>
  <c r="L445" i="41"/>
  <c r="K445" i="41"/>
  <c r="H445" i="41"/>
  <c r="T445" i="41"/>
  <c r="S445" i="41"/>
  <c r="P445" i="41"/>
  <c r="R429" i="41"/>
  <c r="Q429" i="41"/>
  <c r="I429" i="41"/>
  <c r="N429" i="41"/>
  <c r="S429" i="41"/>
  <c r="P429" i="41"/>
  <c r="O429" i="41"/>
  <c r="M429" i="41"/>
  <c r="L429" i="41"/>
  <c r="K429" i="41"/>
  <c r="H429" i="41"/>
  <c r="T429" i="41"/>
  <c r="R413" i="41"/>
  <c r="J413" i="41"/>
  <c r="Q413" i="41"/>
  <c r="I413" i="41"/>
  <c r="N413" i="41"/>
  <c r="H413" i="41"/>
  <c r="T413" i="41"/>
  <c r="S413" i="41"/>
  <c r="P413" i="41"/>
  <c r="O413" i="41"/>
  <c r="M413" i="41"/>
  <c r="L413" i="41"/>
  <c r="K413" i="41"/>
  <c r="R397" i="41"/>
  <c r="Q397" i="41"/>
  <c r="I397" i="41"/>
  <c r="N397" i="41"/>
  <c r="L397" i="41"/>
  <c r="K397" i="41"/>
  <c r="H397" i="41"/>
  <c r="T397" i="41"/>
  <c r="S397" i="41"/>
  <c r="P397" i="41"/>
  <c r="O397" i="41"/>
  <c r="M397" i="41"/>
  <c r="R381" i="41"/>
  <c r="J381" i="41"/>
  <c r="Q381" i="41"/>
  <c r="I381" i="41"/>
  <c r="N381" i="41"/>
  <c r="O381" i="41"/>
  <c r="L381" i="41"/>
  <c r="H381" i="41"/>
  <c r="T381" i="41"/>
  <c r="S381" i="41"/>
  <c r="P381" i="41"/>
  <c r="M381" i="41"/>
  <c r="K381" i="41"/>
  <c r="Q365" i="41"/>
  <c r="I365" i="41"/>
  <c r="O365" i="41"/>
  <c r="M365" i="41"/>
  <c r="T365" i="41"/>
  <c r="L365" i="41"/>
  <c r="S365" i="41"/>
  <c r="K365" i="41"/>
  <c r="R365" i="41"/>
  <c r="P365" i="41"/>
  <c r="N365" i="41"/>
  <c r="J365" i="41"/>
  <c r="H365" i="41"/>
  <c r="N354" i="41"/>
  <c r="T354" i="41"/>
  <c r="L354" i="41"/>
  <c r="R354" i="41"/>
  <c r="J354" i="41"/>
  <c r="S354" i="41"/>
  <c r="Q354" i="41"/>
  <c r="P354" i="41"/>
  <c r="O354" i="41"/>
  <c r="M354" i="41"/>
  <c r="K354" i="41"/>
  <c r="I354" i="41"/>
  <c r="H354" i="41"/>
  <c r="M322" i="41"/>
  <c r="S322" i="41"/>
  <c r="K322" i="41"/>
  <c r="R322" i="41"/>
  <c r="J322" i="41"/>
  <c r="P322" i="41"/>
  <c r="H322" i="41"/>
  <c r="O322" i="41"/>
  <c r="Q322" i="41"/>
  <c r="N322" i="41"/>
  <c r="L322" i="41"/>
  <c r="I322" i="41"/>
  <c r="T322" i="41"/>
  <c r="S290" i="41"/>
  <c r="K290" i="41"/>
  <c r="P290" i="41"/>
  <c r="H290" i="41"/>
  <c r="O290" i="41"/>
  <c r="T290" i="41"/>
  <c r="R290" i="41"/>
  <c r="Q290" i="41"/>
  <c r="N290" i="41"/>
  <c r="M290" i="41"/>
  <c r="L290" i="41"/>
  <c r="I290" i="41"/>
  <c r="T258" i="41"/>
  <c r="L258" i="41"/>
  <c r="R258" i="41"/>
  <c r="J258" i="41"/>
  <c r="P258" i="41"/>
  <c r="H258" i="41"/>
  <c r="O258" i="41"/>
  <c r="N258" i="41"/>
  <c r="S258" i="41"/>
  <c r="Q258" i="41"/>
  <c r="M258" i="41"/>
  <c r="K258" i="41"/>
  <c r="I258" i="41"/>
  <c r="Q222" i="41"/>
  <c r="N222" i="41"/>
  <c r="M222" i="41"/>
  <c r="L222" i="41"/>
  <c r="K222" i="41"/>
  <c r="T222" i="41"/>
  <c r="H222" i="41"/>
  <c r="S222" i="41"/>
  <c r="R222" i="41"/>
  <c r="P222" i="41"/>
  <c r="O222" i="41"/>
  <c r="O158" i="41"/>
  <c r="M158" i="41"/>
  <c r="S158" i="41"/>
  <c r="K158" i="41"/>
  <c r="R158" i="41"/>
  <c r="Q158" i="41"/>
  <c r="T158" i="41"/>
  <c r="P158" i="41"/>
  <c r="N158" i="41"/>
  <c r="L158" i="41"/>
  <c r="H158" i="41"/>
  <c r="N94" i="41"/>
  <c r="M94" i="41"/>
  <c r="T94" i="41"/>
  <c r="L94" i="41"/>
  <c r="K94" i="41"/>
  <c r="R94" i="41"/>
  <c r="Q94" i="41"/>
  <c r="P94" i="41"/>
  <c r="H94" i="41"/>
  <c r="O94" i="41"/>
  <c r="N30" i="41"/>
  <c r="T30" i="41"/>
  <c r="L30" i="41"/>
  <c r="S30" i="41"/>
  <c r="K30" i="41"/>
  <c r="Q30" i="41"/>
  <c r="P30" i="41"/>
  <c r="H30" i="41"/>
  <c r="R30" i="41"/>
  <c r="O30" i="41"/>
  <c r="M30" i="41"/>
  <c r="J30" i="41"/>
  <c r="M335" i="41"/>
  <c r="S335" i="41"/>
  <c r="K335" i="41"/>
  <c r="Q335" i="41"/>
  <c r="I335" i="41"/>
  <c r="T335" i="41"/>
  <c r="R335" i="41"/>
  <c r="O335" i="41"/>
  <c r="N335" i="41"/>
  <c r="P335" i="41"/>
  <c r="L335" i="41"/>
  <c r="H335" i="41"/>
  <c r="R271" i="41"/>
  <c r="N271" i="41"/>
  <c r="S271" i="41"/>
  <c r="H271" i="41"/>
  <c r="P271" i="41"/>
  <c r="M271" i="41"/>
  <c r="L271" i="41"/>
  <c r="K271" i="41"/>
  <c r="T271" i="41"/>
  <c r="Q271" i="41"/>
  <c r="O271" i="41"/>
  <c r="I271" i="41"/>
  <c r="R101" i="41"/>
  <c r="J101" i="41"/>
  <c r="N101" i="41"/>
  <c r="P101" i="41"/>
  <c r="O101" i="41"/>
  <c r="M101" i="41"/>
  <c r="L101" i="41"/>
  <c r="K101" i="41"/>
  <c r="T101" i="41"/>
  <c r="S101" i="41"/>
  <c r="H101" i="41"/>
  <c r="Q101" i="41"/>
  <c r="S37" i="41"/>
  <c r="K37" i="41"/>
  <c r="J37" i="41"/>
  <c r="Q37" i="41"/>
  <c r="P37" i="41"/>
  <c r="H37" i="41"/>
  <c r="N37" i="41"/>
  <c r="M37" i="41"/>
  <c r="T37" i="41"/>
  <c r="O37" i="41"/>
  <c r="L37" i="41"/>
  <c r="M468" i="41"/>
  <c r="T468" i="41"/>
  <c r="L468" i="41"/>
  <c r="S468" i="41"/>
  <c r="K468" i="41"/>
  <c r="R468" i="41"/>
  <c r="J468" i="41"/>
  <c r="P468" i="41"/>
  <c r="H468" i="41"/>
  <c r="Q468" i="41"/>
  <c r="O468" i="41"/>
  <c r="N468" i="41"/>
  <c r="I468" i="41"/>
  <c r="O452" i="41"/>
  <c r="N452" i="41"/>
  <c r="S452" i="41"/>
  <c r="K452" i="41"/>
  <c r="M452" i="41"/>
  <c r="L452" i="41"/>
  <c r="I452" i="41"/>
  <c r="T452" i="41"/>
  <c r="H452" i="41"/>
  <c r="R452" i="41"/>
  <c r="Q452" i="41"/>
  <c r="P452" i="41"/>
  <c r="O436" i="41"/>
  <c r="N436" i="41"/>
  <c r="S436" i="41"/>
  <c r="K436" i="41"/>
  <c r="Q436" i="41"/>
  <c r="P436" i="41"/>
  <c r="M436" i="41"/>
  <c r="L436" i="41"/>
  <c r="J436" i="41"/>
  <c r="I436" i="41"/>
  <c r="T436" i="41"/>
  <c r="H436" i="41"/>
  <c r="R436" i="41"/>
  <c r="O420" i="41"/>
  <c r="N420" i="41"/>
  <c r="S420" i="41"/>
  <c r="K420" i="41"/>
  <c r="T420" i="41"/>
  <c r="H420" i="41"/>
  <c r="R420" i="41"/>
  <c r="Q420" i="41"/>
  <c r="P420" i="41"/>
  <c r="M420" i="41"/>
  <c r="L420" i="41"/>
  <c r="I420" i="41"/>
  <c r="O404" i="41"/>
  <c r="N404" i="41"/>
  <c r="S404" i="41"/>
  <c r="K404" i="41"/>
  <c r="J404" i="41"/>
  <c r="I404" i="41"/>
  <c r="T404" i="41"/>
  <c r="H404" i="41"/>
  <c r="R404" i="41"/>
  <c r="Q404" i="41"/>
  <c r="P404" i="41"/>
  <c r="M404" i="41"/>
  <c r="L404" i="41"/>
  <c r="O388" i="41"/>
  <c r="N388" i="41"/>
  <c r="S388" i="41"/>
  <c r="K388" i="41"/>
  <c r="M388" i="41"/>
  <c r="J388" i="41"/>
  <c r="T388" i="41"/>
  <c r="H388" i="41"/>
  <c r="R388" i="41"/>
  <c r="Q388" i="41"/>
  <c r="P388" i="41"/>
  <c r="L388" i="41"/>
  <c r="I388" i="41"/>
  <c r="N372" i="41"/>
  <c r="T372" i="41"/>
  <c r="L372" i="41"/>
  <c r="R372" i="41"/>
  <c r="J372" i="41"/>
  <c r="Q372" i="41"/>
  <c r="I372" i="41"/>
  <c r="P372" i="41"/>
  <c r="H372" i="41"/>
  <c r="S372" i="41"/>
  <c r="O372" i="41"/>
  <c r="M372" i="41"/>
  <c r="K372" i="41"/>
  <c r="AH563" i="41"/>
  <c r="AH555" i="41"/>
  <c r="AH547" i="41"/>
  <c r="AH539" i="41"/>
  <c r="AH531" i="41"/>
  <c r="AH523" i="41"/>
  <c r="AH515" i="41"/>
  <c r="AH507" i="41"/>
  <c r="AH499" i="41"/>
  <c r="AQ562" i="41"/>
  <c r="AQ554" i="41"/>
  <c r="AQ546" i="41"/>
  <c r="AQ538" i="41"/>
  <c r="AQ530" i="41"/>
  <c r="AQ522" i="41"/>
  <c r="AQ514" i="41"/>
  <c r="AQ506" i="41"/>
  <c r="AQ498" i="41"/>
  <c r="AM569" i="41"/>
  <c r="AM561" i="41"/>
  <c r="AM553" i="41"/>
  <c r="AQ545" i="41"/>
  <c r="AQ537" i="41"/>
  <c r="AM529" i="41"/>
  <c r="AM521" i="41"/>
  <c r="AQ513" i="41"/>
  <c r="AM505" i="41"/>
  <c r="AM497" i="41"/>
  <c r="N646" i="41"/>
  <c r="K638" i="41"/>
  <c r="P638" i="41"/>
  <c r="T630" i="41"/>
  <c r="J630" i="41"/>
  <c r="O622" i="41"/>
  <c r="K614" i="41"/>
  <c r="I614" i="41"/>
  <c r="M606" i="41"/>
  <c r="R606" i="41"/>
  <c r="O598" i="41"/>
  <c r="I590" i="41"/>
  <c r="N590" i="41"/>
  <c r="I582" i="41"/>
  <c r="R651" i="41"/>
  <c r="O651" i="41"/>
  <c r="S643" i="41"/>
  <c r="I643" i="41"/>
  <c r="M635" i="41"/>
  <c r="R627" i="41"/>
  <c r="H627" i="41"/>
  <c r="L619" i="41"/>
  <c r="Q619" i="41"/>
  <c r="N611" i="41"/>
  <c r="K603" i="41"/>
  <c r="P603" i="41"/>
  <c r="J595" i="41"/>
  <c r="P587" i="41"/>
  <c r="N587" i="41"/>
  <c r="H579" i="41"/>
  <c r="M579" i="41"/>
  <c r="AK567" i="41"/>
  <c r="AK559" i="41"/>
  <c r="AK551" i="41"/>
  <c r="AK543" i="41"/>
  <c r="AK535" i="41"/>
  <c r="AK527" i="41"/>
  <c r="AK519" i="41"/>
  <c r="AK511" i="41"/>
  <c r="AK503" i="41"/>
  <c r="AK495" i="41"/>
  <c r="AM566" i="41"/>
  <c r="AQ558" i="41"/>
  <c r="AQ550" i="41"/>
  <c r="AQ542" i="41"/>
  <c r="AM534" i="41"/>
  <c r="AM526" i="41"/>
  <c r="AQ518" i="41"/>
  <c r="AQ510" i="41"/>
  <c r="AQ502" i="41"/>
  <c r="AQ494" i="41"/>
  <c r="J645" i="41"/>
  <c r="I629" i="41"/>
  <c r="P613" i="41"/>
  <c r="Q605" i="41"/>
  <c r="T589" i="41"/>
  <c r="T581" i="41"/>
  <c r="AH565" i="41"/>
  <c r="AH557" i="41"/>
  <c r="AH549" i="41"/>
  <c r="AH541" i="41"/>
  <c r="AH533" i="41"/>
  <c r="AH525" i="41"/>
  <c r="AH517" i="41"/>
  <c r="AH509" i="41"/>
  <c r="AH501" i="41"/>
  <c r="AH493" i="41"/>
  <c r="K650" i="41"/>
  <c r="P642" i="41"/>
  <c r="T642" i="41"/>
  <c r="J634" i="41"/>
  <c r="O626" i="41"/>
  <c r="S626" i="41"/>
  <c r="I618" i="41"/>
  <c r="M618" i="41"/>
  <c r="R610" i="41"/>
  <c r="L602" i="41"/>
  <c r="S602" i="41"/>
  <c r="M594" i="41"/>
  <c r="T594" i="41"/>
  <c r="H586" i="41"/>
  <c r="Q578" i="41"/>
  <c r="R578" i="41"/>
  <c r="AO564" i="41"/>
  <c r="AO556" i="41"/>
  <c r="AQ548" i="41"/>
  <c r="AO540" i="41"/>
  <c r="AQ532" i="41"/>
  <c r="AQ524" i="41"/>
  <c r="AO516" i="41"/>
  <c r="AQ508" i="41"/>
  <c r="AQ500" i="41"/>
  <c r="AQ492" i="41"/>
  <c r="S236" i="41"/>
  <c r="K236" i="41"/>
  <c r="H236" i="41"/>
  <c r="O236" i="41"/>
  <c r="J236" i="41"/>
  <c r="T236" i="41"/>
  <c r="R236" i="41"/>
  <c r="Q236" i="41"/>
  <c r="N236" i="41"/>
  <c r="M236" i="41"/>
  <c r="L236" i="41"/>
  <c r="Q172" i="41"/>
  <c r="P172" i="41"/>
  <c r="H172" i="41"/>
  <c r="O172" i="41"/>
  <c r="N172" i="41"/>
  <c r="M172" i="41"/>
  <c r="T172" i="41"/>
  <c r="L172" i="41"/>
  <c r="S172" i="41"/>
  <c r="K172" i="41"/>
  <c r="R172" i="41"/>
  <c r="O108" i="41"/>
  <c r="S108" i="41"/>
  <c r="K108" i="41"/>
  <c r="T108" i="41"/>
  <c r="R108" i="41"/>
  <c r="H108" i="41"/>
  <c r="Q108" i="41"/>
  <c r="P108" i="41"/>
  <c r="N108" i="41"/>
  <c r="L108" i="41"/>
  <c r="P44" i="41"/>
  <c r="H44" i="41"/>
  <c r="O44" i="41"/>
  <c r="N44" i="41"/>
  <c r="M44" i="41"/>
  <c r="T44" i="41"/>
  <c r="L44" i="41"/>
  <c r="S44" i="41"/>
  <c r="K44" i="41"/>
  <c r="R44" i="41"/>
  <c r="Q44" i="41"/>
  <c r="P195" i="41"/>
  <c r="H195" i="41"/>
  <c r="M195" i="41"/>
  <c r="T195" i="41"/>
  <c r="L195" i="41"/>
  <c r="R195" i="41"/>
  <c r="Q195" i="41"/>
  <c r="O195" i="41"/>
  <c r="N195" i="41"/>
  <c r="K195" i="41"/>
  <c r="J195" i="41"/>
  <c r="S195" i="41"/>
  <c r="N131" i="41"/>
  <c r="T131" i="41"/>
  <c r="L131" i="41"/>
  <c r="R131" i="41"/>
  <c r="Q131" i="41"/>
  <c r="P131" i="41"/>
  <c r="H131" i="41"/>
  <c r="O131" i="41"/>
  <c r="M131" i="41"/>
  <c r="K131" i="41"/>
  <c r="S131" i="41"/>
  <c r="T67" i="41"/>
  <c r="L67" i="41"/>
  <c r="S67" i="41"/>
  <c r="K67" i="41"/>
  <c r="R67" i="41"/>
  <c r="Q67" i="41"/>
  <c r="P67" i="41"/>
  <c r="H67" i="41"/>
  <c r="O67" i="41"/>
  <c r="N67" i="41"/>
  <c r="R475" i="41"/>
  <c r="J475" i="41"/>
  <c r="Q475" i="41"/>
  <c r="I475" i="41"/>
  <c r="P475" i="41"/>
  <c r="H475" i="41"/>
  <c r="O475" i="41"/>
  <c r="M475" i="41"/>
  <c r="T475" i="41"/>
  <c r="S475" i="41"/>
  <c r="N475" i="41"/>
  <c r="L475" i="41"/>
  <c r="K475" i="41"/>
  <c r="O459" i="41"/>
  <c r="M459" i="41"/>
  <c r="T459" i="41"/>
  <c r="J459" i="41"/>
  <c r="S459" i="41"/>
  <c r="I459" i="41"/>
  <c r="R459" i="41"/>
  <c r="H459" i="41"/>
  <c r="Q459" i="41"/>
  <c r="P459" i="41"/>
  <c r="N459" i="41"/>
  <c r="L459" i="41"/>
  <c r="K459" i="41"/>
  <c r="T443" i="41"/>
  <c r="L443" i="41"/>
  <c r="S443" i="41"/>
  <c r="K443" i="41"/>
  <c r="P443" i="41"/>
  <c r="H443" i="41"/>
  <c r="O443" i="41"/>
  <c r="N443" i="41"/>
  <c r="M443" i="41"/>
  <c r="J443" i="41"/>
  <c r="I443" i="41"/>
  <c r="R443" i="41"/>
  <c r="Q443" i="41"/>
  <c r="T427" i="41"/>
  <c r="L427" i="41"/>
  <c r="S427" i="41"/>
  <c r="K427" i="41"/>
  <c r="P427" i="41"/>
  <c r="H427" i="41"/>
  <c r="R427" i="41"/>
  <c r="Q427" i="41"/>
  <c r="O427" i="41"/>
  <c r="N427" i="41"/>
  <c r="M427" i="41"/>
  <c r="J427" i="41"/>
  <c r="I427" i="41"/>
  <c r="T411" i="41"/>
  <c r="L411" i="41"/>
  <c r="S411" i="41"/>
  <c r="K411" i="41"/>
  <c r="P411" i="41"/>
  <c r="H411" i="41"/>
  <c r="I411" i="41"/>
  <c r="R411" i="41"/>
  <c r="Q411" i="41"/>
  <c r="O411" i="41"/>
  <c r="N411" i="41"/>
  <c r="M411" i="41"/>
  <c r="J411" i="41"/>
  <c r="T395" i="41"/>
  <c r="L395" i="41"/>
  <c r="S395" i="41"/>
  <c r="K395" i="41"/>
  <c r="P395" i="41"/>
  <c r="H395" i="41"/>
  <c r="M395" i="41"/>
  <c r="I395" i="41"/>
  <c r="R395" i="41"/>
  <c r="Q395" i="41"/>
  <c r="O395" i="41"/>
  <c r="N395" i="41"/>
  <c r="J395" i="41"/>
  <c r="T379" i="41"/>
  <c r="L379" i="41"/>
  <c r="S379" i="41"/>
  <c r="K379" i="41"/>
  <c r="P379" i="41"/>
  <c r="H379" i="41"/>
  <c r="O379" i="41"/>
  <c r="M379" i="41"/>
  <c r="I379" i="41"/>
  <c r="R379" i="41"/>
  <c r="Q379" i="41"/>
  <c r="N379" i="41"/>
  <c r="R342" i="41"/>
  <c r="J342" i="41"/>
  <c r="P342" i="41"/>
  <c r="H342" i="41"/>
  <c r="N342" i="41"/>
  <c r="I342" i="41"/>
  <c r="T342" i="41"/>
  <c r="S342" i="41"/>
  <c r="Q342" i="41"/>
  <c r="O342" i="41"/>
  <c r="M342" i="41"/>
  <c r="L342" i="41"/>
  <c r="K342" i="41"/>
  <c r="Q310" i="41"/>
  <c r="I310" i="41"/>
  <c r="O310" i="41"/>
  <c r="N310" i="41"/>
  <c r="T310" i="41"/>
  <c r="L310" i="41"/>
  <c r="S310" i="41"/>
  <c r="K310" i="41"/>
  <c r="R310" i="41"/>
  <c r="P310" i="41"/>
  <c r="M310" i="41"/>
  <c r="H310" i="41"/>
  <c r="O278" i="41"/>
  <c r="T278" i="41"/>
  <c r="L278" i="41"/>
  <c r="S278" i="41"/>
  <c r="K278" i="41"/>
  <c r="I278" i="41"/>
  <c r="R278" i="41"/>
  <c r="P278" i="41"/>
  <c r="N278" i="41"/>
  <c r="M278" i="41"/>
  <c r="Q278" i="41"/>
  <c r="J278" i="41"/>
  <c r="H278" i="41"/>
  <c r="M186" i="41"/>
  <c r="Q186" i="41"/>
  <c r="N186" i="41"/>
  <c r="L186" i="41"/>
  <c r="K186" i="41"/>
  <c r="J186" i="41"/>
  <c r="S186" i="41"/>
  <c r="H186" i="41"/>
  <c r="R186" i="41"/>
  <c r="O186" i="41"/>
  <c r="Q122" i="41"/>
  <c r="N122" i="41"/>
  <c r="R122" i="41"/>
  <c r="P122" i="41"/>
  <c r="O122" i="41"/>
  <c r="L122" i="41"/>
  <c r="K122" i="41"/>
  <c r="T122" i="41"/>
  <c r="H122" i="41"/>
  <c r="S122" i="41"/>
  <c r="R58" i="41"/>
  <c r="Q58" i="41"/>
  <c r="P58" i="41"/>
  <c r="H58" i="41"/>
  <c r="O58" i="41"/>
  <c r="N58" i="41"/>
  <c r="M58" i="41"/>
  <c r="T58" i="41"/>
  <c r="L58" i="41"/>
  <c r="S58" i="41"/>
  <c r="K58" i="41"/>
  <c r="O81" i="41"/>
  <c r="N81" i="41"/>
  <c r="M81" i="41"/>
  <c r="T81" i="41"/>
  <c r="L81" i="41"/>
  <c r="S81" i="41"/>
  <c r="K81" i="41"/>
  <c r="R81" i="41"/>
  <c r="Q81" i="41"/>
  <c r="P81" i="41"/>
  <c r="H81" i="41"/>
  <c r="S478" i="41"/>
  <c r="K478" i="41"/>
  <c r="R478" i="41"/>
  <c r="J478" i="41"/>
  <c r="Q478" i="41"/>
  <c r="I478" i="41"/>
  <c r="P478" i="41"/>
  <c r="H478" i="41"/>
  <c r="N478" i="41"/>
  <c r="T478" i="41"/>
  <c r="O478" i="41"/>
  <c r="M478" i="41"/>
  <c r="L478" i="41"/>
  <c r="P462" i="41"/>
  <c r="H462" i="41"/>
  <c r="N462" i="41"/>
  <c r="M462" i="41"/>
  <c r="L462" i="41"/>
  <c r="K462" i="41"/>
  <c r="T462" i="41"/>
  <c r="J462" i="41"/>
  <c r="S462" i="41"/>
  <c r="I462" i="41"/>
  <c r="R462" i="41"/>
  <c r="Q462" i="41"/>
  <c r="O462" i="41"/>
  <c r="M446" i="41"/>
  <c r="T446" i="41"/>
  <c r="L446" i="41"/>
  <c r="Q446" i="41"/>
  <c r="I446" i="41"/>
  <c r="O446" i="41"/>
  <c r="N446" i="41"/>
  <c r="K446" i="41"/>
  <c r="J446" i="41"/>
  <c r="H446" i="41"/>
  <c r="S446" i="41"/>
  <c r="R446" i="41"/>
  <c r="P446" i="41"/>
  <c r="M430" i="41"/>
  <c r="T430" i="41"/>
  <c r="L430" i="41"/>
  <c r="Q430" i="41"/>
  <c r="I430" i="41"/>
  <c r="R430" i="41"/>
  <c r="P430" i="41"/>
  <c r="O430" i="41"/>
  <c r="N430" i="41"/>
  <c r="K430" i="41"/>
  <c r="H430" i="41"/>
  <c r="S430" i="41"/>
  <c r="M414" i="41"/>
  <c r="T414" i="41"/>
  <c r="L414" i="41"/>
  <c r="Q414" i="41"/>
  <c r="I414" i="41"/>
  <c r="H414" i="41"/>
  <c r="S414" i="41"/>
  <c r="R414" i="41"/>
  <c r="P414" i="41"/>
  <c r="O414" i="41"/>
  <c r="N414" i="41"/>
  <c r="K414" i="41"/>
  <c r="J414" i="41"/>
  <c r="T366" i="41"/>
  <c r="L366" i="41"/>
  <c r="R366" i="41"/>
  <c r="J366" i="41"/>
  <c r="P366" i="41"/>
  <c r="H366" i="41"/>
  <c r="O366" i="41"/>
  <c r="N366" i="41"/>
  <c r="K366" i="41"/>
  <c r="I366" i="41"/>
  <c r="S366" i="41"/>
  <c r="Q366" i="41"/>
  <c r="M366" i="41"/>
  <c r="S104" i="41"/>
  <c r="K104" i="41"/>
  <c r="O104" i="41"/>
  <c r="T104" i="41"/>
  <c r="R104" i="41"/>
  <c r="H104" i="41"/>
  <c r="Q104" i="41"/>
  <c r="N104" i="41"/>
  <c r="M104" i="41"/>
  <c r="L104" i="41"/>
  <c r="J104" i="41"/>
  <c r="T40" i="41"/>
  <c r="L40" i="41"/>
  <c r="S40" i="41"/>
  <c r="K40" i="41"/>
  <c r="R40" i="41"/>
  <c r="P40" i="41"/>
  <c r="O40" i="41"/>
  <c r="O357" i="41"/>
  <c r="M357" i="41"/>
  <c r="S357" i="41"/>
  <c r="K357" i="41"/>
  <c r="R357" i="41"/>
  <c r="Q357" i="41"/>
  <c r="P357" i="41"/>
  <c r="N357" i="41"/>
  <c r="L357" i="41"/>
  <c r="J357" i="41"/>
  <c r="I357" i="41"/>
  <c r="T357" i="41"/>
  <c r="H357" i="41"/>
  <c r="M325" i="41"/>
  <c r="S325" i="41"/>
  <c r="K325" i="41"/>
  <c r="R325" i="41"/>
  <c r="H325" i="41"/>
  <c r="Q325" i="41"/>
  <c r="O325" i="41"/>
  <c r="N325" i="41"/>
  <c r="T325" i="41"/>
  <c r="P325" i="41"/>
  <c r="L325" i="41"/>
  <c r="I325" i="41"/>
  <c r="T293" i="41"/>
  <c r="L293" i="41"/>
  <c r="Q293" i="41"/>
  <c r="I293" i="41"/>
  <c r="P293" i="41"/>
  <c r="H293" i="41"/>
  <c r="S293" i="41"/>
  <c r="R293" i="41"/>
  <c r="O293" i="41"/>
  <c r="N293" i="41"/>
  <c r="M293" i="41"/>
  <c r="K293" i="41"/>
  <c r="J293" i="41"/>
  <c r="T261" i="41"/>
  <c r="L261" i="41"/>
  <c r="P261" i="41"/>
  <c r="H261" i="41"/>
  <c r="R261" i="41"/>
  <c r="O261" i="41"/>
  <c r="N261" i="41"/>
  <c r="M261" i="41"/>
  <c r="Q261" i="41"/>
  <c r="K261" i="41"/>
  <c r="I261" i="41"/>
  <c r="S261" i="41"/>
  <c r="T199" i="41"/>
  <c r="L199" i="41"/>
  <c r="Q199" i="41"/>
  <c r="P199" i="41"/>
  <c r="H199" i="41"/>
  <c r="R199" i="41"/>
  <c r="O199" i="41"/>
  <c r="N199" i="41"/>
  <c r="K199" i="41"/>
  <c r="S199" i="41"/>
  <c r="R135" i="41"/>
  <c r="P135" i="41"/>
  <c r="H135" i="41"/>
  <c r="N135" i="41"/>
  <c r="M135" i="41"/>
  <c r="T135" i="41"/>
  <c r="L135" i="41"/>
  <c r="S135" i="41"/>
  <c r="Q135" i="41"/>
  <c r="O135" i="41"/>
  <c r="K135" i="41"/>
  <c r="Q71" i="41"/>
  <c r="P71" i="41"/>
  <c r="H71" i="41"/>
  <c r="O71" i="41"/>
  <c r="N71" i="41"/>
  <c r="M71" i="41"/>
  <c r="T71" i="41"/>
  <c r="L71" i="41"/>
  <c r="S71" i="41"/>
  <c r="K71" i="41"/>
  <c r="R71" i="41"/>
  <c r="J71" i="41"/>
  <c r="Y477" i="41"/>
  <c r="Y461" i="41"/>
  <c r="Y445" i="41"/>
  <c r="Y429" i="41"/>
  <c r="Y413" i="41"/>
  <c r="Y397" i="41"/>
  <c r="Y381" i="41"/>
  <c r="Y365" i="41"/>
  <c r="Q214" i="41"/>
  <c r="N214" i="41"/>
  <c r="M214" i="41"/>
  <c r="O214" i="41"/>
  <c r="L214" i="41"/>
  <c r="K214" i="41"/>
  <c r="T214" i="41"/>
  <c r="H214" i="41"/>
  <c r="S214" i="41"/>
  <c r="R214" i="41"/>
  <c r="P214" i="41"/>
  <c r="O150" i="41"/>
  <c r="M150" i="41"/>
  <c r="S150" i="41"/>
  <c r="K150" i="41"/>
  <c r="R150" i="41"/>
  <c r="J150" i="41"/>
  <c r="Q150" i="41"/>
  <c r="T150" i="41"/>
  <c r="P150" i="41"/>
  <c r="N150" i="41"/>
  <c r="L150" i="41"/>
  <c r="H150" i="41"/>
  <c r="N86" i="41"/>
  <c r="M86" i="41"/>
  <c r="L86" i="41"/>
  <c r="S86" i="41"/>
  <c r="K86" i="41"/>
  <c r="R86" i="41"/>
  <c r="J86" i="41"/>
  <c r="Q86" i="41"/>
  <c r="H86" i="41"/>
  <c r="O86" i="41"/>
  <c r="N22" i="41"/>
  <c r="T22" i="41"/>
  <c r="L22" i="41"/>
  <c r="S22" i="41"/>
  <c r="K22" i="41"/>
  <c r="Q22" i="41"/>
  <c r="P22" i="41"/>
  <c r="O22" i="41"/>
  <c r="M22" i="41"/>
  <c r="J22" i="41"/>
  <c r="R22" i="41"/>
  <c r="H22" i="41"/>
  <c r="S327" i="41"/>
  <c r="K327" i="41"/>
  <c r="Q327" i="41"/>
  <c r="I327" i="41"/>
  <c r="P327" i="41"/>
  <c r="N327" i="41"/>
  <c r="M327" i="41"/>
  <c r="J327" i="41"/>
  <c r="T327" i="41"/>
  <c r="H327" i="41"/>
  <c r="R327" i="41"/>
  <c r="O327" i="41"/>
  <c r="L327" i="41"/>
  <c r="R263" i="41"/>
  <c r="J263" i="41"/>
  <c r="N263" i="41"/>
  <c r="P263" i="41"/>
  <c r="M263" i="41"/>
  <c r="K263" i="41"/>
  <c r="T263" i="41"/>
  <c r="I263" i="41"/>
  <c r="S263" i="41"/>
  <c r="H263" i="41"/>
  <c r="Q263" i="41"/>
  <c r="O263" i="41"/>
  <c r="L263" i="41"/>
  <c r="S93" i="41"/>
  <c r="K93" i="41"/>
  <c r="R93" i="41"/>
  <c r="Q93" i="41"/>
  <c r="P93" i="41"/>
  <c r="H93" i="41"/>
  <c r="O93" i="41"/>
  <c r="N93" i="41"/>
  <c r="M93" i="41"/>
  <c r="T93" i="41"/>
  <c r="L93" i="41"/>
  <c r="S29" i="41"/>
  <c r="K29" i="41"/>
  <c r="Q29" i="41"/>
  <c r="I29" i="41"/>
  <c r="P29" i="41"/>
  <c r="H29" i="41"/>
  <c r="N29" i="41"/>
  <c r="M29" i="41"/>
  <c r="J29" i="41"/>
  <c r="T29" i="41"/>
  <c r="R29" i="41"/>
  <c r="O29" i="41"/>
  <c r="L29" i="41"/>
  <c r="Y468" i="41"/>
  <c r="Y452" i="41"/>
  <c r="Y436" i="41"/>
  <c r="Y420" i="41"/>
  <c r="Y404" i="41"/>
  <c r="Y388" i="41"/>
  <c r="Y372" i="41"/>
  <c r="AK563" i="41"/>
  <c r="AK555" i="41"/>
  <c r="AK547" i="41"/>
  <c r="AK539" i="41"/>
  <c r="AE531" i="41"/>
  <c r="AK523" i="41"/>
  <c r="AK515" i="41"/>
  <c r="AK507" i="41"/>
  <c r="AK499" i="41"/>
  <c r="AN569" i="41"/>
  <c r="AN561" i="41"/>
  <c r="AN553" i="41"/>
  <c r="AN545" i="41"/>
  <c r="AN537" i="41"/>
  <c r="AN529" i="41"/>
  <c r="AN521" i="41"/>
  <c r="AN513" i="41"/>
  <c r="AN505" i="41"/>
  <c r="O646" i="41"/>
  <c r="S638" i="41"/>
  <c r="I638" i="41"/>
  <c r="M630" i="41"/>
  <c r="R630" i="41"/>
  <c r="H622" i="41"/>
  <c r="L614" i="41"/>
  <c r="Q614" i="41"/>
  <c r="N606" i="41"/>
  <c r="Q598" i="41"/>
  <c r="L598" i="41"/>
  <c r="J590" i="41"/>
  <c r="H590" i="41"/>
  <c r="K582" i="41"/>
  <c r="AQ568" i="41"/>
  <c r="AQ560" i="41"/>
  <c r="AQ552" i="41"/>
  <c r="AQ544" i="41"/>
  <c r="AQ536" i="41"/>
  <c r="AQ528" i="41"/>
  <c r="AQ520" i="41"/>
  <c r="AQ512" i="41"/>
  <c r="AQ504" i="41"/>
  <c r="AQ496" i="41"/>
  <c r="J651" i="41"/>
  <c r="H651" i="41"/>
  <c r="L643" i="41"/>
  <c r="Q643" i="41"/>
  <c r="N635" i="41"/>
  <c r="K627" i="41"/>
  <c r="P627" i="41"/>
  <c r="T619" i="41"/>
  <c r="J611" i="41"/>
  <c r="O611" i="41"/>
  <c r="S603" i="41"/>
  <c r="I603" i="41"/>
  <c r="L595" i="41"/>
  <c r="Q587" i="41"/>
  <c r="K587" i="41"/>
  <c r="J579" i="41"/>
  <c r="O579" i="41"/>
  <c r="AM567" i="41"/>
  <c r="AM559" i="41"/>
  <c r="AM551" i="41"/>
  <c r="AM543" i="41"/>
  <c r="AM535" i="41"/>
  <c r="AM527" i="41"/>
  <c r="AM519" i="41"/>
  <c r="AM511" i="41"/>
  <c r="AM503" i="41"/>
  <c r="AM495" i="41"/>
  <c r="AE566" i="41"/>
  <c r="AE558" i="41"/>
  <c r="AE550" i="41"/>
  <c r="AE542" i="41"/>
  <c r="AE534" i="41"/>
  <c r="AE526" i="41"/>
  <c r="AE518" i="41"/>
  <c r="AE510" i="41"/>
  <c r="AE502" i="41"/>
  <c r="AE494" i="41"/>
  <c r="R645" i="41"/>
  <c r="P637" i="41"/>
  <c r="L637" i="41"/>
  <c r="Q629" i="41"/>
  <c r="N629" i="41"/>
  <c r="K621" i="41"/>
  <c r="H613" i="41"/>
  <c r="T613" i="41"/>
  <c r="J605" i="41"/>
  <c r="O605" i="41"/>
  <c r="O597" i="41"/>
  <c r="H589" i="41"/>
  <c r="K589" i="41"/>
  <c r="H581" i="41"/>
  <c r="O650" i="41"/>
  <c r="I642" i="41"/>
  <c r="H626" i="41"/>
  <c r="Q618" i="41"/>
  <c r="H602" i="41"/>
  <c r="I586" i="41"/>
  <c r="S578" i="41"/>
  <c r="AQ564" i="41"/>
  <c r="AQ556" i="41"/>
  <c r="AH548" i="41"/>
  <c r="AQ540" i="41"/>
  <c r="AH532" i="41"/>
  <c r="AH524" i="41"/>
  <c r="AH508" i="41"/>
  <c r="AH500" i="41"/>
  <c r="AH492" i="41"/>
  <c r="T340" i="41"/>
  <c r="L340" i="41"/>
  <c r="R340" i="41"/>
  <c r="P340" i="41"/>
  <c r="H340" i="41"/>
  <c r="I340" i="41"/>
  <c r="S340" i="41"/>
  <c r="Q340" i="41"/>
  <c r="O340" i="41"/>
  <c r="N340" i="41"/>
  <c r="M340" i="41"/>
  <c r="K340" i="41"/>
  <c r="S308" i="41"/>
  <c r="K308" i="41"/>
  <c r="Q308" i="41"/>
  <c r="I308" i="41"/>
  <c r="P308" i="41"/>
  <c r="H308" i="41"/>
  <c r="N308" i="41"/>
  <c r="M308" i="41"/>
  <c r="T308" i="41"/>
  <c r="R308" i="41"/>
  <c r="O308" i="41"/>
  <c r="L308" i="41"/>
  <c r="J308" i="41"/>
  <c r="Q276" i="41"/>
  <c r="I276" i="41"/>
  <c r="N276" i="41"/>
  <c r="M276" i="41"/>
  <c r="S276" i="41"/>
  <c r="P276" i="41"/>
  <c r="O276" i="41"/>
  <c r="L276" i="41"/>
  <c r="T276" i="41"/>
  <c r="R276" i="41"/>
  <c r="K276" i="41"/>
  <c r="H276" i="41"/>
  <c r="S228" i="41"/>
  <c r="K228" i="41"/>
  <c r="P228" i="41"/>
  <c r="H228" i="41"/>
  <c r="O228" i="41"/>
  <c r="L228" i="41"/>
  <c r="T228" i="41"/>
  <c r="R228" i="41"/>
  <c r="Q228" i="41"/>
  <c r="N228" i="41"/>
  <c r="Q164" i="41"/>
  <c r="P164" i="41"/>
  <c r="H164" i="41"/>
  <c r="O164" i="41"/>
  <c r="N164" i="41"/>
  <c r="T164" i="41"/>
  <c r="L164" i="41"/>
  <c r="S164" i="41"/>
  <c r="K164" i="41"/>
  <c r="R164" i="41"/>
  <c r="O100" i="41"/>
  <c r="S100" i="41"/>
  <c r="K100" i="41"/>
  <c r="R100" i="41"/>
  <c r="H100" i="41"/>
  <c r="Q100" i="41"/>
  <c r="P100" i="41"/>
  <c r="N100" i="41"/>
  <c r="M100" i="41"/>
  <c r="L100" i="41"/>
  <c r="J100" i="41"/>
  <c r="T100" i="41"/>
  <c r="P36" i="41"/>
  <c r="H36" i="41"/>
  <c r="O36" i="41"/>
  <c r="N36" i="41"/>
  <c r="M36" i="41"/>
  <c r="S36" i="41"/>
  <c r="K36" i="41"/>
  <c r="J36" i="41"/>
  <c r="T36" i="41"/>
  <c r="Q36" i="41"/>
  <c r="L36" i="41"/>
  <c r="Q329" i="41"/>
  <c r="I329" i="41"/>
  <c r="O329" i="41"/>
  <c r="L329" i="41"/>
  <c r="T329" i="41"/>
  <c r="J329" i="41"/>
  <c r="S329" i="41"/>
  <c r="H329" i="41"/>
  <c r="P329" i="41"/>
  <c r="N329" i="41"/>
  <c r="R329" i="41"/>
  <c r="M329" i="41"/>
  <c r="K329" i="41"/>
  <c r="R297" i="41"/>
  <c r="P297" i="41"/>
  <c r="H297" i="41"/>
  <c r="O297" i="41"/>
  <c r="M297" i="41"/>
  <c r="T297" i="41"/>
  <c r="L297" i="41"/>
  <c r="S297" i="41"/>
  <c r="Q297" i="41"/>
  <c r="N297" i="41"/>
  <c r="K297" i="41"/>
  <c r="I297" i="41"/>
  <c r="P265" i="41"/>
  <c r="H265" i="41"/>
  <c r="T265" i="41"/>
  <c r="L265" i="41"/>
  <c r="K265" i="41"/>
  <c r="S265" i="41"/>
  <c r="I265" i="41"/>
  <c r="Q265" i="41"/>
  <c r="O265" i="41"/>
  <c r="N265" i="41"/>
  <c r="R265" i="41"/>
  <c r="M265" i="41"/>
  <c r="P187" i="41"/>
  <c r="H187" i="41"/>
  <c r="T187" i="41"/>
  <c r="L187" i="41"/>
  <c r="K187" i="41"/>
  <c r="J187" i="41"/>
  <c r="S187" i="41"/>
  <c r="R187" i="41"/>
  <c r="Q187" i="41"/>
  <c r="O187" i="41"/>
  <c r="N187" i="41"/>
  <c r="M187" i="41"/>
  <c r="T123" i="41"/>
  <c r="L123" i="41"/>
  <c r="Q123" i="41"/>
  <c r="P123" i="41"/>
  <c r="H123" i="41"/>
  <c r="R123" i="41"/>
  <c r="O123" i="41"/>
  <c r="N123" i="41"/>
  <c r="M123" i="41"/>
  <c r="K123" i="41"/>
  <c r="S123" i="41"/>
  <c r="M59" i="41"/>
  <c r="T59" i="41"/>
  <c r="L59" i="41"/>
  <c r="S59" i="41"/>
  <c r="K59" i="41"/>
  <c r="R59" i="41"/>
  <c r="Q59" i="41"/>
  <c r="P59" i="41"/>
  <c r="H59" i="41"/>
  <c r="O59" i="41"/>
  <c r="N59" i="41"/>
  <c r="S363" i="41"/>
  <c r="K363" i="41"/>
  <c r="Q363" i="41"/>
  <c r="I363" i="41"/>
  <c r="O363" i="41"/>
  <c r="N363" i="41"/>
  <c r="M363" i="41"/>
  <c r="H363" i="41"/>
  <c r="T363" i="41"/>
  <c r="R363" i="41"/>
  <c r="P363" i="41"/>
  <c r="L363" i="41"/>
  <c r="J363" i="41"/>
  <c r="M242" i="41"/>
  <c r="R242" i="41"/>
  <c r="J242" i="41"/>
  <c r="Q242" i="41"/>
  <c r="H242" i="41"/>
  <c r="T242" i="41"/>
  <c r="S242" i="41"/>
  <c r="P242" i="41"/>
  <c r="O242" i="41"/>
  <c r="N242" i="41"/>
  <c r="L242" i="41"/>
  <c r="K242" i="41"/>
  <c r="K178" i="41"/>
  <c r="T178" i="41"/>
  <c r="S178" i="41"/>
  <c r="R178" i="41"/>
  <c r="P178" i="41"/>
  <c r="O178" i="41"/>
  <c r="L178" i="41"/>
  <c r="Q114" i="41"/>
  <c r="N114" i="41"/>
  <c r="S114" i="41"/>
  <c r="R114" i="41"/>
  <c r="P114" i="41"/>
  <c r="O114" i="41"/>
  <c r="L114" i="41"/>
  <c r="K114" i="41"/>
  <c r="H114" i="41"/>
  <c r="T114" i="41"/>
  <c r="J50" i="41"/>
  <c r="Q50" i="41"/>
  <c r="P50" i="41"/>
  <c r="H50" i="41"/>
  <c r="O50" i="41"/>
  <c r="N50" i="41"/>
  <c r="M50" i="41"/>
  <c r="T50" i="41"/>
  <c r="L50" i="41"/>
  <c r="S50" i="41"/>
  <c r="K50" i="41"/>
  <c r="O331" i="41"/>
  <c r="M331" i="41"/>
  <c r="R331" i="41"/>
  <c r="H331" i="41"/>
  <c r="P331" i="41"/>
  <c r="N331" i="41"/>
  <c r="K331" i="41"/>
  <c r="T331" i="41"/>
  <c r="J331" i="41"/>
  <c r="I331" i="41"/>
  <c r="S331" i="41"/>
  <c r="Q331" i="41"/>
  <c r="L331" i="41"/>
  <c r="P299" i="41"/>
  <c r="H299" i="41"/>
  <c r="N299" i="41"/>
  <c r="M299" i="41"/>
  <c r="S299" i="41"/>
  <c r="K299" i="41"/>
  <c r="R299" i="41"/>
  <c r="Q299" i="41"/>
  <c r="O299" i="41"/>
  <c r="L299" i="41"/>
  <c r="I299" i="41"/>
  <c r="T299" i="41"/>
  <c r="N267" i="41"/>
  <c r="R267" i="41"/>
  <c r="Q267" i="41"/>
  <c r="O267" i="41"/>
  <c r="L267" i="41"/>
  <c r="K267" i="41"/>
  <c r="T267" i="41"/>
  <c r="I267" i="41"/>
  <c r="S267" i="41"/>
  <c r="P267" i="41"/>
  <c r="M267" i="41"/>
  <c r="H267" i="41"/>
  <c r="O73" i="41"/>
  <c r="T73" i="41"/>
  <c r="L73" i="41"/>
  <c r="S73" i="41"/>
  <c r="K73" i="41"/>
  <c r="R73" i="41"/>
  <c r="P73" i="41"/>
  <c r="M398" i="41"/>
  <c r="T398" i="41"/>
  <c r="L398" i="41"/>
  <c r="Q398" i="41"/>
  <c r="I398" i="41"/>
  <c r="K398" i="41"/>
  <c r="J398" i="41"/>
  <c r="H398" i="41"/>
  <c r="S398" i="41"/>
  <c r="R398" i="41"/>
  <c r="P398" i="41"/>
  <c r="O398" i="41"/>
  <c r="N398" i="41"/>
  <c r="M382" i="41"/>
  <c r="T382" i="41"/>
  <c r="L382" i="41"/>
  <c r="Q382" i="41"/>
  <c r="I382" i="41"/>
  <c r="O382" i="41"/>
  <c r="K382" i="41"/>
  <c r="H382" i="41"/>
  <c r="S382" i="41"/>
  <c r="R382" i="41"/>
  <c r="P382" i="41"/>
  <c r="N382" i="41"/>
  <c r="J382" i="41"/>
  <c r="P344" i="41"/>
  <c r="H344" i="41"/>
  <c r="N344" i="41"/>
  <c r="T344" i="41"/>
  <c r="L344" i="41"/>
  <c r="I344" i="41"/>
  <c r="S344" i="41"/>
  <c r="R344" i="41"/>
  <c r="Q344" i="41"/>
  <c r="O344" i="41"/>
  <c r="M344" i="41"/>
  <c r="K344" i="41"/>
  <c r="O312" i="41"/>
  <c r="M312" i="41"/>
  <c r="T312" i="41"/>
  <c r="L312" i="41"/>
  <c r="R312" i="41"/>
  <c r="J312" i="41"/>
  <c r="Q312" i="41"/>
  <c r="I312" i="41"/>
  <c r="S312" i="41"/>
  <c r="P312" i="41"/>
  <c r="N312" i="41"/>
  <c r="K312" i="41"/>
  <c r="H312" i="41"/>
  <c r="M280" i="41"/>
  <c r="R280" i="41"/>
  <c r="J280" i="41"/>
  <c r="Q280" i="41"/>
  <c r="I280" i="41"/>
  <c r="H280" i="41"/>
  <c r="S280" i="41"/>
  <c r="O280" i="41"/>
  <c r="N280" i="41"/>
  <c r="L280" i="41"/>
  <c r="T280" i="41"/>
  <c r="P280" i="41"/>
  <c r="K280" i="41"/>
  <c r="T96" i="41"/>
  <c r="L96" i="41"/>
  <c r="K96" i="41"/>
  <c r="R96" i="41"/>
  <c r="Q96" i="41"/>
  <c r="P96" i="41"/>
  <c r="H96" i="41"/>
  <c r="O96" i="41"/>
  <c r="N96" i="41"/>
  <c r="M96" i="41"/>
  <c r="T32" i="41"/>
  <c r="L32" i="41"/>
  <c r="R32" i="41"/>
  <c r="J32" i="41"/>
  <c r="Q32" i="41"/>
  <c r="I32" i="41"/>
  <c r="O32" i="41"/>
  <c r="N32" i="41"/>
  <c r="M32" i="41"/>
  <c r="K32" i="41"/>
  <c r="H32" i="41"/>
  <c r="S32" i="41"/>
  <c r="P32" i="41"/>
  <c r="T191" i="41"/>
  <c r="L191" i="41"/>
  <c r="P191" i="41"/>
  <c r="S191" i="41"/>
  <c r="R191" i="41"/>
  <c r="O191" i="41"/>
  <c r="K191" i="41"/>
  <c r="P127" i="41"/>
  <c r="T127" i="41"/>
  <c r="L127" i="41"/>
  <c r="O127" i="41"/>
  <c r="K127" i="41"/>
  <c r="S127" i="41"/>
  <c r="R127" i="41"/>
  <c r="Q63" i="41"/>
  <c r="P63" i="41"/>
  <c r="H63" i="41"/>
  <c r="O63" i="41"/>
  <c r="N63" i="41"/>
  <c r="M63" i="41"/>
  <c r="T63" i="41"/>
  <c r="L63" i="41"/>
  <c r="S63" i="41"/>
  <c r="K63" i="41"/>
  <c r="R63" i="41"/>
  <c r="J63" i="41"/>
  <c r="T473" i="41"/>
  <c r="L473" i="41"/>
  <c r="S473" i="41"/>
  <c r="K473" i="41"/>
  <c r="R473" i="41"/>
  <c r="J473" i="41"/>
  <c r="Q473" i="41"/>
  <c r="I473" i="41"/>
  <c r="O473" i="41"/>
  <c r="P473" i="41"/>
  <c r="N473" i="41"/>
  <c r="M473" i="41"/>
  <c r="H473" i="41"/>
  <c r="N409" i="41"/>
  <c r="M409" i="41"/>
  <c r="R409" i="41"/>
  <c r="J409" i="41"/>
  <c r="I409" i="41"/>
  <c r="T409" i="41"/>
  <c r="H409" i="41"/>
  <c r="S409" i="41"/>
  <c r="Q409" i="41"/>
  <c r="P409" i="41"/>
  <c r="O409" i="41"/>
  <c r="L409" i="41"/>
  <c r="K409" i="41"/>
  <c r="N393" i="41"/>
  <c r="M393" i="41"/>
  <c r="R393" i="41"/>
  <c r="J393" i="41"/>
  <c r="L393" i="41"/>
  <c r="I393" i="41"/>
  <c r="S393" i="41"/>
  <c r="Q393" i="41"/>
  <c r="P393" i="41"/>
  <c r="T393" i="41"/>
  <c r="O393" i="41"/>
  <c r="K393" i="41"/>
  <c r="H393" i="41"/>
  <c r="M377" i="41"/>
  <c r="R377" i="41"/>
  <c r="J377" i="41"/>
  <c r="Q377" i="41"/>
  <c r="O377" i="41"/>
  <c r="L377" i="41"/>
  <c r="K377" i="41"/>
  <c r="T377" i="41"/>
  <c r="I377" i="41"/>
  <c r="S377" i="41"/>
  <c r="P377" i="41"/>
  <c r="N377" i="41"/>
  <c r="H377" i="41"/>
  <c r="S361" i="41"/>
  <c r="K361" i="41"/>
  <c r="Q361" i="41"/>
  <c r="I361" i="41"/>
  <c r="O361" i="41"/>
  <c r="R361" i="41"/>
  <c r="P361" i="41"/>
  <c r="N361" i="41"/>
  <c r="M361" i="41"/>
  <c r="L361" i="41"/>
  <c r="J361" i="41"/>
  <c r="H361" i="41"/>
  <c r="T361" i="41"/>
  <c r="N346" i="41"/>
  <c r="T346" i="41"/>
  <c r="L346" i="41"/>
  <c r="R346" i="41"/>
  <c r="H346" i="41"/>
  <c r="S346" i="41"/>
  <c r="Q346" i="41"/>
  <c r="P346" i="41"/>
  <c r="O346" i="41"/>
  <c r="M346" i="41"/>
  <c r="K346" i="41"/>
  <c r="I346" i="41"/>
  <c r="M314" i="41"/>
  <c r="S314" i="41"/>
  <c r="K314" i="41"/>
  <c r="R314" i="41"/>
  <c r="J314" i="41"/>
  <c r="P314" i="41"/>
  <c r="H314" i="41"/>
  <c r="O314" i="41"/>
  <c r="N314" i="41"/>
  <c r="L314" i="41"/>
  <c r="I314" i="41"/>
  <c r="T314" i="41"/>
  <c r="Q314" i="41"/>
  <c r="S282" i="41"/>
  <c r="K282" i="41"/>
  <c r="P282" i="41"/>
  <c r="H282" i="41"/>
  <c r="O282" i="41"/>
  <c r="I282" i="41"/>
  <c r="R282" i="41"/>
  <c r="N282" i="41"/>
  <c r="M282" i="41"/>
  <c r="L282" i="41"/>
  <c r="Q282" i="41"/>
  <c r="J282" i="41"/>
  <c r="T282" i="41"/>
  <c r="Q206" i="41"/>
  <c r="N206" i="41"/>
  <c r="M206" i="41"/>
  <c r="P206" i="41"/>
  <c r="O206" i="41"/>
  <c r="L206" i="41"/>
  <c r="K206" i="41"/>
  <c r="T206" i="41"/>
  <c r="H206" i="41"/>
  <c r="S206" i="41"/>
  <c r="R206" i="41"/>
  <c r="O142" i="41"/>
  <c r="M142" i="41"/>
  <c r="S142" i="41"/>
  <c r="K142" i="41"/>
  <c r="R142" i="41"/>
  <c r="Q142" i="41"/>
  <c r="T142" i="41"/>
  <c r="P142" i="41"/>
  <c r="N142" i="41"/>
  <c r="L142" i="41"/>
  <c r="H142" i="41"/>
  <c r="N78" i="41"/>
  <c r="T78" i="41"/>
  <c r="L78" i="41"/>
  <c r="S78" i="41"/>
  <c r="K78" i="41"/>
  <c r="R78" i="41"/>
  <c r="Q78" i="41"/>
  <c r="P78" i="41"/>
  <c r="H78" i="41"/>
  <c r="O78" i="41"/>
  <c r="T319" i="41"/>
  <c r="L319" i="41"/>
  <c r="R319" i="41"/>
  <c r="J319" i="41"/>
  <c r="Q319" i="41"/>
  <c r="I319" i="41"/>
  <c r="O319" i="41"/>
  <c r="N319" i="41"/>
  <c r="M319" i="41"/>
  <c r="K319" i="41"/>
  <c r="H319" i="41"/>
  <c r="S319" i="41"/>
  <c r="P319" i="41"/>
  <c r="S85" i="41"/>
  <c r="K85" i="41"/>
  <c r="R85" i="41"/>
  <c r="Q85" i="41"/>
  <c r="P85" i="41"/>
  <c r="H85" i="41"/>
  <c r="O85" i="41"/>
  <c r="N85" i="41"/>
  <c r="L85" i="41"/>
  <c r="T85" i="41"/>
  <c r="Q480" i="41"/>
  <c r="I480" i="41"/>
  <c r="P480" i="41"/>
  <c r="H480" i="41"/>
  <c r="O480" i="41"/>
  <c r="N480" i="41"/>
  <c r="T480" i="41"/>
  <c r="L480" i="41"/>
  <c r="S480" i="41"/>
  <c r="R480" i="41"/>
  <c r="M480" i="41"/>
  <c r="K480" i="41"/>
  <c r="J480" i="41"/>
  <c r="P464" i="41"/>
  <c r="H464" i="41"/>
  <c r="N464" i="41"/>
  <c r="T464" i="41"/>
  <c r="L464" i="41"/>
  <c r="K464" i="41"/>
  <c r="J464" i="41"/>
  <c r="I464" i="41"/>
  <c r="S464" i="41"/>
  <c r="R464" i="41"/>
  <c r="Q464" i="41"/>
  <c r="O464" i="41"/>
  <c r="M464" i="41"/>
  <c r="S448" i="41"/>
  <c r="K448" i="41"/>
  <c r="R448" i="41"/>
  <c r="J448" i="41"/>
  <c r="O448" i="41"/>
  <c r="N448" i="41"/>
  <c r="M448" i="41"/>
  <c r="L448" i="41"/>
  <c r="I448" i="41"/>
  <c r="H448" i="41"/>
  <c r="T448" i="41"/>
  <c r="Q448" i="41"/>
  <c r="P448" i="41"/>
  <c r="S432" i="41"/>
  <c r="K432" i="41"/>
  <c r="R432" i="41"/>
  <c r="J432" i="41"/>
  <c r="O432" i="41"/>
  <c r="Q432" i="41"/>
  <c r="P432" i="41"/>
  <c r="N432" i="41"/>
  <c r="M432" i="41"/>
  <c r="L432" i="41"/>
  <c r="I432" i="41"/>
  <c r="H432" i="41"/>
  <c r="T432" i="41"/>
  <c r="S416" i="41"/>
  <c r="K416" i="41"/>
  <c r="R416" i="41"/>
  <c r="O416" i="41"/>
  <c r="H416" i="41"/>
  <c r="T416" i="41"/>
  <c r="Q416" i="41"/>
  <c r="P416" i="41"/>
  <c r="N416" i="41"/>
  <c r="M416" i="41"/>
  <c r="L416" i="41"/>
  <c r="I416" i="41"/>
  <c r="S400" i="41"/>
  <c r="K400" i="41"/>
  <c r="R400" i="41"/>
  <c r="J400" i="41"/>
  <c r="O400" i="41"/>
  <c r="L400" i="41"/>
  <c r="I400" i="41"/>
  <c r="H400" i="41"/>
  <c r="T400" i="41"/>
  <c r="Q400" i="41"/>
  <c r="P400" i="41"/>
  <c r="N400" i="41"/>
  <c r="M400" i="41"/>
  <c r="S384" i="41"/>
  <c r="K384" i="41"/>
  <c r="R384" i="41"/>
  <c r="O384" i="41"/>
  <c r="N384" i="41"/>
  <c r="L384" i="41"/>
  <c r="H384" i="41"/>
  <c r="T384" i="41"/>
  <c r="Q384" i="41"/>
  <c r="P384" i="41"/>
  <c r="M384" i="41"/>
  <c r="I384" i="41"/>
  <c r="R368" i="41"/>
  <c r="J368" i="41"/>
  <c r="P368" i="41"/>
  <c r="H368" i="41"/>
  <c r="N368" i="41"/>
  <c r="M368" i="41"/>
  <c r="T368" i="41"/>
  <c r="L368" i="41"/>
  <c r="S368" i="41"/>
  <c r="Q368" i="41"/>
  <c r="O368" i="41"/>
  <c r="K368" i="41"/>
  <c r="I368" i="41"/>
  <c r="AM563" i="41"/>
  <c r="AM555" i="41"/>
  <c r="AE547" i="41"/>
  <c r="AM539" i="41"/>
  <c r="AK531" i="41"/>
  <c r="AM523" i="41"/>
  <c r="AM515" i="41"/>
  <c r="AM507" i="41"/>
  <c r="AM499" i="41"/>
  <c r="AE562" i="41"/>
  <c r="AE554" i="41"/>
  <c r="AE546" i="41"/>
  <c r="AE538" i="41"/>
  <c r="AE530" i="41"/>
  <c r="AE522" i="41"/>
  <c r="AE514" i="41"/>
  <c r="AE506" i="41"/>
  <c r="AE498" i="41"/>
  <c r="AO569" i="41"/>
  <c r="AO561" i="41"/>
  <c r="AO553" i="41"/>
  <c r="AO545" i="41"/>
  <c r="AO537" i="41"/>
  <c r="AO529" i="41"/>
  <c r="AO521" i="41"/>
  <c r="AO513" i="41"/>
  <c r="AO505" i="41"/>
  <c r="AO497" i="41"/>
  <c r="H646" i="41"/>
  <c r="L638" i="41"/>
  <c r="Q638" i="41"/>
  <c r="N630" i="41"/>
  <c r="K622" i="41"/>
  <c r="P622" i="41"/>
  <c r="T614" i="41"/>
  <c r="J614" i="41"/>
  <c r="O606" i="41"/>
  <c r="R598" i="41"/>
  <c r="T598" i="41"/>
  <c r="K590" i="41"/>
  <c r="P590" i="41"/>
  <c r="O582" i="41"/>
  <c r="AE568" i="41"/>
  <c r="AE560" i="41"/>
  <c r="AE552" i="41"/>
  <c r="AO544" i="41"/>
  <c r="AE536" i="41"/>
  <c r="AE528" i="41"/>
  <c r="AE520" i="41"/>
  <c r="AE504" i="41"/>
  <c r="AE496" i="41"/>
  <c r="K651" i="41"/>
  <c r="P651" i="41"/>
  <c r="T643" i="41"/>
  <c r="R635" i="41"/>
  <c r="O635" i="41"/>
  <c r="S627" i="41"/>
  <c r="I627" i="41"/>
  <c r="M619" i="41"/>
  <c r="R611" i="41"/>
  <c r="H611" i="41"/>
  <c r="L603" i="41"/>
  <c r="Q603" i="41"/>
  <c r="N595" i="41"/>
  <c r="R587" i="41"/>
  <c r="S587" i="41"/>
  <c r="N579" i="41"/>
  <c r="AH566" i="41"/>
  <c r="AH558" i="41"/>
  <c r="AH550" i="41"/>
  <c r="AH542" i="41"/>
  <c r="AH534" i="41"/>
  <c r="AH526" i="41"/>
  <c r="AH518" i="41"/>
  <c r="AH510" i="41"/>
  <c r="AH502" i="41"/>
  <c r="K645" i="41"/>
  <c r="H637" i="41"/>
  <c r="T637" i="41"/>
  <c r="J629" i="41"/>
  <c r="O629" i="41"/>
  <c r="S621" i="41"/>
  <c r="I613" i="41"/>
  <c r="M613" i="41"/>
  <c r="R605" i="41"/>
  <c r="P597" i="41"/>
  <c r="I597" i="41"/>
  <c r="J589" i="41"/>
  <c r="S589" i="41"/>
  <c r="L581" i="41"/>
  <c r="AM557" i="41"/>
  <c r="AM549" i="41"/>
  <c r="AM541" i="41"/>
  <c r="AM533" i="41"/>
  <c r="AM525" i="41"/>
  <c r="AM517" i="41"/>
  <c r="AM509" i="41"/>
  <c r="AM501" i="41"/>
  <c r="H650" i="41"/>
  <c r="L650" i="41"/>
  <c r="Q642" i="41"/>
  <c r="N642" i="41"/>
  <c r="K634" i="41"/>
  <c r="P626" i="41"/>
  <c r="T626" i="41"/>
  <c r="J618" i="41"/>
  <c r="O610" i="41"/>
  <c r="S610" i="41"/>
  <c r="P602" i="41"/>
  <c r="M602" i="41"/>
  <c r="O594" i="41"/>
  <c r="M586" i="41"/>
  <c r="J586" i="41"/>
  <c r="I578" i="41"/>
  <c r="T578" i="41"/>
  <c r="AE564" i="41"/>
  <c r="AE556" i="41"/>
  <c r="AE548" i="41"/>
  <c r="AE540" i="41"/>
  <c r="AE532" i="41"/>
  <c r="AE524" i="41"/>
  <c r="AE516" i="41"/>
  <c r="AE508" i="41"/>
  <c r="AE500" i="41"/>
  <c r="S220" i="41"/>
  <c r="K220" i="41"/>
  <c r="P220" i="41"/>
  <c r="H220" i="41"/>
  <c r="O220" i="41"/>
  <c r="M220" i="41"/>
  <c r="L220" i="41"/>
  <c r="T220" i="41"/>
  <c r="R220" i="41"/>
  <c r="Q220" i="41"/>
  <c r="N220" i="41"/>
  <c r="Q156" i="41"/>
  <c r="O156" i="41"/>
  <c r="M156" i="41"/>
  <c r="T156" i="41"/>
  <c r="L156" i="41"/>
  <c r="S156" i="41"/>
  <c r="K156" i="41"/>
  <c r="H156" i="41"/>
  <c r="R156" i="41"/>
  <c r="P156" i="41"/>
  <c r="N156" i="41"/>
  <c r="P92" i="41"/>
  <c r="H92" i="41"/>
  <c r="O92" i="41"/>
  <c r="N92" i="41"/>
  <c r="T92" i="41"/>
  <c r="L92" i="41"/>
  <c r="S92" i="41"/>
  <c r="K92" i="41"/>
  <c r="R92" i="41"/>
  <c r="Q92" i="41"/>
  <c r="P28" i="41"/>
  <c r="H28" i="41"/>
  <c r="N28" i="41"/>
  <c r="M28" i="41"/>
  <c r="S28" i="41"/>
  <c r="K28" i="41"/>
  <c r="R28" i="41"/>
  <c r="J28" i="41"/>
  <c r="T28" i="41"/>
  <c r="Q28" i="41"/>
  <c r="O28" i="41"/>
  <c r="L28" i="41"/>
  <c r="I28" i="41"/>
  <c r="P243" i="41"/>
  <c r="H243" i="41"/>
  <c r="T243" i="41"/>
  <c r="L243" i="41"/>
  <c r="S243" i="41"/>
  <c r="R243" i="41"/>
  <c r="Q243" i="41"/>
  <c r="O243" i="41"/>
  <c r="N243" i="41"/>
  <c r="K243" i="41"/>
  <c r="P179" i="41"/>
  <c r="H179" i="41"/>
  <c r="T179" i="41"/>
  <c r="L179" i="41"/>
  <c r="S179" i="41"/>
  <c r="R179" i="41"/>
  <c r="Q179" i="41"/>
  <c r="O179" i="41"/>
  <c r="N179" i="41"/>
  <c r="K179" i="41"/>
  <c r="T115" i="41"/>
  <c r="L115" i="41"/>
  <c r="Q115" i="41"/>
  <c r="P115" i="41"/>
  <c r="H115" i="41"/>
  <c r="S115" i="41"/>
  <c r="R115" i="41"/>
  <c r="O115" i="41"/>
  <c r="N115" i="41"/>
  <c r="K115" i="41"/>
  <c r="T51" i="41"/>
  <c r="L51" i="41"/>
  <c r="S51" i="41"/>
  <c r="K51" i="41"/>
  <c r="R51" i="41"/>
  <c r="Q51" i="41"/>
  <c r="P51" i="41"/>
  <c r="H51" i="41"/>
  <c r="O51" i="41"/>
  <c r="N51" i="41"/>
  <c r="N471" i="41"/>
  <c r="M471" i="41"/>
  <c r="T471" i="41"/>
  <c r="L471" i="41"/>
  <c r="S471" i="41"/>
  <c r="K471" i="41"/>
  <c r="Q471" i="41"/>
  <c r="I471" i="41"/>
  <c r="H471" i="41"/>
  <c r="R471" i="41"/>
  <c r="P471" i="41"/>
  <c r="O471" i="41"/>
  <c r="R455" i="41"/>
  <c r="J455" i="41"/>
  <c r="Q455" i="41"/>
  <c r="I455" i="41"/>
  <c r="P455" i="41"/>
  <c r="H455" i="41"/>
  <c r="O455" i="41"/>
  <c r="N455" i="41"/>
  <c r="M455" i="41"/>
  <c r="T455" i="41"/>
  <c r="L455" i="41"/>
  <c r="S455" i="41"/>
  <c r="K455" i="41"/>
  <c r="P439" i="41"/>
  <c r="H439" i="41"/>
  <c r="O439" i="41"/>
  <c r="T439" i="41"/>
  <c r="L439" i="41"/>
  <c r="Q439" i="41"/>
  <c r="N439" i="41"/>
  <c r="M439" i="41"/>
  <c r="K439" i="41"/>
  <c r="I439" i="41"/>
  <c r="S439" i="41"/>
  <c r="R439" i="41"/>
  <c r="P423" i="41"/>
  <c r="H423" i="41"/>
  <c r="O423" i="41"/>
  <c r="T423" i="41"/>
  <c r="L423" i="41"/>
  <c r="S423" i="41"/>
  <c r="R423" i="41"/>
  <c r="Q423" i="41"/>
  <c r="N423" i="41"/>
  <c r="M423" i="41"/>
  <c r="K423" i="41"/>
  <c r="J423" i="41"/>
  <c r="I423" i="41"/>
  <c r="P407" i="41"/>
  <c r="H407" i="41"/>
  <c r="O407" i="41"/>
  <c r="T407" i="41"/>
  <c r="L407" i="41"/>
  <c r="J407" i="41"/>
  <c r="I407" i="41"/>
  <c r="S407" i="41"/>
  <c r="R407" i="41"/>
  <c r="Q407" i="41"/>
  <c r="N407" i="41"/>
  <c r="M407" i="41"/>
  <c r="K407" i="41"/>
  <c r="P391" i="41"/>
  <c r="H391" i="41"/>
  <c r="O391" i="41"/>
  <c r="T391" i="41"/>
  <c r="L391" i="41"/>
  <c r="M391" i="41"/>
  <c r="J391" i="41"/>
  <c r="S391" i="41"/>
  <c r="R391" i="41"/>
  <c r="Q391" i="41"/>
  <c r="K391" i="41"/>
  <c r="I391" i="41"/>
  <c r="N391" i="41"/>
  <c r="O375" i="41"/>
  <c r="M375" i="41"/>
  <c r="S375" i="41"/>
  <c r="K375" i="41"/>
  <c r="R375" i="41"/>
  <c r="J375" i="41"/>
  <c r="Q375" i="41"/>
  <c r="I375" i="41"/>
  <c r="T375" i="41"/>
  <c r="P375" i="41"/>
  <c r="N375" i="41"/>
  <c r="L375" i="41"/>
  <c r="H375" i="41"/>
  <c r="M359" i="41"/>
  <c r="S359" i="41"/>
  <c r="K359" i="41"/>
  <c r="Q359" i="41"/>
  <c r="I359" i="41"/>
  <c r="R359" i="41"/>
  <c r="P359" i="41"/>
  <c r="O359" i="41"/>
  <c r="N359" i="41"/>
  <c r="L359" i="41"/>
  <c r="J359" i="41"/>
  <c r="H359" i="41"/>
  <c r="T359" i="41"/>
  <c r="R334" i="41"/>
  <c r="P334" i="41"/>
  <c r="H334" i="41"/>
  <c r="N334" i="41"/>
  <c r="K334" i="41"/>
  <c r="T334" i="41"/>
  <c r="I334" i="41"/>
  <c r="S334" i="41"/>
  <c r="O334" i="41"/>
  <c r="M334" i="41"/>
  <c r="Q334" i="41"/>
  <c r="L334" i="41"/>
  <c r="Q302" i="41"/>
  <c r="I302" i="41"/>
  <c r="O302" i="41"/>
  <c r="N302" i="41"/>
  <c r="T302" i="41"/>
  <c r="L302" i="41"/>
  <c r="S302" i="41"/>
  <c r="K302" i="41"/>
  <c r="R302" i="41"/>
  <c r="P302" i="41"/>
  <c r="M302" i="41"/>
  <c r="H302" i="41"/>
  <c r="O270" i="41"/>
  <c r="S270" i="41"/>
  <c r="K270" i="41"/>
  <c r="R270" i="41"/>
  <c r="H270" i="41"/>
  <c r="P270" i="41"/>
  <c r="N270" i="41"/>
  <c r="M270" i="41"/>
  <c r="L270" i="41"/>
  <c r="I270" i="41"/>
  <c r="T270" i="41"/>
  <c r="Q270" i="41"/>
  <c r="M234" i="41"/>
  <c r="R234" i="41"/>
  <c r="J234" i="41"/>
  <c r="Q234" i="41"/>
  <c r="I234" i="41"/>
  <c r="K234" i="41"/>
  <c r="H234" i="41"/>
  <c r="T234" i="41"/>
  <c r="S234" i="41"/>
  <c r="P234" i="41"/>
  <c r="O234" i="41"/>
  <c r="N234" i="41"/>
  <c r="L234" i="41"/>
  <c r="S170" i="41"/>
  <c r="K170" i="41"/>
  <c r="R170" i="41"/>
  <c r="P170" i="41"/>
  <c r="O170" i="41"/>
  <c r="T170" i="41"/>
  <c r="L170" i="41"/>
  <c r="Q106" i="41"/>
  <c r="M106" i="41"/>
  <c r="O106" i="41"/>
  <c r="N106" i="41"/>
  <c r="L106" i="41"/>
  <c r="K106" i="41"/>
  <c r="T106" i="41"/>
  <c r="J106" i="41"/>
  <c r="S106" i="41"/>
  <c r="H106" i="41"/>
  <c r="R106" i="41"/>
  <c r="R42" i="41"/>
  <c r="J42" i="41"/>
  <c r="Q42" i="41"/>
  <c r="P42" i="41"/>
  <c r="H42" i="41"/>
  <c r="O42" i="41"/>
  <c r="N42" i="41"/>
  <c r="M42" i="41"/>
  <c r="T42" i="41"/>
  <c r="L42" i="41"/>
  <c r="S42" i="41"/>
  <c r="K42" i="41"/>
  <c r="P129" i="41"/>
  <c r="H129" i="41"/>
  <c r="N129" i="41"/>
  <c r="T129" i="41"/>
  <c r="S129" i="41"/>
  <c r="K129" i="41"/>
  <c r="R129" i="41"/>
  <c r="Q129" i="41"/>
  <c r="O129" i="41"/>
  <c r="M129" i="41"/>
  <c r="L129" i="41"/>
  <c r="O65" i="41"/>
  <c r="N65" i="41"/>
  <c r="M65" i="41"/>
  <c r="L65" i="41"/>
  <c r="S65" i="41"/>
  <c r="K65" i="41"/>
  <c r="R65" i="41"/>
  <c r="J65" i="41"/>
  <c r="Q65" i="41"/>
  <c r="H65" i="41"/>
  <c r="O474" i="41"/>
  <c r="N474" i="41"/>
  <c r="M474" i="41"/>
  <c r="T474" i="41"/>
  <c r="L474" i="41"/>
  <c r="R474" i="41"/>
  <c r="J474" i="41"/>
  <c r="K474" i="41"/>
  <c r="I474" i="41"/>
  <c r="H474" i="41"/>
  <c r="S474" i="41"/>
  <c r="Q474" i="41"/>
  <c r="P474" i="41"/>
  <c r="T458" i="41"/>
  <c r="L458" i="41"/>
  <c r="R458" i="41"/>
  <c r="J458" i="41"/>
  <c r="M458" i="41"/>
  <c r="K458" i="41"/>
  <c r="I458" i="41"/>
  <c r="S458" i="41"/>
  <c r="H458" i="41"/>
  <c r="Q458" i="41"/>
  <c r="P458" i="41"/>
  <c r="O458" i="41"/>
  <c r="N458" i="41"/>
  <c r="Q442" i="41"/>
  <c r="I442" i="41"/>
  <c r="P442" i="41"/>
  <c r="H442" i="41"/>
  <c r="M442" i="41"/>
  <c r="O442" i="41"/>
  <c r="N442" i="41"/>
  <c r="L442" i="41"/>
  <c r="K442" i="41"/>
  <c r="J442" i="41"/>
  <c r="T442" i="41"/>
  <c r="S442" i="41"/>
  <c r="R442" i="41"/>
  <c r="Q426" i="41"/>
  <c r="I426" i="41"/>
  <c r="P426" i="41"/>
  <c r="H426" i="41"/>
  <c r="M426" i="41"/>
  <c r="S426" i="41"/>
  <c r="R426" i="41"/>
  <c r="O426" i="41"/>
  <c r="N426" i="41"/>
  <c r="L426" i="41"/>
  <c r="K426" i="41"/>
  <c r="J426" i="41"/>
  <c r="T426" i="41"/>
  <c r="Q410" i="41"/>
  <c r="I410" i="41"/>
  <c r="P410" i="41"/>
  <c r="H410" i="41"/>
  <c r="M410" i="41"/>
  <c r="T410" i="41"/>
  <c r="S410" i="41"/>
  <c r="R410" i="41"/>
  <c r="O410" i="41"/>
  <c r="N410" i="41"/>
  <c r="L410" i="41"/>
  <c r="K410" i="41"/>
  <c r="Q394" i="41"/>
  <c r="I394" i="41"/>
  <c r="P394" i="41"/>
  <c r="H394" i="41"/>
  <c r="M394" i="41"/>
  <c r="L394" i="41"/>
  <c r="S394" i="41"/>
  <c r="R394" i="41"/>
  <c r="O394" i="41"/>
  <c r="T394" i="41"/>
  <c r="N394" i="41"/>
  <c r="K394" i="41"/>
  <c r="Q378" i="41"/>
  <c r="P378" i="41"/>
  <c r="H378" i="41"/>
  <c r="M378" i="41"/>
  <c r="O378" i="41"/>
  <c r="L378" i="41"/>
  <c r="J378" i="41"/>
  <c r="T378" i="41"/>
  <c r="I378" i="41"/>
  <c r="S378" i="41"/>
  <c r="K378" i="41"/>
  <c r="R378" i="41"/>
  <c r="N378" i="41"/>
  <c r="P362" i="41"/>
  <c r="N362" i="41"/>
  <c r="T362" i="41"/>
  <c r="L362" i="41"/>
  <c r="S362" i="41"/>
  <c r="R362" i="41"/>
  <c r="J362" i="41"/>
  <c r="Q362" i="41"/>
  <c r="O362" i="41"/>
  <c r="M362" i="41"/>
  <c r="K362" i="41"/>
  <c r="I362" i="41"/>
  <c r="H362" i="41"/>
  <c r="T88" i="41"/>
  <c r="L88" i="41"/>
  <c r="S88" i="41"/>
  <c r="K88" i="41"/>
  <c r="R88" i="41"/>
  <c r="Q88" i="41"/>
  <c r="P88" i="41"/>
  <c r="H88" i="41"/>
  <c r="O88" i="41"/>
  <c r="N88" i="41"/>
  <c r="T24" i="41"/>
  <c r="L24" i="41"/>
  <c r="R24" i="41"/>
  <c r="O24" i="41"/>
  <c r="S24" i="41"/>
  <c r="P24" i="41"/>
  <c r="O349" i="41"/>
  <c r="M349" i="41"/>
  <c r="S349" i="41"/>
  <c r="K349" i="41"/>
  <c r="T349" i="41"/>
  <c r="H349" i="41"/>
  <c r="R349" i="41"/>
  <c r="Q349" i="41"/>
  <c r="P349" i="41"/>
  <c r="N349" i="41"/>
  <c r="L349" i="41"/>
  <c r="J349" i="41"/>
  <c r="I349" i="41"/>
  <c r="N317" i="41"/>
  <c r="T317" i="41"/>
  <c r="L317" i="41"/>
  <c r="S317" i="41"/>
  <c r="K317" i="41"/>
  <c r="Q317" i="41"/>
  <c r="I317" i="41"/>
  <c r="P317" i="41"/>
  <c r="H317" i="41"/>
  <c r="R317" i="41"/>
  <c r="O317" i="41"/>
  <c r="M317" i="41"/>
  <c r="J317" i="41"/>
  <c r="T285" i="41"/>
  <c r="L285" i="41"/>
  <c r="Q285" i="41"/>
  <c r="I285" i="41"/>
  <c r="P285" i="41"/>
  <c r="H285" i="41"/>
  <c r="S285" i="41"/>
  <c r="R285" i="41"/>
  <c r="O285" i="41"/>
  <c r="N285" i="41"/>
  <c r="M285" i="41"/>
  <c r="K285" i="41"/>
  <c r="J285" i="41"/>
  <c r="T183" i="41"/>
  <c r="L183" i="41"/>
  <c r="P183" i="41"/>
  <c r="H183" i="41"/>
  <c r="J183" i="41"/>
  <c r="S183" i="41"/>
  <c r="R183" i="41"/>
  <c r="Q183" i="41"/>
  <c r="O183" i="41"/>
  <c r="N183" i="41"/>
  <c r="M183" i="41"/>
  <c r="K183" i="41"/>
  <c r="H119" i="41"/>
  <c r="M119" i="41"/>
  <c r="L119" i="41"/>
  <c r="R119" i="41"/>
  <c r="Q119" i="41"/>
  <c r="O119" i="41"/>
  <c r="N119" i="41"/>
  <c r="K119" i="41"/>
  <c r="J119" i="41"/>
  <c r="S119" i="41"/>
  <c r="Q55" i="41"/>
  <c r="H55" i="41"/>
  <c r="O55" i="41"/>
  <c r="N55" i="41"/>
  <c r="M55" i="41"/>
  <c r="T55" i="41"/>
  <c r="L55" i="41"/>
  <c r="S55" i="41"/>
  <c r="K55" i="41"/>
  <c r="R55" i="41"/>
  <c r="J55" i="41"/>
  <c r="P457" i="41"/>
  <c r="H457" i="41"/>
  <c r="O457" i="41"/>
  <c r="N457" i="41"/>
  <c r="M457" i="41"/>
  <c r="T457" i="41"/>
  <c r="L457" i="41"/>
  <c r="S457" i="41"/>
  <c r="K457" i="41"/>
  <c r="R457" i="41"/>
  <c r="J457" i="41"/>
  <c r="Q457" i="41"/>
  <c r="I457" i="41"/>
  <c r="N441" i="41"/>
  <c r="M441" i="41"/>
  <c r="R441" i="41"/>
  <c r="J441" i="41"/>
  <c r="P441" i="41"/>
  <c r="O441" i="41"/>
  <c r="L441" i="41"/>
  <c r="K441" i="41"/>
  <c r="I441" i="41"/>
  <c r="T441" i="41"/>
  <c r="H441" i="41"/>
  <c r="S441" i="41"/>
  <c r="Q441" i="41"/>
  <c r="N425" i="41"/>
  <c r="M425" i="41"/>
  <c r="R425" i="41"/>
  <c r="J425" i="41"/>
  <c r="S425" i="41"/>
  <c r="Q425" i="41"/>
  <c r="P425" i="41"/>
  <c r="O425" i="41"/>
  <c r="L425" i="41"/>
  <c r="K425" i="41"/>
  <c r="I425" i="41"/>
  <c r="T425" i="41"/>
  <c r="H425" i="41"/>
  <c r="Q198" i="41"/>
  <c r="I198" i="41"/>
  <c r="N198" i="41"/>
  <c r="M198" i="41"/>
  <c r="R198" i="41"/>
  <c r="P198" i="41"/>
  <c r="O198" i="41"/>
  <c r="L198" i="41"/>
  <c r="K198" i="41"/>
  <c r="J198" i="41"/>
  <c r="T198" i="41"/>
  <c r="H198" i="41"/>
  <c r="S198" i="41"/>
  <c r="O134" i="41"/>
  <c r="S134" i="41"/>
  <c r="K134" i="41"/>
  <c r="R134" i="41"/>
  <c r="T134" i="41"/>
  <c r="P134" i="41"/>
  <c r="L134" i="41"/>
  <c r="N70" i="41"/>
  <c r="M70" i="41"/>
  <c r="T70" i="41"/>
  <c r="L70" i="41"/>
  <c r="S70" i="41"/>
  <c r="K70" i="41"/>
  <c r="R70" i="41"/>
  <c r="J70" i="41"/>
  <c r="Q70" i="41"/>
  <c r="P70" i="41"/>
  <c r="H70" i="41"/>
  <c r="O70" i="41"/>
  <c r="T311" i="41"/>
  <c r="L311" i="41"/>
  <c r="R311" i="41"/>
  <c r="J311" i="41"/>
  <c r="Q311" i="41"/>
  <c r="I311" i="41"/>
  <c r="O311" i="41"/>
  <c r="N311" i="41"/>
  <c r="K311" i="41"/>
  <c r="H311" i="41"/>
  <c r="S311" i="41"/>
  <c r="P311" i="41"/>
  <c r="M311" i="41"/>
  <c r="P245" i="41"/>
  <c r="H245" i="41"/>
  <c r="N245" i="41"/>
  <c r="T245" i="41"/>
  <c r="L245" i="41"/>
  <c r="S245" i="41"/>
  <c r="K245" i="41"/>
  <c r="R245" i="41"/>
  <c r="O245" i="41"/>
  <c r="M245" i="41"/>
  <c r="Q245" i="41"/>
  <c r="S77" i="41"/>
  <c r="K77" i="41"/>
  <c r="R77" i="41"/>
  <c r="Q77" i="41"/>
  <c r="P77" i="41"/>
  <c r="H77" i="41"/>
  <c r="O77" i="41"/>
  <c r="N77" i="41"/>
  <c r="M77" i="41"/>
  <c r="T77" i="41"/>
  <c r="L77" i="41"/>
  <c r="Y480" i="41"/>
  <c r="Y464" i="41"/>
  <c r="Y448" i="41"/>
  <c r="Y432" i="41"/>
  <c r="Y416" i="41"/>
  <c r="Y400" i="41"/>
  <c r="Y384" i="41"/>
  <c r="Y368" i="41"/>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AO586" i="41" l="1"/>
  <c r="AH650" i="41"/>
  <c r="AJ578" i="41"/>
  <c r="AK642" i="41"/>
  <c r="AM650" i="41"/>
  <c r="AN602" i="41"/>
  <c r="AN586" i="41"/>
  <c r="AO602" i="41"/>
  <c r="AQ634" i="41"/>
  <c r="AF628" i="41"/>
  <c r="AI604" i="41"/>
  <c r="AG632" i="41"/>
  <c r="AQ594" i="41"/>
  <c r="AP634" i="41"/>
  <c r="AK627" i="41"/>
  <c r="AE597" i="41"/>
  <c r="AK652" i="41"/>
  <c r="AJ629" i="41"/>
  <c r="AP616" i="41"/>
  <c r="AP649" i="41"/>
  <c r="AJ623" i="41"/>
  <c r="AO584" i="41"/>
  <c r="AM613" i="41"/>
  <c r="AH610" i="41"/>
  <c r="AE614" i="41"/>
  <c r="AE618" i="41"/>
  <c r="AP618" i="41"/>
  <c r="AH592" i="41"/>
  <c r="AG643" i="41"/>
  <c r="AH618" i="41"/>
  <c r="AN648" i="41"/>
  <c r="AM619" i="41"/>
  <c r="AE652" i="41"/>
  <c r="AO610" i="41"/>
  <c r="AN645" i="41"/>
  <c r="AH646" i="41"/>
  <c r="AO606" i="41"/>
  <c r="AQ596" i="41"/>
  <c r="AI586" i="41"/>
  <c r="AN642" i="41"/>
  <c r="AE650" i="41"/>
  <c r="AN644" i="41"/>
  <c r="AM614" i="41"/>
  <c r="AM580" i="41"/>
  <c r="AH636" i="41"/>
  <c r="AP642" i="41"/>
  <c r="AG623" i="41"/>
  <c r="AH601" i="41"/>
  <c r="AO620" i="41"/>
  <c r="AJ644" i="41"/>
  <c r="AQ578" i="41"/>
  <c r="AG578" i="41"/>
  <c r="AJ594" i="41"/>
  <c r="AG594" i="41"/>
  <c r="AJ610" i="41"/>
  <c r="AG610" i="41"/>
  <c r="AK618" i="41"/>
  <c r="AE626" i="41"/>
  <c r="AQ626" i="41"/>
  <c r="AE634" i="41"/>
  <c r="AG642" i="41"/>
  <c r="AM642" i="41"/>
  <c r="AQ650" i="41"/>
  <c r="AM576" i="41"/>
  <c r="AQ584" i="41"/>
  <c r="AH584" i="41"/>
  <c r="AE592" i="41"/>
  <c r="AH600" i="41"/>
  <c r="AO600" i="41"/>
  <c r="AE608" i="41"/>
  <c r="AJ616" i="41"/>
  <c r="AG616" i="41"/>
  <c r="AO624" i="41"/>
  <c r="AI632" i="41"/>
  <c r="AH632" i="41"/>
  <c r="AG640" i="41"/>
  <c r="AJ648" i="41"/>
  <c r="AM648" i="41"/>
  <c r="AE581" i="41"/>
  <c r="AI581" i="41"/>
  <c r="AP589" i="41"/>
  <c r="AN597" i="41"/>
  <c r="AI597" i="41"/>
  <c r="AP605" i="41"/>
  <c r="AE613" i="41"/>
  <c r="AI613" i="41"/>
  <c r="AF621" i="41"/>
  <c r="AN629" i="41"/>
  <c r="AM629" i="41"/>
  <c r="AG637" i="41"/>
  <c r="AI645" i="41"/>
  <c r="AH645" i="41"/>
  <c r="AE579" i="41"/>
  <c r="AQ579" i="41"/>
  <c r="AG587" i="41"/>
  <c r="AE595" i="41"/>
  <c r="AI595" i="41"/>
  <c r="AM603" i="41"/>
  <c r="AE611" i="41"/>
  <c r="AI611" i="41"/>
  <c r="AG619" i="41"/>
  <c r="AE627" i="41"/>
  <c r="AN627" i="41"/>
  <c r="AP635" i="41"/>
  <c r="AF643" i="41"/>
  <c r="AP643" i="41"/>
  <c r="AM651" i="41"/>
  <c r="AF447" i="41"/>
  <c r="AF477" i="41"/>
  <c r="AF464" i="41"/>
  <c r="AF451" i="41"/>
  <c r="AF438" i="41"/>
  <c r="AF436" i="41"/>
  <c r="AF427" i="41"/>
  <c r="AF406" i="41"/>
  <c r="AF393" i="41"/>
  <c r="AF388" i="41"/>
  <c r="AF426" i="41"/>
  <c r="AF413" i="41"/>
  <c r="AF374" i="41"/>
  <c r="AF361" i="41"/>
  <c r="AF340" i="41"/>
  <c r="AF378" i="41"/>
  <c r="AF365" i="41"/>
  <c r="AF360" i="41"/>
  <c r="AF300" i="41"/>
  <c r="AF287" i="41"/>
  <c r="AF333" i="41"/>
  <c r="AF320" i="41"/>
  <c r="AF307" i="41"/>
  <c r="AF294" i="41"/>
  <c r="AF283" i="41"/>
  <c r="AF281" i="41"/>
  <c r="AF289" i="41"/>
  <c r="AF282" i="41"/>
  <c r="AF439" i="41"/>
  <c r="AF469" i="41"/>
  <c r="AF456" i="41"/>
  <c r="AF443" i="41"/>
  <c r="AF430" i="41"/>
  <c r="AF424" i="41"/>
  <c r="AF419" i="41"/>
  <c r="AF398" i="41"/>
  <c r="AF385" i="41"/>
  <c r="AF423" i="41"/>
  <c r="AF418" i="41"/>
  <c r="AF379" i="41"/>
  <c r="AF366" i="41"/>
  <c r="AF353" i="41"/>
  <c r="AF389" i="41"/>
  <c r="AF370" i="41"/>
  <c r="AF357" i="41"/>
  <c r="AF352" i="41"/>
  <c r="AF292" i="41"/>
  <c r="AF337" i="41"/>
  <c r="AF325" i="41"/>
  <c r="AF312" i="41"/>
  <c r="AF299" i="41"/>
  <c r="AF286" i="41"/>
  <c r="AF275" i="41"/>
  <c r="AF273" i="41"/>
  <c r="AF284" i="41"/>
  <c r="AF274" i="41"/>
  <c r="AF474" i="41"/>
  <c r="AF461" i="41"/>
  <c r="AF448" i="41"/>
  <c r="AF435" i="41"/>
  <c r="AF473" i="41"/>
  <c r="AF416" i="41"/>
  <c r="AF411" i="41"/>
  <c r="AF390" i="41"/>
  <c r="AF468" i="41"/>
  <c r="AF415" i="41"/>
  <c r="AF410" i="41"/>
  <c r="AF371" i="41"/>
  <c r="AF358" i="41"/>
  <c r="AF345" i="41"/>
  <c r="AF383" i="41"/>
  <c r="AF362" i="41"/>
  <c r="AF349" i="41"/>
  <c r="AF344" i="41"/>
  <c r="AF335" i="41"/>
  <c r="AF330" i="41"/>
  <c r="AF317" i="41"/>
  <c r="AF304" i="41"/>
  <c r="AF291" i="41"/>
  <c r="AF297" i="41"/>
  <c r="AF267" i="41"/>
  <c r="AF265" i="41"/>
  <c r="AF279" i="41"/>
  <c r="AF266" i="41"/>
  <c r="AF466" i="41"/>
  <c r="AF453" i="41"/>
  <c r="AF440" i="41"/>
  <c r="AF478" i="41"/>
  <c r="AF465" i="41"/>
  <c r="AF408" i="41"/>
  <c r="AF403" i="41"/>
  <c r="AF444" i="41"/>
  <c r="AF428" i="41"/>
  <c r="AF407" i="41"/>
  <c r="AF402" i="41"/>
  <c r="AF363" i="41"/>
  <c r="AF350" i="41"/>
  <c r="AF380" i="41"/>
  <c r="AF375" i="41"/>
  <c r="AF354" i="41"/>
  <c r="AF341" i="41"/>
  <c r="AF336" i="41"/>
  <c r="AF327" i="41"/>
  <c r="AF322" i="41"/>
  <c r="AF309" i="41"/>
  <c r="AF296" i="41"/>
  <c r="AF334" i="41"/>
  <c r="AF280" i="41"/>
  <c r="AF259" i="41"/>
  <c r="AF257" i="41"/>
  <c r="AF271" i="41"/>
  <c r="AF258" i="41"/>
  <c r="AF479" i="41"/>
  <c r="AF458" i="41"/>
  <c r="AF445" i="41"/>
  <c r="AF432" i="41"/>
  <c r="AF470" i="41"/>
  <c r="AF457" i="41"/>
  <c r="AF400" i="41"/>
  <c r="AF395" i="41"/>
  <c r="AF425" i="41"/>
  <c r="AF420" i="41"/>
  <c r="AF399" i="41"/>
  <c r="AF394" i="41"/>
  <c r="AF355" i="41"/>
  <c r="AF342" i="41"/>
  <c r="AF372" i="41"/>
  <c r="AF367" i="41"/>
  <c r="AF346" i="41"/>
  <c r="AF397" i="41"/>
  <c r="AF332" i="41"/>
  <c r="AF319" i="41"/>
  <c r="AF314" i="41"/>
  <c r="AF301" i="41"/>
  <c r="AF288" i="41"/>
  <c r="AF326" i="41"/>
  <c r="AF272" i="41"/>
  <c r="AF278" i="41"/>
  <c r="AF329" i="41"/>
  <c r="AF263" i="41"/>
  <c r="AF277" i="41"/>
  <c r="AF471" i="41"/>
  <c r="AF450" i="41"/>
  <c r="AF437" i="41"/>
  <c r="AF475" i="41"/>
  <c r="AF462" i="41"/>
  <c r="AF449" i="41"/>
  <c r="AF392" i="41"/>
  <c r="AF387" i="41"/>
  <c r="AF417" i="41"/>
  <c r="AF412" i="41"/>
  <c r="AF391" i="41"/>
  <c r="AF386" i="41"/>
  <c r="AF347" i="41"/>
  <c r="AF405" i="41"/>
  <c r="AF364" i="41"/>
  <c r="AF359" i="41"/>
  <c r="AF338" i="41"/>
  <c r="AF384" i="41"/>
  <c r="AF324" i="41"/>
  <c r="AF311" i="41"/>
  <c r="AF306" i="41"/>
  <c r="AF293" i="41"/>
  <c r="AF331" i="41"/>
  <c r="AF318" i="41"/>
  <c r="AF264" i="41"/>
  <c r="AF270" i="41"/>
  <c r="AF276" i="41"/>
  <c r="AF269" i="41"/>
  <c r="AF463" i="41"/>
  <c r="AF442" i="41"/>
  <c r="AF480" i="41"/>
  <c r="AF467" i="41"/>
  <c r="AF454" i="41"/>
  <c r="AF441" i="41"/>
  <c r="AF460" i="41"/>
  <c r="AF422" i="41"/>
  <c r="AF409" i="41"/>
  <c r="AF404" i="41"/>
  <c r="AF452" i="41"/>
  <c r="AF476" i="41"/>
  <c r="AF339" i="41"/>
  <c r="AF377" i="41"/>
  <c r="AF356" i="41"/>
  <c r="AF351" i="41"/>
  <c r="AF381" i="41"/>
  <c r="AF376" i="41"/>
  <c r="AF316" i="41"/>
  <c r="AF303" i="41"/>
  <c r="AF298" i="41"/>
  <c r="AF285" i="41"/>
  <c r="AF323" i="41"/>
  <c r="AF310" i="41"/>
  <c r="AF256" i="41"/>
  <c r="AF262" i="41"/>
  <c r="AF268" i="41"/>
  <c r="AF261" i="41"/>
  <c r="AF455" i="41"/>
  <c r="AF434" i="41"/>
  <c r="AF472" i="41"/>
  <c r="AF459" i="41"/>
  <c r="AF446" i="41"/>
  <c r="AF433" i="41"/>
  <c r="AF429" i="41"/>
  <c r="AF414" i="41"/>
  <c r="AF401" i="41"/>
  <c r="AF396" i="41"/>
  <c r="AF431" i="41"/>
  <c r="AF421" i="41"/>
  <c r="AF382" i="41"/>
  <c r="AF369" i="41"/>
  <c r="AF348" i="41"/>
  <c r="AF343" i="41"/>
  <c r="AF373" i="41"/>
  <c r="AF368" i="41"/>
  <c r="AF308" i="41"/>
  <c r="AF295" i="41"/>
  <c r="AF290" i="41"/>
  <c r="AF328" i="41"/>
  <c r="AF315" i="41"/>
  <c r="AF302" i="41"/>
  <c r="AF321" i="41"/>
  <c r="AF305" i="41"/>
  <c r="AF260" i="41"/>
  <c r="AF313" i="41"/>
  <c r="AN582" i="41"/>
  <c r="AJ590" i="41"/>
  <c r="AG590" i="41"/>
  <c r="AN598" i="41"/>
  <c r="AJ606" i="41"/>
  <c r="AG606" i="41"/>
  <c r="AN614" i="41"/>
  <c r="AO622" i="41"/>
  <c r="AQ622" i="41"/>
  <c r="AF630" i="41"/>
  <c r="AO638" i="41"/>
  <c r="AI638" i="41"/>
  <c r="AQ646" i="41"/>
  <c r="AP577" i="41"/>
  <c r="AN585" i="41"/>
  <c r="AI585" i="41"/>
  <c r="AP593" i="41"/>
  <c r="AE601" i="41"/>
  <c r="AI601" i="41"/>
  <c r="AP609" i="41"/>
  <c r="AG617" i="41"/>
  <c r="AM617" i="41"/>
  <c r="AN625" i="41"/>
  <c r="AG633" i="41"/>
  <c r="AN633" i="41"/>
  <c r="AJ641" i="41"/>
  <c r="AI649" i="41"/>
  <c r="AH649" i="41"/>
  <c r="AN575" i="41"/>
  <c r="AJ575" i="41"/>
  <c r="AG583" i="41"/>
  <c r="AE591" i="41"/>
  <c r="AI591" i="41"/>
  <c r="AP599" i="41"/>
  <c r="AN607" i="41"/>
  <c r="AI607" i="41"/>
  <c r="AG615" i="41"/>
  <c r="AI623" i="41"/>
  <c r="AM623" i="41"/>
  <c r="AE631" i="41"/>
  <c r="AK639" i="41"/>
  <c r="AN639" i="41"/>
  <c r="AE647" i="41"/>
  <c r="AE580" i="41"/>
  <c r="AJ588" i="41"/>
  <c r="AH588" i="41"/>
  <c r="AM596" i="41"/>
  <c r="AH604" i="41"/>
  <c r="AO604" i="41"/>
  <c r="AM612" i="41"/>
  <c r="AE620" i="41"/>
  <c r="AH620" i="41"/>
  <c r="AG628" i="41"/>
  <c r="AJ636" i="41"/>
  <c r="AQ636" i="41"/>
  <c r="AH644" i="41"/>
  <c r="AG652" i="41"/>
  <c r="AM652" i="41"/>
  <c r="AK578" i="41"/>
  <c r="AP578" i="41"/>
  <c r="AQ586" i="41"/>
  <c r="AH594" i="41"/>
  <c r="AP594" i="41"/>
  <c r="AH602" i="41"/>
  <c r="AQ610" i="41"/>
  <c r="AP610" i="41"/>
  <c r="AN618" i="41"/>
  <c r="AG626" i="41"/>
  <c r="AM626" i="41"/>
  <c r="AF634" i="41"/>
  <c r="AJ642" i="41"/>
  <c r="AO642" i="41"/>
  <c r="AI650" i="41"/>
  <c r="AE576" i="41"/>
  <c r="AJ584" i="41"/>
  <c r="AG584" i="41"/>
  <c r="AN592" i="41"/>
  <c r="AJ600" i="41"/>
  <c r="AG600" i="41"/>
  <c r="AN608" i="41"/>
  <c r="AH616" i="41"/>
  <c r="AQ616" i="41"/>
  <c r="AE624" i="41"/>
  <c r="AJ632" i="41"/>
  <c r="AQ632" i="41"/>
  <c r="AJ640" i="41"/>
  <c r="AP648" i="41"/>
  <c r="AF648" i="41"/>
  <c r="AN581" i="41"/>
  <c r="AJ581" i="41"/>
  <c r="AM589" i="41"/>
  <c r="AF597" i="41"/>
  <c r="AJ597" i="41"/>
  <c r="AM605" i="41"/>
  <c r="AN613" i="41"/>
  <c r="AJ613" i="41"/>
  <c r="AG621" i="41"/>
  <c r="AO629" i="41"/>
  <c r="AH629" i="41"/>
  <c r="AI637" i="41"/>
  <c r="AK645" i="41"/>
  <c r="AQ645" i="41"/>
  <c r="AN579" i="41"/>
  <c r="AI579" i="41"/>
  <c r="AP587" i="41"/>
  <c r="AN595" i="41"/>
  <c r="AM595" i="41"/>
  <c r="AG603" i="41"/>
  <c r="AN611" i="41"/>
  <c r="AJ611" i="41"/>
  <c r="AI619" i="41"/>
  <c r="AP627" i="41"/>
  <c r="AM627" i="41"/>
  <c r="AF635" i="41"/>
  <c r="AI643" i="41"/>
  <c r="AH643" i="41"/>
  <c r="AE651" i="41"/>
  <c r="AN455" i="41"/>
  <c r="AN434" i="41"/>
  <c r="AN480" i="41"/>
  <c r="AN467" i="41"/>
  <c r="AN454" i="41"/>
  <c r="AN441" i="41"/>
  <c r="AN427" i="41"/>
  <c r="AN414" i="41"/>
  <c r="AN409" i="41"/>
  <c r="AN396" i="41"/>
  <c r="AN476" i="41"/>
  <c r="AN421" i="41"/>
  <c r="AN405" i="41"/>
  <c r="AN369" i="41"/>
  <c r="AN356" i="41"/>
  <c r="AN351" i="41"/>
  <c r="AN397" i="41"/>
  <c r="AN368" i="41"/>
  <c r="AN316" i="41"/>
  <c r="AN295" i="41"/>
  <c r="AN290" i="41"/>
  <c r="AN328" i="41"/>
  <c r="AN315" i="41"/>
  <c r="AN310" i="41"/>
  <c r="AN256" i="41"/>
  <c r="AN329" i="41"/>
  <c r="AN260" i="41"/>
  <c r="AN266" i="41"/>
  <c r="AN447" i="41"/>
  <c r="AN477" i="41"/>
  <c r="AN472" i="41"/>
  <c r="AN459" i="41"/>
  <c r="AN446" i="41"/>
  <c r="AN433" i="41"/>
  <c r="AN419" i="41"/>
  <c r="AN406" i="41"/>
  <c r="AN401" i="41"/>
  <c r="AN388" i="41"/>
  <c r="AN426" i="41"/>
  <c r="AN413" i="41"/>
  <c r="AN382" i="41"/>
  <c r="AN361" i="41"/>
  <c r="AN348" i="41"/>
  <c r="AN343" i="41"/>
  <c r="AN381" i="41"/>
  <c r="AN360" i="41"/>
  <c r="AN308" i="41"/>
  <c r="AN287" i="41"/>
  <c r="AN333" i="41"/>
  <c r="AN320" i="41"/>
  <c r="AN307" i="41"/>
  <c r="AN302" i="41"/>
  <c r="AN275" i="41"/>
  <c r="AN281" i="41"/>
  <c r="AN313" i="41"/>
  <c r="AN258" i="41"/>
  <c r="AN439" i="41"/>
  <c r="AN469" i="41"/>
  <c r="AN464" i="41"/>
  <c r="AN451" i="41"/>
  <c r="AN438" i="41"/>
  <c r="AN460" i="41"/>
  <c r="AN411" i="41"/>
  <c r="AN398" i="41"/>
  <c r="AN393" i="41"/>
  <c r="AN452" i="41"/>
  <c r="AN418" i="41"/>
  <c r="AN379" i="41"/>
  <c r="AN374" i="41"/>
  <c r="AN353" i="41"/>
  <c r="AN340" i="41"/>
  <c r="AN378" i="41"/>
  <c r="AN373" i="41"/>
  <c r="AN352" i="41"/>
  <c r="AN300" i="41"/>
  <c r="AN335" i="41"/>
  <c r="AN325" i="41"/>
  <c r="AN312" i="41"/>
  <c r="AN299" i="41"/>
  <c r="AN294" i="41"/>
  <c r="AN267" i="41"/>
  <c r="AN273" i="41"/>
  <c r="AN279" i="41"/>
  <c r="AN297" i="41"/>
  <c r="AN474" i="41"/>
  <c r="AN461" i="41"/>
  <c r="AN456" i="41"/>
  <c r="AN443" i="41"/>
  <c r="AN430" i="41"/>
  <c r="AN424" i="41"/>
  <c r="AN403" i="41"/>
  <c r="AN390" i="41"/>
  <c r="AN385" i="41"/>
  <c r="AN423" i="41"/>
  <c r="AN410" i="41"/>
  <c r="AN371" i="41"/>
  <c r="AN366" i="41"/>
  <c r="AN345" i="41"/>
  <c r="AN384" i="41"/>
  <c r="AN370" i="41"/>
  <c r="AN365" i="41"/>
  <c r="AN344" i="41"/>
  <c r="AN292" i="41"/>
  <c r="AN330" i="41"/>
  <c r="AN317" i="41"/>
  <c r="AN304" i="41"/>
  <c r="AN291" i="41"/>
  <c r="AN286" i="41"/>
  <c r="AN259" i="41"/>
  <c r="AN265" i="41"/>
  <c r="AN271" i="41"/>
  <c r="AN277" i="41"/>
  <c r="AN466" i="41"/>
  <c r="AN453" i="41"/>
  <c r="AN448" i="41"/>
  <c r="AN435" i="41"/>
  <c r="AN473" i="41"/>
  <c r="AN416" i="41"/>
  <c r="AN395" i="41"/>
  <c r="AN468" i="41"/>
  <c r="AN428" i="41"/>
  <c r="AN415" i="41"/>
  <c r="AN402" i="41"/>
  <c r="AN363" i="41"/>
  <c r="AN358" i="41"/>
  <c r="AN389" i="41"/>
  <c r="AN383" i="41"/>
  <c r="AN362" i="41"/>
  <c r="AN357" i="41"/>
  <c r="AN336" i="41"/>
  <c r="AN327" i="41"/>
  <c r="AN322" i="41"/>
  <c r="AN309" i="41"/>
  <c r="AN296" i="41"/>
  <c r="AN283" i="41"/>
  <c r="AN321" i="41"/>
  <c r="AN305" i="41"/>
  <c r="AN257" i="41"/>
  <c r="AN263" i="41"/>
  <c r="AN269" i="41"/>
  <c r="AN479" i="41"/>
  <c r="AN458" i="41"/>
  <c r="AN445" i="41"/>
  <c r="AN440" i="41"/>
  <c r="AN478" i="41"/>
  <c r="AN465" i="41"/>
  <c r="AN408" i="41"/>
  <c r="AN387" i="41"/>
  <c r="AN431" i="41"/>
  <c r="AN420" i="41"/>
  <c r="AN407" i="41"/>
  <c r="AN394" i="41"/>
  <c r="AN355" i="41"/>
  <c r="AN350" i="41"/>
  <c r="AN380" i="41"/>
  <c r="AN375" i="41"/>
  <c r="AN354" i="41"/>
  <c r="AN349" i="41"/>
  <c r="AN337" i="41"/>
  <c r="AN319" i="41"/>
  <c r="AN314" i="41"/>
  <c r="AN301" i="41"/>
  <c r="AN288" i="41"/>
  <c r="AN334" i="41"/>
  <c r="AN280" i="41"/>
  <c r="AN278" i="41"/>
  <c r="AN289" i="41"/>
  <c r="AN284" i="41"/>
  <c r="AN261" i="41"/>
  <c r="AN471" i="41"/>
  <c r="AN450" i="41"/>
  <c r="AN437" i="41"/>
  <c r="AN432" i="41"/>
  <c r="AN470" i="41"/>
  <c r="AN457" i="41"/>
  <c r="AN400" i="41"/>
  <c r="AN444" i="41"/>
  <c r="AN425" i="41"/>
  <c r="AN412" i="41"/>
  <c r="AN399" i="41"/>
  <c r="AN386" i="41"/>
  <c r="AN347" i="41"/>
  <c r="AN342" i="41"/>
  <c r="AN372" i="41"/>
  <c r="AN367" i="41"/>
  <c r="AN346" i="41"/>
  <c r="AN341" i="41"/>
  <c r="AN332" i="41"/>
  <c r="AN311" i="41"/>
  <c r="AN306" i="41"/>
  <c r="AN293" i="41"/>
  <c r="AN331" i="41"/>
  <c r="AN326" i="41"/>
  <c r="AN272" i="41"/>
  <c r="AN270" i="41"/>
  <c r="AN276" i="41"/>
  <c r="AN282" i="41"/>
  <c r="AN463" i="41"/>
  <c r="AN442" i="41"/>
  <c r="AN429" i="41"/>
  <c r="AN475" i="41"/>
  <c r="AN462" i="41"/>
  <c r="AN449" i="41"/>
  <c r="AN392" i="41"/>
  <c r="AN422" i="41"/>
  <c r="AN417" i="41"/>
  <c r="AN404" i="41"/>
  <c r="AN391" i="41"/>
  <c r="AN436" i="41"/>
  <c r="AN339" i="41"/>
  <c r="AN377" i="41"/>
  <c r="AN364" i="41"/>
  <c r="AN359" i="41"/>
  <c r="AN338" i="41"/>
  <c r="AN376" i="41"/>
  <c r="AN324" i="41"/>
  <c r="AN303" i="41"/>
  <c r="AN298" i="41"/>
  <c r="AN285" i="41"/>
  <c r="AN323" i="41"/>
  <c r="AN318" i="41"/>
  <c r="AN264" i="41"/>
  <c r="AN262" i="41"/>
  <c r="AN268" i="41"/>
  <c r="AN274" i="41"/>
  <c r="AH582" i="41"/>
  <c r="AK590" i="41"/>
  <c r="AP590" i="41"/>
  <c r="AF598" i="41"/>
  <c r="AQ606" i="41"/>
  <c r="AP606" i="41"/>
  <c r="AQ614" i="41"/>
  <c r="AE622" i="41"/>
  <c r="AM622" i="41"/>
  <c r="AG630" i="41"/>
  <c r="AP638" i="41"/>
  <c r="AM638" i="41"/>
  <c r="AI646" i="41"/>
  <c r="AH577" i="41"/>
  <c r="AF585" i="41"/>
  <c r="AJ585" i="41"/>
  <c r="AM593" i="41"/>
  <c r="AN601" i="41"/>
  <c r="AJ601" i="41"/>
  <c r="AM609" i="41"/>
  <c r="AI617" i="41"/>
  <c r="AH617" i="41"/>
  <c r="AO625" i="41"/>
  <c r="AJ633" i="41"/>
  <c r="AH633" i="41"/>
  <c r="AK641" i="41"/>
  <c r="AK649" i="41"/>
  <c r="AQ649" i="41"/>
  <c r="AF575" i="41"/>
  <c r="AM575" i="41"/>
  <c r="AP583" i="41"/>
  <c r="AN591" i="41"/>
  <c r="AJ591" i="41"/>
  <c r="AH599" i="41"/>
  <c r="AF607" i="41"/>
  <c r="AJ607" i="41"/>
  <c r="AP615" i="41"/>
  <c r="AK623" i="41"/>
  <c r="AH623" i="41"/>
  <c r="AP631" i="41"/>
  <c r="AP639" i="41"/>
  <c r="AH639" i="41"/>
  <c r="AN647" i="41"/>
  <c r="AN580" i="41"/>
  <c r="AQ588" i="41"/>
  <c r="AG588" i="41"/>
  <c r="AE596" i="41"/>
  <c r="AJ604" i="41"/>
  <c r="AG604" i="41"/>
  <c r="AE612" i="41"/>
  <c r="AP620" i="41"/>
  <c r="AQ620" i="41"/>
  <c r="AI628" i="41"/>
  <c r="AN636" i="41"/>
  <c r="AI636" i="41"/>
  <c r="AQ644" i="41"/>
  <c r="AJ652" i="41"/>
  <c r="AF652" i="41"/>
  <c r="AM578" i="41"/>
  <c r="AH586" i="41"/>
  <c r="AF586" i="41"/>
  <c r="AK594" i="41"/>
  <c r="AI602" i="41"/>
  <c r="AF602" i="41"/>
  <c r="AK610" i="41"/>
  <c r="AF618" i="41"/>
  <c r="AO618" i="41"/>
  <c r="AI626" i="41"/>
  <c r="AG634" i="41"/>
  <c r="AH634" i="41"/>
  <c r="AG650" i="41"/>
  <c r="AK650" i="41"/>
  <c r="AN576" i="41"/>
  <c r="AK584" i="41"/>
  <c r="AP584" i="41"/>
  <c r="AF592" i="41"/>
  <c r="AK600" i="41"/>
  <c r="AP600" i="41"/>
  <c r="AQ608" i="41"/>
  <c r="AK616" i="41"/>
  <c r="AM616" i="41"/>
  <c r="AP624" i="41"/>
  <c r="AK632" i="41"/>
  <c r="AM632" i="41"/>
  <c r="AK640" i="41"/>
  <c r="AE648" i="41"/>
  <c r="AO648" i="41"/>
  <c r="AF581" i="41"/>
  <c r="AK581" i="41"/>
  <c r="AH589" i="41"/>
  <c r="AO597" i="41"/>
  <c r="AK597" i="41"/>
  <c r="AH605" i="41"/>
  <c r="AF613" i="41"/>
  <c r="AK613" i="41"/>
  <c r="AI621" i="41"/>
  <c r="AE629" i="41"/>
  <c r="AQ629" i="41"/>
  <c r="AM637" i="41"/>
  <c r="AO645" i="41"/>
  <c r="AJ645" i="41"/>
  <c r="AM579" i="41"/>
  <c r="AJ579" i="41"/>
  <c r="AH587" i="41"/>
  <c r="AF595" i="41"/>
  <c r="AJ595" i="41"/>
  <c r="AP603" i="41"/>
  <c r="AF611" i="41"/>
  <c r="AM611" i="41"/>
  <c r="AJ619" i="41"/>
  <c r="AF627" i="41"/>
  <c r="AH627" i="41"/>
  <c r="AG635" i="41"/>
  <c r="AK643" i="41"/>
  <c r="AQ643" i="41"/>
  <c r="AN651" i="41"/>
  <c r="AJ467" i="41"/>
  <c r="AJ454" i="41"/>
  <c r="AJ441" i="41"/>
  <c r="AJ479" i="41"/>
  <c r="AJ466" i="41"/>
  <c r="AJ453" i="41"/>
  <c r="AJ404" i="41"/>
  <c r="AJ391" i="41"/>
  <c r="AJ421" i="41"/>
  <c r="AJ408" i="41"/>
  <c r="AJ411" i="41"/>
  <c r="AJ390" i="41"/>
  <c r="AJ359" i="41"/>
  <c r="AJ338" i="41"/>
  <c r="AJ409" i="41"/>
  <c r="AJ371" i="41"/>
  <c r="AJ358" i="41"/>
  <c r="AJ337" i="41"/>
  <c r="AJ320" i="41"/>
  <c r="AJ307" i="41"/>
  <c r="AJ294" i="41"/>
  <c r="AJ289" i="41"/>
  <c r="AJ327" i="41"/>
  <c r="AJ314" i="41"/>
  <c r="AJ279" i="41"/>
  <c r="AJ258" i="41"/>
  <c r="AJ272" i="41"/>
  <c r="AJ265" i="41"/>
  <c r="AJ451" i="41"/>
  <c r="AJ438" i="41"/>
  <c r="AJ476" i="41"/>
  <c r="AJ463" i="41"/>
  <c r="AJ450" i="41"/>
  <c r="AJ437" i="41"/>
  <c r="AJ388" i="41"/>
  <c r="AJ426" i="41"/>
  <c r="AJ405" i="41"/>
  <c r="AJ392" i="41"/>
  <c r="AJ395" i="41"/>
  <c r="AJ425" i="41"/>
  <c r="AJ343" i="41"/>
  <c r="AJ381" i="41"/>
  <c r="AJ368" i="41"/>
  <c r="AJ459" i="41"/>
  <c r="AJ473" i="41"/>
  <c r="AJ444" i="41"/>
  <c r="AJ458" i="41"/>
  <c r="AJ432" i="41"/>
  <c r="AJ407" i="41"/>
  <c r="AJ413" i="41"/>
  <c r="AJ472" i="41"/>
  <c r="AJ406" i="41"/>
  <c r="AJ351" i="41"/>
  <c r="AJ365" i="41"/>
  <c r="AJ336" i="41"/>
  <c r="AJ366" i="41"/>
  <c r="AJ380" i="41"/>
  <c r="AJ304" i="41"/>
  <c r="AJ334" i="41"/>
  <c r="AJ321" i="41"/>
  <c r="AJ300" i="41"/>
  <c r="AJ330" i="41"/>
  <c r="AJ301" i="41"/>
  <c r="AJ257" i="41"/>
  <c r="AJ256" i="41"/>
  <c r="AJ270" i="41"/>
  <c r="AJ342" i="41"/>
  <c r="AJ305" i="41"/>
  <c r="AJ443" i="41"/>
  <c r="AJ465" i="41"/>
  <c r="AJ436" i="41"/>
  <c r="AJ442" i="41"/>
  <c r="AJ428" i="41"/>
  <c r="AJ399" i="41"/>
  <c r="AJ397" i="41"/>
  <c r="AJ429" i="41"/>
  <c r="AJ398" i="41"/>
  <c r="AJ378" i="41"/>
  <c r="AJ357" i="41"/>
  <c r="AJ379" i="41"/>
  <c r="AJ350" i="41"/>
  <c r="AJ372" i="41"/>
  <c r="AJ296" i="41"/>
  <c r="AJ326" i="41"/>
  <c r="AJ313" i="41"/>
  <c r="AJ292" i="41"/>
  <c r="AJ322" i="41"/>
  <c r="AJ271" i="41"/>
  <c r="AJ285" i="41"/>
  <c r="AJ333" i="41"/>
  <c r="AJ262" i="41"/>
  <c r="AJ364" i="41"/>
  <c r="AJ306" i="41"/>
  <c r="AJ435" i="41"/>
  <c r="AJ457" i="41"/>
  <c r="AJ471" i="41"/>
  <c r="AJ434" i="41"/>
  <c r="AJ420" i="41"/>
  <c r="AJ464" i="41"/>
  <c r="AJ389" i="41"/>
  <c r="AJ427" i="41"/>
  <c r="AJ456" i="41"/>
  <c r="AJ370" i="41"/>
  <c r="AJ349" i="41"/>
  <c r="AJ318" i="41"/>
  <c r="AJ335" i="41"/>
  <c r="AJ478" i="41"/>
  <c r="AJ449" i="41"/>
  <c r="AJ455" i="41"/>
  <c r="AJ477" i="41"/>
  <c r="AJ412" i="41"/>
  <c r="AJ418" i="41"/>
  <c r="AJ448" i="41"/>
  <c r="AJ419" i="41"/>
  <c r="AJ417" i="41"/>
  <c r="AJ362" i="41"/>
  <c r="AJ341" i="41"/>
  <c r="AJ355" i="41"/>
  <c r="AJ377" i="41"/>
  <c r="AJ356" i="41"/>
  <c r="AJ331" i="41"/>
  <c r="AJ310" i="41"/>
  <c r="AJ297" i="41"/>
  <c r="AJ319" i="41"/>
  <c r="AJ298" i="41"/>
  <c r="AJ325" i="41"/>
  <c r="AJ269" i="41"/>
  <c r="AJ275" i="41"/>
  <c r="AJ281" i="41"/>
  <c r="AJ259" i="41"/>
  <c r="AJ470" i="41"/>
  <c r="AJ433" i="41"/>
  <c r="AJ447" i="41"/>
  <c r="AJ469" i="41"/>
  <c r="AJ396" i="41"/>
  <c r="AJ410" i="41"/>
  <c r="AJ424" i="41"/>
  <c r="AJ403" i="41"/>
  <c r="AJ401" i="41"/>
  <c r="AJ354" i="41"/>
  <c r="AJ376" i="41"/>
  <c r="AJ347" i="41"/>
  <c r="AJ369" i="41"/>
  <c r="AJ348" i="41"/>
  <c r="AJ323" i="41"/>
  <c r="AJ302" i="41"/>
  <c r="AJ332" i="41"/>
  <c r="AJ311" i="41"/>
  <c r="AJ290" i="41"/>
  <c r="AJ284" i="41"/>
  <c r="AJ261" i="41"/>
  <c r="AJ267" i="41"/>
  <c r="AJ273" i="41"/>
  <c r="AJ283" i="41"/>
  <c r="AJ462" i="41"/>
  <c r="AJ468" i="41"/>
  <c r="AJ439" i="41"/>
  <c r="AJ461" i="41"/>
  <c r="AJ440" i="41"/>
  <c r="AJ402" i="41"/>
  <c r="AJ416" i="41"/>
  <c r="AJ387" i="41"/>
  <c r="AJ383" i="41"/>
  <c r="AJ346" i="41"/>
  <c r="AJ360" i="41"/>
  <c r="AJ393" i="41"/>
  <c r="AJ361" i="41"/>
  <c r="AJ340" i="41"/>
  <c r="AJ315" i="41"/>
  <c r="AJ286" i="41"/>
  <c r="AJ324" i="41"/>
  <c r="AJ303" i="41"/>
  <c r="AJ276" i="41"/>
  <c r="AJ282" i="41"/>
  <c r="AJ309" i="41"/>
  <c r="AJ317" i="41"/>
  <c r="AJ446" i="41"/>
  <c r="AJ460" i="41"/>
  <c r="AJ431" i="41"/>
  <c r="AJ445" i="41"/>
  <c r="AJ423" i="41"/>
  <c r="AJ394" i="41"/>
  <c r="AJ400" i="41"/>
  <c r="AJ422" i="41"/>
  <c r="AJ375" i="41"/>
  <c r="AJ385" i="41"/>
  <c r="AJ352" i="41"/>
  <c r="AJ382" i="41"/>
  <c r="AJ353" i="41"/>
  <c r="AJ328" i="41"/>
  <c r="AJ299" i="41"/>
  <c r="AJ339" i="41"/>
  <c r="AJ316" i="41"/>
  <c r="AJ295" i="41"/>
  <c r="AJ268" i="41"/>
  <c r="AJ274" i="41"/>
  <c r="AJ280" i="41"/>
  <c r="AJ293" i="41"/>
  <c r="AJ288" i="41"/>
  <c r="AJ277" i="41"/>
  <c r="AJ475" i="41"/>
  <c r="AJ430" i="41"/>
  <c r="AJ452" i="41"/>
  <c r="AJ474" i="41"/>
  <c r="AJ480" i="41"/>
  <c r="AJ415" i="41"/>
  <c r="AJ386" i="41"/>
  <c r="AJ384" i="41"/>
  <c r="AJ414" i="41"/>
  <c r="AJ367" i="41"/>
  <c r="AJ373" i="41"/>
  <c r="AJ344" i="41"/>
  <c r="AJ374" i="41"/>
  <c r="AJ345" i="41"/>
  <c r="AJ312" i="41"/>
  <c r="AJ291" i="41"/>
  <c r="AJ329" i="41"/>
  <c r="AJ308" i="41"/>
  <c r="AJ287" i="41"/>
  <c r="AJ260" i="41"/>
  <c r="AJ266" i="41"/>
  <c r="AJ264" i="41"/>
  <c r="AJ278" i="41"/>
  <c r="AJ363" i="41"/>
  <c r="AJ263" i="41"/>
  <c r="AI582" i="41"/>
  <c r="AF582" i="41"/>
  <c r="AM590" i="41"/>
  <c r="AI598" i="41"/>
  <c r="AO598" i="41"/>
  <c r="AK606" i="41"/>
  <c r="AI614" i="41"/>
  <c r="AF614" i="41"/>
  <c r="AP622" i="41"/>
  <c r="AK630" i="41"/>
  <c r="AI630" i="41"/>
  <c r="AE638" i="41"/>
  <c r="AP646" i="41"/>
  <c r="AK646" i="41"/>
  <c r="AQ577" i="41"/>
  <c r="AO585" i="41"/>
  <c r="AK585" i="41"/>
  <c r="AH593" i="41"/>
  <c r="AF601" i="41"/>
  <c r="AK601" i="41"/>
  <c r="AH609" i="41"/>
  <c r="AJ617" i="41"/>
  <c r="AQ617" i="41"/>
  <c r="AE625" i="41"/>
  <c r="AK633" i="41"/>
  <c r="AQ633" i="41"/>
  <c r="AM641" i="41"/>
  <c r="AO649" i="41"/>
  <c r="AJ649" i="41"/>
  <c r="AO575" i="41"/>
  <c r="AK575" i="41"/>
  <c r="AH583" i="41"/>
  <c r="AF591" i="41"/>
  <c r="AK591" i="41"/>
  <c r="AQ599" i="41"/>
  <c r="AO607" i="41"/>
  <c r="AK607" i="41"/>
  <c r="AH615" i="41"/>
  <c r="AN623" i="41"/>
  <c r="AQ623" i="41"/>
  <c r="AF631" i="41"/>
  <c r="AF639" i="41"/>
  <c r="AQ639" i="41"/>
  <c r="AG647" i="41"/>
  <c r="AF580" i="41"/>
  <c r="AK588" i="41"/>
  <c r="AP588" i="41"/>
  <c r="AN596" i="41"/>
  <c r="AK604" i="41"/>
  <c r="AP604" i="41"/>
  <c r="AN612" i="41"/>
  <c r="AN620" i="41"/>
  <c r="AM620" i="41"/>
  <c r="AJ628" i="41"/>
  <c r="AO636" i="41"/>
  <c r="AM636" i="41"/>
  <c r="AI644" i="41"/>
  <c r="AN652" i="41"/>
  <c r="AO652" i="41"/>
  <c r="AE578" i="41"/>
  <c r="AM594" i="41"/>
  <c r="AJ602" i="41"/>
  <c r="AM610" i="41"/>
  <c r="AJ626" i="41"/>
  <c r="AJ634" i="41"/>
  <c r="AJ650" i="41"/>
  <c r="AQ576" i="41"/>
  <c r="AF576" i="41"/>
  <c r="AM584" i="41"/>
  <c r="AI592" i="41"/>
  <c r="AO592" i="41"/>
  <c r="AQ600" i="41"/>
  <c r="AI608" i="41"/>
  <c r="AF608" i="41"/>
  <c r="AN616" i="41"/>
  <c r="AG624" i="41"/>
  <c r="AF624" i="41"/>
  <c r="AN632" i="41"/>
  <c r="AN640" i="41"/>
  <c r="AH640" i="41"/>
  <c r="AG648" i="41"/>
  <c r="AO581" i="41"/>
  <c r="AE589" i="41"/>
  <c r="AQ589" i="41"/>
  <c r="AG597" i="41"/>
  <c r="AE605" i="41"/>
  <c r="AQ605" i="41"/>
  <c r="AO613" i="41"/>
  <c r="AN621" i="41"/>
  <c r="AJ621" i="41"/>
  <c r="AP629" i="41"/>
  <c r="AJ637" i="41"/>
  <c r="AE637" i="41"/>
  <c r="AM645" i="41"/>
  <c r="AI70" i="41"/>
  <c r="AI230" i="41"/>
  <c r="AI233" i="41"/>
  <c r="AI220" i="41"/>
  <c r="AI207" i="41"/>
  <c r="AI240" i="41"/>
  <c r="AI189" i="41"/>
  <c r="AI176" i="41"/>
  <c r="AI155" i="41"/>
  <c r="AI245" i="41"/>
  <c r="AI205" i="41"/>
  <c r="AI146" i="41"/>
  <c r="AI141" i="41"/>
  <c r="AI128" i="41"/>
  <c r="AI164" i="41"/>
  <c r="AI132" i="41"/>
  <c r="AI98" i="41"/>
  <c r="AI93" i="41"/>
  <c r="AI80" i="41"/>
  <c r="AI137" i="41"/>
  <c r="AI100" i="41"/>
  <c r="AI49" i="41"/>
  <c r="AI77" i="41"/>
  <c r="AI76" i="41"/>
  <c r="AI69" i="41"/>
  <c r="AI51" i="41"/>
  <c r="AI46" i="41"/>
  <c r="AI40" i="41"/>
  <c r="AI238" i="41"/>
  <c r="AI204" i="41"/>
  <c r="AI173" i="41"/>
  <c r="AI193" i="41"/>
  <c r="AI125" i="41"/>
  <c r="AI145" i="41"/>
  <c r="AI63" i="41"/>
  <c r="AI246" i="41"/>
  <c r="AI225" i="41"/>
  <c r="AI212" i="41"/>
  <c r="AI199" i="41"/>
  <c r="AI232" i="41"/>
  <c r="AI181" i="41"/>
  <c r="AI168" i="41"/>
  <c r="AI243" i="41"/>
  <c r="AI213" i="41"/>
  <c r="AI191" i="41"/>
  <c r="AI138" i="41"/>
  <c r="AI133" i="41"/>
  <c r="AI120" i="41"/>
  <c r="AI150" i="41"/>
  <c r="AI124" i="41"/>
  <c r="AI90" i="41"/>
  <c r="AI85" i="41"/>
  <c r="AI227" i="41"/>
  <c r="AI110" i="41"/>
  <c r="AI92" i="41"/>
  <c r="AI41" i="41"/>
  <c r="AI71" i="41"/>
  <c r="AI74" i="41"/>
  <c r="AI61" i="41"/>
  <c r="AI43" i="41"/>
  <c r="AI48" i="41"/>
  <c r="AI31" i="41"/>
  <c r="AI38" i="41"/>
  <c r="AI217" i="41"/>
  <c r="AI224" i="41"/>
  <c r="AI211" i="41"/>
  <c r="AI130" i="41"/>
  <c r="AI82" i="41"/>
  <c r="AI84" i="41"/>
  <c r="AI25" i="41"/>
  <c r="AI242" i="41"/>
  <c r="AI183" i="41"/>
  <c r="AI116" i="41"/>
  <c r="AI87" i="41"/>
  <c r="AI222" i="41"/>
  <c r="AI209" i="41"/>
  <c r="AI196" i="41"/>
  <c r="AI234" i="41"/>
  <c r="AI216" i="41"/>
  <c r="AI165" i="41"/>
  <c r="AI221" i="41"/>
  <c r="AI190" i="41"/>
  <c r="AI185" i="41"/>
  <c r="AI175" i="41"/>
  <c r="AI122" i="41"/>
  <c r="AI203" i="41"/>
  <c r="AI162" i="41"/>
  <c r="AI134" i="41"/>
  <c r="AI186" i="41"/>
  <c r="AI156" i="41"/>
  <c r="AI118" i="41"/>
  <c r="AI115" i="41"/>
  <c r="AI94" i="41"/>
  <c r="AI127" i="41"/>
  <c r="AI68" i="41"/>
  <c r="AI55" i="41"/>
  <c r="AI58" i="41"/>
  <c r="AI45" i="41"/>
  <c r="AI34" i="41"/>
  <c r="AI30" i="41"/>
  <c r="AI64" i="41"/>
  <c r="AI32" i="41"/>
  <c r="AI56" i="41"/>
  <c r="AI35" i="41"/>
  <c r="AI22" i="41"/>
  <c r="AI29" i="41"/>
  <c r="AI194" i="41"/>
  <c r="AI102" i="41"/>
  <c r="AI214" i="41"/>
  <c r="AI201" i="41"/>
  <c r="AI239" i="41"/>
  <c r="AI226" i="41"/>
  <c r="AI208" i="41"/>
  <c r="AI157" i="41"/>
  <c r="AI187" i="41"/>
  <c r="AI182" i="41"/>
  <c r="AI177" i="41"/>
  <c r="AI167" i="41"/>
  <c r="AI195" i="41"/>
  <c r="AI172" i="41"/>
  <c r="AI147" i="41"/>
  <c r="AI126" i="41"/>
  <c r="AI153" i="41"/>
  <c r="AI143" i="41"/>
  <c r="AI112" i="41"/>
  <c r="AI107" i="41"/>
  <c r="AI86" i="41"/>
  <c r="AI97" i="41"/>
  <c r="AI60" i="41"/>
  <c r="AI47" i="41"/>
  <c r="AI50" i="41"/>
  <c r="AI105" i="41"/>
  <c r="AI36" i="41"/>
  <c r="AI28" i="41"/>
  <c r="AI54" i="41"/>
  <c r="AI62" i="41"/>
  <c r="AI178" i="41"/>
  <c r="AI206" i="41"/>
  <c r="AI231" i="41"/>
  <c r="AI218" i="41"/>
  <c r="AI219" i="41"/>
  <c r="AI174" i="41"/>
  <c r="AI169" i="41"/>
  <c r="AI170" i="41"/>
  <c r="AI139" i="41"/>
  <c r="AI121" i="41"/>
  <c r="AI104" i="41"/>
  <c r="AI78" i="41"/>
  <c r="AI73" i="41"/>
  <c r="AI39" i="41"/>
  <c r="AI75" i="41"/>
  <c r="AI23" i="41"/>
  <c r="AI103" i="41"/>
  <c r="AI244" i="41"/>
  <c r="AI200" i="41"/>
  <c r="AI179" i="41"/>
  <c r="AI159" i="41"/>
  <c r="AI152" i="41"/>
  <c r="AI188" i="41"/>
  <c r="AI117" i="41"/>
  <c r="AI99" i="41"/>
  <c r="AI52" i="41"/>
  <c r="AI42" i="41"/>
  <c r="AI198" i="41"/>
  <c r="AI236" i="41"/>
  <c r="AI223" i="41"/>
  <c r="AI210" i="41"/>
  <c r="AI229" i="41"/>
  <c r="AI192" i="41"/>
  <c r="AI171" i="41"/>
  <c r="AI166" i="41"/>
  <c r="AI161" i="41"/>
  <c r="AI235" i="41"/>
  <c r="AI154" i="41"/>
  <c r="AI144" i="41"/>
  <c r="AI131" i="41"/>
  <c r="AI148" i="41"/>
  <c r="AI114" i="41"/>
  <c r="AI109" i="41"/>
  <c r="AI96" i="41"/>
  <c r="AI91" i="41"/>
  <c r="AI129" i="41"/>
  <c r="AI65" i="41"/>
  <c r="AI44" i="41"/>
  <c r="AI111" i="41"/>
  <c r="AI113" i="41"/>
  <c r="AI67" i="41"/>
  <c r="AI33" i="41"/>
  <c r="AI95" i="41"/>
  <c r="AI151" i="41"/>
  <c r="AI37" i="41"/>
  <c r="AI119" i="41"/>
  <c r="AI66" i="41"/>
  <c r="AI241" i="41"/>
  <c r="AI228" i="41"/>
  <c r="AI215" i="41"/>
  <c r="AI202" i="41"/>
  <c r="AI197" i="41"/>
  <c r="AI184" i="41"/>
  <c r="AI163" i="41"/>
  <c r="AI158" i="41"/>
  <c r="AI237" i="41"/>
  <c r="AI180" i="41"/>
  <c r="AI149" i="41"/>
  <c r="AI136" i="41"/>
  <c r="AI123" i="41"/>
  <c r="AI140" i="41"/>
  <c r="AI106" i="41"/>
  <c r="AI101" i="41"/>
  <c r="AI88" i="41"/>
  <c r="AI83" i="41"/>
  <c r="AI108" i="41"/>
  <c r="AI57" i="41"/>
  <c r="AI89" i="41"/>
  <c r="AI79" i="41"/>
  <c r="AI81" i="41"/>
  <c r="AI59" i="41"/>
  <c r="AI26" i="41"/>
  <c r="AI24" i="41"/>
  <c r="AI27" i="41"/>
  <c r="AI160" i="41"/>
  <c r="AI142" i="41"/>
  <c r="AI135" i="41"/>
  <c r="AI53" i="41"/>
  <c r="AI72" i="41"/>
  <c r="AF579" i="41"/>
  <c r="AK579" i="41"/>
  <c r="AQ587" i="41"/>
  <c r="AO595" i="41"/>
  <c r="AK595" i="41"/>
  <c r="AH603" i="41"/>
  <c r="AO611" i="41"/>
  <c r="AK611" i="41"/>
  <c r="AK619" i="41"/>
  <c r="AO627" i="41"/>
  <c r="AQ627" i="41"/>
  <c r="AM635" i="41"/>
  <c r="AO643" i="41"/>
  <c r="AJ643" i="41"/>
  <c r="AG651" i="41"/>
  <c r="AL473" i="41"/>
  <c r="AL452" i="41"/>
  <c r="AL439" i="41"/>
  <c r="AL477" i="41"/>
  <c r="AL472" i="41"/>
  <c r="AL459" i="41"/>
  <c r="AL410" i="41"/>
  <c r="AL389" i="41"/>
  <c r="AL427" i="41"/>
  <c r="AL414" i="41"/>
  <c r="AL409" i="41"/>
  <c r="AL396" i="41"/>
  <c r="AL365" i="41"/>
  <c r="AL344" i="41"/>
  <c r="AL382" i="41"/>
  <c r="AL361" i="41"/>
  <c r="AL348" i="41"/>
  <c r="AL343" i="41"/>
  <c r="AL334" i="41"/>
  <c r="AL329" i="41"/>
  <c r="AL324" i="41"/>
  <c r="AL303" i="41"/>
  <c r="AL290" i="41"/>
  <c r="AL328" i="41"/>
  <c r="AL282" i="41"/>
  <c r="AL315" i="41"/>
  <c r="AL259" i="41"/>
  <c r="AL273" i="41"/>
  <c r="AL271" i="41"/>
  <c r="AL465" i="41"/>
  <c r="AL436" i="41"/>
  <c r="AL466" i="41"/>
  <c r="AL445" i="41"/>
  <c r="AL432" i="41"/>
  <c r="AL426" i="41"/>
  <c r="AL397" i="41"/>
  <c r="AL419" i="41"/>
  <c r="AL398" i="41"/>
  <c r="AL385" i="41"/>
  <c r="AL415" i="41"/>
  <c r="AL368" i="41"/>
  <c r="AL347" i="41"/>
  <c r="AL369" i="41"/>
  <c r="AL340" i="41"/>
  <c r="AL378" i="41"/>
  <c r="AL310" i="41"/>
  <c r="AL297" i="41"/>
  <c r="AL327" i="41"/>
  <c r="AL306" i="41"/>
  <c r="AL285" i="41"/>
  <c r="AL274" i="41"/>
  <c r="AL272" i="41"/>
  <c r="AL270" i="41"/>
  <c r="AL268" i="41"/>
  <c r="AL457" i="41"/>
  <c r="AL479" i="41"/>
  <c r="AL458" i="41"/>
  <c r="AL437" i="41"/>
  <c r="AL475" i="41"/>
  <c r="AL418" i="41"/>
  <c r="AL454" i="41"/>
  <c r="AL411" i="41"/>
  <c r="AL390" i="41"/>
  <c r="AL428" i="41"/>
  <c r="AL391" i="41"/>
  <c r="AL360" i="41"/>
  <c r="AL399" i="41"/>
  <c r="AL353" i="41"/>
  <c r="AL407" i="41"/>
  <c r="AL370" i="41"/>
  <c r="AL302" i="41"/>
  <c r="AL289" i="41"/>
  <c r="AL319" i="41"/>
  <c r="AL298" i="41"/>
  <c r="AL320" i="41"/>
  <c r="AL266" i="41"/>
  <c r="AL264" i="41"/>
  <c r="AL262" i="41"/>
  <c r="AL260" i="41"/>
  <c r="AL449" i="41"/>
  <c r="AL471" i="41"/>
  <c r="AL450" i="41"/>
  <c r="AL429" i="41"/>
  <c r="AL467" i="41"/>
  <c r="AL402" i="41"/>
  <c r="AL424" i="41"/>
  <c r="AL403" i="41"/>
  <c r="AL462" i="41"/>
  <c r="AL420" i="41"/>
  <c r="AL381" i="41"/>
  <c r="AL352" i="41"/>
  <c r="AL374" i="41"/>
  <c r="AL345" i="41"/>
  <c r="AL383" i="41"/>
  <c r="AL362" i="41"/>
  <c r="AL294" i="41"/>
  <c r="AL339" i="41"/>
  <c r="AL311" i="41"/>
  <c r="AL333" i="41"/>
  <c r="AL312" i="41"/>
  <c r="AL258" i="41"/>
  <c r="AL256" i="41"/>
  <c r="AL263" i="41"/>
  <c r="AL307" i="41"/>
  <c r="AL441" i="41"/>
  <c r="AL463" i="41"/>
  <c r="AL442" i="41"/>
  <c r="AL480" i="41"/>
  <c r="AL451" i="41"/>
  <c r="AL394" i="41"/>
  <c r="AL416" i="41"/>
  <c r="AL395" i="41"/>
  <c r="AL433" i="41"/>
  <c r="AL412" i="41"/>
  <c r="AL373" i="41"/>
  <c r="AL336" i="41"/>
  <c r="AL366" i="41"/>
  <c r="AL384" i="41"/>
  <c r="AL375" i="41"/>
  <c r="AL354" i="41"/>
  <c r="AL286" i="41"/>
  <c r="AL332" i="41"/>
  <c r="AL295" i="41"/>
  <c r="AL325" i="41"/>
  <c r="AL304" i="41"/>
  <c r="AL291" i="41"/>
  <c r="AL283" i="41"/>
  <c r="AL323" i="41"/>
  <c r="AL279" i="41"/>
  <c r="AL476" i="41"/>
  <c r="AL455" i="41"/>
  <c r="AL434" i="41"/>
  <c r="AL464" i="41"/>
  <c r="AL443" i="41"/>
  <c r="AL386" i="41"/>
  <c r="AL408" i="41"/>
  <c r="AL387" i="41"/>
  <c r="AL425" i="41"/>
  <c r="AL404" i="41"/>
  <c r="AL357" i="41"/>
  <c r="AL379" i="41"/>
  <c r="AL358" i="41"/>
  <c r="AL380" i="41"/>
  <c r="AL367" i="41"/>
  <c r="AL346" i="41"/>
  <c r="AL337" i="41"/>
  <c r="AL316" i="41"/>
  <c r="AL287" i="41"/>
  <c r="AL317" i="41"/>
  <c r="AL296" i="41"/>
  <c r="AL277" i="41"/>
  <c r="AL275" i="41"/>
  <c r="AL281" i="41"/>
  <c r="AL468" i="41"/>
  <c r="AL447" i="41"/>
  <c r="AL469" i="41"/>
  <c r="AL456" i="41"/>
  <c r="AL435" i="41"/>
  <c r="AL421" i="41"/>
  <c r="AL400" i="41"/>
  <c r="AL438" i="41"/>
  <c r="AL417" i="41"/>
  <c r="AL388" i="41"/>
  <c r="AL349" i="41"/>
  <c r="AL371" i="41"/>
  <c r="AL350" i="41"/>
  <c r="AL372" i="41"/>
  <c r="AL359" i="41"/>
  <c r="AL338" i="41"/>
  <c r="AL321" i="41"/>
  <c r="AL308" i="41"/>
  <c r="AL330" i="41"/>
  <c r="AL309" i="41"/>
  <c r="AL288" i="41"/>
  <c r="AL269" i="41"/>
  <c r="AL267" i="41"/>
  <c r="AL265" i="41"/>
  <c r="AL460" i="41"/>
  <c r="AL431" i="41"/>
  <c r="AL461" i="41"/>
  <c r="AL448" i="41"/>
  <c r="AL470" i="41"/>
  <c r="AL413" i="41"/>
  <c r="AL392" i="41"/>
  <c r="AL422" i="41"/>
  <c r="AL401" i="41"/>
  <c r="AL446" i="41"/>
  <c r="AL341" i="41"/>
  <c r="AL363" i="41"/>
  <c r="AL342" i="41"/>
  <c r="AL364" i="41"/>
  <c r="AL351" i="41"/>
  <c r="AL326" i="41"/>
  <c r="AL313" i="41"/>
  <c r="AL300" i="41"/>
  <c r="AL322" i="41"/>
  <c r="AL301" i="41"/>
  <c r="AL331" i="41"/>
  <c r="AL261" i="41"/>
  <c r="AL299" i="41"/>
  <c r="AL257" i="41"/>
  <c r="AL444" i="41"/>
  <c r="AL474" i="41"/>
  <c r="AL453" i="41"/>
  <c r="AL440" i="41"/>
  <c r="AL430" i="41"/>
  <c r="AL405" i="41"/>
  <c r="AL478" i="41"/>
  <c r="AL406" i="41"/>
  <c r="AL393" i="41"/>
  <c r="AL423" i="41"/>
  <c r="AL376" i="41"/>
  <c r="AL355" i="41"/>
  <c r="AL377" i="41"/>
  <c r="AL356" i="41"/>
  <c r="AL335" i="41"/>
  <c r="AL318" i="41"/>
  <c r="AL305" i="41"/>
  <c r="AL292" i="41"/>
  <c r="AL314" i="41"/>
  <c r="AL293" i="41"/>
  <c r="AL284" i="41"/>
  <c r="AL280" i="41"/>
  <c r="AL278" i="41"/>
  <c r="AL276" i="41"/>
  <c r="AO458" i="41"/>
  <c r="AO445" i="41"/>
  <c r="AO440" i="41"/>
  <c r="AO478" i="41"/>
  <c r="AO465" i="41"/>
  <c r="AO452" i="41"/>
  <c r="AO395" i="41"/>
  <c r="AO439" i="41"/>
  <c r="AO463" i="41"/>
  <c r="AO415" i="41"/>
  <c r="AO402" i="41"/>
  <c r="AO389" i="41"/>
  <c r="AO342" i="41"/>
  <c r="AO380" i="41"/>
  <c r="AO375" i="41"/>
  <c r="AO362" i="41"/>
  <c r="AO341" i="41"/>
  <c r="AO379" i="41"/>
  <c r="AO311" i="41"/>
  <c r="AO306" i="41"/>
  <c r="AO293" i="41"/>
  <c r="AO331" i="41"/>
  <c r="AO326" i="41"/>
  <c r="AO313" i="41"/>
  <c r="AO283" i="41"/>
  <c r="AO257" i="41"/>
  <c r="AO308" i="41"/>
  <c r="AO269" i="41"/>
  <c r="AO450" i="41"/>
  <c r="AO437" i="41"/>
  <c r="AO432" i="41"/>
  <c r="AO470" i="41"/>
  <c r="AO457" i="41"/>
  <c r="AO444" i="41"/>
  <c r="AO387" i="41"/>
  <c r="AO431" i="41"/>
  <c r="AO428" i="41"/>
  <c r="AO407" i="41"/>
  <c r="AO394" i="41"/>
  <c r="AO424" i="41"/>
  <c r="AO400" i="41"/>
  <c r="AO372" i="41"/>
  <c r="AO367" i="41"/>
  <c r="AO354" i="41"/>
  <c r="AO392" i="41"/>
  <c r="AO371" i="41"/>
  <c r="AO303" i="41"/>
  <c r="AO298" i="41"/>
  <c r="AO285" i="41"/>
  <c r="AO323" i="41"/>
  <c r="AO318" i="41"/>
  <c r="AO305" i="41"/>
  <c r="AO278" i="41"/>
  <c r="AO324" i="41"/>
  <c r="AO284" i="41"/>
  <c r="AO261" i="41"/>
  <c r="AO442" i="41"/>
  <c r="AO429" i="41"/>
  <c r="AO475" i="41"/>
  <c r="AO462" i="41"/>
  <c r="AO449" i="41"/>
  <c r="AO436" i="41"/>
  <c r="AO479" i="41"/>
  <c r="AO425" i="41"/>
  <c r="AO420" i="41"/>
  <c r="AO399" i="41"/>
  <c r="AO386" i="41"/>
  <c r="AO416" i="41"/>
  <c r="AO377" i="41"/>
  <c r="AO364" i="41"/>
  <c r="AO359" i="41"/>
  <c r="AO346" i="41"/>
  <c r="AO376" i="41"/>
  <c r="AO363" i="41"/>
  <c r="AO295" i="41"/>
  <c r="AO290" i="41"/>
  <c r="AO328" i="41"/>
  <c r="AO315" i="41"/>
  <c r="AO310" i="41"/>
  <c r="AO297" i="41"/>
  <c r="AO270" i="41"/>
  <c r="AO276" i="41"/>
  <c r="AO282" i="41"/>
  <c r="AO264" i="41"/>
  <c r="AO434" i="41"/>
  <c r="AO480" i="41"/>
  <c r="AO467" i="41"/>
  <c r="AO454" i="41"/>
  <c r="AO441" i="41"/>
  <c r="AO455" i="41"/>
  <c r="AO422" i="41"/>
  <c r="AO417" i="41"/>
  <c r="AO412" i="41"/>
  <c r="AO391" i="41"/>
  <c r="AO471" i="41"/>
  <c r="AO382" i="41"/>
  <c r="AO369" i="41"/>
  <c r="AO356" i="41"/>
  <c r="AO351" i="41"/>
  <c r="AO381" i="41"/>
  <c r="AO368" i="41"/>
  <c r="AO355" i="41"/>
  <c r="AO287" i="41"/>
  <c r="AO333" i="41"/>
  <c r="AO320" i="41"/>
  <c r="AO307" i="41"/>
  <c r="AO302" i="41"/>
  <c r="AO289" i="41"/>
  <c r="AO262" i="41"/>
  <c r="AO268" i="41"/>
  <c r="AO274" i="41"/>
  <c r="AO292" i="41"/>
  <c r="AO477" i="41"/>
  <c r="AO472" i="41"/>
  <c r="AO459" i="41"/>
  <c r="AO446" i="41"/>
  <c r="AO433" i="41"/>
  <c r="AO427" i="41"/>
  <c r="AO414" i="41"/>
  <c r="AO409" i="41"/>
  <c r="AO404" i="41"/>
  <c r="AO447" i="41"/>
  <c r="AO421" i="41"/>
  <c r="AO374" i="41"/>
  <c r="AO361" i="41"/>
  <c r="AO348" i="41"/>
  <c r="AO343" i="41"/>
  <c r="AO373" i="41"/>
  <c r="AO360" i="41"/>
  <c r="AO347" i="41"/>
  <c r="AO335" i="41"/>
  <c r="AO325" i="41"/>
  <c r="AO312" i="41"/>
  <c r="AO299" i="41"/>
  <c r="AO294" i="41"/>
  <c r="AO316" i="41"/>
  <c r="AO300" i="41"/>
  <c r="AO260" i="41"/>
  <c r="AO266" i="41"/>
  <c r="AO280" i="41"/>
  <c r="AO469" i="41"/>
  <c r="AO464" i="41"/>
  <c r="AO451" i="41"/>
  <c r="AO438" i="41"/>
  <c r="AO476" i="41"/>
  <c r="AO419" i="41"/>
  <c r="AO406" i="41"/>
  <c r="AO401" i="41"/>
  <c r="AO396" i="41"/>
  <c r="AO426" i="41"/>
  <c r="AO413" i="41"/>
  <c r="AO366" i="41"/>
  <c r="AO353" i="41"/>
  <c r="AO340" i="41"/>
  <c r="AO408" i="41"/>
  <c r="AO365" i="41"/>
  <c r="AO474" i="41"/>
  <c r="AO461" i="41"/>
  <c r="AO456" i="41"/>
  <c r="AO443" i="41"/>
  <c r="AO430" i="41"/>
  <c r="AO468" i="41"/>
  <c r="AO411" i="41"/>
  <c r="AO398" i="41"/>
  <c r="AO393" i="41"/>
  <c r="AO388" i="41"/>
  <c r="AO418" i="41"/>
  <c r="AO405" i="41"/>
  <c r="AO358" i="41"/>
  <c r="AO345" i="41"/>
  <c r="AO384" i="41"/>
  <c r="AO378" i="41"/>
  <c r="AO357" i="41"/>
  <c r="AO344" i="41"/>
  <c r="AO327" i="41"/>
  <c r="AO322" i="41"/>
  <c r="AO309" i="41"/>
  <c r="AO296" i="41"/>
  <c r="AO338" i="41"/>
  <c r="AO329" i="41"/>
  <c r="AO267" i="41"/>
  <c r="AO273" i="41"/>
  <c r="AO271" i="41"/>
  <c r="AO332" i="41"/>
  <c r="AO256" i="41"/>
  <c r="AO466" i="41"/>
  <c r="AO453" i="41"/>
  <c r="AO448" i="41"/>
  <c r="AO435" i="41"/>
  <c r="AO473" i="41"/>
  <c r="AO460" i="41"/>
  <c r="AO403" i="41"/>
  <c r="AO390" i="41"/>
  <c r="AO385" i="41"/>
  <c r="AO423" i="41"/>
  <c r="AO410" i="41"/>
  <c r="AO397" i="41"/>
  <c r="AO350" i="41"/>
  <c r="AO337" i="41"/>
  <c r="AO383" i="41"/>
  <c r="AO370" i="41"/>
  <c r="AO349" i="41"/>
  <c r="AO336" i="41"/>
  <c r="AO319" i="41"/>
  <c r="AO314" i="41"/>
  <c r="AO301" i="41"/>
  <c r="AO288" i="41"/>
  <c r="AO334" i="41"/>
  <c r="AO321" i="41"/>
  <c r="AO259" i="41"/>
  <c r="AO265" i="41"/>
  <c r="AO263" i="41"/>
  <c r="AO277" i="41"/>
  <c r="AO304" i="41"/>
  <c r="AO291" i="41"/>
  <c r="AO286" i="41"/>
  <c r="AO275" i="41"/>
  <c r="AO352" i="41"/>
  <c r="AO281" i="41"/>
  <c r="AO339" i="41"/>
  <c r="AO279" i="41"/>
  <c r="AO330" i="41"/>
  <c r="AO258" i="41"/>
  <c r="AO317" i="41"/>
  <c r="AO272" i="41"/>
  <c r="AJ582" i="41"/>
  <c r="AO582" i="41"/>
  <c r="AE590" i="41"/>
  <c r="AJ598" i="41"/>
  <c r="AH598" i="41"/>
  <c r="AM606" i="41"/>
  <c r="AJ614" i="41"/>
  <c r="AO614" i="41"/>
  <c r="AF622" i="41"/>
  <c r="AN630" i="41"/>
  <c r="AH630" i="41"/>
  <c r="AF638" i="41"/>
  <c r="AN646" i="41"/>
  <c r="AM646" i="41"/>
  <c r="AE577" i="41"/>
  <c r="AM577" i="41"/>
  <c r="AG585" i="41"/>
  <c r="AE593" i="41"/>
  <c r="AQ593" i="41"/>
  <c r="AO601" i="41"/>
  <c r="AE609" i="41"/>
  <c r="AQ609" i="41"/>
  <c r="AK617" i="41"/>
  <c r="AG625" i="41"/>
  <c r="AP625" i="41"/>
  <c r="AO633" i="41"/>
  <c r="AO641" i="41"/>
  <c r="AE641" i="41"/>
  <c r="AM649" i="41"/>
  <c r="AG575" i="41"/>
  <c r="AE583" i="41"/>
  <c r="AQ583" i="41"/>
  <c r="AO591" i="41"/>
  <c r="AE599" i="41"/>
  <c r="AI599" i="41"/>
  <c r="AG607" i="41"/>
  <c r="AE615" i="41"/>
  <c r="AQ615" i="41"/>
  <c r="AO623" i="41"/>
  <c r="AJ631" i="41"/>
  <c r="AG631" i="41"/>
  <c r="AG639" i="41"/>
  <c r="AF647" i="41"/>
  <c r="AP647" i="41"/>
  <c r="AI580" i="41"/>
  <c r="AO580" i="41"/>
  <c r="AM588" i="41"/>
  <c r="AH596" i="41"/>
  <c r="AF596" i="41"/>
  <c r="AM604" i="41"/>
  <c r="AI612" i="41"/>
  <c r="AF612" i="41"/>
  <c r="AF620" i="41"/>
  <c r="AO628" i="41"/>
  <c r="AK628" i="41"/>
  <c r="AP636" i="41"/>
  <c r="AP644" i="41"/>
  <c r="AK644" i="41"/>
  <c r="AP652" i="41"/>
  <c r="AN578" i="41"/>
  <c r="AJ586" i="41"/>
  <c r="AG586" i="41"/>
  <c r="AE594" i="41"/>
  <c r="AK602" i="41"/>
  <c r="AG602" i="41"/>
  <c r="AE610" i="41"/>
  <c r="AG618" i="41"/>
  <c r="AQ618" i="41"/>
  <c r="AK626" i="41"/>
  <c r="AK634" i="41"/>
  <c r="AI634" i="41"/>
  <c r="AH642" i="41"/>
  <c r="AN650" i="41"/>
  <c r="AF650" i="41"/>
  <c r="AI576" i="41"/>
  <c r="AO576" i="41"/>
  <c r="AE584" i="41"/>
  <c r="AJ592" i="41"/>
  <c r="AQ592" i="41"/>
  <c r="AM600" i="41"/>
  <c r="AH608" i="41"/>
  <c r="AO608" i="41"/>
  <c r="AE616" i="41"/>
  <c r="AI624" i="41"/>
  <c r="AH624" i="41"/>
  <c r="AO632" i="41"/>
  <c r="AO640" i="41"/>
  <c r="AQ640" i="41"/>
  <c r="AH648" i="41"/>
  <c r="AG581" i="41"/>
  <c r="AN589" i="41"/>
  <c r="AI589" i="41"/>
  <c r="AP597" i="41"/>
  <c r="AN605" i="41"/>
  <c r="AI605" i="41"/>
  <c r="AG613" i="41"/>
  <c r="AO621" i="41"/>
  <c r="AM621" i="41"/>
  <c r="AF629" i="41"/>
  <c r="AK637" i="41"/>
  <c r="AN637" i="41"/>
  <c r="AE645" i="41"/>
  <c r="AO579" i="41"/>
  <c r="AE587" i="41"/>
  <c r="AM587" i="41"/>
  <c r="AG595" i="41"/>
  <c r="AE603" i="41"/>
  <c r="AQ603" i="41"/>
  <c r="AG611" i="41"/>
  <c r="AO619" i="41"/>
  <c r="AN619" i="41"/>
  <c r="AG627" i="41"/>
  <c r="AJ635" i="41"/>
  <c r="AE635" i="41"/>
  <c r="AM643" i="41"/>
  <c r="AF651" i="41"/>
  <c r="AP651" i="41"/>
  <c r="AP477" i="41"/>
  <c r="AP464" i="41"/>
  <c r="AP451" i="41"/>
  <c r="AP438" i="41"/>
  <c r="AP476" i="41"/>
  <c r="AP471" i="41"/>
  <c r="AP414" i="41"/>
  <c r="AP401" i="41"/>
  <c r="AP388" i="41"/>
  <c r="AP426" i="41"/>
  <c r="AP413" i="41"/>
  <c r="AP400" i="41"/>
  <c r="AP361" i="41"/>
  <c r="AP356" i="41"/>
  <c r="AP343" i="41"/>
  <c r="AP381" i="41"/>
  <c r="AP360" i="41"/>
  <c r="AP355" i="41"/>
  <c r="AP342" i="41"/>
  <c r="AP333" i="41"/>
  <c r="AP320" i="41"/>
  <c r="AP307" i="41"/>
  <c r="AP294" i="41"/>
  <c r="AP332" i="41"/>
  <c r="AP283" i="41"/>
  <c r="AP295" i="41"/>
  <c r="AP282" i="41"/>
  <c r="AP261" i="41"/>
  <c r="AP275" i="41"/>
  <c r="AP469" i="41"/>
  <c r="AP456" i="41"/>
  <c r="AP443" i="41"/>
  <c r="AP430" i="41"/>
  <c r="AP468" i="41"/>
  <c r="AP463" i="41"/>
  <c r="AP406" i="41"/>
  <c r="AP393" i="41"/>
  <c r="AP458" i="41"/>
  <c r="AP418" i="41"/>
  <c r="AP405" i="41"/>
  <c r="AP392" i="41"/>
  <c r="AP353" i="41"/>
  <c r="AP348" i="41"/>
  <c r="AP378" i="41"/>
  <c r="AP373" i="41"/>
  <c r="AP352" i="41"/>
  <c r="AP347" i="41"/>
  <c r="AP335" i="41"/>
  <c r="AP325" i="41"/>
  <c r="AP312" i="41"/>
  <c r="AP299" i="41"/>
  <c r="AP286" i="41"/>
  <c r="AP324" i="41"/>
  <c r="AP278" i="41"/>
  <c r="AP276" i="41"/>
  <c r="AP274" i="41"/>
  <c r="AP327" i="41"/>
  <c r="AP461" i="41"/>
  <c r="AP448" i="41"/>
  <c r="AP435" i="41"/>
  <c r="AP473" i="41"/>
  <c r="AP460" i="41"/>
  <c r="AP455" i="41"/>
  <c r="AP398" i="41"/>
  <c r="AP385" i="41"/>
  <c r="AP423" i="41"/>
  <c r="AP410" i="41"/>
  <c r="AP397" i="41"/>
  <c r="AP384" i="41"/>
  <c r="AP345" i="41"/>
  <c r="AP340" i="41"/>
  <c r="AP370" i="41"/>
  <c r="AP365" i="41"/>
  <c r="AP344" i="41"/>
  <c r="AP339" i="41"/>
  <c r="AP330" i="41"/>
  <c r="AP317" i="41"/>
  <c r="AP304" i="41"/>
  <c r="AP291" i="41"/>
  <c r="AP329" i="41"/>
  <c r="AP316" i="41"/>
  <c r="AP270" i="41"/>
  <c r="AP268" i="41"/>
  <c r="AP266" i="41"/>
  <c r="AP280" i="41"/>
  <c r="AP453" i="41"/>
  <c r="AP440" i="41"/>
  <c r="AP478" i="41"/>
  <c r="AP465" i="41"/>
  <c r="AP452" i="41"/>
  <c r="AP447" i="41"/>
  <c r="AP390" i="41"/>
  <c r="AP434" i="41"/>
  <c r="AP415" i="41"/>
  <c r="AP402" i="41"/>
  <c r="AP389" i="41"/>
  <c r="AP427" i="41"/>
  <c r="AP337" i="41"/>
  <c r="AP383" i="41"/>
  <c r="AP362" i="41"/>
  <c r="AP357" i="41"/>
  <c r="AP336" i="41"/>
  <c r="AP382" i="41"/>
  <c r="AP322" i="41"/>
  <c r="AP309" i="41"/>
  <c r="AP296" i="41"/>
  <c r="AP334" i="41"/>
  <c r="AP321" i="41"/>
  <c r="AP308" i="41"/>
  <c r="AP262" i="41"/>
  <c r="AP260" i="41"/>
  <c r="AP258" i="41"/>
  <c r="AP272" i="41"/>
  <c r="AP445" i="41"/>
  <c r="AP432" i="41"/>
  <c r="AP470" i="41"/>
  <c r="AP457" i="41"/>
  <c r="AP444" i="41"/>
  <c r="AP439" i="41"/>
  <c r="AP474" i="41"/>
  <c r="AP420" i="41"/>
  <c r="AP407" i="41"/>
  <c r="AP394" i="41"/>
  <c r="AP466" i="41"/>
  <c r="AP419" i="41"/>
  <c r="AP395" i="41"/>
  <c r="AP375" i="41"/>
  <c r="AP354" i="41"/>
  <c r="AP349" i="41"/>
  <c r="AP387" i="41"/>
  <c r="AP374" i="41"/>
  <c r="AP314" i="41"/>
  <c r="AP301" i="41"/>
  <c r="AP288" i="41"/>
  <c r="AP326" i="41"/>
  <c r="AP313" i="41"/>
  <c r="AP300" i="41"/>
  <c r="AP281" i="41"/>
  <c r="AP319" i="41"/>
  <c r="AP267" i="41"/>
  <c r="AP264" i="41"/>
  <c r="AP480" i="41"/>
  <c r="AP467" i="41"/>
  <c r="AP454" i="41"/>
  <c r="AP441" i="41"/>
  <c r="AP428" i="41"/>
  <c r="AP450" i="41"/>
  <c r="AP417" i="41"/>
  <c r="AP404" i="41"/>
  <c r="AP391" i="41"/>
  <c r="AP442" i="41"/>
  <c r="AP416" i="41"/>
  <c r="AP377" i="41"/>
  <c r="AP372" i="41"/>
  <c r="AP359" i="41"/>
  <c r="AP338" i="41"/>
  <c r="AP376" i="41"/>
  <c r="AP371" i="41"/>
  <c r="AP358" i="41"/>
  <c r="AP298" i="41"/>
  <c r="AP285" i="41"/>
  <c r="AP323" i="41"/>
  <c r="AP310" i="41"/>
  <c r="AP297" i="41"/>
  <c r="AP284" i="41"/>
  <c r="AP265" i="41"/>
  <c r="AP271" i="41"/>
  <c r="AP277" i="41"/>
  <c r="AP259" i="41"/>
  <c r="AP472" i="41"/>
  <c r="AP459" i="41"/>
  <c r="AP446" i="41"/>
  <c r="AP433" i="41"/>
  <c r="AP479" i="41"/>
  <c r="AP422" i="41"/>
  <c r="AP409" i="41"/>
  <c r="AP396" i="41"/>
  <c r="AP429" i="41"/>
  <c r="AP421" i="41"/>
  <c r="AP408" i="41"/>
  <c r="AP369" i="41"/>
  <c r="AP364" i="41"/>
  <c r="AP351" i="41"/>
  <c r="AP403" i="41"/>
  <c r="AP368" i="41"/>
  <c r="AP363" i="41"/>
  <c r="AP350" i="41"/>
  <c r="AP290" i="41"/>
  <c r="AP328" i="41"/>
  <c r="AP315" i="41"/>
  <c r="AP302" i="41"/>
  <c r="AP289" i="41"/>
  <c r="AP311" i="41"/>
  <c r="AP257" i="41"/>
  <c r="AP263" i="41"/>
  <c r="AP269" i="41"/>
  <c r="AP287" i="41"/>
  <c r="AP436" i="41"/>
  <c r="AP380" i="41"/>
  <c r="AP331" i="41"/>
  <c r="AP431" i="41"/>
  <c r="AP367" i="41"/>
  <c r="AP318" i="41"/>
  <c r="AP425" i="41"/>
  <c r="AP346" i="41"/>
  <c r="AP305" i="41"/>
  <c r="AP412" i="41"/>
  <c r="AP341" i="41"/>
  <c r="AP292" i="41"/>
  <c r="AP437" i="41"/>
  <c r="AP399" i="41"/>
  <c r="AP379" i="41"/>
  <c r="AP273" i="41"/>
  <c r="AP475" i="41"/>
  <c r="AP386" i="41"/>
  <c r="AP366" i="41"/>
  <c r="AP279" i="41"/>
  <c r="AP462" i="41"/>
  <c r="AP424" i="41"/>
  <c r="AP306" i="41"/>
  <c r="AP303" i="41"/>
  <c r="AP449" i="41"/>
  <c r="AP411" i="41"/>
  <c r="AP293" i="41"/>
  <c r="AP256" i="41"/>
  <c r="AI467" i="41"/>
  <c r="AI454" i="41"/>
  <c r="AI441" i="41"/>
  <c r="AI479" i="41"/>
  <c r="AI466" i="41"/>
  <c r="AI401" i="41"/>
  <c r="AI404" i="41"/>
  <c r="AI391" i="41"/>
  <c r="AI421" i="41"/>
  <c r="AI408" i="41"/>
  <c r="AI411" i="41"/>
  <c r="AI380" i="41"/>
  <c r="AI367" i="41"/>
  <c r="AI354" i="41"/>
  <c r="AI376" i="41"/>
  <c r="AI363" i="41"/>
  <c r="AI350" i="41"/>
  <c r="AI333" i="41"/>
  <c r="AI312" i="41"/>
  <c r="AI299" i="41"/>
  <c r="AI286" i="41"/>
  <c r="AI332" i="41"/>
  <c r="AI335" i="41"/>
  <c r="AI273" i="41"/>
  <c r="AI279" i="41"/>
  <c r="AI262" i="41"/>
  <c r="AI264" i="41"/>
  <c r="AI322" i="41"/>
  <c r="AI480" i="41"/>
  <c r="AI459" i="41"/>
  <c r="AI446" i="41"/>
  <c r="AI433" i="41"/>
  <c r="AI471" i="41"/>
  <c r="AI458" i="41"/>
  <c r="AI393" i="41"/>
  <c r="AI396" i="41"/>
  <c r="AI426" i="41"/>
  <c r="AI413" i="41"/>
  <c r="AI400" i="41"/>
  <c r="AI403" i="41"/>
  <c r="AI372" i="41"/>
  <c r="AI359" i="41"/>
  <c r="AI346" i="41"/>
  <c r="AI368" i="41"/>
  <c r="AI355" i="41"/>
  <c r="AI342" i="41"/>
  <c r="AI325" i="41"/>
  <c r="AI304" i="41"/>
  <c r="AI291" i="41"/>
  <c r="AI329" i="41"/>
  <c r="AI324" i="41"/>
  <c r="AI327" i="41"/>
  <c r="AI265" i="41"/>
  <c r="AI271" i="41"/>
  <c r="AI314" i="41"/>
  <c r="AI256" i="41"/>
  <c r="AI278" i="41"/>
  <c r="AI472" i="41"/>
  <c r="AI451" i="41"/>
  <c r="AI438" i="41"/>
  <c r="AI476" i="41"/>
  <c r="AI463" i="41"/>
  <c r="AI450" i="41"/>
  <c r="AI385" i="41"/>
  <c r="AI388" i="41"/>
  <c r="AI418" i="41"/>
  <c r="AI405" i="41"/>
  <c r="AI392" i="41"/>
  <c r="AI395" i="41"/>
  <c r="AI364" i="41"/>
  <c r="AI351" i="41"/>
  <c r="AI381" i="41"/>
  <c r="AI360" i="41"/>
  <c r="AI347" i="41"/>
  <c r="AI377" i="41"/>
  <c r="AI317" i="41"/>
  <c r="AI296" i="41"/>
  <c r="AI334" i="41"/>
  <c r="AI464" i="41"/>
  <c r="AI443" i="41"/>
  <c r="AI430" i="41"/>
  <c r="AI468" i="41"/>
  <c r="AI455" i="41"/>
  <c r="AI442" i="41"/>
  <c r="AI445" i="41"/>
  <c r="AI469" i="41"/>
  <c r="AI410" i="41"/>
  <c r="AI397" i="41"/>
  <c r="AI384" i="41"/>
  <c r="AI387" i="41"/>
  <c r="AI456" i="41"/>
  <c r="AI435" i="41"/>
  <c r="AI473" i="41"/>
  <c r="AI460" i="41"/>
  <c r="AI447" i="41"/>
  <c r="AI434" i="41"/>
  <c r="AI432" i="41"/>
  <c r="AI423" i="41"/>
  <c r="AI402" i="41"/>
  <c r="AI389" i="41"/>
  <c r="AI437" i="41"/>
  <c r="AI461" i="41"/>
  <c r="AI348" i="41"/>
  <c r="AI390" i="41"/>
  <c r="AI365" i="41"/>
  <c r="AI344" i="41"/>
  <c r="AI382" i="41"/>
  <c r="AI361" i="41"/>
  <c r="AI301" i="41"/>
  <c r="AI331" i="41"/>
  <c r="AI318" i="41"/>
  <c r="AI305" i="41"/>
  <c r="AI300" i="41"/>
  <c r="AI303" i="41"/>
  <c r="AI276" i="41"/>
  <c r="AI282" i="41"/>
  <c r="AI269" i="41"/>
  <c r="AI275" i="41"/>
  <c r="AI440" i="41"/>
  <c r="AI470" i="41"/>
  <c r="AI457" i="41"/>
  <c r="AI444" i="41"/>
  <c r="AI431" i="41"/>
  <c r="AI417" i="41"/>
  <c r="AI420" i="41"/>
  <c r="AI407" i="41"/>
  <c r="AI386" i="41"/>
  <c r="AI424" i="41"/>
  <c r="AI427" i="41"/>
  <c r="AI414" i="41"/>
  <c r="AI383" i="41"/>
  <c r="AI370" i="41"/>
  <c r="AI349" i="41"/>
  <c r="AI379" i="41"/>
  <c r="AI366" i="41"/>
  <c r="AI345" i="41"/>
  <c r="AI328" i="41"/>
  <c r="AI315" i="41"/>
  <c r="AI302" i="41"/>
  <c r="AI289" i="41"/>
  <c r="AI284" i="41"/>
  <c r="AI287" i="41"/>
  <c r="AI260" i="41"/>
  <c r="AI266" i="41"/>
  <c r="AI280" i="41"/>
  <c r="AI259" i="41"/>
  <c r="AI475" i="41"/>
  <c r="AI462" i="41"/>
  <c r="AI449" i="41"/>
  <c r="AI436" i="41"/>
  <c r="AI474" i="41"/>
  <c r="AI409" i="41"/>
  <c r="AI412" i="41"/>
  <c r="AI399" i="41"/>
  <c r="AI453" i="41"/>
  <c r="AI416" i="41"/>
  <c r="AI419" i="41"/>
  <c r="AI406" i="41"/>
  <c r="AI375" i="41"/>
  <c r="AI362" i="41"/>
  <c r="AI341" i="41"/>
  <c r="AI371" i="41"/>
  <c r="AI358" i="41"/>
  <c r="AI337" i="41"/>
  <c r="AI320" i="41"/>
  <c r="AI307" i="41"/>
  <c r="AI294" i="41"/>
  <c r="AI336" i="41"/>
  <c r="AI338" i="41"/>
  <c r="AI281" i="41"/>
  <c r="AI330" i="41"/>
  <c r="AI258" i="41"/>
  <c r="AI272" i="41"/>
  <c r="AI270" i="41"/>
  <c r="AI448" i="41"/>
  <c r="AI394" i="41"/>
  <c r="AI373" i="41"/>
  <c r="AI309" i="41"/>
  <c r="AI297" i="41"/>
  <c r="AI306" i="41"/>
  <c r="AI298" i="41"/>
  <c r="AI478" i="41"/>
  <c r="AI477" i="41"/>
  <c r="AI357" i="41"/>
  <c r="AI293" i="41"/>
  <c r="AI316" i="41"/>
  <c r="AI268" i="41"/>
  <c r="AI283" i="41"/>
  <c r="AI465" i="41"/>
  <c r="AI429" i="41"/>
  <c r="AI352" i="41"/>
  <c r="AI288" i="41"/>
  <c r="AI308" i="41"/>
  <c r="AI263" i="41"/>
  <c r="AI267" i="41"/>
  <c r="AI452" i="41"/>
  <c r="AI422" i="41"/>
  <c r="AI398" i="41"/>
  <c r="AI323" i="41"/>
  <c r="AI292" i="41"/>
  <c r="AI290" i="41"/>
  <c r="AI439" i="41"/>
  <c r="AI356" i="41"/>
  <c r="AI339" i="41"/>
  <c r="AI326" i="41"/>
  <c r="AI319" i="41"/>
  <c r="AI274" i="41"/>
  <c r="AI425" i="41"/>
  <c r="AI340" i="41"/>
  <c r="AI374" i="41"/>
  <c r="AI310" i="41"/>
  <c r="AI311" i="41"/>
  <c r="AI285" i="41"/>
  <c r="AI428" i="41"/>
  <c r="AI343" i="41"/>
  <c r="AI369" i="41"/>
  <c r="AI321" i="41"/>
  <c r="AI295" i="41"/>
  <c r="AI277" i="41"/>
  <c r="AI415" i="41"/>
  <c r="AI378" i="41"/>
  <c r="AI353" i="41"/>
  <c r="AI313" i="41"/>
  <c r="AI257" i="41"/>
  <c r="AI261" i="41"/>
  <c r="AK582" i="41"/>
  <c r="AG582" i="41"/>
  <c r="AN590" i="41"/>
  <c r="AQ598" i="41"/>
  <c r="AG598" i="41"/>
  <c r="AE606" i="41"/>
  <c r="AK614" i="41"/>
  <c r="AG614" i="41"/>
  <c r="AJ622" i="41"/>
  <c r="AJ630" i="41"/>
  <c r="AQ630" i="41"/>
  <c r="AG638" i="41"/>
  <c r="AE646" i="41"/>
  <c r="AF646" i="41"/>
  <c r="AN577" i="41"/>
  <c r="AI577" i="41"/>
  <c r="AP585" i="41"/>
  <c r="AN593" i="41"/>
  <c r="AI593" i="41"/>
  <c r="AG601" i="41"/>
  <c r="AN609" i="41"/>
  <c r="AI609" i="41"/>
  <c r="AN617" i="41"/>
  <c r="AI625" i="41"/>
  <c r="AM625" i="41"/>
  <c r="AP633" i="41"/>
  <c r="AP641" i="41"/>
  <c r="AN641" i="41"/>
  <c r="AE649" i="41"/>
  <c r="AP575" i="41"/>
  <c r="AN583" i="41"/>
  <c r="AI583" i="41"/>
  <c r="AG591" i="41"/>
  <c r="AN599" i="41"/>
  <c r="AM599" i="41"/>
  <c r="AP607" i="41"/>
  <c r="AN615" i="41"/>
  <c r="AI615" i="41"/>
  <c r="AE623" i="41"/>
  <c r="AI631" i="41"/>
  <c r="AM631" i="41"/>
  <c r="AI639" i="41"/>
  <c r="AI647" i="41"/>
  <c r="AH647" i="41"/>
  <c r="AJ580" i="41"/>
  <c r="AH580" i="41"/>
  <c r="AE588" i="41"/>
  <c r="AI596" i="41"/>
  <c r="AO596" i="41"/>
  <c r="AE604" i="41"/>
  <c r="AH612" i="41"/>
  <c r="AO612" i="41"/>
  <c r="AG620" i="41"/>
  <c r="AN628" i="41"/>
  <c r="AH628" i="41"/>
  <c r="AE636" i="41"/>
  <c r="AE644" i="41"/>
  <c r="AM644" i="41"/>
  <c r="AH652" i="41"/>
  <c r="AH578" i="41"/>
  <c r="AK586" i="41"/>
  <c r="AP586" i="41"/>
  <c r="AN594" i="41"/>
  <c r="AM602" i="41"/>
  <c r="AP602" i="41"/>
  <c r="AN610" i="41"/>
  <c r="AI618" i="41"/>
  <c r="AM618" i="41"/>
  <c r="AN626" i="41"/>
  <c r="AN634" i="41"/>
  <c r="AM634" i="41"/>
  <c r="AQ642" i="41"/>
  <c r="AP650" i="41"/>
  <c r="AO650" i="41"/>
  <c r="AJ576" i="41"/>
  <c r="AG576" i="41"/>
  <c r="AN584" i="41"/>
  <c r="AK592" i="41"/>
  <c r="AG592" i="41"/>
  <c r="AE600" i="41"/>
  <c r="AJ608" i="41"/>
  <c r="AG608" i="41"/>
  <c r="AO616" i="41"/>
  <c r="AJ624" i="41"/>
  <c r="AQ624" i="41"/>
  <c r="AE632" i="41"/>
  <c r="AP640" i="41"/>
  <c r="AI640" i="41"/>
  <c r="AQ648" i="41"/>
  <c r="AP581" i="41"/>
  <c r="AF589" i="41"/>
  <c r="AJ589" i="41"/>
  <c r="AH597" i="41"/>
  <c r="AF605" i="41"/>
  <c r="AJ605" i="41"/>
  <c r="AP613" i="41"/>
  <c r="AE621" i="41"/>
  <c r="AH621" i="41"/>
  <c r="AG629" i="41"/>
  <c r="AO637" i="41"/>
  <c r="AH637" i="41"/>
  <c r="AL30" i="41"/>
  <c r="AL22" i="41"/>
  <c r="AL80" i="41"/>
  <c r="AL223" i="41"/>
  <c r="AL210" i="41"/>
  <c r="AL197" i="41"/>
  <c r="AL235" i="41"/>
  <c r="AL225" i="41"/>
  <c r="AL174" i="41"/>
  <c r="AL169" i="41"/>
  <c r="AL156" i="41"/>
  <c r="AL230" i="41"/>
  <c r="AL192" i="41"/>
  <c r="AL131" i="41"/>
  <c r="AL118" i="41"/>
  <c r="AL212" i="41"/>
  <c r="AL220" i="41"/>
  <c r="AL154" i="41"/>
  <c r="AL107" i="41"/>
  <c r="AL86" i="41"/>
  <c r="AL122" i="41"/>
  <c r="AL66" i="41"/>
  <c r="AL40" i="41"/>
  <c r="AL44" i="41"/>
  <c r="AL49" i="41"/>
  <c r="AL158" i="41"/>
  <c r="AL157" i="41"/>
  <c r="AL120" i="41"/>
  <c r="AL54" i="41"/>
  <c r="AL27" i="41"/>
  <c r="AL63" i="41"/>
  <c r="AL41" i="41"/>
  <c r="AL215" i="41"/>
  <c r="AL202" i="41"/>
  <c r="AL240" i="41"/>
  <c r="AL227" i="41"/>
  <c r="AL217" i="41"/>
  <c r="AL166" i="41"/>
  <c r="AL161" i="41"/>
  <c r="AL228" i="41"/>
  <c r="AL198" i="41"/>
  <c r="AL184" i="41"/>
  <c r="AL123" i="41"/>
  <c r="AL189" i="41"/>
  <c r="AL179" i="41"/>
  <c r="AL181" i="41"/>
  <c r="AL149" i="41"/>
  <c r="AL99" i="41"/>
  <c r="AL78" i="41"/>
  <c r="AL152" i="41"/>
  <c r="AL111" i="41"/>
  <c r="AL93" i="41"/>
  <c r="AL58" i="41"/>
  <c r="AL45" i="41"/>
  <c r="AL96" i="41"/>
  <c r="AL62" i="41"/>
  <c r="AL23" i="41"/>
  <c r="AL47" i="41"/>
  <c r="AL207" i="41"/>
  <c r="AL238" i="41"/>
  <c r="AL155" i="41"/>
  <c r="AL103" i="41"/>
  <c r="AL219" i="41"/>
  <c r="AL176" i="41"/>
  <c r="AL91" i="41"/>
  <c r="AL144" i="41"/>
  <c r="AL32" i="41"/>
  <c r="AL199" i="41"/>
  <c r="AL237" i="41"/>
  <c r="AL224" i="41"/>
  <c r="AL211" i="41"/>
  <c r="AL201" i="41"/>
  <c r="AL236" i="41"/>
  <c r="AL206" i="41"/>
  <c r="AL191" i="41"/>
  <c r="AL186" i="41"/>
  <c r="AL168" i="41"/>
  <c r="AL187" i="41"/>
  <c r="AL153" i="41"/>
  <c r="AL148" i="41"/>
  <c r="AL143" i="41"/>
  <c r="AL133" i="41"/>
  <c r="AL83" i="41"/>
  <c r="AL113" i="41"/>
  <c r="AL108" i="41"/>
  <c r="AL95" i="41"/>
  <c r="AL77" i="41"/>
  <c r="AL42" i="41"/>
  <c r="AL106" i="41"/>
  <c r="AL67" i="41"/>
  <c r="AL46" i="41"/>
  <c r="AL88" i="41"/>
  <c r="AL229" i="41"/>
  <c r="AL203" i="41"/>
  <c r="AL246" i="41"/>
  <c r="AL188" i="41"/>
  <c r="AL178" i="41"/>
  <c r="AL150" i="41"/>
  <c r="AL140" i="41"/>
  <c r="AL125" i="41"/>
  <c r="AL105" i="41"/>
  <c r="AL87" i="41"/>
  <c r="AL136" i="41"/>
  <c r="AL59" i="41"/>
  <c r="AL26" i="41"/>
  <c r="AL193" i="41"/>
  <c r="AL137" i="41"/>
  <c r="AL117" i="41"/>
  <c r="AL92" i="41"/>
  <c r="AL82" i="41"/>
  <c r="AL51" i="41"/>
  <c r="AL71" i="41"/>
  <c r="AL232" i="41"/>
  <c r="AL194" i="41"/>
  <c r="AL141" i="41"/>
  <c r="AL50" i="41"/>
  <c r="AL112" i="41"/>
  <c r="AL242" i="41"/>
  <c r="AL216" i="41"/>
  <c r="AL204" i="41"/>
  <c r="AL183" i="41"/>
  <c r="AL160" i="41"/>
  <c r="AL145" i="41"/>
  <c r="AL135" i="41"/>
  <c r="AL128" i="41"/>
  <c r="AL100" i="41"/>
  <c r="AL114" i="41"/>
  <c r="AL72" i="41"/>
  <c r="AL90" i="41"/>
  <c r="AL37" i="41"/>
  <c r="AL221" i="41"/>
  <c r="AL195" i="41"/>
  <c r="AL180" i="41"/>
  <c r="AL170" i="41"/>
  <c r="AL142" i="41"/>
  <c r="AL132" i="41"/>
  <c r="AL110" i="41"/>
  <c r="AL79" i="41"/>
  <c r="AL64" i="41"/>
  <c r="AL33" i="41"/>
  <c r="AL35" i="41"/>
  <c r="AL234" i="41"/>
  <c r="AL208" i="41"/>
  <c r="AL214" i="41"/>
  <c r="AL175" i="41"/>
  <c r="AL165" i="41"/>
  <c r="AL127" i="41"/>
  <c r="AL97" i="41"/>
  <c r="AL104" i="41"/>
  <c r="AL68" i="41"/>
  <c r="AL31" i="41"/>
  <c r="AL55" i="41"/>
  <c r="AL39" i="41"/>
  <c r="AL29" i="41"/>
  <c r="AL239" i="41"/>
  <c r="AL226" i="41"/>
  <c r="AL213" i="41"/>
  <c r="AL200" i="41"/>
  <c r="AL241" i="41"/>
  <c r="AL190" i="41"/>
  <c r="AL185" i="41"/>
  <c r="AL172" i="41"/>
  <c r="AL167" i="41"/>
  <c r="AL162" i="41"/>
  <c r="AL147" i="41"/>
  <c r="AL134" i="41"/>
  <c r="AL129" i="41"/>
  <c r="AL124" i="41"/>
  <c r="AL119" i="41"/>
  <c r="AL138" i="41"/>
  <c r="AL102" i="41"/>
  <c r="AL89" i="41"/>
  <c r="AL84" i="41"/>
  <c r="AL146" i="41"/>
  <c r="AL76" i="41"/>
  <c r="AL69" i="41"/>
  <c r="AL56" i="41"/>
  <c r="AL43" i="41"/>
  <c r="AL60" i="41"/>
  <c r="AL209" i="41"/>
  <c r="AL244" i="41"/>
  <c r="AL130" i="41"/>
  <c r="AL75" i="41"/>
  <c r="AL28" i="41"/>
  <c r="AL73" i="41"/>
  <c r="AL24" i="41"/>
  <c r="AL231" i="41"/>
  <c r="AL218" i="41"/>
  <c r="AL205" i="41"/>
  <c r="AL243" i="41"/>
  <c r="AL233" i="41"/>
  <c r="AL182" i="41"/>
  <c r="AL177" i="41"/>
  <c r="AL164" i="41"/>
  <c r="AL159" i="41"/>
  <c r="AL222" i="41"/>
  <c r="AL139" i="41"/>
  <c r="AL126" i="41"/>
  <c r="AL121" i="41"/>
  <c r="AL116" i="41"/>
  <c r="AL173" i="41"/>
  <c r="AL115" i="41"/>
  <c r="AL94" i="41"/>
  <c r="AL81" i="41"/>
  <c r="AL171" i="41"/>
  <c r="AL109" i="41"/>
  <c r="AL74" i="41"/>
  <c r="AL61" i="41"/>
  <c r="AL48" i="41"/>
  <c r="AL98" i="41"/>
  <c r="AL52" i="41"/>
  <c r="AL36" i="41"/>
  <c r="AL38" i="41"/>
  <c r="AL57" i="41"/>
  <c r="AL163" i="41"/>
  <c r="AL101" i="41"/>
  <c r="AL53" i="41"/>
  <c r="AL70" i="41"/>
  <c r="AL34" i="41"/>
  <c r="AL25" i="41"/>
  <c r="AL65" i="41"/>
  <c r="AL245" i="41"/>
  <c r="AL196" i="41"/>
  <c r="AL151" i="41"/>
  <c r="AL85" i="41"/>
  <c r="AG579" i="41"/>
  <c r="AN587" i="41"/>
  <c r="AI587" i="41"/>
  <c r="AP595" i="41"/>
  <c r="AN603" i="41"/>
  <c r="AI603" i="41"/>
  <c r="AP611" i="41"/>
  <c r="AE619" i="41"/>
  <c r="AI627" i="41"/>
  <c r="AK635" i="41"/>
  <c r="AN635" i="41"/>
  <c r="AE643" i="41"/>
  <c r="AI651" i="41"/>
  <c r="AH651" i="41"/>
  <c r="AH469" i="41"/>
  <c r="AH456" i="41"/>
  <c r="AH443" i="41"/>
  <c r="AH430" i="41"/>
  <c r="AH468" i="41"/>
  <c r="AH455" i="41"/>
  <c r="AH450" i="41"/>
  <c r="AH428" i="41"/>
  <c r="AH415" i="41"/>
  <c r="AH410" i="41"/>
  <c r="AH389" i="41"/>
  <c r="AH466" i="41"/>
  <c r="AH353" i="41"/>
  <c r="AH340" i="41"/>
  <c r="AH378" i="41"/>
  <c r="AH365" i="41"/>
  <c r="AH352" i="41"/>
  <c r="AH339" i="41"/>
  <c r="AH330" i="41"/>
  <c r="AH317" i="41"/>
  <c r="AH304" i="41"/>
  <c r="AH291" i="41"/>
  <c r="AH329" i="41"/>
  <c r="AH316" i="41"/>
  <c r="AH311" i="41"/>
  <c r="AH268" i="41"/>
  <c r="AH319" i="41"/>
  <c r="AH256" i="41"/>
  <c r="AH461" i="41"/>
  <c r="AH448" i="41"/>
  <c r="AH435" i="41"/>
  <c r="AH473" i="41"/>
  <c r="AH460" i="41"/>
  <c r="AH447" i="41"/>
  <c r="AH425" i="41"/>
  <c r="AH420" i="41"/>
  <c r="AH407" i="41"/>
  <c r="AH402" i="41"/>
  <c r="AH442" i="41"/>
  <c r="AH429" i="41"/>
  <c r="AH345" i="41"/>
  <c r="AH395" i="41"/>
  <c r="AH370" i="41"/>
  <c r="AH357" i="41"/>
  <c r="AH344" i="41"/>
  <c r="AH387" i="41"/>
  <c r="AH322" i="41"/>
  <c r="AH309" i="41"/>
  <c r="AH296" i="41"/>
  <c r="AH334" i="41"/>
  <c r="AH321" i="41"/>
  <c r="AH308" i="41"/>
  <c r="AH281" i="41"/>
  <c r="AH260" i="41"/>
  <c r="AH282" i="41"/>
  <c r="AH303" i="41"/>
  <c r="AH453" i="41"/>
  <c r="AH440" i="41"/>
  <c r="AH478" i="41"/>
  <c r="AH465" i="41"/>
  <c r="AH452" i="41"/>
  <c r="AH439" i="41"/>
  <c r="AH417" i="41"/>
  <c r="AH412" i="41"/>
  <c r="AH399" i="41"/>
  <c r="AH394" i="41"/>
  <c r="AH424" i="41"/>
  <c r="AH427" i="41"/>
  <c r="AH337" i="41"/>
  <c r="AH383" i="41"/>
  <c r="AH362" i="41"/>
  <c r="AH349" i="41"/>
  <c r="AH336" i="41"/>
  <c r="AH382" i="41"/>
  <c r="AH314" i="41"/>
  <c r="AH301" i="41"/>
  <c r="AH288" i="41"/>
  <c r="AH326" i="41"/>
  <c r="AH313" i="41"/>
  <c r="AH300" i="41"/>
  <c r="AH273" i="41"/>
  <c r="AH267" i="41"/>
  <c r="AH274" i="41"/>
  <c r="AH280" i="41"/>
  <c r="AH445" i="41"/>
  <c r="AH432" i="41"/>
  <c r="AH470" i="41"/>
  <c r="AH457" i="41"/>
  <c r="AH444" i="41"/>
  <c r="AH422" i="41"/>
  <c r="AH409" i="41"/>
  <c r="AH404" i="41"/>
  <c r="AH391" i="41"/>
  <c r="AH386" i="41"/>
  <c r="AH416" i="41"/>
  <c r="AH419" i="41"/>
  <c r="AH380" i="41"/>
  <c r="AH375" i="41"/>
  <c r="AH354" i="41"/>
  <c r="AH341" i="41"/>
  <c r="AH379" i="41"/>
  <c r="AH374" i="41"/>
  <c r="AH306" i="41"/>
  <c r="AH293" i="41"/>
  <c r="AH331" i="41"/>
  <c r="AH318" i="41"/>
  <c r="AH305" i="41"/>
  <c r="AH292" i="41"/>
  <c r="AH265" i="41"/>
  <c r="AH295" i="41"/>
  <c r="AH266" i="41"/>
  <c r="AH272" i="41"/>
  <c r="AH437" i="41"/>
  <c r="AH475" i="41"/>
  <c r="AH462" i="41"/>
  <c r="AH449" i="41"/>
  <c r="AH436" i="41"/>
  <c r="AH414" i="41"/>
  <c r="AH401" i="41"/>
  <c r="AH396" i="41"/>
  <c r="AH458" i="41"/>
  <c r="AH421" i="41"/>
  <c r="AH408" i="41"/>
  <c r="AH411" i="41"/>
  <c r="AH372" i="41"/>
  <c r="AH367" i="41"/>
  <c r="AH346" i="41"/>
  <c r="AH403" i="41"/>
  <c r="AH371" i="41"/>
  <c r="AH366" i="41"/>
  <c r="AH298" i="41"/>
  <c r="AH285" i="41"/>
  <c r="AH323" i="41"/>
  <c r="AH310" i="41"/>
  <c r="AH297" i="41"/>
  <c r="AH287" i="41"/>
  <c r="AH257" i="41"/>
  <c r="AH284" i="41"/>
  <c r="AH258" i="41"/>
  <c r="AH264" i="41"/>
  <c r="AH472" i="41"/>
  <c r="AH459" i="41"/>
  <c r="AH446" i="41"/>
  <c r="AH433" i="41"/>
  <c r="AH471" i="41"/>
  <c r="AH398" i="41"/>
  <c r="AH385" i="41"/>
  <c r="AH434" i="41"/>
  <c r="AH426" i="41"/>
  <c r="AH405" i="41"/>
  <c r="AH392" i="41"/>
  <c r="AH369" i="41"/>
  <c r="AH356" i="41"/>
  <c r="AH351" i="41"/>
  <c r="AH381" i="41"/>
  <c r="AH368" i="41"/>
  <c r="AH355" i="41"/>
  <c r="AH350" i="41"/>
  <c r="AH333" i="41"/>
  <c r="AH320" i="41"/>
  <c r="AH307" i="41"/>
  <c r="AH294" i="41"/>
  <c r="AH332" i="41"/>
  <c r="AH270" i="41"/>
  <c r="AH335" i="41"/>
  <c r="AH271" i="41"/>
  <c r="AH269" i="41"/>
  <c r="AH283" i="41"/>
  <c r="AH477" i="41"/>
  <c r="AH464" i="41"/>
  <c r="AH451" i="41"/>
  <c r="AH438" i="41"/>
  <c r="AH476" i="41"/>
  <c r="AH463" i="41"/>
  <c r="AH390" i="41"/>
  <c r="AH474" i="41"/>
  <c r="AH423" i="41"/>
  <c r="AH418" i="41"/>
  <c r="AH397" i="41"/>
  <c r="AH384" i="41"/>
  <c r="AH361" i="41"/>
  <c r="AH348" i="41"/>
  <c r="AH343" i="41"/>
  <c r="AH373" i="41"/>
  <c r="AH360" i="41"/>
  <c r="AH347" i="41"/>
  <c r="AH342" i="41"/>
  <c r="AH325" i="41"/>
  <c r="AH312" i="41"/>
  <c r="AH299" i="41"/>
  <c r="AH286" i="41"/>
  <c r="AH324" i="41"/>
  <c r="AH262" i="41"/>
  <c r="AH276" i="41"/>
  <c r="AH263" i="41"/>
  <c r="AH261" i="41"/>
  <c r="AH275" i="41"/>
  <c r="AH480" i="41"/>
  <c r="AH431" i="41"/>
  <c r="AH363" i="41"/>
  <c r="AH259" i="41"/>
  <c r="AH467" i="41"/>
  <c r="AH413" i="41"/>
  <c r="AH358" i="41"/>
  <c r="AH279" i="41"/>
  <c r="AH454" i="41"/>
  <c r="AH400" i="41"/>
  <c r="AH290" i="41"/>
  <c r="AH277" i="41"/>
  <c r="AH441" i="41"/>
  <c r="AH377" i="41"/>
  <c r="AH328" i="41"/>
  <c r="AH327" i="41"/>
  <c r="AH479" i="41"/>
  <c r="AH364" i="41"/>
  <c r="AH315" i="41"/>
  <c r="AH406" i="41"/>
  <c r="AH359" i="41"/>
  <c r="AH302" i="41"/>
  <c r="AH393" i="41"/>
  <c r="AH338" i="41"/>
  <c r="AH289" i="41"/>
  <c r="AH388" i="41"/>
  <c r="AH376" i="41"/>
  <c r="AH278" i="41"/>
  <c r="AQ475" i="41"/>
  <c r="AQ462" i="41"/>
  <c r="AQ449" i="41"/>
  <c r="AQ436" i="41"/>
  <c r="AQ474" i="41"/>
  <c r="AQ417" i="41"/>
  <c r="AQ404" i="41"/>
  <c r="AQ391" i="41"/>
  <c r="AQ386" i="41"/>
  <c r="AQ424" i="41"/>
  <c r="AQ419" i="41"/>
  <c r="AQ380" i="41"/>
  <c r="AQ375" i="41"/>
  <c r="AQ354" i="41"/>
  <c r="AQ398" i="41"/>
  <c r="AQ467" i="41"/>
  <c r="AQ454" i="41"/>
  <c r="AQ464" i="41"/>
  <c r="AQ443" i="41"/>
  <c r="AQ430" i="41"/>
  <c r="AQ468" i="41"/>
  <c r="AQ455" i="41"/>
  <c r="AQ442" i="41"/>
  <c r="AQ385" i="41"/>
  <c r="AQ423" i="41"/>
  <c r="AQ418" i="41"/>
  <c r="AQ405" i="41"/>
  <c r="AQ392" i="41"/>
  <c r="AQ387" i="41"/>
  <c r="AQ348" i="41"/>
  <c r="AQ343" i="41"/>
  <c r="AQ365" i="41"/>
  <c r="AQ352" i="41"/>
  <c r="AQ382" i="41"/>
  <c r="AQ369" i="41"/>
  <c r="AQ309" i="41"/>
  <c r="AQ296" i="41"/>
  <c r="AQ336" i="41"/>
  <c r="AQ338" i="41"/>
  <c r="AQ324" i="41"/>
  <c r="AQ311" i="41"/>
  <c r="AQ257" i="41"/>
  <c r="AQ271" i="41"/>
  <c r="AQ277" i="41"/>
  <c r="AQ322" i="41"/>
  <c r="AQ448" i="41"/>
  <c r="AQ478" i="41"/>
  <c r="AQ465" i="41"/>
  <c r="AQ452" i="41"/>
  <c r="AQ439" i="41"/>
  <c r="AQ445" i="41"/>
  <c r="AQ420" i="41"/>
  <c r="AQ407" i="41"/>
  <c r="AQ402" i="41"/>
  <c r="AQ389" i="41"/>
  <c r="AQ461" i="41"/>
  <c r="AQ422" i="41"/>
  <c r="AQ390" i="41"/>
  <c r="AQ370" i="41"/>
  <c r="AQ349" i="41"/>
  <c r="AQ379" i="41"/>
  <c r="AQ366" i="41"/>
  <c r="AQ353" i="41"/>
  <c r="AQ293" i="41"/>
  <c r="AQ331" i="41"/>
  <c r="AQ326" i="41"/>
  <c r="AQ321" i="41"/>
  <c r="AQ308" i="41"/>
  <c r="AQ295" i="41"/>
  <c r="AQ330" i="41"/>
  <c r="AQ262" i="41"/>
  <c r="AQ261" i="41"/>
  <c r="AQ267" i="41"/>
  <c r="AQ440" i="41"/>
  <c r="AQ470" i="41"/>
  <c r="AQ457" i="41"/>
  <c r="AQ444" i="41"/>
  <c r="AQ431" i="41"/>
  <c r="AQ425" i="41"/>
  <c r="AQ412" i="41"/>
  <c r="AQ399" i="41"/>
  <c r="AQ394" i="41"/>
  <c r="AQ437" i="41"/>
  <c r="AQ427" i="41"/>
  <c r="AQ414" i="41"/>
  <c r="AQ383" i="41"/>
  <c r="AQ362" i="41"/>
  <c r="AQ341" i="41"/>
  <c r="AQ371" i="41"/>
  <c r="AQ358" i="41"/>
  <c r="AQ345" i="41"/>
  <c r="AQ285" i="41"/>
  <c r="AQ323" i="41"/>
  <c r="AQ435" i="41"/>
  <c r="AQ479" i="41"/>
  <c r="AQ409" i="41"/>
  <c r="AQ453" i="41"/>
  <c r="AQ416" i="41"/>
  <c r="AQ372" i="41"/>
  <c r="AQ346" i="41"/>
  <c r="AQ363" i="41"/>
  <c r="AQ377" i="41"/>
  <c r="AQ320" i="41"/>
  <c r="AQ334" i="41"/>
  <c r="AQ305" i="41"/>
  <c r="AQ327" i="41"/>
  <c r="AQ335" i="41"/>
  <c r="AQ282" i="41"/>
  <c r="AQ264" i="41"/>
  <c r="AQ446" i="41"/>
  <c r="AQ471" i="41"/>
  <c r="AQ401" i="41"/>
  <c r="AQ429" i="41"/>
  <c r="AQ408" i="41"/>
  <c r="AQ364" i="41"/>
  <c r="AQ381" i="41"/>
  <c r="AQ355" i="41"/>
  <c r="AQ361" i="41"/>
  <c r="AQ312" i="41"/>
  <c r="AQ318" i="41"/>
  <c r="AQ297" i="41"/>
  <c r="AQ319" i="41"/>
  <c r="AQ276" i="41"/>
  <c r="AQ274" i="41"/>
  <c r="AQ256" i="41"/>
  <c r="AQ438" i="41"/>
  <c r="AQ463" i="41"/>
  <c r="AQ393" i="41"/>
  <c r="AQ426" i="41"/>
  <c r="AQ400" i="41"/>
  <c r="AQ356" i="41"/>
  <c r="AQ373" i="41"/>
  <c r="AQ347" i="41"/>
  <c r="AQ337" i="41"/>
  <c r="AQ304" i="41"/>
  <c r="AQ310" i="41"/>
  <c r="AQ289" i="41"/>
  <c r="AQ303" i="41"/>
  <c r="AQ268" i="41"/>
  <c r="AQ266" i="41"/>
  <c r="AQ275" i="41"/>
  <c r="AQ480" i="41"/>
  <c r="AQ473" i="41"/>
  <c r="AQ447" i="41"/>
  <c r="AQ469" i="41"/>
  <c r="AQ410" i="41"/>
  <c r="AQ384" i="41"/>
  <c r="AQ340" i="41"/>
  <c r="AQ357" i="41"/>
  <c r="AQ339" i="41"/>
  <c r="AQ333" i="41"/>
  <c r="AQ288" i="41"/>
  <c r="AQ302" i="41"/>
  <c r="AQ332" i="41"/>
  <c r="AQ287" i="41"/>
  <c r="AQ260" i="41"/>
  <c r="AQ258" i="41"/>
  <c r="AQ259" i="41"/>
  <c r="AQ472" i="41"/>
  <c r="AQ441" i="41"/>
  <c r="AQ466" i="41"/>
  <c r="AQ396" i="41"/>
  <c r="AQ477" i="41"/>
  <c r="AQ411" i="41"/>
  <c r="AQ367" i="41"/>
  <c r="AQ376" i="41"/>
  <c r="AQ374" i="41"/>
  <c r="AQ325" i="41"/>
  <c r="AQ315" i="41"/>
  <c r="AQ294" i="41"/>
  <c r="AQ316" i="41"/>
  <c r="AQ306" i="41"/>
  <c r="AQ290" i="41"/>
  <c r="AQ269" i="41"/>
  <c r="AQ283" i="41"/>
  <c r="AQ456" i="41"/>
  <c r="AQ433" i="41"/>
  <c r="AQ458" i="41"/>
  <c r="AQ388" i="41"/>
  <c r="AQ421" i="41"/>
  <c r="AQ403" i="41"/>
  <c r="AQ359" i="41"/>
  <c r="AQ368" i="41"/>
  <c r="AQ350" i="41"/>
  <c r="AQ317" i="41"/>
  <c r="AQ307" i="41"/>
  <c r="AQ286" i="41"/>
  <c r="AQ300" i="41"/>
  <c r="AQ281" i="41"/>
  <c r="AQ279" i="41"/>
  <c r="AQ298" i="41"/>
  <c r="AQ278" i="41"/>
  <c r="AQ459" i="41"/>
  <c r="AQ476" i="41"/>
  <c r="AQ450" i="41"/>
  <c r="AQ428" i="41"/>
  <c r="AQ413" i="41"/>
  <c r="AQ395" i="41"/>
  <c r="AQ351" i="41"/>
  <c r="AQ360" i="41"/>
  <c r="AQ342" i="41"/>
  <c r="AQ301" i="41"/>
  <c r="AQ299" i="41"/>
  <c r="AQ329" i="41"/>
  <c r="AQ292" i="41"/>
  <c r="AQ273" i="41"/>
  <c r="AQ263" i="41"/>
  <c r="AQ280" i="41"/>
  <c r="AQ270" i="41"/>
  <c r="AQ451" i="41"/>
  <c r="AQ460" i="41"/>
  <c r="AQ434" i="41"/>
  <c r="AQ415" i="41"/>
  <c r="AQ397" i="41"/>
  <c r="AQ432" i="41"/>
  <c r="AQ378" i="41"/>
  <c r="AQ344" i="41"/>
  <c r="AQ406" i="41"/>
  <c r="AQ328" i="41"/>
  <c r="AQ291" i="41"/>
  <c r="AQ313" i="41"/>
  <c r="AQ284" i="41"/>
  <c r="AQ265" i="41"/>
  <c r="AQ314" i="41"/>
  <c r="AQ272" i="41"/>
  <c r="AM582" i="41"/>
  <c r="AP582" i="41"/>
  <c r="AQ590" i="41"/>
  <c r="AK598" i="41"/>
  <c r="AP598" i="41"/>
  <c r="AN606" i="41"/>
  <c r="AH614" i="41"/>
  <c r="AP614" i="41"/>
  <c r="AG622" i="41"/>
  <c r="AO630" i="41"/>
  <c r="AM630" i="41"/>
  <c r="AJ638" i="41"/>
  <c r="AG646" i="41"/>
  <c r="AO646" i="41"/>
  <c r="AF577" i="41"/>
  <c r="AJ577" i="41"/>
  <c r="AM585" i="41"/>
  <c r="AF593" i="41"/>
  <c r="AJ593" i="41"/>
  <c r="AP601" i="41"/>
  <c r="AF609" i="41"/>
  <c r="AJ609" i="41"/>
  <c r="AO617" i="41"/>
  <c r="AF625" i="41"/>
  <c r="AH625" i="41"/>
  <c r="AF633" i="41"/>
  <c r="AF641" i="41"/>
  <c r="AH641" i="41"/>
  <c r="AN649" i="41"/>
  <c r="AH575" i="41"/>
  <c r="AF583" i="41"/>
  <c r="AJ583" i="41"/>
  <c r="AP591" i="41"/>
  <c r="AF599" i="41"/>
  <c r="AJ599" i="41"/>
  <c r="AH607" i="41"/>
  <c r="AM615" i="41"/>
  <c r="AJ615" i="41"/>
  <c r="AP623" i="41"/>
  <c r="AK631" i="41"/>
  <c r="AH631" i="41"/>
  <c r="AJ639" i="41"/>
  <c r="AK647" i="41"/>
  <c r="AQ647" i="41"/>
  <c r="AK580" i="41"/>
  <c r="AG580" i="41"/>
  <c r="AN588" i="41"/>
  <c r="AJ596" i="41"/>
  <c r="AG596" i="41"/>
  <c r="AN604" i="41"/>
  <c r="AJ612" i="41"/>
  <c r="AG612" i="41"/>
  <c r="AI620" i="41"/>
  <c r="AE628" i="41"/>
  <c r="AQ628" i="41"/>
  <c r="AF636" i="41"/>
  <c r="AG644" i="41"/>
  <c r="AF644" i="41"/>
  <c r="AQ652" i="41"/>
  <c r="AI578" i="41"/>
  <c r="AF578" i="41"/>
  <c r="AM586" i="41"/>
  <c r="AI594" i="41"/>
  <c r="AF594" i="41"/>
  <c r="AQ602" i="41"/>
  <c r="AF610" i="41"/>
  <c r="AJ618" i="41"/>
  <c r="AP626" i="41"/>
  <c r="AO626" i="41"/>
  <c r="AO634" i="41"/>
  <c r="AE642" i="41"/>
  <c r="AI642" i="41"/>
  <c r="AK576" i="41"/>
  <c r="AP576" i="41"/>
  <c r="AF584" i="41"/>
  <c r="AM592" i="41"/>
  <c r="AP592" i="41"/>
  <c r="AN600" i="41"/>
  <c r="AK608" i="41"/>
  <c r="AP608" i="41"/>
  <c r="AF616" i="41"/>
  <c r="AK624" i="41"/>
  <c r="AM624" i="41"/>
  <c r="AP632" i="41"/>
  <c r="AE640" i="41"/>
  <c r="AM640" i="41"/>
  <c r="AI648" i="41"/>
  <c r="AH581" i="41"/>
  <c r="AO589" i="41"/>
  <c r="AK589" i="41"/>
  <c r="AQ597" i="41"/>
  <c r="AO605" i="41"/>
  <c r="AK605" i="41"/>
  <c r="AH613" i="41"/>
  <c r="AP621" i="41"/>
  <c r="AQ621" i="41"/>
  <c r="AI629" i="41"/>
  <c r="AP637" i="41"/>
  <c r="AQ637" i="41"/>
  <c r="AG645" i="41"/>
  <c r="AP579" i="41"/>
  <c r="AF587" i="41"/>
  <c r="AJ587" i="41"/>
  <c r="AH595" i="41"/>
  <c r="AF603" i="41"/>
  <c r="AJ603" i="41"/>
  <c r="AH611" i="41"/>
  <c r="AP619" i="41"/>
  <c r="AH619" i="41"/>
  <c r="AJ627" i="41"/>
  <c r="AI635" i="41"/>
  <c r="AH635" i="41"/>
  <c r="AN643" i="41"/>
  <c r="AK651" i="41"/>
  <c r="AQ651" i="41"/>
  <c r="AE471" i="41"/>
  <c r="AE458" i="41"/>
  <c r="AE445" i="41"/>
  <c r="AE440" i="41"/>
  <c r="AE478" i="41"/>
  <c r="AE413" i="41"/>
  <c r="AE400" i="41"/>
  <c r="AE387" i="41"/>
  <c r="AE425" i="41"/>
  <c r="AE412" i="41"/>
  <c r="AE407" i="41"/>
  <c r="AE360" i="41"/>
  <c r="AE347" i="41"/>
  <c r="AE342" i="41"/>
  <c r="AE380" i="41"/>
  <c r="AE359" i="41"/>
  <c r="AE338" i="41"/>
  <c r="AE329" i="41"/>
  <c r="AE324" i="41"/>
  <c r="AE311" i="41"/>
  <c r="AE298" i="41"/>
  <c r="AE285" i="41"/>
  <c r="AE331" i="41"/>
  <c r="AE269" i="41"/>
  <c r="AE283" i="41"/>
  <c r="AE258" i="41"/>
  <c r="AE268" i="41"/>
  <c r="AE274" i="41"/>
  <c r="AE444" i="41"/>
  <c r="AE474" i="41"/>
  <c r="AE453" i="41"/>
  <c r="AE432" i="41"/>
  <c r="AE462" i="41"/>
  <c r="AE389" i="41"/>
  <c r="AE419" i="41"/>
  <c r="AE398" i="41"/>
  <c r="AE428" i="41"/>
  <c r="AE415" i="41"/>
  <c r="AE352" i="41"/>
  <c r="AE410" i="41"/>
  <c r="AE361" i="41"/>
  <c r="AE348" i="41"/>
  <c r="AE362" i="41"/>
  <c r="AE349" i="41"/>
  <c r="AE332" i="41"/>
  <c r="AE303" i="41"/>
  <c r="AE333" i="41"/>
  <c r="AE312" i="41"/>
  <c r="AE299" i="41"/>
  <c r="AE264" i="41"/>
  <c r="AE270" i="41"/>
  <c r="AE276" i="41"/>
  <c r="AE266" i="41"/>
  <c r="AE436" i="41"/>
  <c r="AE466" i="41"/>
  <c r="AE437" i="41"/>
  <c r="AE475" i="41"/>
  <c r="AE454" i="41"/>
  <c r="AE465" i="41"/>
  <c r="AE411" i="41"/>
  <c r="AE390" i="41"/>
  <c r="AE420" i="41"/>
  <c r="AE399" i="41"/>
  <c r="AE344" i="41"/>
  <c r="AE382" i="41"/>
  <c r="AE353" i="41"/>
  <c r="AE383" i="41"/>
  <c r="AE354" i="41"/>
  <c r="AE341" i="41"/>
  <c r="AE316" i="41"/>
  <c r="AE295" i="41"/>
  <c r="AE325" i="41"/>
  <c r="AE304" i="41"/>
  <c r="AE291" i="41"/>
  <c r="AE256" i="41"/>
  <c r="AE262" i="41"/>
  <c r="AE260" i="41"/>
  <c r="AE479" i="41"/>
  <c r="AE450" i="41"/>
  <c r="AE429" i="41"/>
  <c r="AE467" i="41"/>
  <c r="AE446" i="41"/>
  <c r="AE424" i="41"/>
  <c r="AE403" i="41"/>
  <c r="AE473" i="41"/>
  <c r="AE404" i="41"/>
  <c r="AE391" i="41"/>
  <c r="AE386" i="41"/>
  <c r="AE374" i="41"/>
  <c r="AE345" i="41"/>
  <c r="AE375" i="41"/>
  <c r="AE346" i="41"/>
  <c r="AE321" i="41"/>
  <c r="AE308" i="41"/>
  <c r="AE287" i="41"/>
  <c r="AE317" i="41"/>
  <c r="AE296" i="41"/>
  <c r="AE302" i="41"/>
  <c r="AE286" i="41"/>
  <c r="AE334" i="41"/>
  <c r="AE318" i="41"/>
  <c r="AE463" i="41"/>
  <c r="AE442" i="41"/>
  <c r="AE480" i="41"/>
  <c r="AE459" i="41"/>
  <c r="AE438" i="41"/>
  <c r="AE416" i="41"/>
  <c r="AE395" i="41"/>
  <c r="AE417" i="41"/>
  <c r="AE396" i="41"/>
  <c r="AE426" i="41"/>
  <c r="AE379" i="41"/>
  <c r="AE366" i="41"/>
  <c r="AE337" i="41"/>
  <c r="AE367" i="41"/>
  <c r="AE402" i="41"/>
  <c r="AE313" i="41"/>
  <c r="AE300" i="41"/>
  <c r="AE330" i="41"/>
  <c r="AE309" i="41"/>
  <c r="AE288" i="41"/>
  <c r="AE277" i="41"/>
  <c r="AE275" i="41"/>
  <c r="AE281" i="41"/>
  <c r="AE284" i="41"/>
  <c r="AE476" i="41"/>
  <c r="AE455" i="41"/>
  <c r="AE434" i="41"/>
  <c r="AE472" i="41"/>
  <c r="AE451" i="41"/>
  <c r="AE441" i="41"/>
  <c r="AE408" i="41"/>
  <c r="AE449" i="41"/>
  <c r="AE409" i="41"/>
  <c r="AE388" i="41"/>
  <c r="AE418" i="41"/>
  <c r="AE371" i="41"/>
  <c r="AE358" i="41"/>
  <c r="AE394" i="41"/>
  <c r="AE351" i="41"/>
  <c r="AE381" i="41"/>
  <c r="AE305" i="41"/>
  <c r="AE292" i="41"/>
  <c r="AE322" i="41"/>
  <c r="AE301" i="41"/>
  <c r="AE336" i="41"/>
  <c r="AE261" i="41"/>
  <c r="AE267" i="41"/>
  <c r="AE273" i="41"/>
  <c r="AE279" i="41"/>
  <c r="AE468" i="41"/>
  <c r="AE447" i="41"/>
  <c r="AE477" i="41"/>
  <c r="AE464" i="41"/>
  <c r="AE443" i="41"/>
  <c r="AE421" i="41"/>
  <c r="AE392" i="41"/>
  <c r="AE422" i="41"/>
  <c r="AE401" i="41"/>
  <c r="AE457" i="41"/>
  <c r="AE384" i="41"/>
  <c r="AE363" i="41"/>
  <c r="AE350" i="41"/>
  <c r="AE372" i="41"/>
  <c r="AE343" i="41"/>
  <c r="AE373" i="41"/>
  <c r="AE297" i="41"/>
  <c r="AE335" i="41"/>
  <c r="AE314" i="41"/>
  <c r="AE293" i="41"/>
  <c r="AE323" i="41"/>
  <c r="AE326" i="41"/>
  <c r="AE259" i="41"/>
  <c r="AE265" i="41"/>
  <c r="AE271" i="41"/>
  <c r="AE460" i="41"/>
  <c r="AE439" i="41"/>
  <c r="AE469" i="41"/>
  <c r="AE456" i="41"/>
  <c r="AE435" i="41"/>
  <c r="AE405" i="41"/>
  <c r="AE430" i="41"/>
  <c r="AE414" i="41"/>
  <c r="AE393" i="41"/>
  <c r="AE433" i="41"/>
  <c r="AE376" i="41"/>
  <c r="AE355" i="41"/>
  <c r="AE377" i="41"/>
  <c r="AE364" i="41"/>
  <c r="AE378" i="41"/>
  <c r="AE365" i="41"/>
  <c r="AE289" i="41"/>
  <c r="AE327" i="41"/>
  <c r="AE306" i="41"/>
  <c r="AE328" i="41"/>
  <c r="AE315" i="41"/>
  <c r="AE280" i="41"/>
  <c r="AE310" i="41"/>
  <c r="AE257" i="41"/>
  <c r="AE263" i="41"/>
  <c r="AE452" i="41"/>
  <c r="AE431" i="41"/>
  <c r="AE461" i="41"/>
  <c r="AE448" i="41"/>
  <c r="AE470" i="41"/>
  <c r="AE397" i="41"/>
  <c r="AE427" i="41"/>
  <c r="AE406" i="41"/>
  <c r="AE385" i="41"/>
  <c r="AE423" i="41"/>
  <c r="AE368" i="41"/>
  <c r="AE339" i="41"/>
  <c r="AE369" i="41"/>
  <c r="AE356" i="41"/>
  <c r="AE370" i="41"/>
  <c r="AE357" i="41"/>
  <c r="AE340" i="41"/>
  <c r="AE319" i="41"/>
  <c r="AE290" i="41"/>
  <c r="AE320" i="41"/>
  <c r="AE307" i="41"/>
  <c r="AE272" i="41"/>
  <c r="AE278" i="41"/>
  <c r="AE294" i="41"/>
  <c r="AE282" i="41"/>
  <c r="AK470" i="41"/>
  <c r="AK449" i="41"/>
  <c r="AK436" i="41"/>
  <c r="AK474" i="41"/>
  <c r="AK461" i="41"/>
  <c r="AK456" i="41"/>
  <c r="AK399" i="41"/>
  <c r="AK394" i="41"/>
  <c r="AK424" i="41"/>
  <c r="AK419" i="41"/>
  <c r="AK406" i="41"/>
  <c r="AK385" i="41"/>
  <c r="AK362" i="41"/>
  <c r="AK349" i="41"/>
  <c r="AK379" i="41"/>
  <c r="AK366" i="41"/>
  <c r="AK353" i="41"/>
  <c r="AK340" i="41"/>
  <c r="AK323" i="41"/>
  <c r="AK310" i="41"/>
  <c r="AK297" i="41"/>
  <c r="AK336" i="41"/>
  <c r="AK330" i="41"/>
  <c r="AK317" i="41"/>
  <c r="AK260" i="41"/>
  <c r="AK277" i="41"/>
  <c r="AK283" i="41"/>
  <c r="AK257" i="41"/>
  <c r="AK473" i="41"/>
  <c r="AK452" i="41"/>
  <c r="AK431" i="41"/>
  <c r="AK453" i="41"/>
  <c r="AK440" i="41"/>
  <c r="AK430" i="41"/>
  <c r="AK413" i="41"/>
  <c r="AK384" i="41"/>
  <c r="AK422" i="41"/>
  <c r="AK393" i="41"/>
  <c r="AK354" i="41"/>
  <c r="AK376" i="41"/>
  <c r="AK355" i="41"/>
  <c r="AK388" i="41"/>
  <c r="AK364" i="41"/>
  <c r="AK343" i="41"/>
  <c r="AK318" i="41"/>
  <c r="AK289" i="41"/>
  <c r="AK327" i="41"/>
  <c r="AK306" i="41"/>
  <c r="AK285" i="41"/>
  <c r="AK266" i="41"/>
  <c r="AK256" i="41"/>
  <c r="AK262" i="41"/>
  <c r="AK465" i="41"/>
  <c r="AK444" i="41"/>
  <c r="AK466" i="41"/>
  <c r="AK445" i="41"/>
  <c r="AK432" i="41"/>
  <c r="AK426" i="41"/>
  <c r="AK405" i="41"/>
  <c r="AK443" i="41"/>
  <c r="AK414" i="41"/>
  <c r="AK451" i="41"/>
  <c r="AK346" i="41"/>
  <c r="AK368" i="41"/>
  <c r="AK347" i="41"/>
  <c r="AK377" i="41"/>
  <c r="AK356" i="41"/>
  <c r="AK331" i="41"/>
  <c r="AK302" i="41"/>
  <c r="AK332" i="41"/>
  <c r="AK319" i="41"/>
  <c r="AK298" i="41"/>
  <c r="AK279" i="41"/>
  <c r="AK258" i="41"/>
  <c r="AK304" i="41"/>
  <c r="AK288" i="41"/>
  <c r="AK457" i="41"/>
  <c r="AK479" i="41"/>
  <c r="AK458" i="41"/>
  <c r="AK437" i="41"/>
  <c r="AK475" i="41"/>
  <c r="AK418" i="41"/>
  <c r="AK397" i="41"/>
  <c r="AK427" i="41"/>
  <c r="AK398" i="41"/>
  <c r="AK428" i="41"/>
  <c r="AK338" i="41"/>
  <c r="AK360" i="41"/>
  <c r="AK339" i="41"/>
  <c r="AK369" i="41"/>
  <c r="AK348" i="41"/>
  <c r="AK315" i="41"/>
  <c r="AK294" i="41"/>
  <c r="AK324" i="41"/>
  <c r="AK311" i="41"/>
  <c r="AK290" i="41"/>
  <c r="AK271" i="41"/>
  <c r="AK320" i="41"/>
  <c r="AK275" i="41"/>
  <c r="AK281" i="41"/>
  <c r="AK478" i="41"/>
  <c r="AK441" i="41"/>
  <c r="AK471" i="41"/>
  <c r="AK450" i="41"/>
  <c r="AK429" i="41"/>
  <c r="AK423" i="41"/>
  <c r="AK410" i="41"/>
  <c r="AK389" i="41"/>
  <c r="AK411" i="41"/>
  <c r="AK390" i="41"/>
  <c r="AK420" i="41"/>
  <c r="AK381" i="41"/>
  <c r="AK352" i="41"/>
  <c r="AK382" i="41"/>
  <c r="AK361" i="41"/>
  <c r="AK383" i="41"/>
  <c r="AK307" i="41"/>
  <c r="AK286" i="41"/>
  <c r="AK316" i="41"/>
  <c r="AK303" i="41"/>
  <c r="AK333" i="41"/>
  <c r="AK263" i="41"/>
  <c r="AK269" i="41"/>
  <c r="AK267" i="41"/>
  <c r="AK273" i="41"/>
  <c r="AK462" i="41"/>
  <c r="AK433" i="41"/>
  <c r="AK463" i="41"/>
  <c r="AK442" i="41"/>
  <c r="AK480" i="41"/>
  <c r="AK415" i="41"/>
  <c r="AK402" i="41"/>
  <c r="AK416" i="41"/>
  <c r="AK403" i="41"/>
  <c r="AK425" i="41"/>
  <c r="AK412" i="41"/>
  <c r="AK373" i="41"/>
  <c r="AK344" i="41"/>
  <c r="AK374" i="41"/>
  <c r="AK345" i="41"/>
  <c r="AK375" i="41"/>
  <c r="AK299" i="41"/>
  <c r="AK329" i="41"/>
  <c r="AK308" i="41"/>
  <c r="AK295" i="41"/>
  <c r="AK325" i="41"/>
  <c r="AK296" i="41"/>
  <c r="AK261" i="41"/>
  <c r="AK259" i="41"/>
  <c r="AK265" i="41"/>
  <c r="AK454" i="41"/>
  <c r="AK476" i="41"/>
  <c r="AK455" i="41"/>
  <c r="AK434" i="41"/>
  <c r="AK472" i="41"/>
  <c r="AK407" i="41"/>
  <c r="AK386" i="41"/>
  <c r="AK408" i="41"/>
  <c r="AK395" i="41"/>
  <c r="AK417" i="41"/>
  <c r="AK396" i="41"/>
  <c r="AK365" i="41"/>
  <c r="AK404" i="41"/>
  <c r="AK358" i="41"/>
  <c r="AK337" i="41"/>
  <c r="AK367" i="41"/>
  <c r="AK291" i="41"/>
  <c r="AK321" i="41"/>
  <c r="AK300" i="41"/>
  <c r="AK287" i="41"/>
  <c r="AK309" i="41"/>
  <c r="AK284" i="41"/>
  <c r="AK280" i="41"/>
  <c r="AK328" i="41"/>
  <c r="AK268" i="41"/>
  <c r="AK446" i="41"/>
  <c r="AK468" i="41"/>
  <c r="AK447" i="41"/>
  <c r="AK477" i="41"/>
  <c r="AK464" i="41"/>
  <c r="AK391" i="41"/>
  <c r="AK459" i="41"/>
  <c r="AK400" i="41"/>
  <c r="AK387" i="41"/>
  <c r="AK409" i="41"/>
  <c r="AK378" i="41"/>
  <c r="AK357" i="41"/>
  <c r="AK371" i="41"/>
  <c r="AK350" i="41"/>
  <c r="AK380" i="41"/>
  <c r="AK359" i="41"/>
  <c r="AK334" i="41"/>
  <c r="AK313" i="41"/>
  <c r="AK292" i="41"/>
  <c r="AK322" i="41"/>
  <c r="AK301" i="41"/>
  <c r="AK282" i="41"/>
  <c r="AK272" i="41"/>
  <c r="AK278" i="41"/>
  <c r="AK312" i="41"/>
  <c r="AK438" i="41"/>
  <c r="AK460" i="41"/>
  <c r="AK439" i="41"/>
  <c r="AK469" i="41"/>
  <c r="AK448" i="41"/>
  <c r="AK435" i="41"/>
  <c r="AK421" i="41"/>
  <c r="AK392" i="41"/>
  <c r="AK467" i="41"/>
  <c r="AK401" i="41"/>
  <c r="AK370" i="41"/>
  <c r="AK341" i="41"/>
  <c r="AK363" i="41"/>
  <c r="AK342" i="41"/>
  <c r="AK372" i="41"/>
  <c r="AK351" i="41"/>
  <c r="AK326" i="41"/>
  <c r="AK305" i="41"/>
  <c r="AK335" i="41"/>
  <c r="AK314" i="41"/>
  <c r="AK293" i="41"/>
  <c r="AK274" i="41"/>
  <c r="AK264" i="41"/>
  <c r="AK270" i="41"/>
  <c r="AK276" i="41"/>
  <c r="AQ582" i="41"/>
  <c r="AI590" i="41"/>
  <c r="AF590" i="41"/>
  <c r="AM598" i="41"/>
  <c r="AH606" i="41"/>
  <c r="AF606" i="41"/>
  <c r="AK622" i="41"/>
  <c r="AI622" i="41"/>
  <c r="AE630" i="41"/>
  <c r="AK638" i="41"/>
  <c r="AH638" i="41"/>
  <c r="AJ646" i="41"/>
  <c r="AO577" i="41"/>
  <c r="AK577" i="41"/>
  <c r="AH585" i="41"/>
  <c r="AO593" i="41"/>
  <c r="AK593" i="41"/>
  <c r="AO609" i="41"/>
  <c r="AK609" i="41"/>
  <c r="AE617" i="41"/>
  <c r="AJ625" i="41"/>
  <c r="AQ625" i="41"/>
  <c r="AM633" i="41"/>
  <c r="AG641" i="41"/>
  <c r="AQ641" i="41"/>
  <c r="AG649" i="41"/>
  <c r="AQ575" i="41"/>
  <c r="AO583" i="41"/>
  <c r="AK583" i="41"/>
  <c r="AH591" i="41"/>
  <c r="AO599" i="41"/>
  <c r="AK599" i="41"/>
  <c r="AQ607" i="41"/>
  <c r="AF615" i="41"/>
  <c r="AK615" i="41"/>
  <c r="AF623" i="41"/>
  <c r="AN631" i="41"/>
  <c r="AQ631" i="41"/>
  <c r="AM639" i="41"/>
  <c r="AO647" i="41"/>
  <c r="AJ647" i="41"/>
  <c r="AQ580" i="41"/>
  <c r="AP580" i="41"/>
  <c r="AF588" i="41"/>
  <c r="AK596" i="41"/>
  <c r="AP596" i="41"/>
  <c r="AQ604" i="41"/>
  <c r="AQ612" i="41"/>
  <c r="AP612" i="41"/>
  <c r="AJ620" i="41"/>
  <c r="AP628" i="41"/>
  <c r="AM628" i="41"/>
  <c r="AG636" i="41"/>
  <c r="AO644" i="41"/>
  <c r="AI652" i="41"/>
  <c r="AO578" i="41"/>
  <c r="AE586" i="41"/>
  <c r="AO594" i="41"/>
  <c r="AE602" i="41"/>
  <c r="AI610" i="41"/>
  <c r="AF626" i="41"/>
  <c r="AH626" i="41"/>
  <c r="AF642" i="41"/>
  <c r="AH576" i="41"/>
  <c r="AI584" i="41"/>
  <c r="AI600" i="41"/>
  <c r="AF600" i="41"/>
  <c r="AM608" i="41"/>
  <c r="AI616" i="41"/>
  <c r="AN624" i="41"/>
  <c r="AF632" i="41"/>
  <c r="AF640" i="41"/>
  <c r="AK648" i="41"/>
  <c r="AM581" i="41"/>
  <c r="AQ581" i="41"/>
  <c r="AG589" i="41"/>
  <c r="AM597" i="41"/>
  <c r="AG605" i="41"/>
  <c r="AQ613" i="41"/>
  <c r="AK621" i="41"/>
  <c r="AK629" i="41"/>
  <c r="AF637" i="41"/>
  <c r="AF645" i="41"/>
  <c r="AP645" i="41"/>
  <c r="AH579" i="41"/>
  <c r="AO587" i="41"/>
  <c r="AK587" i="41"/>
  <c r="AQ595" i="41"/>
  <c r="AO603" i="41"/>
  <c r="AK603" i="41"/>
  <c r="AQ611" i="41"/>
  <c r="AF619" i="41"/>
  <c r="AQ619" i="41"/>
  <c r="AO635" i="41"/>
  <c r="AQ635" i="41"/>
  <c r="AO651" i="41"/>
  <c r="AJ651" i="41"/>
  <c r="AM479" i="41"/>
  <c r="AM466" i="41"/>
  <c r="AM453" i="41"/>
  <c r="AM448" i="41"/>
  <c r="AM435" i="41"/>
  <c r="AM421" i="41"/>
  <c r="AM463" i="41"/>
  <c r="AM442" i="41"/>
  <c r="AM480" i="41"/>
  <c r="AM459" i="41"/>
  <c r="AM438" i="41"/>
  <c r="AM408" i="41"/>
  <c r="AM403" i="41"/>
  <c r="AM390" i="41"/>
  <c r="AM457" i="41"/>
  <c r="AM415" i="41"/>
  <c r="AM386" i="41"/>
  <c r="AM379" i="41"/>
  <c r="AM366" i="41"/>
  <c r="AM353" i="41"/>
  <c r="AM383" i="41"/>
  <c r="AM370" i="41"/>
  <c r="AM357" i="41"/>
  <c r="AM297" i="41"/>
  <c r="AM327" i="41"/>
  <c r="AM322" i="41"/>
  <c r="AM309" i="41"/>
  <c r="AM296" i="41"/>
  <c r="AM326" i="41"/>
  <c r="AM256" i="41"/>
  <c r="AM270" i="41"/>
  <c r="AM258" i="41"/>
  <c r="AM302" i="41"/>
  <c r="AM476" i="41"/>
  <c r="AM455" i="41"/>
  <c r="AM434" i="41"/>
  <c r="AM472" i="41"/>
  <c r="AM451" i="41"/>
  <c r="AM465" i="41"/>
  <c r="AM400" i="41"/>
  <c r="AM395" i="41"/>
  <c r="AM433" i="41"/>
  <c r="AM428" i="41"/>
  <c r="AM407" i="41"/>
  <c r="AM376" i="41"/>
  <c r="AM371" i="41"/>
  <c r="AM358" i="41"/>
  <c r="AM345" i="41"/>
  <c r="AM375" i="41"/>
  <c r="AM362" i="41"/>
  <c r="AM349" i="41"/>
  <c r="AM289" i="41"/>
  <c r="AM319" i="41"/>
  <c r="AM314" i="41"/>
  <c r="AM301" i="41"/>
  <c r="AM288" i="41"/>
  <c r="AM277" i="41"/>
  <c r="AM310" i="41"/>
  <c r="AM262" i="41"/>
  <c r="AM318" i="41"/>
  <c r="AM284" i="41"/>
  <c r="AM468" i="41"/>
  <c r="AM447" i="41"/>
  <c r="AM477" i="41"/>
  <c r="AM464" i="41"/>
  <c r="AM443" i="41"/>
  <c r="AM413" i="41"/>
  <c r="AM392" i="41"/>
  <c r="AM387" i="41"/>
  <c r="AM425" i="41"/>
  <c r="AM420" i="41"/>
  <c r="AM399" i="41"/>
  <c r="AM368" i="41"/>
  <c r="AM363" i="41"/>
  <c r="AM350" i="41"/>
  <c r="AM337" i="41"/>
  <c r="AM367" i="41"/>
  <c r="AM354" i="41"/>
  <c r="AM341" i="41"/>
  <c r="AM332" i="41"/>
  <c r="AM311" i="41"/>
  <c r="AM306" i="41"/>
  <c r="AM293" i="41"/>
  <c r="AM331" i="41"/>
  <c r="AM269" i="41"/>
  <c r="AM283" i="41"/>
  <c r="AM266" i="41"/>
  <c r="AM276" i="41"/>
  <c r="AM282" i="41"/>
  <c r="AM460" i="41"/>
  <c r="AM439" i="41"/>
  <c r="AM469" i="41"/>
  <c r="AM456" i="41"/>
  <c r="AM478" i="41"/>
  <c r="AM405" i="41"/>
  <c r="AM384" i="41"/>
  <c r="AM473" i="41"/>
  <c r="AM417" i="41"/>
  <c r="AM412" i="41"/>
  <c r="AM391" i="41"/>
  <c r="AM360" i="41"/>
  <c r="AM355" i="41"/>
  <c r="AM342" i="41"/>
  <c r="AM380" i="41"/>
  <c r="AM359" i="41"/>
  <c r="AM346" i="41"/>
  <c r="AM340" i="41"/>
  <c r="AM324" i="41"/>
  <c r="AM303" i="41"/>
  <c r="AM298" i="41"/>
  <c r="AM285" i="41"/>
  <c r="AM323" i="41"/>
  <c r="AM261" i="41"/>
  <c r="AM275" i="41"/>
  <c r="AM294" i="41"/>
  <c r="AM268" i="41"/>
  <c r="AM274" i="41"/>
  <c r="AM452" i="41"/>
  <c r="AM431" i="41"/>
  <c r="AM461" i="41"/>
  <c r="AM440" i="41"/>
  <c r="AM470" i="41"/>
  <c r="AM397" i="41"/>
  <c r="AM449" i="41"/>
  <c r="AM422" i="41"/>
  <c r="AM409" i="41"/>
  <c r="AM404" i="41"/>
  <c r="AM441" i="41"/>
  <c r="AM352" i="41"/>
  <c r="AM347" i="41"/>
  <c r="AM394" i="41"/>
  <c r="AM372" i="41"/>
  <c r="AM351" i="41"/>
  <c r="AM338" i="41"/>
  <c r="AM329" i="41"/>
  <c r="AM316" i="41"/>
  <c r="AM295" i="41"/>
  <c r="AM290" i="41"/>
  <c r="AM328" i="41"/>
  <c r="AM315" i="41"/>
  <c r="AM286" i="41"/>
  <c r="AM267" i="41"/>
  <c r="AM281" i="41"/>
  <c r="AM260" i="41"/>
  <c r="AM444" i="41"/>
  <c r="AM474" i="41"/>
  <c r="AM445" i="41"/>
  <c r="AM432" i="41"/>
  <c r="AM462" i="41"/>
  <c r="AM389" i="41"/>
  <c r="AM427" i="41"/>
  <c r="AM414" i="41"/>
  <c r="AM401" i="41"/>
  <c r="AM396" i="41"/>
  <c r="AM430" i="41"/>
  <c r="AM344" i="41"/>
  <c r="AM339" i="41"/>
  <c r="AM377" i="41"/>
  <c r="AM364" i="41"/>
  <c r="AM343" i="41"/>
  <c r="AM381" i="41"/>
  <c r="AM321" i="41"/>
  <c r="AM308" i="41"/>
  <c r="AM287" i="41"/>
  <c r="AM333" i="41"/>
  <c r="AM320" i="41"/>
  <c r="AM307" i="41"/>
  <c r="AM280" i="41"/>
  <c r="AM259" i="41"/>
  <c r="AM273" i="41"/>
  <c r="AM279" i="41"/>
  <c r="AM436" i="41"/>
  <c r="AM458" i="41"/>
  <c r="AM437" i="41"/>
  <c r="AM475" i="41"/>
  <c r="AM454" i="41"/>
  <c r="AM424" i="41"/>
  <c r="AM419" i="41"/>
  <c r="AM406" i="41"/>
  <c r="AM393" i="41"/>
  <c r="AM388" i="41"/>
  <c r="AM426" i="41"/>
  <c r="AM336" i="41"/>
  <c r="AM382" i="41"/>
  <c r="AM369" i="41"/>
  <c r="AM356" i="41"/>
  <c r="AM402" i="41"/>
  <c r="AM373" i="41"/>
  <c r="AM313" i="41"/>
  <c r="AM300" i="41"/>
  <c r="AM335" i="41"/>
  <c r="AM325" i="41"/>
  <c r="AM312" i="41"/>
  <c r="AM299" i="41"/>
  <c r="AM272" i="41"/>
  <c r="AM334" i="41"/>
  <c r="AM265" i="41"/>
  <c r="AM271" i="41"/>
  <c r="AM471" i="41"/>
  <c r="AM450" i="41"/>
  <c r="AM429" i="41"/>
  <c r="AM467" i="41"/>
  <c r="AM446" i="41"/>
  <c r="AM416" i="41"/>
  <c r="AM411" i="41"/>
  <c r="AM398" i="41"/>
  <c r="AM385" i="41"/>
  <c r="AM423" i="41"/>
  <c r="AM418" i="41"/>
  <c r="AM410" i="41"/>
  <c r="AM374" i="41"/>
  <c r="AM361" i="41"/>
  <c r="AM348" i="41"/>
  <c r="AM378" i="41"/>
  <c r="AM365" i="41"/>
  <c r="AM305" i="41"/>
  <c r="AM292" i="41"/>
  <c r="AM330" i="41"/>
  <c r="AM317" i="41"/>
  <c r="AM304" i="41"/>
  <c r="AM291" i="41"/>
  <c r="AM264" i="41"/>
  <c r="AM278" i="41"/>
  <c r="AM257" i="41"/>
  <c r="AM263" i="41"/>
  <c r="AE582" i="41"/>
  <c r="AH590" i="41"/>
  <c r="AO590" i="41"/>
  <c r="AE598" i="41"/>
  <c r="AI606" i="41"/>
  <c r="AN622" i="41"/>
  <c r="AH622" i="41"/>
  <c r="AP630" i="41"/>
  <c r="AN638" i="41"/>
  <c r="AQ638" i="41"/>
  <c r="AG577" i="41"/>
  <c r="AE585" i="41"/>
  <c r="AQ585" i="41"/>
  <c r="AG593" i="41"/>
  <c r="AM601" i="41"/>
  <c r="AQ601" i="41"/>
  <c r="AG609" i="41"/>
  <c r="AF617" i="41"/>
  <c r="AP617" i="41"/>
  <c r="AK625" i="41"/>
  <c r="AI633" i="41"/>
  <c r="AE633" i="41"/>
  <c r="AI641" i="41"/>
  <c r="AF649" i="41"/>
  <c r="AE575" i="41"/>
  <c r="AI575" i="41"/>
  <c r="AM583" i="41"/>
  <c r="AM591" i="41"/>
  <c r="AQ591" i="41"/>
  <c r="AG599" i="41"/>
  <c r="AE607" i="41"/>
  <c r="AM607" i="41"/>
  <c r="AO615" i="41"/>
  <c r="AO631" i="41"/>
  <c r="AO639" i="41"/>
  <c r="AE639" i="41"/>
  <c r="AM647" i="41"/>
  <c r="AI588" i="41"/>
  <c r="AO588" i="41"/>
  <c r="AF604" i="41"/>
  <c r="AK612" i="41"/>
  <c r="AK620" i="41"/>
  <c r="AK636" i="41"/>
  <c r="F3" i="54"/>
  <c r="M31" i="40" l="1"/>
  <c r="J31" i="40"/>
  <c r="J58" i="40"/>
  <c r="E115" i="62"/>
  <c r="R5" i="40" l="1"/>
  <c r="R4" i="40"/>
  <c r="Q4" i="40"/>
  <c r="P4" i="40"/>
  <c r="O4" i="40"/>
  <c r="N4" i="40"/>
  <c r="M4" i="40"/>
  <c r="L4" i="40"/>
  <c r="K4" i="40"/>
  <c r="J4" i="40"/>
  <c r="I4" i="40"/>
  <c r="H4" i="40"/>
  <c r="G4" i="40"/>
  <c r="F4" i="40"/>
  <c r="AA1" i="40"/>
  <c r="AA6" i="40" s="1"/>
  <c r="Z1" i="40"/>
  <c r="Y1" i="40"/>
  <c r="Y6" i="40" s="1"/>
  <c r="V1" i="40"/>
  <c r="V6" i="40" s="1"/>
  <c r="G14" i="51" l="1"/>
  <c r="G32" i="51"/>
  <c r="G31" i="51"/>
  <c r="G30" i="51"/>
  <c r="G29" i="51"/>
  <c r="G28" i="51"/>
  <c r="G27" i="51"/>
  <c r="G26" i="51"/>
  <c r="G25" i="51"/>
  <c r="G24" i="51"/>
  <c r="G23" i="51"/>
  <c r="G22" i="51"/>
  <c r="G21" i="51"/>
  <c r="G20" i="51"/>
  <c r="G19" i="51"/>
  <c r="G18" i="51"/>
  <c r="G17" i="51"/>
  <c r="G16" i="51"/>
  <c r="G15" i="51"/>
  <c r="G13" i="51"/>
  <c r="G12" i="51"/>
  <c r="G11" i="51"/>
  <c r="G10" i="51"/>
  <c r="G9" i="51"/>
  <c r="G8" i="51"/>
  <c r="G7" i="51"/>
  <c r="G6" i="51"/>
  <c r="G5" i="51"/>
  <c r="G4" i="51"/>
  <c r="F32" i="51"/>
  <c r="F31" i="51"/>
  <c r="F30" i="51"/>
  <c r="F29" i="51"/>
  <c r="F28" i="51"/>
  <c r="F27" i="51"/>
  <c r="F26" i="51"/>
  <c r="F25" i="51"/>
  <c r="F24" i="51"/>
  <c r="F23" i="51"/>
  <c r="F22" i="51"/>
  <c r="F21" i="51"/>
  <c r="F20" i="51"/>
  <c r="F19" i="51"/>
  <c r="F18" i="51"/>
  <c r="F17" i="51"/>
  <c r="F16" i="51"/>
  <c r="F15" i="51"/>
  <c r="F13" i="51"/>
  <c r="F12" i="51"/>
  <c r="F11" i="51"/>
  <c r="F10" i="51"/>
  <c r="F9" i="51"/>
  <c r="F8" i="51"/>
  <c r="F7" i="51"/>
  <c r="F6" i="51"/>
  <c r="F5" i="51"/>
  <c r="F14" i="51" s="1"/>
  <c r="F4" i="51"/>
  <c r="H24" i="51"/>
  <c r="H5" i="51"/>
  <c r="H6" i="51"/>
  <c r="H10" i="51"/>
  <c r="H12" i="51"/>
  <c r="H13" i="51"/>
  <c r="H15" i="51"/>
  <c r="H16" i="51"/>
  <c r="H18" i="51"/>
  <c r="H20" i="51"/>
  <c r="H21" i="51"/>
  <c r="H22" i="51"/>
  <c r="H23" i="51"/>
  <c r="H26" i="51"/>
  <c r="H28" i="51"/>
  <c r="H29" i="51"/>
  <c r="H30" i="51"/>
  <c r="H31" i="51"/>
  <c r="H32" i="51"/>
  <c r="E22" i="41"/>
  <c r="AB256" i="41" l="1"/>
  <c r="E256" i="41"/>
  <c r="J256" i="41" s="1"/>
  <c r="AW22" i="41"/>
  <c r="I22" i="41"/>
  <c r="H8" i="51"/>
  <c r="H27" i="51"/>
  <c r="H7" i="51"/>
  <c r="H19" i="51"/>
  <c r="H11" i="51"/>
  <c r="H4" i="51"/>
  <c r="H17" i="51"/>
  <c r="H25" i="51"/>
  <c r="H9" i="51"/>
  <c r="H14" i="51"/>
  <c r="W4" i="40" l="1"/>
  <c r="W1" i="40" s="1"/>
  <c r="W6" i="40" s="1"/>
  <c r="B50" i="53" l="1"/>
  <c r="BY4" i="52" l="1"/>
  <c r="BZ4" i="52"/>
  <c r="AZ38" i="52" s="1"/>
  <c r="Q26" i="52"/>
  <c r="AK54" i="40"/>
  <c r="AT40" i="52"/>
  <c r="AT41" i="52"/>
  <c r="AT42" i="52"/>
  <c r="AT43" i="52"/>
  <c r="AT44" i="52"/>
  <c r="AT45" i="52"/>
  <c r="AT46" i="52"/>
  <c r="AT47" i="52"/>
  <c r="AT48" i="52"/>
  <c r="AT49" i="52"/>
  <c r="AT39" i="52"/>
  <c r="AT9" i="52"/>
  <c r="AT10" i="52"/>
  <c r="AT11" i="52"/>
  <c r="AT12" i="52"/>
  <c r="AT13" i="52"/>
  <c r="AT14" i="52"/>
  <c r="AT15" i="52"/>
  <c r="AT16" i="52"/>
  <c r="AT17" i="52"/>
  <c r="AT18" i="52"/>
  <c r="AT19" i="52"/>
  <c r="AT20" i="52"/>
  <c r="AT21" i="52"/>
  <c r="AT22" i="52"/>
  <c r="AT23" i="52"/>
  <c r="AT24" i="52"/>
  <c r="AT25" i="52"/>
  <c r="AT26" i="52"/>
  <c r="AT27" i="52"/>
  <c r="AT28" i="52"/>
  <c r="AT29" i="52"/>
  <c r="AT30" i="52"/>
  <c r="AT31" i="52"/>
  <c r="AT32" i="52"/>
  <c r="AT33" i="52"/>
  <c r="AT34" i="52"/>
  <c r="AT35" i="52"/>
  <c r="AT36" i="52"/>
  <c r="AT8" i="52"/>
  <c r="AT38" i="52"/>
  <c r="B25" i="53"/>
  <c r="B29" i="53"/>
  <c r="A62" i="52"/>
  <c r="A61" i="52"/>
  <c r="A60" i="52"/>
  <c r="A59" i="52"/>
  <c r="A58" i="52"/>
  <c r="A57" i="52"/>
  <c r="A56" i="52"/>
  <c r="A55" i="52"/>
  <c r="A54" i="52"/>
  <c r="A53" i="52"/>
  <c r="A52" i="52"/>
  <c r="A48" i="52"/>
  <c r="A47" i="52"/>
  <c r="A46" i="52"/>
  <c r="A45" i="52"/>
  <c r="A44" i="52"/>
  <c r="A43" i="52"/>
  <c r="A42" i="52"/>
  <c r="A41" i="52"/>
  <c r="A40" i="52"/>
  <c r="A39" i="52"/>
  <c r="A9" i="52"/>
  <c r="A10" i="52"/>
  <c r="B16" i="53" s="1"/>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8" i="52"/>
  <c r="B18" i="53" s="1"/>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127" i="55"/>
  <c r="A128" i="55"/>
  <c r="A129" i="55"/>
  <c r="A101" i="55"/>
  <c r="BG43" i="52"/>
  <c r="BG45" i="52"/>
  <c r="BG46" i="52"/>
  <c r="BG47" i="52"/>
  <c r="BG48" i="52"/>
  <c r="BG49" i="52"/>
  <c r="BG42" i="52"/>
  <c r="BG39" i="52"/>
  <c r="BG38" i="52"/>
  <c r="BG24" i="52"/>
  <c r="BG25" i="52"/>
  <c r="BG26" i="52"/>
  <c r="BG27" i="52"/>
  <c r="BG28" i="52"/>
  <c r="BG29" i="52"/>
  <c r="BG30" i="52"/>
  <c r="BG31" i="52"/>
  <c r="BG32" i="52"/>
  <c r="BG33" i="52"/>
  <c r="BG34" i="52"/>
  <c r="BG35" i="52"/>
  <c r="BG36" i="52"/>
  <c r="BG14" i="52"/>
  <c r="BG15" i="52"/>
  <c r="BG16" i="52"/>
  <c r="BG17" i="52"/>
  <c r="BG18" i="52"/>
  <c r="BG19" i="52"/>
  <c r="BG20" i="52"/>
  <c r="BG21" i="52"/>
  <c r="BG22" i="52"/>
  <c r="BG23" i="52"/>
  <c r="BG12" i="52"/>
  <c r="BG13" i="52"/>
  <c r="BG10" i="52"/>
  <c r="BG11" i="52"/>
  <c r="BG9" i="52"/>
  <c r="BG8" i="52"/>
  <c r="BA26" i="52" l="1"/>
  <c r="B13" i="53"/>
  <c r="B59" i="53"/>
  <c r="B55" i="53"/>
  <c r="B51" i="53"/>
  <c r="B46" i="53"/>
  <c r="B42" i="53"/>
  <c r="B38" i="53"/>
  <c r="B34" i="53"/>
  <c r="B30" i="53"/>
  <c r="B26" i="53"/>
  <c r="B22" i="53"/>
  <c r="B60" i="53"/>
  <c r="B52" i="53"/>
  <c r="B43" i="53"/>
  <c r="B35" i="53"/>
  <c r="B27" i="53"/>
  <c r="B19" i="53"/>
  <c r="B12" i="53"/>
  <c r="B58" i="53"/>
  <c r="B54" i="53"/>
  <c r="B49" i="53"/>
  <c r="B45" i="53"/>
  <c r="B41" i="53"/>
  <c r="B37" i="53"/>
  <c r="B33" i="53"/>
  <c r="B21" i="53"/>
  <c r="B17" i="53"/>
  <c r="BA38" i="52"/>
  <c r="B14" i="53"/>
  <c r="B56" i="53"/>
  <c r="B47" i="53"/>
  <c r="B39" i="53"/>
  <c r="B31" i="53"/>
  <c r="B23" i="53"/>
  <c r="B15" i="53"/>
  <c r="B11" i="53"/>
  <c r="B61" i="53"/>
  <c r="B57" i="53"/>
  <c r="B53" i="53"/>
  <c r="B48" i="53"/>
  <c r="B44" i="53"/>
  <c r="B40" i="53"/>
  <c r="B36" i="53"/>
  <c r="B32" i="53"/>
  <c r="B28" i="53"/>
  <c r="B24" i="53"/>
  <c r="B20" i="53"/>
  <c r="AZ26" i="52"/>
  <c r="G67" i="55" l="1"/>
  <c r="F66" i="55" s="1"/>
  <c r="E100" i="55" s="1"/>
  <c r="F67" i="55"/>
  <c r="AC4" i="52"/>
  <c r="BA2" i="52"/>
  <c r="AZ2" i="52"/>
  <c r="AZ23" i="52" s="1"/>
  <c r="Q23" i="52"/>
  <c r="Q30" i="52"/>
  <c r="AZ40" i="52"/>
  <c r="AZ30" i="52"/>
  <c r="AZ48" i="52" l="1"/>
  <c r="E66" i="55"/>
  <c r="D100" i="55" s="1"/>
  <c r="B100" i="55" l="1"/>
  <c r="BU3" i="52" l="1"/>
  <c r="BA23" i="52" s="1"/>
  <c r="BX3" i="52"/>
  <c r="BV3" i="52"/>
  <c r="H61" i="52"/>
  <c r="BA40" i="52" l="1"/>
  <c r="BA30" i="52"/>
  <c r="BA48" i="52"/>
  <c r="Y53" i="52"/>
  <c r="Z53" i="52"/>
  <c r="C102" i="55" l="1"/>
  <c r="C103" i="55"/>
  <c r="B104" i="55"/>
  <c r="C104" i="55"/>
  <c r="C105" i="55"/>
  <c r="C106" i="55"/>
  <c r="C107" i="55"/>
  <c r="C108" i="55"/>
  <c r="C109" i="55"/>
  <c r="C110" i="55"/>
  <c r="B111" i="55"/>
  <c r="C111" i="55"/>
  <c r="C112" i="55"/>
  <c r="C113" i="55"/>
  <c r="C114" i="55"/>
  <c r="C115" i="55"/>
  <c r="C116" i="55"/>
  <c r="C117" i="55"/>
  <c r="C118" i="55"/>
  <c r="C119" i="55"/>
  <c r="C120" i="55"/>
  <c r="C121" i="55"/>
  <c r="C122" i="55"/>
  <c r="C123" i="55"/>
  <c r="C124" i="55"/>
  <c r="C125" i="55"/>
  <c r="C126" i="55"/>
  <c r="C127" i="55"/>
  <c r="C128" i="55"/>
  <c r="C129" i="55"/>
  <c r="C101" i="55"/>
  <c r="AA6" i="52" l="1"/>
  <c r="B44" i="56" l="1"/>
  <c r="J44" i="56"/>
  <c r="B45" i="56"/>
  <c r="B46" i="56" s="1"/>
  <c r="J45" i="56"/>
  <c r="J46" i="56" s="1"/>
  <c r="B40" i="56" l="1"/>
  <c r="J40" i="56"/>
  <c r="J41" i="56" s="1"/>
  <c r="J42" i="56" s="1"/>
  <c r="J43" i="56" s="1"/>
  <c r="B41" i="56"/>
  <c r="B42" i="56"/>
  <c r="B43" i="56"/>
  <c r="B20" i="56" l="1"/>
  <c r="B21" i="56" s="1"/>
  <c r="B22" i="56" s="1"/>
  <c r="B23" i="56" s="1"/>
  <c r="B24" i="56" s="1"/>
  <c r="B25" i="56" s="1"/>
  <c r="B26" i="56" s="1"/>
  <c r="B27" i="56" s="1"/>
  <c r="B28" i="56" s="1"/>
  <c r="B29" i="56" s="1"/>
  <c r="B30" i="56" s="1"/>
  <c r="B31" i="56" s="1"/>
  <c r="B32" i="56" s="1"/>
  <c r="B33" i="56" s="1"/>
  <c r="B34" i="56" s="1"/>
  <c r="B35" i="56" s="1"/>
  <c r="B36" i="56" s="1"/>
  <c r="B37" i="56" s="1"/>
  <c r="B38" i="56" s="1"/>
  <c r="B39" i="56" s="1"/>
  <c r="J21" i="56"/>
  <c r="J22" i="56"/>
  <c r="J23" i="56" s="1"/>
  <c r="J25" i="56"/>
  <c r="J26" i="56"/>
  <c r="J27" i="56"/>
  <c r="J28" i="56"/>
  <c r="J29" i="56"/>
  <c r="J30" i="56"/>
  <c r="J31" i="56"/>
  <c r="J32" i="56"/>
  <c r="J33" i="56"/>
  <c r="J34" i="56"/>
  <c r="J35" i="56"/>
  <c r="J36" i="56"/>
  <c r="J37" i="56"/>
  <c r="J38" i="56"/>
  <c r="J39" i="56"/>
  <c r="K18" i="25" l="1"/>
  <c r="BH7" i="52" l="1"/>
  <c r="BB7" i="52"/>
  <c r="BN7" i="52"/>
  <c r="B49" i="56"/>
  <c r="AW7" i="52"/>
  <c r="L7" i="53"/>
  <c r="C42" i="11" l="1"/>
  <c r="J14" i="25"/>
  <c r="H33" i="54" l="1"/>
  <c r="S36" i="52"/>
  <c r="AU9" i="52"/>
  <c r="AU10" i="52"/>
  <c r="AU11" i="52"/>
  <c r="AU12" i="52"/>
  <c r="AU13" i="52"/>
  <c r="AU14" i="52"/>
  <c r="AU15" i="52"/>
  <c r="AU16" i="52"/>
  <c r="AU17" i="52"/>
  <c r="AU18" i="52"/>
  <c r="AU19" i="52"/>
  <c r="AU20" i="52"/>
  <c r="AU21" i="52"/>
  <c r="AU22" i="52"/>
  <c r="AU23" i="52"/>
  <c r="AU24" i="52"/>
  <c r="AU25" i="52"/>
  <c r="AU26" i="52"/>
  <c r="AU27" i="52"/>
  <c r="AU28" i="52"/>
  <c r="AU29" i="52"/>
  <c r="AU30" i="52"/>
  <c r="AU31" i="52"/>
  <c r="AU32" i="52"/>
  <c r="AU33" i="52"/>
  <c r="AU34" i="52"/>
  <c r="AU35" i="52"/>
  <c r="AU36" i="52"/>
  <c r="AU8" i="52"/>
  <c r="C29" i="11"/>
  <c r="C4" i="11"/>
  <c r="C3" i="11"/>
  <c r="C5" i="11"/>
  <c r="C6" i="11"/>
  <c r="S51" i="52" s="1"/>
  <c r="C7" i="11"/>
  <c r="C8" i="11"/>
  <c r="S52" i="52" s="1"/>
  <c r="C9" i="11"/>
  <c r="C10" i="11"/>
  <c r="C11" i="11"/>
  <c r="C12" i="11"/>
  <c r="C13" i="11"/>
  <c r="C14" i="11"/>
  <c r="C15" i="11"/>
  <c r="S54" i="52" s="1"/>
  <c r="C16" i="11"/>
  <c r="C17" i="11"/>
  <c r="C18" i="11"/>
  <c r="C19" i="11"/>
  <c r="S55" i="52" s="1"/>
  <c r="C20" i="11"/>
  <c r="C21" i="11"/>
  <c r="C22" i="11"/>
  <c r="S56" i="52" s="1"/>
  <c r="C23" i="11"/>
  <c r="C25" i="11"/>
  <c r="C26" i="11"/>
  <c r="C27" i="11"/>
  <c r="C28" i="11"/>
  <c r="S58" i="52" s="1"/>
  <c r="C30" i="11"/>
  <c r="S59" i="52" s="1"/>
  <c r="C31" i="11"/>
  <c r="C32" i="11"/>
  <c r="S60" i="52" s="1"/>
  <c r="C33" i="11"/>
  <c r="C34" i="11"/>
  <c r="C35" i="11"/>
  <c r="C36" i="11"/>
  <c r="C37" i="11"/>
  <c r="C38" i="11"/>
  <c r="C39" i="11"/>
  <c r="C40" i="11"/>
  <c r="C41" i="11"/>
  <c r="C43" i="11"/>
  <c r="S62" i="52" s="1"/>
  <c r="C45" i="11"/>
  <c r="C46" i="11"/>
  <c r="S53" i="52" s="1"/>
  <c r="C2" i="11"/>
  <c r="AC37" i="52"/>
  <c r="AC38" i="52"/>
  <c r="W9" i="52"/>
  <c r="W10" i="52"/>
  <c r="W11" i="52"/>
  <c r="W12" i="52"/>
  <c r="W13" i="52"/>
  <c r="W14" i="52"/>
  <c r="W15" i="52"/>
  <c r="W16" i="52"/>
  <c r="W17" i="52"/>
  <c r="W18" i="52"/>
  <c r="W19" i="52"/>
  <c r="W20" i="52"/>
  <c r="W21" i="52"/>
  <c r="W22" i="52"/>
  <c r="W23" i="52"/>
  <c r="W24" i="52"/>
  <c r="W25" i="52"/>
  <c r="W26" i="52"/>
  <c r="W27" i="52"/>
  <c r="W28" i="52"/>
  <c r="W29" i="52"/>
  <c r="W30" i="52"/>
  <c r="W31" i="52"/>
  <c r="W32" i="52"/>
  <c r="W33" i="52"/>
  <c r="W34" i="52"/>
  <c r="W35" i="52"/>
  <c r="W36" i="52"/>
  <c r="W8" i="52"/>
  <c r="C33" i="54" l="1"/>
  <c r="C32" i="55" s="1"/>
  <c r="H29" i="54"/>
  <c r="S32" i="52"/>
  <c r="BF40" i="52"/>
  <c r="T53" i="52"/>
  <c r="H27" i="54"/>
  <c r="G27" i="54" s="1"/>
  <c r="S30" i="52"/>
  <c r="H17" i="54"/>
  <c r="S20" i="52"/>
  <c r="H11" i="54"/>
  <c r="S14" i="52"/>
  <c r="H12" i="54"/>
  <c r="S15" i="52"/>
  <c r="H7" i="54"/>
  <c r="S10" i="52"/>
  <c r="S61" i="52"/>
  <c r="J56" i="39"/>
  <c r="H26" i="54"/>
  <c r="S29" i="52"/>
  <c r="H22" i="54"/>
  <c r="S25" i="52"/>
  <c r="H16" i="54"/>
  <c r="S19" i="52"/>
  <c r="H10" i="54"/>
  <c r="S13" i="52"/>
  <c r="H25" i="54"/>
  <c r="S28" i="52"/>
  <c r="H21" i="54"/>
  <c r="S24" i="52"/>
  <c r="H15" i="54"/>
  <c r="S18" i="52"/>
  <c r="H32" i="54"/>
  <c r="S35" i="52"/>
  <c r="H24" i="54"/>
  <c r="S27" i="52"/>
  <c r="H20" i="54"/>
  <c r="S23" i="52"/>
  <c r="H9" i="54"/>
  <c r="S12" i="52"/>
  <c r="H31" i="54"/>
  <c r="S34" i="52"/>
  <c r="H14" i="54"/>
  <c r="S17" i="52"/>
  <c r="H30" i="54"/>
  <c r="S33" i="52"/>
  <c r="H23" i="54"/>
  <c r="S26" i="52"/>
  <c r="H19" i="54"/>
  <c r="S22" i="52"/>
  <c r="H8" i="54"/>
  <c r="S11" i="52"/>
  <c r="H18" i="54"/>
  <c r="S21" i="52"/>
  <c r="H13" i="54"/>
  <c r="S16" i="52"/>
  <c r="H6" i="54"/>
  <c r="S9" i="52"/>
  <c r="H5" i="54"/>
  <c r="G5" i="54" s="1"/>
  <c r="C5" i="54" s="1"/>
  <c r="S8" i="52"/>
  <c r="H28" i="54"/>
  <c r="S31" i="52"/>
  <c r="AP3" i="40"/>
  <c r="Q5" i="40"/>
  <c r="F17" i="25"/>
  <c r="G17" i="25"/>
  <c r="I17" i="25"/>
  <c r="I16" i="25"/>
  <c r="I15" i="25"/>
  <c r="AC49" i="52"/>
  <c r="AC50" i="52"/>
  <c r="N9" i="53"/>
  <c r="M9" i="53"/>
  <c r="K60" i="53"/>
  <c r="I12" i="53"/>
  <c r="I13" i="53"/>
  <c r="I14" i="53"/>
  <c r="I15" i="53"/>
  <c r="I16" i="53"/>
  <c r="I17" i="53"/>
  <c r="I18" i="53"/>
  <c r="I19" i="53"/>
  <c r="I20" i="53"/>
  <c r="I11" i="53"/>
  <c r="M33" i="54" l="1"/>
  <c r="G28" i="54"/>
  <c r="C28" i="54" s="1"/>
  <c r="C27" i="55" s="1"/>
  <c r="C59" i="55" s="1"/>
  <c r="G6" i="54"/>
  <c r="C6" i="54" s="1"/>
  <c r="C5" i="55" s="1"/>
  <c r="G18" i="54"/>
  <c r="C18" i="54" s="1"/>
  <c r="C17" i="55" s="1"/>
  <c r="C49" i="55" s="1"/>
  <c r="G19" i="54"/>
  <c r="C19" i="54" s="1"/>
  <c r="C18" i="55" s="1"/>
  <c r="G30" i="54"/>
  <c r="C30" i="54" s="1"/>
  <c r="C29" i="55" s="1"/>
  <c r="C61" i="55" s="1"/>
  <c r="G31" i="54"/>
  <c r="C31" i="54" s="1"/>
  <c r="C30" i="55" s="1"/>
  <c r="G20" i="54"/>
  <c r="C20" i="54" s="1"/>
  <c r="C19" i="55" s="1"/>
  <c r="C51" i="55" s="1"/>
  <c r="G32" i="54"/>
  <c r="C32" i="54" s="1"/>
  <c r="C31" i="55" s="1"/>
  <c r="C63" i="55" s="1"/>
  <c r="G21" i="54"/>
  <c r="C21" i="54" s="1"/>
  <c r="C20" i="55" s="1"/>
  <c r="G10" i="54"/>
  <c r="C10" i="54" s="1"/>
  <c r="C9" i="55" s="1"/>
  <c r="G22" i="54"/>
  <c r="C22" i="54" s="1"/>
  <c r="M22" i="54" s="1"/>
  <c r="G12" i="54"/>
  <c r="C12" i="54" s="1"/>
  <c r="C11" i="55" s="1"/>
  <c r="G17" i="54"/>
  <c r="C17" i="54" s="1"/>
  <c r="C16" i="55" s="1"/>
  <c r="C48" i="55" s="1"/>
  <c r="G13" i="54"/>
  <c r="C13" i="54" s="1"/>
  <c r="M13" i="54" s="1"/>
  <c r="G8" i="54"/>
  <c r="C8" i="54" s="1"/>
  <c r="M8" i="54" s="1"/>
  <c r="G23" i="54"/>
  <c r="C23" i="54" s="1"/>
  <c r="M23" i="54" s="1"/>
  <c r="G14" i="54"/>
  <c r="C14" i="54" s="1"/>
  <c r="M14" i="54" s="1"/>
  <c r="G9" i="54"/>
  <c r="C9" i="54" s="1"/>
  <c r="M9" i="54" s="1"/>
  <c r="G24" i="54"/>
  <c r="C24" i="54" s="1"/>
  <c r="M24" i="54" s="1"/>
  <c r="G15" i="54"/>
  <c r="C15" i="54" s="1"/>
  <c r="M15" i="54" s="1"/>
  <c r="G25" i="54"/>
  <c r="C25" i="54" s="1"/>
  <c r="M25" i="54" s="1"/>
  <c r="G16" i="54"/>
  <c r="C16" i="54" s="1"/>
  <c r="M16" i="54" s="1"/>
  <c r="G26" i="54"/>
  <c r="C26" i="54" s="1"/>
  <c r="M26" i="54" s="1"/>
  <c r="C7" i="54"/>
  <c r="M7" i="54" s="1"/>
  <c r="G11" i="54"/>
  <c r="C11" i="54" s="1"/>
  <c r="M11" i="54" s="1"/>
  <c r="C27" i="54"/>
  <c r="M27" i="54" s="1"/>
  <c r="G29" i="54"/>
  <c r="C29" i="54" s="1"/>
  <c r="M29" i="54" s="1"/>
  <c r="M5" i="54"/>
  <c r="H4" i="54"/>
  <c r="J4" i="54" s="1"/>
  <c r="E35" i="55"/>
  <c r="E33" i="55" s="1"/>
  <c r="E3" i="55"/>
  <c r="E1" i="55" s="1"/>
  <c r="B129" i="55"/>
  <c r="B128" i="55"/>
  <c r="B127" i="55"/>
  <c r="B126" i="55"/>
  <c r="B125" i="55"/>
  <c r="B124" i="55"/>
  <c r="B123" i="55"/>
  <c r="B122" i="55"/>
  <c r="B121" i="55"/>
  <c r="B120" i="55"/>
  <c r="B119" i="55"/>
  <c r="B118" i="55"/>
  <c r="B117" i="55"/>
  <c r="B116" i="55"/>
  <c r="B115" i="55"/>
  <c r="B114" i="55"/>
  <c r="B113" i="55"/>
  <c r="B112" i="55"/>
  <c r="B110" i="55"/>
  <c r="B109" i="55"/>
  <c r="B108" i="55"/>
  <c r="B107" i="55"/>
  <c r="B106" i="55"/>
  <c r="B105" i="55"/>
  <c r="B103" i="55"/>
  <c r="B102" i="55"/>
  <c r="B101" i="55"/>
  <c r="D68" i="55"/>
  <c r="C68" i="55"/>
  <c r="Z63" i="55"/>
  <c r="Y63" i="55"/>
  <c r="Z62" i="55"/>
  <c r="Y62" i="55"/>
  <c r="Z61" i="55"/>
  <c r="Y61" i="55"/>
  <c r="Z60" i="55"/>
  <c r="Y60" i="55"/>
  <c r="Z59" i="55"/>
  <c r="Y59" i="55"/>
  <c r="Z58" i="55"/>
  <c r="Y58" i="55"/>
  <c r="Z57" i="55"/>
  <c r="Y57" i="55"/>
  <c r="Z56" i="55"/>
  <c r="Y56" i="55"/>
  <c r="Z55" i="55"/>
  <c r="Y55" i="55"/>
  <c r="Z54" i="55"/>
  <c r="Y54" i="55"/>
  <c r="Z53" i="55"/>
  <c r="Y53" i="55"/>
  <c r="Z52" i="55"/>
  <c r="Y52" i="55"/>
  <c r="Z51" i="55"/>
  <c r="Y51" i="55"/>
  <c r="Z50" i="55"/>
  <c r="Y50" i="55"/>
  <c r="Z49" i="55"/>
  <c r="Y49" i="55"/>
  <c r="Z48" i="55"/>
  <c r="Y48" i="55"/>
  <c r="Z47" i="55"/>
  <c r="Y47" i="55"/>
  <c r="Z46" i="55"/>
  <c r="Y46" i="55"/>
  <c r="Z44" i="55"/>
  <c r="Y44" i="55"/>
  <c r="Z43" i="55"/>
  <c r="Y43" i="55"/>
  <c r="Z42" i="55"/>
  <c r="Y42" i="55"/>
  <c r="Z41" i="55"/>
  <c r="Y41" i="55"/>
  <c r="Z40" i="55"/>
  <c r="Y40" i="55"/>
  <c r="Z39" i="55"/>
  <c r="Y39" i="55"/>
  <c r="Z38" i="55"/>
  <c r="Y38" i="55"/>
  <c r="Z37" i="55"/>
  <c r="Y37" i="55"/>
  <c r="Z36" i="55"/>
  <c r="Z45" i="55" s="1"/>
  <c r="Y36" i="55"/>
  <c r="Y45" i="55" s="1"/>
  <c r="I35" i="55"/>
  <c r="Z35" i="55"/>
  <c r="Y35" i="55"/>
  <c r="D35" i="55"/>
  <c r="C35" i="55"/>
  <c r="C64" i="55"/>
  <c r="B64" i="55"/>
  <c r="B63" i="55"/>
  <c r="B62" i="55"/>
  <c r="B61" i="55"/>
  <c r="B60" i="55"/>
  <c r="B59" i="55"/>
  <c r="B58" i="55"/>
  <c r="B57" i="55"/>
  <c r="B56" i="55"/>
  <c r="B55" i="55"/>
  <c r="B54" i="55"/>
  <c r="B53" i="55"/>
  <c r="B52" i="55"/>
  <c r="B51" i="55"/>
  <c r="B50" i="55"/>
  <c r="B49" i="55"/>
  <c r="B48" i="55"/>
  <c r="B47" i="55"/>
  <c r="B45" i="55"/>
  <c r="B44" i="55"/>
  <c r="B43" i="55"/>
  <c r="B42" i="55"/>
  <c r="B41" i="55"/>
  <c r="B40" i="55"/>
  <c r="B38" i="55"/>
  <c r="B37" i="55"/>
  <c r="B36" i="55"/>
  <c r="D1" i="55"/>
  <c r="N3" i="54"/>
  <c r="O3" i="54"/>
  <c r="AR62" i="52"/>
  <c r="AR61" i="52"/>
  <c r="AY47" i="52"/>
  <c r="BE47" i="52" s="1"/>
  <c r="BK47" i="52" s="1"/>
  <c r="AR60" i="52"/>
  <c r="AY46" i="52"/>
  <c r="BE46" i="52" s="1"/>
  <c r="BK46" i="52" s="1"/>
  <c r="AR59" i="52"/>
  <c r="AR58" i="52"/>
  <c r="AY44" i="52"/>
  <c r="BE44" i="52" s="1"/>
  <c r="BK44" i="52" s="1"/>
  <c r="AR57" i="52"/>
  <c r="AY43" i="52"/>
  <c r="BE43" i="52" s="1"/>
  <c r="BK43" i="52" s="1"/>
  <c r="AR56" i="52"/>
  <c r="AY42" i="52"/>
  <c r="BE42" i="52" s="1"/>
  <c r="BK42" i="52" s="1"/>
  <c r="AR55" i="52"/>
  <c r="AY41" i="52"/>
  <c r="BE41" i="52" s="1"/>
  <c r="BK41" i="52" s="1"/>
  <c r="AR54" i="52"/>
  <c r="AY40" i="52"/>
  <c r="BE40" i="52" s="1"/>
  <c r="BK40" i="52" s="1"/>
  <c r="AR53" i="52"/>
  <c r="AR52" i="52"/>
  <c r="AR51" i="52"/>
  <c r="AR50" i="52"/>
  <c r="AY49" i="52"/>
  <c r="BE49" i="52" s="1"/>
  <c r="BK49" i="52" s="1"/>
  <c r="AR49" i="52"/>
  <c r="AY48" i="52"/>
  <c r="BE48" i="52" s="1"/>
  <c r="BK48" i="52" s="1"/>
  <c r="AR48" i="52"/>
  <c r="AR47" i="52"/>
  <c r="AR46" i="52"/>
  <c r="AY45" i="52"/>
  <c r="BE45" i="52" s="1"/>
  <c r="BK45" i="52" s="1"/>
  <c r="AR45" i="52"/>
  <c r="AR44" i="52"/>
  <c r="AR43" i="52"/>
  <c r="AR42" i="52"/>
  <c r="AR41" i="52"/>
  <c r="AR40" i="52"/>
  <c r="AY39" i="52"/>
  <c r="BE39" i="52" s="1"/>
  <c r="BK39" i="52" s="1"/>
  <c r="AR39" i="52"/>
  <c r="AY38" i="52"/>
  <c r="BE38" i="52" s="1"/>
  <c r="BK38" i="52" s="1"/>
  <c r="AR38" i="52"/>
  <c r="AR37" i="52"/>
  <c r="AY36" i="52"/>
  <c r="BE36" i="52" s="1"/>
  <c r="BK36" i="52" s="1"/>
  <c r="AR36" i="52"/>
  <c r="AY35" i="52"/>
  <c r="BE35" i="52" s="1"/>
  <c r="BK35" i="52" s="1"/>
  <c r="AR35" i="52"/>
  <c r="AY34" i="52"/>
  <c r="BE34" i="52" s="1"/>
  <c r="BK34" i="52" s="1"/>
  <c r="AR34" i="52"/>
  <c r="AY33" i="52"/>
  <c r="BE33" i="52" s="1"/>
  <c r="BK33" i="52" s="1"/>
  <c r="AR33" i="52"/>
  <c r="AY32" i="52"/>
  <c r="BE32" i="52" s="1"/>
  <c r="BK32" i="52" s="1"/>
  <c r="AR32" i="52"/>
  <c r="AY31" i="52"/>
  <c r="BE31" i="52" s="1"/>
  <c r="BK31" i="52" s="1"/>
  <c r="AR31" i="52"/>
  <c r="AY30" i="52"/>
  <c r="BE30" i="52" s="1"/>
  <c r="BK30" i="52" s="1"/>
  <c r="AR30" i="52"/>
  <c r="AY29" i="52"/>
  <c r="BE29" i="52" s="1"/>
  <c r="BK29" i="52" s="1"/>
  <c r="AR29" i="52"/>
  <c r="AY28" i="52"/>
  <c r="BE28" i="52" s="1"/>
  <c r="BK28" i="52" s="1"/>
  <c r="AR28" i="52"/>
  <c r="AY27" i="52"/>
  <c r="BE27" i="52" s="1"/>
  <c r="BK27" i="52" s="1"/>
  <c r="AR27" i="52"/>
  <c r="AY26" i="52"/>
  <c r="BE26" i="52" s="1"/>
  <c r="BK26" i="52" s="1"/>
  <c r="AR26" i="52"/>
  <c r="AY25" i="52"/>
  <c r="BE25" i="52" s="1"/>
  <c r="BK25" i="52" s="1"/>
  <c r="AR25" i="52"/>
  <c r="AY24" i="52"/>
  <c r="BE24" i="52" s="1"/>
  <c r="BK24" i="52" s="1"/>
  <c r="AR24" i="52"/>
  <c r="AY23" i="52"/>
  <c r="BE23" i="52" s="1"/>
  <c r="BK23" i="52" s="1"/>
  <c r="AR23" i="52"/>
  <c r="AY22" i="52"/>
  <c r="BE22" i="52" s="1"/>
  <c r="BK22" i="52" s="1"/>
  <c r="AR22" i="52"/>
  <c r="AY21" i="52"/>
  <c r="BE21" i="52" s="1"/>
  <c r="BK21" i="52" s="1"/>
  <c r="AR21" i="52"/>
  <c r="AY20" i="52"/>
  <c r="BE20" i="52" s="1"/>
  <c r="BK20" i="52" s="1"/>
  <c r="AR20" i="52"/>
  <c r="AY19" i="52"/>
  <c r="BE19" i="52" s="1"/>
  <c r="BK19" i="52" s="1"/>
  <c r="AR19" i="52"/>
  <c r="AY18" i="52"/>
  <c r="BE18" i="52" s="1"/>
  <c r="BK18" i="52" s="1"/>
  <c r="AR18" i="52"/>
  <c r="AY17" i="52"/>
  <c r="BE17" i="52" s="1"/>
  <c r="BK17" i="52" s="1"/>
  <c r="AR17" i="52"/>
  <c r="AY16" i="52"/>
  <c r="BE16" i="52" s="1"/>
  <c r="BK16" i="52" s="1"/>
  <c r="AR16" i="52"/>
  <c r="AY15" i="52"/>
  <c r="BE15" i="52" s="1"/>
  <c r="BK15" i="52" s="1"/>
  <c r="AR15" i="52"/>
  <c r="AY14" i="52"/>
  <c r="BE14" i="52" s="1"/>
  <c r="BK14" i="52" s="1"/>
  <c r="AR14" i="52"/>
  <c r="AY13" i="52"/>
  <c r="BE13" i="52" s="1"/>
  <c r="BK13" i="52" s="1"/>
  <c r="AR13" i="52"/>
  <c r="AY12" i="52"/>
  <c r="BE12" i="52" s="1"/>
  <c r="BK12" i="52" s="1"/>
  <c r="AR12" i="52"/>
  <c r="AY11" i="52"/>
  <c r="BE11" i="52" s="1"/>
  <c r="BK11" i="52" s="1"/>
  <c r="AR11" i="52"/>
  <c r="AY10" i="52"/>
  <c r="BE10" i="52" s="1"/>
  <c r="BK10" i="52" s="1"/>
  <c r="AR10" i="52"/>
  <c r="AY9" i="52"/>
  <c r="BE9" i="52" s="1"/>
  <c r="BK9" i="52" s="1"/>
  <c r="AR9" i="52"/>
  <c r="AY8" i="52"/>
  <c r="BE8" i="52" s="1"/>
  <c r="BK8" i="52" s="1"/>
  <c r="AR8" i="52"/>
  <c r="AR7" i="52"/>
  <c r="X36" i="52"/>
  <c r="Y36" i="52" s="1"/>
  <c r="X35" i="52"/>
  <c r="Y35" i="52" s="1"/>
  <c r="X34" i="52"/>
  <c r="Y34" i="52" s="1"/>
  <c r="X33" i="52"/>
  <c r="Y33" i="52" s="1"/>
  <c r="X32" i="52"/>
  <c r="Y32" i="52" s="1"/>
  <c r="X31" i="52"/>
  <c r="Y31" i="52" s="1"/>
  <c r="X30" i="52"/>
  <c r="Y30" i="52" s="1"/>
  <c r="X29" i="52"/>
  <c r="Y29" i="52" s="1"/>
  <c r="X28" i="52"/>
  <c r="Y28" i="52" s="1"/>
  <c r="X27" i="52"/>
  <c r="Y27" i="52" s="1"/>
  <c r="X26" i="52"/>
  <c r="Y26" i="52" s="1"/>
  <c r="X25" i="52"/>
  <c r="Y25" i="52" s="1"/>
  <c r="X24" i="52"/>
  <c r="Y24" i="52" s="1"/>
  <c r="X23" i="52"/>
  <c r="Y23" i="52" s="1"/>
  <c r="X22" i="52"/>
  <c r="Y22" i="52" s="1"/>
  <c r="X21" i="52"/>
  <c r="Y21" i="52" s="1"/>
  <c r="X20" i="52"/>
  <c r="Y20" i="52" s="1"/>
  <c r="X19" i="52"/>
  <c r="Y19" i="52" s="1"/>
  <c r="X17" i="52"/>
  <c r="Y17" i="52" s="1"/>
  <c r="X16" i="52"/>
  <c r="Y16" i="52" s="1"/>
  <c r="X15" i="52"/>
  <c r="Y15" i="52" s="1"/>
  <c r="X14" i="52"/>
  <c r="Y14" i="52" s="1"/>
  <c r="X13" i="52"/>
  <c r="Y13" i="52" s="1"/>
  <c r="X12" i="52"/>
  <c r="Y12" i="52" s="1"/>
  <c r="X11" i="52"/>
  <c r="Y11" i="52" s="1"/>
  <c r="X10" i="52"/>
  <c r="Y10" i="52" s="1"/>
  <c r="X9" i="52"/>
  <c r="Y9" i="52" s="1"/>
  <c r="X8" i="52"/>
  <c r="Y8" i="52" s="1"/>
  <c r="M30" i="54" l="1"/>
  <c r="C12" i="55"/>
  <c r="C44" i="55" s="1"/>
  <c r="M28" i="54"/>
  <c r="M21" i="54"/>
  <c r="C8" i="55"/>
  <c r="C40" i="55" s="1"/>
  <c r="M10" i="54"/>
  <c r="M6" i="54"/>
  <c r="M31" i="54"/>
  <c r="M17" i="54"/>
  <c r="M32" i="54"/>
  <c r="M19" i="54"/>
  <c r="M12" i="54"/>
  <c r="C25" i="55"/>
  <c r="C57" i="55" s="1"/>
  <c r="M18" i="54"/>
  <c r="M20" i="54"/>
  <c r="C23" i="55"/>
  <c r="C55" i="55" s="1"/>
  <c r="C21" i="55"/>
  <c r="C53" i="55" s="1"/>
  <c r="C7" i="55"/>
  <c r="C39" i="55" s="1"/>
  <c r="C26" i="55"/>
  <c r="C58" i="55" s="1"/>
  <c r="C15" i="55"/>
  <c r="C47" i="55" s="1"/>
  <c r="C28" i="55"/>
  <c r="C60" i="55" s="1"/>
  <c r="C10" i="55"/>
  <c r="C42" i="55" s="1"/>
  <c r="C13" i="55"/>
  <c r="C45" i="55" s="1"/>
  <c r="C6" i="55"/>
  <c r="C38" i="55" s="1"/>
  <c r="C22" i="55"/>
  <c r="C54" i="55" s="1"/>
  <c r="C24" i="55"/>
  <c r="C56" i="55" s="1"/>
  <c r="C14" i="55"/>
  <c r="C46" i="55" s="1"/>
  <c r="C4" i="55"/>
  <c r="C36" i="55" s="1"/>
  <c r="Z34" i="52"/>
  <c r="Z10" i="52"/>
  <c r="Z14" i="52"/>
  <c r="Z21" i="52"/>
  <c r="Z25" i="52"/>
  <c r="Z29" i="52"/>
  <c r="Z33" i="52"/>
  <c r="Z17" i="52"/>
  <c r="Z20" i="52"/>
  <c r="Z24" i="52"/>
  <c r="Z28" i="52"/>
  <c r="Z32" i="52"/>
  <c r="Z36" i="52"/>
  <c r="Z8" i="52"/>
  <c r="Z12" i="52"/>
  <c r="Z16" i="52"/>
  <c r="Z19" i="52"/>
  <c r="Z23" i="52"/>
  <c r="Z27" i="52"/>
  <c r="Z31" i="52"/>
  <c r="Z35" i="52"/>
  <c r="C5" i="56"/>
  <c r="X18" i="52"/>
  <c r="Y18" i="52" s="1"/>
  <c r="C43" i="55"/>
  <c r="Z9" i="52"/>
  <c r="Z13" i="52"/>
  <c r="C62" i="55"/>
  <c r="C41" i="55"/>
  <c r="C52" i="55"/>
  <c r="Z11" i="52"/>
  <c r="Z15" i="52"/>
  <c r="Z22" i="52"/>
  <c r="Z26" i="52"/>
  <c r="Z30" i="52"/>
  <c r="C50" i="55"/>
  <c r="C37" i="55"/>
  <c r="F1" i="55"/>
  <c r="F33" i="55"/>
  <c r="Z18" i="52" l="1"/>
  <c r="AE6" i="41"/>
  <c r="AI58" i="40" l="1"/>
  <c r="F12" i="11" l="1"/>
  <c r="S48" i="52" s="1"/>
  <c r="F4" i="11"/>
  <c r="S41" i="52" s="1"/>
  <c r="F9" i="11"/>
  <c r="S46" i="52" s="1"/>
  <c r="F14" i="11"/>
  <c r="B48" i="11"/>
  <c r="E246" i="41"/>
  <c r="E245" i="41"/>
  <c r="E244" i="41"/>
  <c r="E243" i="41"/>
  <c r="E242" i="41"/>
  <c r="E241" i="41"/>
  <c r="E240" i="41"/>
  <c r="E239" i="41"/>
  <c r="E238" i="41"/>
  <c r="E237" i="41"/>
  <c r="E236" i="41"/>
  <c r="E235" i="41"/>
  <c r="E234" i="41"/>
  <c r="E233" i="41"/>
  <c r="E232" i="41"/>
  <c r="E231" i="41"/>
  <c r="E230" i="41"/>
  <c r="E229" i="41"/>
  <c r="E228" i="41"/>
  <c r="E227" i="41"/>
  <c r="E226" i="41"/>
  <c r="E225" i="41"/>
  <c r="E224" i="41"/>
  <c r="E223" i="41"/>
  <c r="E222" i="41"/>
  <c r="E221" i="41"/>
  <c r="E220" i="41"/>
  <c r="E219" i="41"/>
  <c r="E218" i="41"/>
  <c r="E217" i="41"/>
  <c r="E216" i="41"/>
  <c r="E215" i="41"/>
  <c r="E214" i="41"/>
  <c r="E213" i="41"/>
  <c r="E212" i="41"/>
  <c r="E211" i="41"/>
  <c r="E210" i="41"/>
  <c r="E209" i="41"/>
  <c r="E208" i="41"/>
  <c r="E207" i="41"/>
  <c r="E206" i="41"/>
  <c r="E205" i="41"/>
  <c r="E204" i="41"/>
  <c r="E203" i="41"/>
  <c r="E202" i="41"/>
  <c r="E201" i="41"/>
  <c r="E200" i="41"/>
  <c r="E199" i="41"/>
  <c r="E198" i="41"/>
  <c r="E197" i="41"/>
  <c r="E196" i="41"/>
  <c r="E195" i="41"/>
  <c r="E194" i="41"/>
  <c r="E193" i="41"/>
  <c r="E192" i="41"/>
  <c r="E191" i="41"/>
  <c r="E190" i="41"/>
  <c r="E189" i="41"/>
  <c r="E188" i="41"/>
  <c r="E187" i="41"/>
  <c r="E186" i="41"/>
  <c r="E185" i="41"/>
  <c r="E184" i="41"/>
  <c r="E183" i="41"/>
  <c r="E182" i="41"/>
  <c r="E181" i="41"/>
  <c r="E180" i="41"/>
  <c r="E179" i="41"/>
  <c r="E178" i="41"/>
  <c r="E177" i="41"/>
  <c r="E176" i="41"/>
  <c r="E175" i="41"/>
  <c r="E174" i="41"/>
  <c r="E173" i="41"/>
  <c r="E172" i="41"/>
  <c r="E171" i="41"/>
  <c r="E170" i="41"/>
  <c r="E169" i="41"/>
  <c r="E16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AW117" i="41" s="1"/>
  <c r="E116" i="41"/>
  <c r="E115" i="41"/>
  <c r="E114" i="41"/>
  <c r="E113" i="41"/>
  <c r="E112" i="41"/>
  <c r="E111" i="41"/>
  <c r="E110" i="41"/>
  <c r="E109" i="41"/>
  <c r="E108" i="41"/>
  <c r="E107" i="41"/>
  <c r="E106" i="41"/>
  <c r="E105" i="41"/>
  <c r="E104" i="41"/>
  <c r="E103" i="41"/>
  <c r="E102" i="41"/>
  <c r="E101" i="41"/>
  <c r="E100" i="41"/>
  <c r="E99" i="41"/>
  <c r="E98" i="41"/>
  <c r="E97" i="41"/>
  <c r="E96" i="41"/>
  <c r="E95" i="41"/>
  <c r="E94" i="41"/>
  <c r="E93" i="41"/>
  <c r="E92" i="41"/>
  <c r="E91" i="41"/>
  <c r="E90" i="41"/>
  <c r="E89" i="41"/>
  <c r="E88" i="41"/>
  <c r="E87" i="41"/>
  <c r="E86" i="41"/>
  <c r="E85" i="41"/>
  <c r="E84" i="41"/>
  <c r="E83" i="41"/>
  <c r="E82" i="41"/>
  <c r="E81" i="41"/>
  <c r="E80" i="41"/>
  <c r="E79" i="41"/>
  <c r="E78" i="41"/>
  <c r="E77" i="41"/>
  <c r="E76" i="41"/>
  <c r="E75" i="41"/>
  <c r="E74" i="41"/>
  <c r="E73" i="41"/>
  <c r="E72" i="41"/>
  <c r="E71" i="41"/>
  <c r="E70" i="41"/>
  <c r="E69" i="41"/>
  <c r="E68" i="41"/>
  <c r="E67" i="41"/>
  <c r="E66" i="41"/>
  <c r="E65" i="41"/>
  <c r="E64" i="41"/>
  <c r="E63" i="41"/>
  <c r="E62" i="41"/>
  <c r="E61" i="41"/>
  <c r="E60" i="41"/>
  <c r="E59" i="41"/>
  <c r="E58" i="41"/>
  <c r="E57" i="41"/>
  <c r="E56" i="41"/>
  <c r="E55" i="41"/>
  <c r="E54" i="41"/>
  <c r="E53" i="41"/>
  <c r="E52" i="41"/>
  <c r="E51" i="41"/>
  <c r="E50" i="41"/>
  <c r="E49" i="41"/>
  <c r="E48" i="41"/>
  <c r="E47" i="41"/>
  <c r="E46" i="41"/>
  <c r="E45" i="41"/>
  <c r="E44" i="41"/>
  <c r="E43" i="41"/>
  <c r="E42" i="41"/>
  <c r="E41" i="41"/>
  <c r="E40" i="41"/>
  <c r="E39" i="41"/>
  <c r="E38" i="41"/>
  <c r="E37" i="41"/>
  <c r="E36" i="41"/>
  <c r="E35" i="41"/>
  <c r="E34" i="41"/>
  <c r="E33" i="41"/>
  <c r="E32" i="41"/>
  <c r="E31" i="41"/>
  <c r="E30" i="41"/>
  <c r="E29" i="41"/>
  <c r="E28" i="41"/>
  <c r="E27" i="41"/>
  <c r="E26" i="41"/>
  <c r="E25" i="41"/>
  <c r="E24" i="41"/>
  <c r="E23" i="41"/>
  <c r="AB267" i="41" l="1"/>
  <c r="AB33" i="41"/>
  <c r="E267" i="41"/>
  <c r="J267" i="41" s="1"/>
  <c r="AW33" i="41"/>
  <c r="I33" i="41"/>
  <c r="P33" i="41"/>
  <c r="T33" i="41"/>
  <c r="AB291" i="41"/>
  <c r="E291" i="41"/>
  <c r="AW57" i="41"/>
  <c r="AB57" i="41"/>
  <c r="J57" i="41"/>
  <c r="I57" i="41"/>
  <c r="AB323" i="41"/>
  <c r="E323" i="41"/>
  <c r="AW89" i="41"/>
  <c r="AB89" i="41"/>
  <c r="J89" i="41"/>
  <c r="N89" i="41"/>
  <c r="Q89" i="41"/>
  <c r="M89" i="41"/>
  <c r="I89" i="41"/>
  <c r="H89" i="41"/>
  <c r="AB347" i="41"/>
  <c r="E347" i="41"/>
  <c r="AW113" i="41"/>
  <c r="AB113" i="41"/>
  <c r="J113" i="41"/>
  <c r="M113" i="41"/>
  <c r="I113" i="41"/>
  <c r="E371" i="41"/>
  <c r="AB371" i="41"/>
  <c r="AW137" i="41"/>
  <c r="AB137" i="41"/>
  <c r="J137" i="41"/>
  <c r="I137" i="41"/>
  <c r="E403" i="41"/>
  <c r="AB403" i="41"/>
  <c r="AW169" i="41"/>
  <c r="AB169" i="41"/>
  <c r="H169" i="41"/>
  <c r="J169" i="41"/>
  <c r="N169" i="41"/>
  <c r="Q169" i="41"/>
  <c r="M169" i="41"/>
  <c r="I169" i="41"/>
  <c r="AB427" i="41"/>
  <c r="E427" i="41"/>
  <c r="AB193" i="41"/>
  <c r="AW193" i="41"/>
  <c r="M193" i="41"/>
  <c r="J193" i="41"/>
  <c r="I193" i="41"/>
  <c r="AB459" i="41"/>
  <c r="E459" i="41"/>
  <c r="AB225" i="41"/>
  <c r="AW225" i="41"/>
  <c r="J225" i="41"/>
  <c r="I225" i="41"/>
  <c r="AB262" i="41"/>
  <c r="E262" i="41"/>
  <c r="AW28" i="41"/>
  <c r="AB28" i="41"/>
  <c r="AB270" i="41"/>
  <c r="AB36" i="41"/>
  <c r="E270" i="41"/>
  <c r="J270" i="41" s="1"/>
  <c r="AW36" i="41"/>
  <c r="R36" i="41"/>
  <c r="I36" i="41"/>
  <c r="AB278" i="41"/>
  <c r="E278" i="41"/>
  <c r="AW44" i="41"/>
  <c r="AB44" i="41"/>
  <c r="J44" i="41"/>
  <c r="I44" i="41"/>
  <c r="AB286" i="41"/>
  <c r="E286" i="41"/>
  <c r="J286" i="41" s="1"/>
  <c r="AW52" i="41"/>
  <c r="AB52" i="41"/>
  <c r="I52" i="41"/>
  <c r="T52" i="41"/>
  <c r="P52" i="41"/>
  <c r="AB294" i="41"/>
  <c r="E294" i="41"/>
  <c r="J294" i="41" s="1"/>
  <c r="AW60" i="41"/>
  <c r="AB60" i="41"/>
  <c r="I60" i="41"/>
  <c r="P60" i="41"/>
  <c r="AB302" i="41"/>
  <c r="AB68" i="41"/>
  <c r="E302" i="41"/>
  <c r="J302" i="41" s="1"/>
  <c r="AW68" i="41"/>
  <c r="R68" i="41"/>
  <c r="I68" i="41"/>
  <c r="AB310" i="41"/>
  <c r="E310" i="41"/>
  <c r="J310" i="41" s="1"/>
  <c r="AW76" i="41"/>
  <c r="AB76" i="41"/>
  <c r="P76" i="41"/>
  <c r="I76" i="41"/>
  <c r="T76" i="41"/>
  <c r="AB318" i="41"/>
  <c r="E318" i="41"/>
  <c r="AW84" i="41"/>
  <c r="AB84" i="41"/>
  <c r="H84" i="41"/>
  <c r="J84" i="41"/>
  <c r="N84" i="41"/>
  <c r="Q84" i="41"/>
  <c r="M84" i="41"/>
  <c r="I84" i="41"/>
  <c r="AB326" i="41"/>
  <c r="E326" i="41"/>
  <c r="AW92" i="41"/>
  <c r="AB92" i="41"/>
  <c r="M92" i="41"/>
  <c r="I92" i="41"/>
  <c r="J92" i="41"/>
  <c r="AB334" i="41"/>
  <c r="AB100" i="41"/>
  <c r="E334" i="41"/>
  <c r="J334" i="41" s="1"/>
  <c r="AW100" i="41"/>
  <c r="I100" i="41"/>
  <c r="AB342" i="41"/>
  <c r="E342" i="41"/>
  <c r="AW108" i="41"/>
  <c r="AB108" i="41"/>
  <c r="J108" i="41"/>
  <c r="M108" i="41"/>
  <c r="I108" i="41"/>
  <c r="AB350" i="41"/>
  <c r="E350" i="41"/>
  <c r="AW116" i="41"/>
  <c r="AB116" i="41"/>
  <c r="Q116" i="41"/>
  <c r="N116" i="41"/>
  <c r="M116" i="41"/>
  <c r="J116" i="41"/>
  <c r="I116" i="41"/>
  <c r="K116" i="41"/>
  <c r="H116" i="41"/>
  <c r="AB358" i="41"/>
  <c r="AW124" i="41"/>
  <c r="E358" i="41"/>
  <c r="AB124" i="41"/>
  <c r="M124" i="41"/>
  <c r="J124" i="41"/>
  <c r="I124" i="41"/>
  <c r="AB366" i="41"/>
  <c r="E366" i="41"/>
  <c r="AB132" i="41"/>
  <c r="AW132" i="41"/>
  <c r="J132" i="41"/>
  <c r="I132" i="41"/>
  <c r="AB374" i="41"/>
  <c r="E374" i="41"/>
  <c r="AW140" i="41"/>
  <c r="AB140" i="41"/>
  <c r="J140" i="41"/>
  <c r="I140" i="41"/>
  <c r="AB382" i="41"/>
  <c r="E382" i="41"/>
  <c r="AW148" i="41"/>
  <c r="AB148" i="41"/>
  <c r="J148" i="41"/>
  <c r="I148" i="41"/>
  <c r="AB390" i="41"/>
  <c r="E390" i="41"/>
  <c r="AW156" i="41"/>
  <c r="AB156" i="41"/>
  <c r="J156" i="41"/>
  <c r="I156" i="41"/>
  <c r="AB398" i="41"/>
  <c r="E398" i="41"/>
  <c r="AB164" i="41"/>
  <c r="AW164" i="41"/>
  <c r="I164" i="41"/>
  <c r="J164" i="41"/>
  <c r="M164" i="41"/>
  <c r="AB406" i="41"/>
  <c r="E406" i="41"/>
  <c r="AW172" i="41"/>
  <c r="AB172" i="41"/>
  <c r="J172" i="41"/>
  <c r="I172" i="41"/>
  <c r="E414" i="41"/>
  <c r="AB414" i="41"/>
  <c r="AW180" i="41"/>
  <c r="AB180" i="41"/>
  <c r="M180" i="41"/>
  <c r="J180" i="41"/>
  <c r="I180" i="41"/>
  <c r="E422" i="41"/>
  <c r="AB422" i="41"/>
  <c r="AB188" i="41"/>
  <c r="AW188" i="41"/>
  <c r="I188" i="41"/>
  <c r="J188" i="41"/>
  <c r="H188" i="41"/>
  <c r="Q188" i="41"/>
  <c r="K188" i="41"/>
  <c r="N188" i="41"/>
  <c r="M188" i="41"/>
  <c r="E430" i="41"/>
  <c r="J430" i="41" s="1"/>
  <c r="AB430" i="41"/>
  <c r="AB196" i="41"/>
  <c r="AW196" i="41"/>
  <c r="I196" i="41"/>
  <c r="E438" i="41"/>
  <c r="AB438" i="41"/>
  <c r="AW204" i="41"/>
  <c r="AB204" i="41"/>
  <c r="J204" i="41"/>
  <c r="I204" i="41"/>
  <c r="M204" i="41"/>
  <c r="E446" i="41"/>
  <c r="AB446" i="41"/>
  <c r="AW212" i="41"/>
  <c r="AB212" i="41"/>
  <c r="J212" i="41"/>
  <c r="I212" i="41"/>
  <c r="M212" i="41"/>
  <c r="E454" i="41"/>
  <c r="AB454" i="41"/>
  <c r="AB220" i="41"/>
  <c r="AW220" i="41"/>
  <c r="J220" i="41"/>
  <c r="I220" i="41"/>
  <c r="E462" i="41"/>
  <c r="AB462" i="41"/>
  <c r="AB228" i="41"/>
  <c r="AW228" i="41"/>
  <c r="M228" i="41"/>
  <c r="J228" i="41"/>
  <c r="I228" i="41"/>
  <c r="E470" i="41"/>
  <c r="J470" i="41" s="1"/>
  <c r="AB470" i="41"/>
  <c r="AW236" i="41"/>
  <c r="AB236" i="41"/>
  <c r="P236" i="41"/>
  <c r="I236" i="41"/>
  <c r="AB478" i="41"/>
  <c r="E478" i="41"/>
  <c r="AW244" i="41"/>
  <c r="AB244" i="41"/>
  <c r="S244" i="41"/>
  <c r="J244" i="41"/>
  <c r="I244" i="41"/>
  <c r="AB327" i="41"/>
  <c r="AB93" i="41"/>
  <c r="E327" i="41"/>
  <c r="AW93" i="41"/>
  <c r="J93" i="41"/>
  <c r="I93" i="41"/>
  <c r="AB391" i="41"/>
  <c r="E391" i="41"/>
  <c r="AB157" i="41"/>
  <c r="AW157" i="41"/>
  <c r="I157" i="41"/>
  <c r="J157" i="41"/>
  <c r="AB447" i="41"/>
  <c r="E447" i="41"/>
  <c r="AW213" i="41"/>
  <c r="AB213" i="41"/>
  <c r="M213" i="41"/>
  <c r="I213" i="41"/>
  <c r="J213" i="41"/>
  <c r="AB479" i="41"/>
  <c r="E479" i="41"/>
  <c r="AW245" i="41"/>
  <c r="AB245" i="41"/>
  <c r="J245" i="41"/>
  <c r="I245" i="41"/>
  <c r="AB263" i="41"/>
  <c r="AB29" i="41"/>
  <c r="E263" i="41"/>
  <c r="AW29" i="41"/>
  <c r="AB287" i="41"/>
  <c r="AB53" i="41"/>
  <c r="E287" i="41"/>
  <c r="J287" i="41" s="1"/>
  <c r="AW53" i="41"/>
  <c r="I53" i="41"/>
  <c r="AB311" i="41"/>
  <c r="E311" i="41"/>
  <c r="AW77" i="41"/>
  <c r="AB77" i="41"/>
  <c r="J77" i="41"/>
  <c r="I77" i="41"/>
  <c r="AB343" i="41"/>
  <c r="E343" i="41"/>
  <c r="AW109" i="41"/>
  <c r="AB109" i="41"/>
  <c r="J109" i="41"/>
  <c r="I109" i="41"/>
  <c r="M109" i="41"/>
  <c r="AB367" i="41"/>
  <c r="E367" i="41"/>
  <c r="AB133" i="41"/>
  <c r="AW133" i="41"/>
  <c r="M133" i="41"/>
  <c r="H133" i="41"/>
  <c r="N133" i="41"/>
  <c r="I133" i="41"/>
  <c r="J133" i="41"/>
  <c r="Q133" i="41"/>
  <c r="AB407" i="41"/>
  <c r="E407" i="41"/>
  <c r="AB173" i="41"/>
  <c r="AW173" i="41"/>
  <c r="M173" i="41"/>
  <c r="J173" i="41"/>
  <c r="I173" i="41"/>
  <c r="AB431" i="41"/>
  <c r="E431" i="41"/>
  <c r="J431" i="41" s="1"/>
  <c r="AW197" i="41"/>
  <c r="AB197" i="41"/>
  <c r="I197" i="41"/>
  <c r="P237" i="41"/>
  <c r="I237" i="41"/>
  <c r="T237" i="41"/>
  <c r="AB264" i="41"/>
  <c r="AB30" i="41"/>
  <c r="E264" i="41"/>
  <c r="J264" i="41" s="1"/>
  <c r="AW30" i="41"/>
  <c r="I30" i="41"/>
  <c r="AB272" i="41"/>
  <c r="AB38" i="41"/>
  <c r="E272" i="41"/>
  <c r="AW38" i="41"/>
  <c r="AB280" i="41"/>
  <c r="E280" i="41"/>
  <c r="AW46" i="41"/>
  <c r="AB46" i="41"/>
  <c r="N46" i="41"/>
  <c r="Q46" i="41"/>
  <c r="M46" i="41"/>
  <c r="I46" i="41"/>
  <c r="H46" i="41"/>
  <c r="K46" i="41"/>
  <c r="J46" i="41"/>
  <c r="AB288" i="41"/>
  <c r="E288" i="41"/>
  <c r="AW54" i="41"/>
  <c r="AB54" i="41"/>
  <c r="AB296" i="41"/>
  <c r="AB62" i="41"/>
  <c r="E296" i="41"/>
  <c r="J296" i="41" s="1"/>
  <c r="AW62" i="41"/>
  <c r="I62" i="41"/>
  <c r="AB304" i="41"/>
  <c r="AB70" i="41"/>
  <c r="E304" i="41"/>
  <c r="J304" i="41" s="1"/>
  <c r="AW70" i="41"/>
  <c r="I70" i="41"/>
  <c r="AB312" i="41"/>
  <c r="E312" i="41"/>
  <c r="AW78" i="41"/>
  <c r="AB78" i="41"/>
  <c r="M78" i="41"/>
  <c r="I78" i="41"/>
  <c r="J78" i="41"/>
  <c r="AB320" i="41"/>
  <c r="E320" i="41"/>
  <c r="J320" i="41" s="1"/>
  <c r="AW86" i="41"/>
  <c r="AB86" i="41"/>
  <c r="I86" i="41"/>
  <c r="T86" i="41"/>
  <c r="P86" i="41"/>
  <c r="AB328" i="41"/>
  <c r="AB94" i="41"/>
  <c r="E328" i="41"/>
  <c r="AW94" i="41"/>
  <c r="S94" i="41"/>
  <c r="J94" i="41"/>
  <c r="I94" i="41"/>
  <c r="AB336" i="41"/>
  <c r="AB102" i="41"/>
  <c r="E336" i="41"/>
  <c r="J336" i="41" s="1"/>
  <c r="AW102" i="41"/>
  <c r="I102" i="41"/>
  <c r="R102" i="41"/>
  <c r="AB344" i="41"/>
  <c r="E344" i="41"/>
  <c r="J344" i="41" s="1"/>
  <c r="AW110" i="41"/>
  <c r="AB110" i="41"/>
  <c r="I110" i="41"/>
  <c r="P110" i="41"/>
  <c r="AB352" i="41"/>
  <c r="E352" i="41"/>
  <c r="AW118" i="41"/>
  <c r="AB118" i="41"/>
  <c r="M118" i="41"/>
  <c r="J118" i="41"/>
  <c r="I118" i="41"/>
  <c r="E360" i="41"/>
  <c r="J360" i="41" s="1"/>
  <c r="AB360" i="41"/>
  <c r="AB126" i="41"/>
  <c r="AW126" i="41"/>
  <c r="T126" i="41"/>
  <c r="I126" i="41"/>
  <c r="P126" i="41"/>
  <c r="J134" i="41"/>
  <c r="Q134" i="41"/>
  <c r="M134" i="41"/>
  <c r="I134" i="41"/>
  <c r="H134" i="41"/>
  <c r="N134" i="41"/>
  <c r="AB376" i="41"/>
  <c r="E376" i="41"/>
  <c r="AW142" i="41"/>
  <c r="AB142" i="41"/>
  <c r="I142" i="41"/>
  <c r="J142" i="41"/>
  <c r="AB384" i="41"/>
  <c r="E384" i="41"/>
  <c r="J384" i="41" s="1"/>
  <c r="AW150" i="41"/>
  <c r="AB150" i="41"/>
  <c r="I150" i="41"/>
  <c r="AB392" i="41"/>
  <c r="E392" i="41"/>
  <c r="AB158" i="41"/>
  <c r="AW158" i="41"/>
  <c r="J158" i="41"/>
  <c r="I158" i="41"/>
  <c r="AB400" i="41"/>
  <c r="E400" i="41"/>
  <c r="AB166" i="41"/>
  <c r="AW166" i="41"/>
  <c r="I166" i="41"/>
  <c r="J166" i="41"/>
  <c r="AB408" i="41"/>
  <c r="E408" i="41"/>
  <c r="AW174" i="41"/>
  <c r="AB174" i="41"/>
  <c r="I174" i="41"/>
  <c r="J174" i="41"/>
  <c r="AB416" i="41"/>
  <c r="E416" i="41"/>
  <c r="J416" i="41" s="1"/>
  <c r="AB182" i="41"/>
  <c r="AW182" i="41"/>
  <c r="P182" i="41"/>
  <c r="I182" i="41"/>
  <c r="AB424" i="41"/>
  <c r="E424" i="41"/>
  <c r="AB190" i="41"/>
  <c r="AW190" i="41"/>
  <c r="Q190" i="41"/>
  <c r="I190" i="41"/>
  <c r="N190" i="41"/>
  <c r="J190" i="41"/>
  <c r="M190" i="41"/>
  <c r="H190" i="41"/>
  <c r="AB432" i="41"/>
  <c r="E432" i="41"/>
  <c r="AB198" i="41"/>
  <c r="AW198" i="41"/>
  <c r="AB440" i="41"/>
  <c r="E440" i="41"/>
  <c r="AW206" i="41"/>
  <c r="AB206" i="41"/>
  <c r="J206" i="41"/>
  <c r="I206" i="41"/>
  <c r="AB448" i="41"/>
  <c r="E448" i="41"/>
  <c r="AB214" i="41"/>
  <c r="AW214" i="41"/>
  <c r="J214" i="41"/>
  <c r="I214" i="41"/>
  <c r="AB456" i="41"/>
  <c r="E456" i="41"/>
  <c r="AB222" i="41"/>
  <c r="AW222" i="41"/>
  <c r="J222" i="41"/>
  <c r="I222" i="41"/>
  <c r="AB464" i="41"/>
  <c r="E464" i="41"/>
  <c r="AB230" i="41"/>
  <c r="AW230" i="41"/>
  <c r="I230" i="41"/>
  <c r="J230" i="41"/>
  <c r="AB472" i="41"/>
  <c r="E472" i="41"/>
  <c r="AW238" i="41"/>
  <c r="AB238" i="41"/>
  <c r="I238" i="41"/>
  <c r="J238" i="41"/>
  <c r="AB480" i="41"/>
  <c r="E480" i="41"/>
  <c r="AB246" i="41"/>
  <c r="AW246" i="41"/>
  <c r="I246" i="41"/>
  <c r="J246" i="41"/>
  <c r="AB279" i="41"/>
  <c r="E279" i="41"/>
  <c r="J279" i="41" s="1"/>
  <c r="AW45" i="41"/>
  <c r="AB45" i="41"/>
  <c r="I45" i="41"/>
  <c r="AB303" i="41"/>
  <c r="AB69" i="41"/>
  <c r="E303" i="41"/>
  <c r="AW69" i="41"/>
  <c r="M69" i="41"/>
  <c r="J69" i="41"/>
  <c r="I69" i="41"/>
  <c r="AB335" i="41"/>
  <c r="AB101" i="41"/>
  <c r="E335" i="41"/>
  <c r="J335" i="41" s="1"/>
  <c r="AW101" i="41"/>
  <c r="I101" i="41"/>
  <c r="AB359" i="41"/>
  <c r="E359" i="41"/>
  <c r="AB125" i="41"/>
  <c r="AW125" i="41"/>
  <c r="M125" i="41"/>
  <c r="J125" i="41"/>
  <c r="I125" i="41"/>
  <c r="AB383" i="41"/>
  <c r="E383" i="41"/>
  <c r="J383" i="41" s="1"/>
  <c r="AB149" i="41"/>
  <c r="AW149" i="41"/>
  <c r="I149" i="41"/>
  <c r="AB415" i="41"/>
  <c r="E415" i="41"/>
  <c r="AW181" i="41"/>
  <c r="AB181" i="41"/>
  <c r="I181" i="41"/>
  <c r="J181" i="41"/>
  <c r="M181" i="41"/>
  <c r="AB439" i="41"/>
  <c r="E439" i="41"/>
  <c r="J439" i="41" s="1"/>
  <c r="AW205" i="41"/>
  <c r="AB205" i="41"/>
  <c r="I205" i="41"/>
  <c r="AB455" i="41"/>
  <c r="E455" i="41"/>
  <c r="AW221" i="41"/>
  <c r="AB221" i="41"/>
  <c r="J221" i="41"/>
  <c r="M221" i="41"/>
  <c r="I221" i="41"/>
  <c r="AB257" i="41"/>
  <c r="E257" i="41"/>
  <c r="AW23" i="41"/>
  <c r="AB23" i="41"/>
  <c r="N23" i="41"/>
  <c r="J23" i="41"/>
  <c r="H23" i="41"/>
  <c r="K23" i="41"/>
  <c r="Q23" i="41"/>
  <c r="I23" i="41"/>
  <c r="M23" i="41"/>
  <c r="AB265" i="41"/>
  <c r="E265" i="41"/>
  <c r="J265" i="41" s="1"/>
  <c r="AW31" i="41"/>
  <c r="AB31" i="41"/>
  <c r="I31" i="41"/>
  <c r="P31" i="41"/>
  <c r="AB273" i="41"/>
  <c r="E273" i="41"/>
  <c r="J273" i="41" s="1"/>
  <c r="AW39" i="41"/>
  <c r="AB39" i="41"/>
  <c r="T39" i="41"/>
  <c r="I39" i="41"/>
  <c r="P39" i="41"/>
  <c r="AB281" i="41"/>
  <c r="E281" i="41"/>
  <c r="AW47" i="41"/>
  <c r="AB47" i="41"/>
  <c r="Q47" i="41"/>
  <c r="I47" i="41"/>
  <c r="K47" i="41"/>
  <c r="H47" i="41"/>
  <c r="J47" i="41"/>
  <c r="N47" i="41"/>
  <c r="M47" i="41"/>
  <c r="AB289" i="41"/>
  <c r="E289" i="41"/>
  <c r="J289" i="41" s="1"/>
  <c r="AW55" i="41"/>
  <c r="AB55" i="41"/>
  <c r="I55" i="41"/>
  <c r="P55" i="41"/>
  <c r="AB297" i="41"/>
  <c r="E297" i="41"/>
  <c r="J297" i="41" s="1"/>
  <c r="AW63" i="41"/>
  <c r="AB63" i="41"/>
  <c r="I63" i="41"/>
  <c r="AB305" i="41"/>
  <c r="E305" i="41"/>
  <c r="J305" i="41" s="1"/>
  <c r="AW71" i="41"/>
  <c r="AB71" i="41"/>
  <c r="I71" i="41"/>
  <c r="AB313" i="41"/>
  <c r="E313" i="41"/>
  <c r="AW79" i="41"/>
  <c r="AB79" i="41"/>
  <c r="M79" i="41"/>
  <c r="I79" i="41"/>
  <c r="J79" i="41"/>
  <c r="AB321" i="41"/>
  <c r="E321" i="41"/>
  <c r="AW87" i="41"/>
  <c r="AB87" i="41"/>
  <c r="I87" i="41"/>
  <c r="J87" i="41"/>
  <c r="M87" i="41"/>
  <c r="AB329" i="41"/>
  <c r="E329" i="41"/>
  <c r="AW95" i="41"/>
  <c r="AB95" i="41"/>
  <c r="I95" i="41"/>
  <c r="S95" i="41"/>
  <c r="J95" i="41"/>
  <c r="AB337" i="41"/>
  <c r="E337" i="41"/>
  <c r="J337" i="41" s="1"/>
  <c r="AW103" i="41"/>
  <c r="AB103" i="41"/>
  <c r="R103" i="41"/>
  <c r="I103" i="41"/>
  <c r="AB345" i="41"/>
  <c r="E345" i="41"/>
  <c r="J345" i="41" s="1"/>
  <c r="AW111" i="41"/>
  <c r="AB111" i="41"/>
  <c r="P111" i="41"/>
  <c r="I111" i="41"/>
  <c r="AB353" i="41"/>
  <c r="E353" i="41"/>
  <c r="J353" i="41" s="1"/>
  <c r="AW119" i="41"/>
  <c r="AB119" i="41"/>
  <c r="T119" i="41"/>
  <c r="I119" i="41"/>
  <c r="P119" i="41"/>
  <c r="AB361" i="41"/>
  <c r="E361" i="41"/>
  <c r="AW127" i="41"/>
  <c r="AB127" i="41"/>
  <c r="Q127" i="41"/>
  <c r="N127" i="41"/>
  <c r="H127" i="41"/>
  <c r="J127" i="41"/>
  <c r="M127" i="41"/>
  <c r="I127" i="41"/>
  <c r="AB369" i="41"/>
  <c r="E369" i="41"/>
  <c r="AB135" i="41"/>
  <c r="AW135" i="41"/>
  <c r="J135" i="41"/>
  <c r="I135" i="41"/>
  <c r="AB377" i="41"/>
  <c r="E377" i="41"/>
  <c r="AW143" i="41"/>
  <c r="AB143" i="41"/>
  <c r="I143" i="41"/>
  <c r="J143" i="41"/>
  <c r="AB385" i="41"/>
  <c r="E385" i="41"/>
  <c r="AW151" i="41"/>
  <c r="AB151" i="41"/>
  <c r="AB393" i="41"/>
  <c r="E393" i="41"/>
  <c r="AW159" i="41"/>
  <c r="AB159" i="41"/>
  <c r="J159" i="41"/>
  <c r="I159" i="41"/>
  <c r="AB401" i="41"/>
  <c r="E401" i="41"/>
  <c r="AB167" i="41"/>
  <c r="AW167" i="41"/>
  <c r="H167" i="41"/>
  <c r="N167" i="41"/>
  <c r="M167" i="41"/>
  <c r="J167" i="41"/>
  <c r="Q167" i="41"/>
  <c r="I167" i="41"/>
  <c r="AB409" i="41"/>
  <c r="E409" i="41"/>
  <c r="AW175" i="41"/>
  <c r="AB175" i="41"/>
  <c r="J175" i="41"/>
  <c r="I175" i="41"/>
  <c r="M175" i="41"/>
  <c r="AB417" i="41"/>
  <c r="E417" i="41"/>
  <c r="J417" i="41" s="1"/>
  <c r="AW183" i="41"/>
  <c r="AB183" i="41"/>
  <c r="I183" i="41"/>
  <c r="AB425" i="41"/>
  <c r="E425" i="41"/>
  <c r="AW191" i="41"/>
  <c r="AB191" i="41"/>
  <c r="Q191" i="41"/>
  <c r="M191" i="41"/>
  <c r="I191" i="41"/>
  <c r="J191" i="41"/>
  <c r="H191" i="41"/>
  <c r="N191" i="41"/>
  <c r="AB433" i="41"/>
  <c r="E433" i="41"/>
  <c r="AB199" i="41"/>
  <c r="AW199" i="41"/>
  <c r="M199" i="41"/>
  <c r="I199" i="41"/>
  <c r="J199" i="41"/>
  <c r="AB441" i="41"/>
  <c r="E441" i="41"/>
  <c r="AW207" i="41"/>
  <c r="AB207" i="41"/>
  <c r="M207" i="41"/>
  <c r="J207" i="41"/>
  <c r="I207" i="41"/>
  <c r="AB449" i="41"/>
  <c r="E449" i="41"/>
  <c r="AW215" i="41"/>
  <c r="AB215" i="41"/>
  <c r="I215" i="41"/>
  <c r="M215" i="41"/>
  <c r="J215" i="41"/>
  <c r="AB457" i="41"/>
  <c r="E457" i="41"/>
  <c r="AW223" i="41"/>
  <c r="AB223" i="41"/>
  <c r="I223" i="41"/>
  <c r="J223" i="41"/>
  <c r="AB465" i="41"/>
  <c r="E465" i="41"/>
  <c r="AB231" i="41"/>
  <c r="AW231" i="41"/>
  <c r="Q231" i="41"/>
  <c r="I231" i="41"/>
  <c r="N231" i="41"/>
  <c r="M231" i="41"/>
  <c r="H231" i="41"/>
  <c r="J231" i="41"/>
  <c r="E473" i="41"/>
  <c r="AB473" i="41"/>
  <c r="AW239" i="41"/>
  <c r="AB239" i="41"/>
  <c r="J239" i="41"/>
  <c r="Q239" i="41"/>
  <c r="N239" i="41"/>
  <c r="I239" i="41"/>
  <c r="M239" i="41"/>
  <c r="K239" i="41"/>
  <c r="H239" i="41"/>
  <c r="AB271" i="41"/>
  <c r="AB37" i="41"/>
  <c r="E271" i="41"/>
  <c r="J271" i="41" s="1"/>
  <c r="AW37" i="41"/>
  <c r="R37" i="41"/>
  <c r="I37" i="41"/>
  <c r="AB295" i="41"/>
  <c r="AB61" i="41"/>
  <c r="E295" i="41"/>
  <c r="J295" i="41" s="1"/>
  <c r="AW61" i="41"/>
  <c r="I61" i="41"/>
  <c r="P61" i="41"/>
  <c r="AB319" i="41"/>
  <c r="AB85" i="41"/>
  <c r="E319" i="41"/>
  <c r="AW85" i="41"/>
  <c r="M85" i="41"/>
  <c r="J85" i="41"/>
  <c r="I85" i="41"/>
  <c r="AB351" i="41"/>
  <c r="AB117" i="41"/>
  <c r="E351" i="41"/>
  <c r="J117" i="41"/>
  <c r="K117" i="41"/>
  <c r="I117" i="41"/>
  <c r="N117" i="41"/>
  <c r="H117" i="41"/>
  <c r="Q117" i="41"/>
  <c r="M117" i="41"/>
  <c r="AB375" i="41"/>
  <c r="E375" i="41"/>
  <c r="AB141" i="41"/>
  <c r="AW141" i="41"/>
  <c r="M141" i="41"/>
  <c r="K141" i="41"/>
  <c r="I141" i="41"/>
  <c r="J141" i="41"/>
  <c r="Q141" i="41"/>
  <c r="H141" i="41"/>
  <c r="N141" i="41"/>
  <c r="AB399" i="41"/>
  <c r="E399" i="41"/>
  <c r="AB165" i="41"/>
  <c r="AW165" i="41"/>
  <c r="N165" i="41"/>
  <c r="M165" i="41"/>
  <c r="J165" i="41"/>
  <c r="Q165" i="41"/>
  <c r="I165" i="41"/>
  <c r="H165" i="41"/>
  <c r="AB423" i="41"/>
  <c r="E423" i="41"/>
  <c r="AW189" i="41"/>
  <c r="AB189" i="41"/>
  <c r="J189" i="41"/>
  <c r="H189" i="41"/>
  <c r="Q189" i="41"/>
  <c r="N189" i="41"/>
  <c r="M189" i="41"/>
  <c r="I189" i="41"/>
  <c r="AB463" i="41"/>
  <c r="E463" i="41"/>
  <c r="AW229" i="41"/>
  <c r="AB229" i="41"/>
  <c r="J229" i="41"/>
  <c r="M229" i="41"/>
  <c r="I229" i="41"/>
  <c r="AB258" i="41"/>
  <c r="AB24" i="41"/>
  <c r="E258" i="41"/>
  <c r="AW24" i="41"/>
  <c r="J24" i="41"/>
  <c r="Q24" i="41"/>
  <c r="M24" i="41"/>
  <c r="I24" i="41"/>
  <c r="N24" i="41"/>
  <c r="K24" i="41"/>
  <c r="H24" i="41"/>
  <c r="AB266" i="41"/>
  <c r="AB32" i="41"/>
  <c r="E266" i="41"/>
  <c r="AW32" i="41"/>
  <c r="AB274" i="41"/>
  <c r="E274" i="41"/>
  <c r="AW40" i="41"/>
  <c r="AB40" i="41"/>
  <c r="J40" i="41"/>
  <c r="Q40" i="41"/>
  <c r="I40" i="41"/>
  <c r="N40" i="41"/>
  <c r="M40" i="41"/>
  <c r="H40" i="41"/>
  <c r="AB282" i="41"/>
  <c r="E282" i="41"/>
  <c r="AW48" i="41"/>
  <c r="AB48" i="41"/>
  <c r="J48" i="41"/>
  <c r="I48" i="41"/>
  <c r="AB290" i="41"/>
  <c r="AB56" i="41"/>
  <c r="E290" i="41"/>
  <c r="J290" i="41" s="1"/>
  <c r="AW56" i="41"/>
  <c r="I56" i="41"/>
  <c r="P56" i="41"/>
  <c r="AB298" i="41"/>
  <c r="AB64" i="41"/>
  <c r="E298" i="41"/>
  <c r="J298" i="41" s="1"/>
  <c r="AW64" i="41"/>
  <c r="I64" i="41"/>
  <c r="AB306" i="41"/>
  <c r="E306" i="41"/>
  <c r="AW72" i="41"/>
  <c r="AB72" i="41"/>
  <c r="I72" i="41"/>
  <c r="J72" i="41"/>
  <c r="AB314" i="41"/>
  <c r="E314" i="41"/>
  <c r="AW80" i="41"/>
  <c r="AB80" i="41"/>
  <c r="M80" i="41"/>
  <c r="J80" i="41"/>
  <c r="I80" i="41"/>
  <c r="AB322" i="41"/>
  <c r="AB88" i="41"/>
  <c r="E322" i="41"/>
  <c r="AW88" i="41"/>
  <c r="M88" i="41"/>
  <c r="J88" i="41"/>
  <c r="I88" i="41"/>
  <c r="AB330" i="41"/>
  <c r="AB96" i="41"/>
  <c r="E330" i="41"/>
  <c r="AW96" i="41"/>
  <c r="J96" i="41"/>
  <c r="I96" i="41"/>
  <c r="S96" i="41"/>
  <c r="AB338" i="41"/>
  <c r="E338" i="41"/>
  <c r="J338" i="41" s="1"/>
  <c r="AW104" i="41"/>
  <c r="AB104" i="41"/>
  <c r="I104" i="41"/>
  <c r="P104" i="41"/>
  <c r="AB346" i="41"/>
  <c r="E346" i="41"/>
  <c r="J346" i="41" s="1"/>
  <c r="AW112" i="41"/>
  <c r="AB112" i="41"/>
  <c r="P112" i="41"/>
  <c r="T112" i="41"/>
  <c r="I112" i="41"/>
  <c r="AB354" i="41"/>
  <c r="AB120" i="41"/>
  <c r="E354" i="41"/>
  <c r="AW120" i="41"/>
  <c r="I120" i="41"/>
  <c r="J120" i="41"/>
  <c r="AB362" i="41"/>
  <c r="E362" i="41"/>
  <c r="AB128" i="41"/>
  <c r="AW128" i="41"/>
  <c r="J128" i="41"/>
  <c r="I128" i="41"/>
  <c r="AB370" i="41"/>
  <c r="E370" i="41"/>
  <c r="AW136" i="41"/>
  <c r="AB136" i="41"/>
  <c r="Q136" i="41"/>
  <c r="I136" i="41"/>
  <c r="H136" i="41"/>
  <c r="M136" i="41"/>
  <c r="N136" i="41"/>
  <c r="K136" i="41"/>
  <c r="J136" i="41"/>
  <c r="AB378" i="41"/>
  <c r="E378" i="41"/>
  <c r="AB144" i="41"/>
  <c r="AW144" i="41"/>
  <c r="J144" i="41"/>
  <c r="I144" i="41"/>
  <c r="AB386" i="41"/>
  <c r="E386" i="41"/>
  <c r="AB152" i="41"/>
  <c r="AW152" i="41"/>
  <c r="AB394" i="41"/>
  <c r="E394" i="41"/>
  <c r="J394" i="41" s="1"/>
  <c r="AB160" i="41"/>
  <c r="AW160" i="41"/>
  <c r="I160" i="41"/>
  <c r="T160" i="41"/>
  <c r="P160" i="41"/>
  <c r="AB402" i="41"/>
  <c r="E402" i="41"/>
  <c r="AW168" i="41"/>
  <c r="AB168" i="41"/>
  <c r="Q168" i="41"/>
  <c r="M168" i="41"/>
  <c r="I168" i="41"/>
  <c r="H168" i="41"/>
  <c r="N168" i="41"/>
  <c r="J168" i="41"/>
  <c r="I176" i="41"/>
  <c r="T176" i="41"/>
  <c r="AB418" i="41"/>
  <c r="E418" i="41"/>
  <c r="AB184" i="41"/>
  <c r="AW184" i="41"/>
  <c r="J184" i="41"/>
  <c r="I184" i="41"/>
  <c r="AB426" i="41"/>
  <c r="E426" i="41"/>
  <c r="AB192" i="41"/>
  <c r="AW192" i="41"/>
  <c r="M192" i="41"/>
  <c r="J192" i="41"/>
  <c r="I192" i="41"/>
  <c r="AB434" i="41"/>
  <c r="E434" i="41"/>
  <c r="AW200" i="41"/>
  <c r="AB200" i="41"/>
  <c r="J200" i="41"/>
  <c r="I200" i="41"/>
  <c r="AB442" i="41"/>
  <c r="E442" i="41"/>
  <c r="AB208" i="41"/>
  <c r="AW208" i="41"/>
  <c r="J208" i="41"/>
  <c r="I208" i="41"/>
  <c r="AB450" i="41"/>
  <c r="E450" i="41"/>
  <c r="J450" i="41" s="1"/>
  <c r="AB216" i="41"/>
  <c r="AW216" i="41"/>
  <c r="R216" i="41"/>
  <c r="I216" i="41"/>
  <c r="AB458" i="41"/>
  <c r="E458" i="41"/>
  <c r="AB224" i="41"/>
  <c r="AW224" i="41"/>
  <c r="K224" i="41"/>
  <c r="N224" i="41"/>
  <c r="M224" i="41"/>
  <c r="J224" i="41"/>
  <c r="I224" i="41"/>
  <c r="H224" i="41"/>
  <c r="Q224" i="41"/>
  <c r="AB466" i="41"/>
  <c r="E466" i="41"/>
  <c r="AW232" i="41"/>
  <c r="AB232" i="41"/>
  <c r="J232" i="41"/>
  <c r="I232" i="41"/>
  <c r="AB474" i="41"/>
  <c r="E474" i="41"/>
  <c r="AW240" i="41"/>
  <c r="AB240" i="41"/>
  <c r="J240" i="41"/>
  <c r="I240" i="41"/>
  <c r="AB307" i="41"/>
  <c r="E307" i="41"/>
  <c r="AW73" i="41"/>
  <c r="AB73" i="41"/>
  <c r="M73" i="41"/>
  <c r="I73" i="41"/>
  <c r="H73" i="41"/>
  <c r="J73" i="41"/>
  <c r="N73" i="41"/>
  <c r="Q73" i="41"/>
  <c r="E379" i="41"/>
  <c r="J379" i="41" s="1"/>
  <c r="AB379" i="41"/>
  <c r="AW145" i="41"/>
  <c r="AB145" i="41"/>
  <c r="I145" i="41"/>
  <c r="AB443" i="41"/>
  <c r="E443" i="41"/>
  <c r="AW209" i="41"/>
  <c r="AB209" i="41"/>
  <c r="I209" i="41"/>
  <c r="J209" i="41"/>
  <c r="AB475" i="41"/>
  <c r="E475" i="41"/>
  <c r="AW241" i="41"/>
  <c r="AB241" i="41"/>
  <c r="I241" i="41"/>
  <c r="J241" i="41"/>
  <c r="AB275" i="41"/>
  <c r="E275" i="41"/>
  <c r="AW41" i="41"/>
  <c r="AB41" i="41"/>
  <c r="M41" i="41"/>
  <c r="I41" i="41"/>
  <c r="H41" i="41"/>
  <c r="J41" i="41"/>
  <c r="N41" i="41"/>
  <c r="Q41" i="41"/>
  <c r="AB299" i="41"/>
  <c r="AB65" i="41"/>
  <c r="E299" i="41"/>
  <c r="J299" i="41" s="1"/>
  <c r="AW65" i="41"/>
  <c r="I65" i="41"/>
  <c r="T65" i="41"/>
  <c r="P65" i="41"/>
  <c r="AB331" i="41"/>
  <c r="AB97" i="41"/>
  <c r="E331" i="41"/>
  <c r="AW97" i="41"/>
  <c r="J97" i="41"/>
  <c r="I97" i="41"/>
  <c r="S97" i="41"/>
  <c r="AB355" i="41"/>
  <c r="E355" i="41"/>
  <c r="AW121" i="41"/>
  <c r="AB121" i="41"/>
  <c r="M121" i="41"/>
  <c r="I121" i="41"/>
  <c r="J121" i="41"/>
  <c r="E387" i="41"/>
  <c r="AB387" i="41"/>
  <c r="AW153" i="41"/>
  <c r="AB153" i="41"/>
  <c r="AB411" i="41"/>
  <c r="E411" i="41"/>
  <c r="AW177" i="41"/>
  <c r="AB177" i="41"/>
  <c r="N177" i="41"/>
  <c r="Q177" i="41"/>
  <c r="M177" i="41"/>
  <c r="I177" i="41"/>
  <c r="H177" i="41"/>
  <c r="J177" i="41"/>
  <c r="AB435" i="41"/>
  <c r="E435" i="41"/>
  <c r="AW201" i="41"/>
  <c r="AB201" i="41"/>
  <c r="J201" i="41"/>
  <c r="I201" i="41"/>
  <c r="AB451" i="41"/>
  <c r="E451" i="41"/>
  <c r="J451" i="41" s="1"/>
  <c r="AB217" i="41"/>
  <c r="AW217" i="41"/>
  <c r="I217" i="41"/>
  <c r="AB260" i="41"/>
  <c r="AB26" i="41"/>
  <c r="E260" i="41"/>
  <c r="AW26" i="41"/>
  <c r="AB268" i="41"/>
  <c r="AB34" i="41"/>
  <c r="E268" i="41"/>
  <c r="AW34" i="41"/>
  <c r="AB276" i="41"/>
  <c r="E276" i="41"/>
  <c r="J276" i="41" s="1"/>
  <c r="AW42" i="41"/>
  <c r="AB42" i="41"/>
  <c r="I42" i="41"/>
  <c r="AB284" i="41"/>
  <c r="AB50" i="41"/>
  <c r="E284" i="41"/>
  <c r="J284" i="41" s="1"/>
  <c r="AW50" i="41"/>
  <c r="R50" i="41"/>
  <c r="I50" i="41"/>
  <c r="AB292" i="41"/>
  <c r="AB58" i="41"/>
  <c r="E292" i="41"/>
  <c r="AW58" i="41"/>
  <c r="I58" i="41"/>
  <c r="J58" i="41"/>
  <c r="AB300" i="41"/>
  <c r="AB66" i="41"/>
  <c r="E300" i="41"/>
  <c r="AW66" i="41"/>
  <c r="J66" i="41"/>
  <c r="I66" i="41"/>
  <c r="AB308" i="41"/>
  <c r="E308" i="41"/>
  <c r="AW74" i="41"/>
  <c r="AB74" i="41"/>
  <c r="H74" i="41"/>
  <c r="N74" i="41"/>
  <c r="M74" i="41"/>
  <c r="J74" i="41"/>
  <c r="Q74" i="41"/>
  <c r="I74" i="41"/>
  <c r="AB316" i="41"/>
  <c r="AB82" i="41"/>
  <c r="E316" i="41"/>
  <c r="AW82" i="41"/>
  <c r="I82" i="41"/>
  <c r="J82" i="41"/>
  <c r="AB324" i="41"/>
  <c r="AB90" i="41"/>
  <c r="E324" i="41"/>
  <c r="J324" i="41" s="1"/>
  <c r="AW90" i="41"/>
  <c r="I90" i="41"/>
  <c r="P90" i="41"/>
  <c r="AB332" i="41"/>
  <c r="AB98" i="41"/>
  <c r="E332" i="41"/>
  <c r="J332" i="41" s="1"/>
  <c r="AW98" i="41"/>
  <c r="I98" i="41"/>
  <c r="AB340" i="41"/>
  <c r="E340" i="41"/>
  <c r="J340" i="41" s="1"/>
  <c r="AW106" i="41"/>
  <c r="AB106" i="41"/>
  <c r="P106" i="41"/>
  <c r="I106" i="41"/>
  <c r="AB348" i="41"/>
  <c r="AB114" i="41"/>
  <c r="E348" i="41"/>
  <c r="AW114" i="41"/>
  <c r="M114" i="41"/>
  <c r="I114" i="41"/>
  <c r="J114" i="41"/>
  <c r="AB356" i="41"/>
  <c r="AB122" i="41"/>
  <c r="E356" i="41"/>
  <c r="AW122" i="41"/>
  <c r="I122" i="41"/>
  <c r="J122" i="41"/>
  <c r="M122" i="41"/>
  <c r="AB364" i="41"/>
  <c r="E364" i="41"/>
  <c r="AB130" i="41"/>
  <c r="AW130" i="41"/>
  <c r="I130" i="41"/>
  <c r="J130" i="41"/>
  <c r="AB372" i="41"/>
  <c r="E372" i="41"/>
  <c r="AW138" i="41"/>
  <c r="AB138" i="41"/>
  <c r="AB380" i="41"/>
  <c r="E380" i="41"/>
  <c r="AW146" i="41"/>
  <c r="AB146" i="41"/>
  <c r="J146" i="41"/>
  <c r="I146" i="41"/>
  <c r="AB388" i="41"/>
  <c r="E388" i="41"/>
  <c r="AW154" i="41"/>
  <c r="AB154" i="41"/>
  <c r="AB396" i="41"/>
  <c r="E396" i="41"/>
  <c r="AW162" i="41"/>
  <c r="AB162" i="41"/>
  <c r="J162" i="41"/>
  <c r="Q162" i="41"/>
  <c r="I162" i="41"/>
  <c r="H162" i="41"/>
  <c r="N162" i="41"/>
  <c r="M162" i="41"/>
  <c r="AB404" i="41"/>
  <c r="E404" i="41"/>
  <c r="AW170" i="41"/>
  <c r="AB170" i="41"/>
  <c r="N170" i="41"/>
  <c r="M170" i="41"/>
  <c r="J170" i="41"/>
  <c r="Q170" i="41"/>
  <c r="I170" i="41"/>
  <c r="H170" i="41"/>
  <c r="AB412" i="41"/>
  <c r="E412" i="41"/>
  <c r="AW178" i="41"/>
  <c r="AB178" i="41"/>
  <c r="M178" i="41"/>
  <c r="H178" i="41"/>
  <c r="Q178" i="41"/>
  <c r="N178" i="41"/>
  <c r="J178" i="41"/>
  <c r="I178" i="41"/>
  <c r="AB420" i="41"/>
  <c r="E420" i="41"/>
  <c r="J420" i="41" s="1"/>
  <c r="AW186" i="41"/>
  <c r="AB186" i="41"/>
  <c r="T186" i="41"/>
  <c r="I186" i="41"/>
  <c r="P186" i="41"/>
  <c r="AB428" i="41"/>
  <c r="E428" i="41"/>
  <c r="AW194" i="41"/>
  <c r="AB194" i="41"/>
  <c r="J194" i="41"/>
  <c r="I194" i="41"/>
  <c r="AB436" i="41"/>
  <c r="E436" i="41"/>
  <c r="AW202" i="41"/>
  <c r="AB202" i="41"/>
  <c r="J202" i="41"/>
  <c r="I202" i="41"/>
  <c r="AB444" i="41"/>
  <c r="E444" i="41"/>
  <c r="AW210" i="41"/>
  <c r="AB210" i="41"/>
  <c r="J210" i="41"/>
  <c r="I210" i="41"/>
  <c r="AB452" i="41"/>
  <c r="E452" i="41"/>
  <c r="J452" i="41" s="1"/>
  <c r="AW218" i="41"/>
  <c r="AB218" i="41"/>
  <c r="I218" i="41"/>
  <c r="AB460" i="41"/>
  <c r="E460" i="41"/>
  <c r="AW226" i="41"/>
  <c r="AB226" i="41"/>
  <c r="M226" i="41"/>
  <c r="J226" i="41"/>
  <c r="I226" i="41"/>
  <c r="AB468" i="41"/>
  <c r="E468" i="41"/>
  <c r="AW234" i="41"/>
  <c r="AB234" i="41"/>
  <c r="AB476" i="41"/>
  <c r="E476" i="41"/>
  <c r="J476" i="41" s="1"/>
  <c r="AW242" i="41"/>
  <c r="AB242" i="41"/>
  <c r="I242" i="41"/>
  <c r="AB259" i="41"/>
  <c r="E259" i="41"/>
  <c r="J259" i="41" s="1"/>
  <c r="AW25" i="41"/>
  <c r="AB25" i="41"/>
  <c r="I25" i="41"/>
  <c r="P25" i="41"/>
  <c r="T25" i="41"/>
  <c r="AB283" i="41"/>
  <c r="E283" i="41"/>
  <c r="J283" i="41" s="1"/>
  <c r="AW49" i="41"/>
  <c r="AB49" i="41"/>
  <c r="I49" i="41"/>
  <c r="P49" i="41"/>
  <c r="AB315" i="41"/>
  <c r="E315" i="41"/>
  <c r="AW81" i="41"/>
  <c r="AB81" i="41"/>
  <c r="J81" i="41"/>
  <c r="I81" i="41"/>
  <c r="AB339" i="41"/>
  <c r="E339" i="41"/>
  <c r="J339" i="41" s="1"/>
  <c r="AW105" i="41"/>
  <c r="AB105" i="41"/>
  <c r="I105" i="41"/>
  <c r="P105" i="41"/>
  <c r="AB363" i="41"/>
  <c r="E363" i="41"/>
  <c r="AB129" i="41"/>
  <c r="AW129" i="41"/>
  <c r="I129" i="41"/>
  <c r="J129" i="41"/>
  <c r="E395" i="41"/>
  <c r="AB395" i="41"/>
  <c r="AB161" i="41"/>
  <c r="AW161" i="41"/>
  <c r="H161" i="41"/>
  <c r="J161" i="41"/>
  <c r="N161" i="41"/>
  <c r="Q161" i="41"/>
  <c r="M161" i="41"/>
  <c r="I161" i="41"/>
  <c r="AB419" i="41"/>
  <c r="E419" i="41"/>
  <c r="AB185" i="41"/>
  <c r="AW185" i="41"/>
  <c r="J185" i="41"/>
  <c r="I185" i="41"/>
  <c r="AB467" i="41"/>
  <c r="E467" i="41"/>
  <c r="AW233" i="41"/>
  <c r="AB233" i="41"/>
  <c r="I233" i="41"/>
  <c r="J233" i="41"/>
  <c r="M233" i="41"/>
  <c r="AB261" i="41"/>
  <c r="AB27" i="41"/>
  <c r="E261" i="41"/>
  <c r="J261" i="41" s="1"/>
  <c r="AW27" i="41"/>
  <c r="I27" i="41"/>
  <c r="T27" i="41"/>
  <c r="P27" i="41"/>
  <c r="AB269" i="41"/>
  <c r="AB35" i="41"/>
  <c r="E269" i="41"/>
  <c r="J269" i="41" s="1"/>
  <c r="AW35" i="41"/>
  <c r="R35" i="41"/>
  <c r="I35" i="41"/>
  <c r="AB277" i="41"/>
  <c r="E277" i="41"/>
  <c r="AW43" i="41"/>
  <c r="AB43" i="41"/>
  <c r="J43" i="41"/>
  <c r="I43" i="41"/>
  <c r="AB285" i="41"/>
  <c r="E285" i="41"/>
  <c r="AW51" i="41"/>
  <c r="AB51" i="41"/>
  <c r="J51" i="41"/>
  <c r="M51" i="41"/>
  <c r="I51" i="41"/>
  <c r="AB293" i="41"/>
  <c r="AB59" i="41"/>
  <c r="E293" i="41"/>
  <c r="AW59" i="41"/>
  <c r="I59" i="41"/>
  <c r="J59" i="41"/>
  <c r="AB301" i="41"/>
  <c r="AB67" i="41"/>
  <c r="E301" i="41"/>
  <c r="AW67" i="41"/>
  <c r="J67" i="41"/>
  <c r="M67" i="41"/>
  <c r="I67" i="41"/>
  <c r="AB309" i="41"/>
  <c r="E309" i="41"/>
  <c r="J309" i="41" s="1"/>
  <c r="AW75" i="41"/>
  <c r="AB75" i="41"/>
  <c r="R75" i="41"/>
  <c r="I75" i="41"/>
  <c r="AB317" i="41"/>
  <c r="E317" i="41"/>
  <c r="AW83" i="41"/>
  <c r="AB83" i="41"/>
  <c r="K83" i="41"/>
  <c r="N83" i="41"/>
  <c r="J83" i="41"/>
  <c r="Q83" i="41"/>
  <c r="M83" i="41"/>
  <c r="I83" i="41"/>
  <c r="H83" i="41"/>
  <c r="AB325" i="41"/>
  <c r="AB91" i="41"/>
  <c r="E325" i="41"/>
  <c r="J325" i="41" s="1"/>
  <c r="AW91" i="41"/>
  <c r="I91" i="41"/>
  <c r="P91" i="41"/>
  <c r="AB333" i="41"/>
  <c r="AB99" i="41"/>
  <c r="E333" i="41"/>
  <c r="J333" i="41" s="1"/>
  <c r="AW99" i="41"/>
  <c r="I99" i="41"/>
  <c r="AB341" i="41"/>
  <c r="E341" i="41"/>
  <c r="AW107" i="41"/>
  <c r="AB107" i="41"/>
  <c r="M107" i="41"/>
  <c r="J107" i="41"/>
  <c r="I107" i="41"/>
  <c r="AB349" i="41"/>
  <c r="E349" i="41"/>
  <c r="AW115" i="41"/>
  <c r="AB115" i="41"/>
  <c r="M115" i="41"/>
  <c r="I115" i="41"/>
  <c r="J115" i="41"/>
  <c r="AB357" i="41"/>
  <c r="E357" i="41"/>
  <c r="AB123" i="41"/>
  <c r="AW123" i="41"/>
  <c r="I123" i="41"/>
  <c r="J123" i="41"/>
  <c r="AB365" i="41"/>
  <c r="E365" i="41"/>
  <c r="AB131" i="41"/>
  <c r="AW131" i="41"/>
  <c r="J131" i="41"/>
  <c r="I131" i="41"/>
  <c r="AB373" i="41"/>
  <c r="E373" i="41"/>
  <c r="AW139" i="41"/>
  <c r="AB139" i="41"/>
  <c r="M139" i="41"/>
  <c r="J139" i="41"/>
  <c r="I139" i="41"/>
  <c r="AB381" i="41"/>
  <c r="E381" i="41"/>
  <c r="AW147" i="41"/>
  <c r="AB147" i="41"/>
  <c r="J147" i="41"/>
  <c r="I147" i="41"/>
  <c r="AB389" i="41"/>
  <c r="E389" i="41"/>
  <c r="AB155" i="41"/>
  <c r="AW155" i="41"/>
  <c r="AB397" i="41"/>
  <c r="E397" i="41"/>
  <c r="J397" i="41" s="1"/>
  <c r="AB163" i="41"/>
  <c r="AW163" i="41"/>
  <c r="I163" i="41"/>
  <c r="T163" i="41"/>
  <c r="P163" i="41"/>
  <c r="AB405" i="41"/>
  <c r="E405" i="41"/>
  <c r="AW171" i="41"/>
  <c r="AB171" i="41"/>
  <c r="J171" i="41"/>
  <c r="N171" i="41"/>
  <c r="Q171" i="41"/>
  <c r="M171" i="41"/>
  <c r="I171" i="41"/>
  <c r="H171" i="41"/>
  <c r="AB413" i="41"/>
  <c r="E413" i="41"/>
  <c r="AB179" i="41"/>
  <c r="AW179" i="41"/>
  <c r="J179" i="41"/>
  <c r="I179" i="41"/>
  <c r="M179" i="41"/>
  <c r="AB421" i="41"/>
  <c r="E421" i="41"/>
  <c r="J421" i="41" s="1"/>
  <c r="AB187" i="41"/>
  <c r="AW187" i="41"/>
  <c r="I187" i="41"/>
  <c r="AB429" i="41"/>
  <c r="E429" i="41"/>
  <c r="J429" i="41" s="1"/>
  <c r="AB195" i="41"/>
  <c r="AW195" i="41"/>
  <c r="I195" i="41"/>
  <c r="AB437" i="41"/>
  <c r="E437" i="41"/>
  <c r="AW203" i="41"/>
  <c r="AB203" i="41"/>
  <c r="J203" i="41"/>
  <c r="I203" i="41"/>
  <c r="AB445" i="41"/>
  <c r="E445" i="41"/>
  <c r="AB211" i="41"/>
  <c r="AW211" i="41"/>
  <c r="J211" i="41"/>
  <c r="I211" i="41"/>
  <c r="M211" i="41"/>
  <c r="AB453" i="41"/>
  <c r="E453" i="41"/>
  <c r="J453" i="41" s="1"/>
  <c r="AB219" i="41"/>
  <c r="AW219" i="41"/>
  <c r="I219" i="41"/>
  <c r="AB461" i="41"/>
  <c r="E461" i="41"/>
  <c r="AB227" i="41"/>
  <c r="AW227" i="41"/>
  <c r="M227" i="41"/>
  <c r="J227" i="41"/>
  <c r="I227" i="41"/>
  <c r="AB469" i="41"/>
  <c r="E469" i="41"/>
  <c r="J469" i="41" s="1"/>
  <c r="AW235" i="41"/>
  <c r="AB235" i="41"/>
  <c r="I235" i="41"/>
  <c r="P235" i="41"/>
  <c r="AB477" i="41"/>
  <c r="E477" i="41"/>
  <c r="AB243" i="41"/>
  <c r="AW243" i="41"/>
  <c r="M243" i="41"/>
  <c r="J243" i="41"/>
  <c r="I243" i="41"/>
  <c r="AB471" i="41"/>
  <c r="E471" i="41"/>
  <c r="J471" i="41" s="1"/>
  <c r="AW237" i="41"/>
  <c r="AB237" i="41"/>
  <c r="AW134" i="41"/>
  <c r="AB134" i="41"/>
  <c r="AB368" i="41"/>
  <c r="E368" i="41"/>
  <c r="E410" i="41"/>
  <c r="J410" i="41" s="1"/>
  <c r="AB176" i="41"/>
  <c r="AW176" i="41"/>
  <c r="AB410" i="41"/>
  <c r="AB22" i="41"/>
  <c r="AM10" i="41" l="1"/>
  <c r="AM3" i="40"/>
  <c r="AN2" i="40" s="1"/>
  <c r="AP2" i="40" l="1"/>
  <c r="AO2" i="40"/>
  <c r="AN1" i="40"/>
  <c r="AO1" i="40" l="1"/>
  <c r="AP1" i="40"/>
  <c r="CA54" i="40" l="1"/>
  <c r="AB54" i="40"/>
  <c r="AC54" i="40"/>
  <c r="AD54" i="40"/>
  <c r="AE54" i="40"/>
  <c r="AF54" i="40"/>
  <c r="AG54" i="40"/>
  <c r="AH54" i="40"/>
  <c r="BX54" i="40"/>
  <c r="A7" i="42" l="1"/>
  <c r="B7" i="42" s="1"/>
  <c r="A8" i="42"/>
  <c r="B8" i="42" s="1"/>
  <c r="A9" i="42"/>
  <c r="B9" i="42" s="1"/>
  <c r="A10" i="42"/>
  <c r="B10" i="42" s="1"/>
  <c r="A11" i="42"/>
  <c r="B11" i="42" s="1"/>
  <c r="A12" i="42"/>
  <c r="B12" i="42" s="1"/>
  <c r="A13" i="42"/>
  <c r="B13" i="42" s="1"/>
  <c r="A14" i="42"/>
  <c r="B14" i="42" s="1"/>
  <c r="A15" i="42"/>
  <c r="B15" i="42" s="1"/>
  <c r="A16" i="42"/>
  <c r="B16" i="42" s="1"/>
  <c r="A17" i="42"/>
  <c r="B17" i="42" s="1"/>
  <c r="A18" i="42"/>
  <c r="B18" i="42" s="1"/>
  <c r="A19" i="42"/>
  <c r="B19" i="42" s="1"/>
  <c r="A20" i="42"/>
  <c r="B20" i="42" s="1"/>
  <c r="A21" i="42"/>
  <c r="B21" i="42" s="1"/>
  <c r="A22" i="42"/>
  <c r="B22" i="42" s="1"/>
  <c r="A23" i="42"/>
  <c r="B23" i="42" s="1"/>
  <c r="A24" i="42"/>
  <c r="B24" i="42" s="1"/>
  <c r="A25" i="42"/>
  <c r="B25" i="42" s="1"/>
  <c r="A26" i="42"/>
  <c r="B26" i="42" s="1"/>
  <c r="A27" i="42"/>
  <c r="B27" i="42" s="1"/>
  <c r="A28" i="42"/>
  <c r="B28" i="42" s="1"/>
  <c r="A29" i="42"/>
  <c r="B29" i="42" s="1"/>
  <c r="A30" i="42"/>
  <c r="B30" i="42" s="1"/>
  <c r="A31" i="42"/>
  <c r="B31" i="42" s="1"/>
  <c r="A32" i="42"/>
  <c r="B32" i="42" s="1"/>
  <c r="A33" i="42"/>
  <c r="B33" i="42" s="1"/>
  <c r="A34" i="42"/>
  <c r="B34" i="42" s="1"/>
  <c r="A35" i="42"/>
  <c r="B35" i="42" s="1"/>
  <c r="A36" i="42"/>
  <c r="B36" i="42" s="1"/>
  <c r="A37" i="42"/>
  <c r="B37" i="42" s="1"/>
  <c r="A38" i="42"/>
  <c r="B38" i="42" s="1"/>
  <c r="A39" i="42"/>
  <c r="B39" i="42" s="1"/>
  <c r="A40" i="42"/>
  <c r="B40" i="42" s="1"/>
  <c r="A41" i="42"/>
  <c r="B41" i="42" s="1"/>
  <c r="A42" i="42"/>
  <c r="B42" i="42" s="1"/>
  <c r="A43" i="42"/>
  <c r="B43" i="42" s="1"/>
  <c r="A44" i="42"/>
  <c r="B44" i="42" s="1"/>
  <c r="A45" i="42"/>
  <c r="B45" i="42" s="1"/>
  <c r="A46" i="42"/>
  <c r="B46" i="42" s="1"/>
  <c r="A47" i="42"/>
  <c r="B47" i="42" s="1"/>
  <c r="A48" i="42"/>
  <c r="B48" i="42" s="1"/>
  <c r="A49" i="42"/>
  <c r="B49" i="42" s="1"/>
  <c r="A50" i="42"/>
  <c r="B50" i="42" s="1"/>
  <c r="A51" i="42"/>
  <c r="B51" i="42" s="1"/>
  <c r="A52" i="42"/>
  <c r="B52" i="42" s="1"/>
  <c r="A53" i="42"/>
  <c r="B53" i="42" s="1"/>
  <c r="A54" i="42"/>
  <c r="B54" i="42" s="1"/>
  <c r="A55" i="42"/>
  <c r="B55" i="42" s="1"/>
  <c r="A56" i="42"/>
  <c r="B56" i="42" s="1"/>
  <c r="A57" i="42"/>
  <c r="B57" i="42" s="1"/>
  <c r="A58" i="42"/>
  <c r="B58" i="42" s="1"/>
  <c r="A59" i="42"/>
  <c r="B59" i="42" s="1"/>
  <c r="A60" i="42"/>
  <c r="B60" i="42" s="1"/>
  <c r="A61" i="42"/>
  <c r="B61" i="42" s="1"/>
  <c r="A62" i="42"/>
  <c r="B62" i="42" s="1"/>
  <c r="A63" i="42"/>
  <c r="B63" i="42" s="1"/>
  <c r="A64" i="42"/>
  <c r="B64" i="42" s="1"/>
  <c r="A65" i="42"/>
  <c r="B65" i="42" s="1"/>
  <c r="A66" i="42"/>
  <c r="B66" i="42" s="1"/>
  <c r="A67" i="42"/>
  <c r="B67" i="42" s="1"/>
  <c r="A68" i="42"/>
  <c r="B68" i="42" s="1"/>
  <c r="A69" i="42"/>
  <c r="B69" i="42" s="1"/>
  <c r="A70" i="42"/>
  <c r="B70" i="42" s="1"/>
  <c r="A71" i="42"/>
  <c r="B71" i="42" s="1"/>
  <c r="A72" i="42"/>
  <c r="B72" i="42" s="1"/>
  <c r="A73" i="42"/>
  <c r="B73" i="42" s="1"/>
  <c r="A74" i="42"/>
  <c r="B74" i="42" s="1"/>
  <c r="A75" i="42"/>
  <c r="B75" i="42" s="1"/>
  <c r="A76" i="42"/>
  <c r="B76" i="42" s="1"/>
  <c r="A77" i="42"/>
  <c r="B77" i="42" s="1"/>
  <c r="A78" i="42"/>
  <c r="B78" i="42" s="1"/>
  <c r="A79" i="42"/>
  <c r="B79" i="42" s="1"/>
  <c r="A80" i="42"/>
  <c r="B80" i="42" s="1"/>
  <c r="A81" i="42"/>
  <c r="B81" i="42" s="1"/>
  <c r="A82" i="42"/>
  <c r="B82" i="42" s="1"/>
  <c r="A83" i="42"/>
  <c r="B83" i="42" s="1"/>
  <c r="A84" i="42"/>
  <c r="B84" i="42" s="1"/>
  <c r="A85" i="42"/>
  <c r="B85" i="42" s="1"/>
  <c r="A86" i="42"/>
  <c r="B86" i="42" s="1"/>
  <c r="A87" i="42"/>
  <c r="B87" i="42" s="1"/>
  <c r="A88" i="42"/>
  <c r="B88" i="42" s="1"/>
  <c r="A89" i="42"/>
  <c r="B89" i="42" s="1"/>
  <c r="A90" i="42"/>
  <c r="B90" i="42" s="1"/>
  <c r="A91" i="42"/>
  <c r="B91" i="42" s="1"/>
  <c r="A92" i="42"/>
  <c r="B92" i="42" s="1"/>
  <c r="A93" i="42"/>
  <c r="B93" i="42" s="1"/>
  <c r="A94" i="42"/>
  <c r="B94" i="42" s="1"/>
  <c r="A95" i="42"/>
  <c r="B95" i="42" s="1"/>
  <c r="A96" i="42"/>
  <c r="B96" i="42" s="1"/>
  <c r="A97" i="42"/>
  <c r="B97" i="42" s="1"/>
  <c r="A98" i="42"/>
  <c r="B98" i="42" s="1"/>
  <c r="A99" i="42"/>
  <c r="B99" i="42" s="1"/>
  <c r="A100" i="42"/>
  <c r="B100" i="42" s="1"/>
  <c r="A101" i="42"/>
  <c r="B101" i="42" s="1"/>
  <c r="A102" i="42"/>
  <c r="B102" i="42" s="1"/>
  <c r="A103" i="42"/>
  <c r="B103" i="42" s="1"/>
  <c r="A104" i="42"/>
  <c r="B104" i="42" s="1"/>
  <c r="A105" i="42"/>
  <c r="B105" i="42" s="1"/>
  <c r="A106" i="42"/>
  <c r="B106" i="42" s="1"/>
  <c r="A107" i="42"/>
  <c r="B107" i="42" s="1"/>
  <c r="A108" i="42"/>
  <c r="B108" i="42" s="1"/>
  <c r="A109" i="42"/>
  <c r="B109" i="42" s="1"/>
  <c r="A110" i="42"/>
  <c r="B110" i="42" s="1"/>
  <c r="A111" i="42"/>
  <c r="B111" i="42" s="1"/>
  <c r="A112" i="42"/>
  <c r="B112" i="42" s="1"/>
  <c r="A113" i="42"/>
  <c r="B113" i="42" s="1"/>
  <c r="A114" i="42"/>
  <c r="B114" i="42" s="1"/>
  <c r="A115" i="42"/>
  <c r="B115" i="42" s="1"/>
  <c r="A116" i="42"/>
  <c r="B116" i="42" s="1"/>
  <c r="A117" i="42"/>
  <c r="B117" i="42" s="1"/>
  <c r="A118" i="42"/>
  <c r="B118" i="42" s="1"/>
  <c r="A119" i="42"/>
  <c r="B119" i="42" s="1"/>
  <c r="A120" i="42"/>
  <c r="B120" i="42" s="1"/>
  <c r="A121" i="42"/>
  <c r="B121" i="42" s="1"/>
  <c r="A122" i="42"/>
  <c r="B122" i="42" s="1"/>
  <c r="A123" i="42"/>
  <c r="B123" i="42" s="1"/>
  <c r="A124" i="42"/>
  <c r="B124" i="42" s="1"/>
  <c r="A125" i="42"/>
  <c r="B125" i="42" s="1"/>
  <c r="A126" i="42"/>
  <c r="B126" i="42" s="1"/>
  <c r="A127" i="42"/>
  <c r="B127" i="42" s="1"/>
  <c r="A128" i="42"/>
  <c r="B128" i="42" s="1"/>
  <c r="A129" i="42"/>
  <c r="B129" i="42" s="1"/>
  <c r="A130" i="42"/>
  <c r="B130" i="42" s="1"/>
  <c r="A131" i="42"/>
  <c r="B131" i="42" s="1"/>
  <c r="A132" i="42"/>
  <c r="B132" i="42" s="1"/>
  <c r="A133" i="42"/>
  <c r="B133" i="42" s="1"/>
  <c r="A134" i="42"/>
  <c r="B134" i="42" s="1"/>
  <c r="A135" i="42"/>
  <c r="B135" i="42" s="1"/>
  <c r="A136" i="42"/>
  <c r="B136" i="42" s="1"/>
  <c r="A137" i="42"/>
  <c r="B137" i="42" s="1"/>
  <c r="A138" i="42"/>
  <c r="B138" i="42" s="1"/>
  <c r="A139" i="42"/>
  <c r="B139" i="42" s="1"/>
  <c r="A140" i="42"/>
  <c r="B140" i="42" s="1"/>
  <c r="A141" i="42"/>
  <c r="B141" i="42" s="1"/>
  <c r="A142" i="42"/>
  <c r="B142" i="42" s="1"/>
  <c r="A143" i="42"/>
  <c r="B143" i="42" s="1"/>
  <c r="A144" i="42"/>
  <c r="B144" i="42" s="1"/>
  <c r="A145" i="42"/>
  <c r="B145" i="42" s="1"/>
  <c r="A146" i="42"/>
  <c r="B146" i="42" s="1"/>
  <c r="A147" i="42"/>
  <c r="B147" i="42" s="1"/>
  <c r="A148" i="42"/>
  <c r="B148" i="42" s="1"/>
  <c r="A149" i="42"/>
  <c r="B149" i="42" s="1"/>
  <c r="A150" i="42"/>
  <c r="B150" i="42" s="1"/>
  <c r="A151" i="42"/>
  <c r="B151" i="42" s="1"/>
  <c r="A152" i="42"/>
  <c r="B152" i="42" s="1"/>
  <c r="A153" i="42"/>
  <c r="B153" i="42" s="1"/>
  <c r="A154" i="42"/>
  <c r="B154" i="42" s="1"/>
  <c r="A155" i="42"/>
  <c r="B155" i="42" s="1"/>
  <c r="A156" i="42"/>
  <c r="B156" i="42" s="1"/>
  <c r="A157" i="42"/>
  <c r="B157" i="42" s="1"/>
  <c r="A158" i="42"/>
  <c r="B158" i="42" s="1"/>
  <c r="A159" i="42"/>
  <c r="B159" i="42" s="1"/>
  <c r="A160" i="42"/>
  <c r="B160" i="42" s="1"/>
  <c r="A161" i="42"/>
  <c r="B161" i="42" s="1"/>
  <c r="A162" i="42"/>
  <c r="B162" i="42" s="1"/>
  <c r="A163" i="42"/>
  <c r="B163" i="42" s="1"/>
  <c r="A164" i="42"/>
  <c r="B164" i="42" s="1"/>
  <c r="A165" i="42"/>
  <c r="B165" i="42" s="1"/>
  <c r="A166" i="42"/>
  <c r="B166" i="42" s="1"/>
  <c r="A167" i="42"/>
  <c r="B167" i="42" s="1"/>
  <c r="A168" i="42"/>
  <c r="B168" i="42" s="1"/>
  <c r="A169" i="42"/>
  <c r="B169" i="42" s="1"/>
  <c r="A170" i="42"/>
  <c r="B170" i="42" s="1"/>
  <c r="A171" i="42"/>
  <c r="B171" i="42" s="1"/>
  <c r="A172" i="42"/>
  <c r="B172" i="42" s="1"/>
  <c r="A173" i="42"/>
  <c r="B173" i="42" s="1"/>
  <c r="A174" i="42"/>
  <c r="B174" i="42" s="1"/>
  <c r="A175" i="42"/>
  <c r="B175" i="42" s="1"/>
  <c r="A176" i="42"/>
  <c r="B176" i="42" s="1"/>
  <c r="A177" i="42"/>
  <c r="B177" i="42" s="1"/>
  <c r="A178" i="42"/>
  <c r="B178" i="42" s="1"/>
  <c r="A179" i="42"/>
  <c r="B179" i="42" s="1"/>
  <c r="A180" i="42"/>
  <c r="B180" i="42" s="1"/>
  <c r="A181" i="42"/>
  <c r="B181" i="42" s="1"/>
  <c r="A182" i="42"/>
  <c r="B182" i="42" s="1"/>
  <c r="A183" i="42"/>
  <c r="B183" i="42" s="1"/>
  <c r="A184" i="42"/>
  <c r="B184" i="42" s="1"/>
  <c r="A185" i="42"/>
  <c r="B185" i="42" s="1"/>
  <c r="A186" i="42"/>
  <c r="B186" i="42" s="1"/>
  <c r="A187" i="42"/>
  <c r="B187" i="42" s="1"/>
  <c r="A188" i="42"/>
  <c r="B188" i="42" s="1"/>
  <c r="A189" i="42"/>
  <c r="B189" i="42" s="1"/>
  <c r="A190" i="42"/>
  <c r="B190" i="42" s="1"/>
  <c r="A191" i="42"/>
  <c r="B191" i="42" s="1"/>
  <c r="A192" i="42"/>
  <c r="B192" i="42" s="1"/>
  <c r="A193" i="42"/>
  <c r="B193" i="42" s="1"/>
  <c r="A194" i="42"/>
  <c r="B194" i="42" s="1"/>
  <c r="A195" i="42"/>
  <c r="B195" i="42" s="1"/>
  <c r="A196" i="42"/>
  <c r="B196" i="42" s="1"/>
  <c r="A197" i="42"/>
  <c r="B197" i="42" s="1"/>
  <c r="A198" i="42"/>
  <c r="B198" i="42" s="1"/>
  <c r="A199" i="42"/>
  <c r="B199" i="42" s="1"/>
  <c r="A200" i="42"/>
  <c r="B200" i="42" s="1"/>
  <c r="A201" i="42"/>
  <c r="B201" i="42" s="1"/>
  <c r="A202" i="42"/>
  <c r="B202" i="42" s="1"/>
  <c r="A203" i="42"/>
  <c r="B203" i="42" s="1"/>
  <c r="A204" i="42"/>
  <c r="B204" i="42" s="1"/>
  <c r="A205" i="42"/>
  <c r="B205" i="42" s="1"/>
  <c r="A206" i="42"/>
  <c r="B206" i="42" s="1"/>
  <c r="A207" i="42"/>
  <c r="B207" i="42" s="1"/>
  <c r="A208" i="42"/>
  <c r="B208" i="42" s="1"/>
  <c r="A209" i="42"/>
  <c r="B209" i="42" s="1"/>
  <c r="A210" i="42"/>
  <c r="B210" i="42" s="1"/>
  <c r="A211" i="42"/>
  <c r="B211" i="42" s="1"/>
  <c r="A212" i="42"/>
  <c r="B212" i="42" s="1"/>
  <c r="A213" i="42"/>
  <c r="B213" i="42" s="1"/>
  <c r="A214" i="42"/>
  <c r="B214" i="42" s="1"/>
  <c r="A215" i="42"/>
  <c r="B215" i="42" s="1"/>
  <c r="A216" i="42"/>
  <c r="B216" i="42" s="1"/>
  <c r="A217" i="42"/>
  <c r="B217" i="42" s="1"/>
  <c r="A218" i="42"/>
  <c r="B218" i="42" s="1"/>
  <c r="A219" i="42"/>
  <c r="B219" i="42" s="1"/>
  <c r="A220" i="42"/>
  <c r="B220" i="42" s="1"/>
  <c r="A221" i="42"/>
  <c r="B221" i="42" s="1"/>
  <c r="A222" i="42"/>
  <c r="B222" i="42" s="1"/>
  <c r="A223" i="42"/>
  <c r="B223" i="42" s="1"/>
  <c r="A224" i="42"/>
  <c r="B224" i="42" s="1"/>
  <c r="A225" i="42"/>
  <c r="B225" i="42" s="1"/>
  <c r="A226" i="42"/>
  <c r="B226" i="42" s="1"/>
  <c r="A227" i="42"/>
  <c r="B227" i="42" s="1"/>
  <c r="A228" i="42"/>
  <c r="B228" i="42" s="1"/>
  <c r="A229" i="42"/>
  <c r="B229" i="42" s="1"/>
  <c r="A230" i="42"/>
  <c r="B230" i="42" s="1"/>
  <c r="A231" i="42"/>
  <c r="B231" i="42" s="1"/>
  <c r="A232" i="42"/>
  <c r="B232" i="42" s="1"/>
  <c r="A233" i="42"/>
  <c r="B233" i="42" s="1"/>
  <c r="A234" i="42"/>
  <c r="B234" i="42" s="1"/>
  <c r="A235" i="42"/>
  <c r="B235" i="42" s="1"/>
  <c r="A236" i="42"/>
  <c r="B236" i="42" s="1"/>
  <c r="A237" i="42"/>
  <c r="B237" i="42" s="1"/>
  <c r="A238" i="42"/>
  <c r="B238" i="42" s="1"/>
  <c r="A239" i="42"/>
  <c r="B239" i="42" s="1"/>
  <c r="A240" i="42"/>
  <c r="B240" i="42" s="1"/>
  <c r="A241" i="42"/>
  <c r="B241" i="42" s="1"/>
  <c r="A242" i="42"/>
  <c r="B242" i="42" s="1"/>
  <c r="A243" i="42"/>
  <c r="B243" i="42" s="1"/>
  <c r="A244" i="42"/>
  <c r="B244" i="42" s="1"/>
  <c r="A245" i="42"/>
  <c r="B245" i="42" s="1"/>
  <c r="A246" i="42"/>
  <c r="B246" i="42" s="1"/>
  <c r="A247" i="42"/>
  <c r="B247" i="42" s="1"/>
  <c r="A248" i="42"/>
  <c r="B248" i="42" s="1"/>
  <c r="A249" i="42"/>
  <c r="B249" i="42" s="1"/>
  <c r="A250" i="42"/>
  <c r="B250" i="42" s="1"/>
  <c r="A251" i="42"/>
  <c r="B251" i="42" s="1"/>
  <c r="A252" i="42"/>
  <c r="B252" i="42" s="1"/>
  <c r="A253" i="42"/>
  <c r="B253" i="42" s="1"/>
  <c r="A254" i="42"/>
  <c r="B254" i="42" s="1"/>
  <c r="A255" i="42"/>
  <c r="B255" i="42" s="1"/>
  <c r="A256" i="42"/>
  <c r="B256" i="42" s="1"/>
  <c r="A257" i="42"/>
  <c r="B257" i="42" s="1"/>
  <c r="A258" i="42"/>
  <c r="B258" i="42" s="1"/>
  <c r="A259" i="42"/>
  <c r="B259" i="42" s="1"/>
  <c r="A260" i="42"/>
  <c r="B260" i="42" s="1"/>
  <c r="A261" i="42"/>
  <c r="B261" i="42" s="1"/>
  <c r="A262" i="42"/>
  <c r="B262" i="42" s="1"/>
  <c r="A263" i="42"/>
  <c r="B263" i="42" s="1"/>
  <c r="A264" i="42"/>
  <c r="B264" i="42" s="1"/>
  <c r="A265" i="42"/>
  <c r="B265" i="42" s="1"/>
  <c r="A266" i="42"/>
  <c r="B266" i="42" s="1"/>
  <c r="A267" i="42"/>
  <c r="B267" i="42" s="1"/>
  <c r="A268" i="42"/>
  <c r="B268" i="42" s="1"/>
  <c r="A269" i="42"/>
  <c r="B269" i="42" s="1"/>
  <c r="A270" i="42"/>
  <c r="B270" i="42" s="1"/>
  <c r="A271" i="42"/>
  <c r="B271" i="42" s="1"/>
  <c r="A272" i="42"/>
  <c r="B272" i="42" s="1"/>
  <c r="A273" i="42"/>
  <c r="B273" i="42" s="1"/>
  <c r="A274" i="42"/>
  <c r="B274" i="42" s="1"/>
  <c r="A275" i="42"/>
  <c r="B275" i="42" s="1"/>
  <c r="A276" i="42"/>
  <c r="B276" i="42" s="1"/>
  <c r="A277" i="42"/>
  <c r="B277" i="42" s="1"/>
  <c r="A278" i="42"/>
  <c r="B278" i="42" s="1"/>
  <c r="A279" i="42"/>
  <c r="B279" i="42" s="1"/>
  <c r="A280" i="42"/>
  <c r="B280" i="42" s="1"/>
  <c r="A281" i="42"/>
  <c r="B281" i="42" s="1"/>
  <c r="A282" i="42"/>
  <c r="B282" i="42" s="1"/>
  <c r="A283" i="42"/>
  <c r="B283" i="42" s="1"/>
  <c r="A284" i="42"/>
  <c r="B284" i="42" s="1"/>
  <c r="A285" i="42"/>
  <c r="B285" i="42" s="1"/>
  <c r="A286" i="42"/>
  <c r="B286" i="42" s="1"/>
  <c r="A287" i="42"/>
  <c r="B287" i="42" s="1"/>
  <c r="A288" i="42"/>
  <c r="B288" i="42" s="1"/>
  <c r="A289" i="42"/>
  <c r="B289" i="42" s="1"/>
  <c r="A290" i="42"/>
  <c r="B290" i="42" s="1"/>
  <c r="A291" i="42"/>
  <c r="B291" i="42" s="1"/>
  <c r="A292" i="42"/>
  <c r="B292" i="42" s="1"/>
  <c r="A293" i="42"/>
  <c r="B293" i="42" s="1"/>
  <c r="A294" i="42"/>
  <c r="B294" i="42" s="1"/>
  <c r="A295" i="42"/>
  <c r="B295" i="42" s="1"/>
  <c r="A296" i="42"/>
  <c r="B296" i="42" s="1"/>
  <c r="A297" i="42"/>
  <c r="B297" i="42" s="1"/>
  <c r="A298" i="42"/>
  <c r="B298" i="42" s="1"/>
  <c r="A299" i="42"/>
  <c r="B299" i="42" s="1"/>
  <c r="A300" i="42"/>
  <c r="B300" i="42" s="1"/>
  <c r="A301" i="42"/>
  <c r="B301" i="42" s="1"/>
  <c r="A302" i="42"/>
  <c r="B302" i="42" s="1"/>
  <c r="A303" i="42"/>
  <c r="B303" i="42" s="1"/>
  <c r="A304" i="42"/>
  <c r="B304" i="42" s="1"/>
  <c r="A305" i="42"/>
  <c r="B305" i="42" s="1"/>
  <c r="A306" i="42"/>
  <c r="B306" i="42" s="1"/>
  <c r="A307" i="42"/>
  <c r="B307" i="42" s="1"/>
  <c r="A308" i="42"/>
  <c r="B308" i="42" s="1"/>
  <c r="A309" i="42"/>
  <c r="B309" i="42" s="1"/>
  <c r="A310" i="42"/>
  <c r="B310" i="42" s="1"/>
  <c r="A311" i="42"/>
  <c r="B311" i="42" s="1"/>
  <c r="A312" i="42"/>
  <c r="B312" i="42" s="1"/>
  <c r="A313" i="42"/>
  <c r="B313" i="42" s="1"/>
  <c r="A314" i="42"/>
  <c r="B314" i="42" s="1"/>
  <c r="A315" i="42"/>
  <c r="B315" i="42" s="1"/>
  <c r="A316" i="42"/>
  <c r="B316" i="42" s="1"/>
  <c r="A317" i="42"/>
  <c r="B317" i="42" s="1"/>
  <c r="A318" i="42"/>
  <c r="B318" i="42" s="1"/>
  <c r="A319" i="42"/>
  <c r="B319" i="42" s="1"/>
  <c r="A320" i="42"/>
  <c r="B320" i="42" s="1"/>
  <c r="A321" i="42"/>
  <c r="B321" i="42" s="1"/>
  <c r="A322" i="42"/>
  <c r="B322" i="42" s="1"/>
  <c r="A323" i="42"/>
  <c r="B323" i="42" s="1"/>
  <c r="A324" i="42"/>
  <c r="B324" i="42" s="1"/>
  <c r="A325" i="42"/>
  <c r="B325" i="42" s="1"/>
  <c r="A326" i="42"/>
  <c r="B326" i="42" s="1"/>
  <c r="A327" i="42"/>
  <c r="B327" i="42" s="1"/>
  <c r="A328" i="42"/>
  <c r="B328" i="42" s="1"/>
  <c r="A329" i="42"/>
  <c r="B329" i="42" s="1"/>
  <c r="A330" i="42"/>
  <c r="B330" i="42" s="1"/>
  <c r="A331" i="42"/>
  <c r="B331" i="42" s="1"/>
  <c r="A332" i="42"/>
  <c r="B332" i="42" s="1"/>
  <c r="A333" i="42"/>
  <c r="B333" i="42" s="1"/>
  <c r="A334" i="42"/>
  <c r="B334" i="42" s="1"/>
  <c r="A335" i="42"/>
  <c r="B335" i="42" s="1"/>
  <c r="A336" i="42"/>
  <c r="B336" i="42" s="1"/>
  <c r="A337" i="42"/>
  <c r="B337" i="42" s="1"/>
  <c r="A338" i="42"/>
  <c r="B338" i="42" s="1"/>
  <c r="A339" i="42"/>
  <c r="B339" i="42" s="1"/>
  <c r="A340" i="42"/>
  <c r="B340" i="42" s="1"/>
  <c r="A341" i="42"/>
  <c r="B341" i="42" s="1"/>
  <c r="A342" i="42"/>
  <c r="B342" i="42" s="1"/>
  <c r="A343" i="42"/>
  <c r="B343" i="42" s="1"/>
  <c r="A344" i="42"/>
  <c r="B344" i="42" s="1"/>
  <c r="A345" i="42"/>
  <c r="B345" i="42" s="1"/>
  <c r="A346" i="42"/>
  <c r="B346" i="42" s="1"/>
  <c r="A347" i="42"/>
  <c r="B347" i="42" s="1"/>
  <c r="A348" i="42"/>
  <c r="B348" i="42" s="1"/>
  <c r="A349" i="42"/>
  <c r="B349" i="42" s="1"/>
  <c r="A350" i="42"/>
  <c r="B350" i="42" s="1"/>
  <c r="A351" i="42"/>
  <c r="B351" i="42" s="1"/>
  <c r="A352" i="42"/>
  <c r="B352" i="42" s="1"/>
  <c r="A353" i="42"/>
  <c r="B353" i="42" s="1"/>
  <c r="A354" i="42"/>
  <c r="B354" i="42" s="1"/>
  <c r="A355" i="42"/>
  <c r="B355" i="42" s="1"/>
  <c r="A356" i="42"/>
  <c r="B356" i="42" s="1"/>
  <c r="A357" i="42"/>
  <c r="B357" i="42" s="1"/>
  <c r="A358" i="42"/>
  <c r="B358" i="42" s="1"/>
  <c r="A359" i="42"/>
  <c r="B359" i="42" s="1"/>
  <c r="A360" i="42"/>
  <c r="B360" i="42" s="1"/>
  <c r="A361" i="42"/>
  <c r="B361" i="42" s="1"/>
  <c r="A362" i="42"/>
  <c r="B362" i="42" s="1"/>
  <c r="A363" i="42"/>
  <c r="B363" i="42" s="1"/>
  <c r="A364" i="42"/>
  <c r="B364" i="42" s="1"/>
  <c r="A365" i="42"/>
  <c r="B365" i="42" s="1"/>
  <c r="A366" i="42"/>
  <c r="B366" i="42" s="1"/>
  <c r="A367" i="42"/>
  <c r="B367" i="42" s="1"/>
  <c r="A368" i="42"/>
  <c r="B368" i="42" s="1"/>
  <c r="A369" i="42"/>
  <c r="B369" i="42" s="1"/>
  <c r="A370" i="42"/>
  <c r="B370" i="42" s="1"/>
  <c r="A371" i="42"/>
  <c r="B371" i="42" s="1"/>
  <c r="A372" i="42"/>
  <c r="B372" i="42" s="1"/>
  <c r="A373" i="42"/>
  <c r="B373" i="42" s="1"/>
  <c r="A374" i="42"/>
  <c r="B374" i="42" s="1"/>
  <c r="A375" i="42"/>
  <c r="B375" i="42" s="1"/>
  <c r="A376" i="42"/>
  <c r="B376" i="42" s="1"/>
  <c r="A377" i="42"/>
  <c r="B377" i="42" s="1"/>
  <c r="A378" i="42"/>
  <c r="B378" i="42" s="1"/>
  <c r="A379" i="42"/>
  <c r="B379" i="42" s="1"/>
  <c r="A380" i="42"/>
  <c r="B380" i="42" s="1"/>
  <c r="A381" i="42"/>
  <c r="B381" i="42" s="1"/>
  <c r="A382" i="42"/>
  <c r="B382" i="42" s="1"/>
  <c r="A383" i="42"/>
  <c r="B383" i="42" s="1"/>
  <c r="A384" i="42"/>
  <c r="B384" i="42" s="1"/>
  <c r="A385" i="42"/>
  <c r="B385" i="42" s="1"/>
  <c r="A386" i="42"/>
  <c r="B386" i="42" s="1"/>
  <c r="A387" i="42"/>
  <c r="B387" i="42" s="1"/>
  <c r="A388" i="42"/>
  <c r="B388" i="42" s="1"/>
  <c r="A389" i="42"/>
  <c r="B389" i="42" s="1"/>
  <c r="A390" i="42"/>
  <c r="B390" i="42" s="1"/>
  <c r="A391" i="42"/>
  <c r="B391" i="42" s="1"/>
  <c r="A392" i="42"/>
  <c r="B392" i="42" s="1"/>
  <c r="A393" i="42"/>
  <c r="B393" i="42" s="1"/>
  <c r="A394" i="42"/>
  <c r="B394" i="42" s="1"/>
  <c r="A395" i="42"/>
  <c r="B395" i="42" s="1"/>
  <c r="A396" i="42"/>
  <c r="B396" i="42" s="1"/>
  <c r="A397" i="42"/>
  <c r="B397" i="42" s="1"/>
  <c r="A398" i="42"/>
  <c r="B398" i="42" s="1"/>
  <c r="A399" i="42"/>
  <c r="B399" i="42" s="1"/>
  <c r="A400" i="42"/>
  <c r="B400" i="42" s="1"/>
  <c r="A401" i="42"/>
  <c r="B401" i="42" s="1"/>
  <c r="A402" i="42"/>
  <c r="B402" i="42" s="1"/>
  <c r="A403" i="42"/>
  <c r="B403" i="42" s="1"/>
  <c r="A404" i="42"/>
  <c r="B404" i="42" s="1"/>
  <c r="A405" i="42"/>
  <c r="B405" i="42" s="1"/>
  <c r="A406" i="42"/>
  <c r="B406" i="42" s="1"/>
  <c r="A407" i="42"/>
  <c r="B407" i="42" s="1"/>
  <c r="A408" i="42"/>
  <c r="B408" i="42" s="1"/>
  <c r="A409" i="42"/>
  <c r="B409" i="42" s="1"/>
  <c r="A410" i="42"/>
  <c r="B410" i="42" s="1"/>
  <c r="A411" i="42"/>
  <c r="B411" i="42" s="1"/>
  <c r="A412" i="42"/>
  <c r="B412" i="42" s="1"/>
  <c r="A413" i="42"/>
  <c r="B413" i="42" s="1"/>
  <c r="A414" i="42"/>
  <c r="B414" i="42" s="1"/>
  <c r="A415" i="42"/>
  <c r="B415" i="42" s="1"/>
  <c r="A416" i="42"/>
  <c r="B416" i="42" s="1"/>
  <c r="A417" i="42"/>
  <c r="B417" i="42" s="1"/>
  <c r="A418" i="42"/>
  <c r="B418" i="42" s="1"/>
  <c r="A419" i="42"/>
  <c r="B419" i="42" s="1"/>
  <c r="A420" i="42"/>
  <c r="B420" i="42" s="1"/>
  <c r="A421" i="42"/>
  <c r="B421" i="42" s="1"/>
  <c r="A422" i="42"/>
  <c r="B422" i="42" s="1"/>
  <c r="A423" i="42"/>
  <c r="B423" i="42" s="1"/>
  <c r="A424" i="42"/>
  <c r="B424" i="42" s="1"/>
  <c r="A425" i="42"/>
  <c r="B425" i="42" s="1"/>
  <c r="A426" i="42"/>
  <c r="B426" i="42" s="1"/>
  <c r="A427" i="42"/>
  <c r="B427" i="42" s="1"/>
  <c r="A428" i="42"/>
  <c r="B428" i="42" s="1"/>
  <c r="A429" i="42"/>
  <c r="B429" i="42" s="1"/>
  <c r="A430" i="42"/>
  <c r="B430" i="42" s="1"/>
  <c r="A431" i="42"/>
  <c r="B431" i="42" s="1"/>
  <c r="A432" i="42"/>
  <c r="B432" i="42" s="1"/>
  <c r="A433" i="42"/>
  <c r="B433" i="42" s="1"/>
  <c r="A434" i="42"/>
  <c r="B434" i="42" s="1"/>
  <c r="A435" i="42"/>
  <c r="B435" i="42" s="1"/>
  <c r="A436" i="42"/>
  <c r="B436" i="42" s="1"/>
  <c r="A437" i="42"/>
  <c r="B437" i="42" s="1"/>
  <c r="A438" i="42"/>
  <c r="B438" i="42" s="1"/>
  <c r="A439" i="42"/>
  <c r="B439" i="42" s="1"/>
  <c r="A440" i="42"/>
  <c r="B440" i="42" s="1"/>
  <c r="A441" i="42"/>
  <c r="B441" i="42" s="1"/>
  <c r="A442" i="42"/>
  <c r="B442" i="42" s="1"/>
  <c r="A443" i="42"/>
  <c r="B443" i="42" s="1"/>
  <c r="A444" i="42"/>
  <c r="B444" i="42" s="1"/>
  <c r="A445" i="42"/>
  <c r="B445" i="42" s="1"/>
  <c r="A446" i="42"/>
  <c r="B446" i="42" s="1"/>
  <c r="A447" i="42"/>
  <c r="B447" i="42" s="1"/>
  <c r="A448" i="42"/>
  <c r="B448" i="42" s="1"/>
  <c r="A449" i="42"/>
  <c r="B449" i="42" s="1"/>
  <c r="A450" i="42"/>
  <c r="B450" i="42" s="1"/>
  <c r="A451" i="42"/>
  <c r="B451" i="42" s="1"/>
  <c r="A452" i="42"/>
  <c r="B452" i="42" s="1"/>
  <c r="A453" i="42"/>
  <c r="B453" i="42" s="1"/>
  <c r="A454" i="42"/>
  <c r="B454" i="42" s="1"/>
  <c r="A455" i="42"/>
  <c r="B455" i="42" s="1"/>
  <c r="A456" i="42"/>
  <c r="B456" i="42" s="1"/>
  <c r="A457" i="42"/>
  <c r="B457" i="42" s="1"/>
  <c r="A458" i="42"/>
  <c r="B458" i="42" s="1"/>
  <c r="A459" i="42"/>
  <c r="B459" i="42" s="1"/>
  <c r="A460" i="42"/>
  <c r="B460" i="42" s="1"/>
  <c r="A461" i="42"/>
  <c r="B461" i="42" s="1"/>
  <c r="A462" i="42"/>
  <c r="B462" i="42" s="1"/>
  <c r="A463" i="42"/>
  <c r="B463" i="42" s="1"/>
  <c r="A464" i="42"/>
  <c r="B464" i="42" s="1"/>
  <c r="A465" i="42"/>
  <c r="B465" i="42" s="1"/>
  <c r="A466" i="42"/>
  <c r="B466" i="42" s="1"/>
  <c r="A467" i="42"/>
  <c r="B467" i="42" s="1"/>
  <c r="A468" i="42"/>
  <c r="B468" i="42" s="1"/>
  <c r="A469" i="42"/>
  <c r="B469" i="42" s="1"/>
  <c r="A470" i="42"/>
  <c r="B470" i="42" s="1"/>
  <c r="A471" i="42"/>
  <c r="B471" i="42" s="1"/>
  <c r="A472" i="42"/>
  <c r="B472" i="42" s="1"/>
  <c r="A473" i="42"/>
  <c r="B473" i="42" s="1"/>
  <c r="A474" i="42"/>
  <c r="B474" i="42" s="1"/>
  <c r="A475" i="42"/>
  <c r="B475" i="42" s="1"/>
  <c r="A476" i="42"/>
  <c r="B476" i="42" s="1"/>
  <c r="A477" i="42"/>
  <c r="B477" i="42" s="1"/>
  <c r="A478" i="42"/>
  <c r="B478" i="42" s="1"/>
  <c r="A479" i="42"/>
  <c r="B479" i="42" s="1"/>
  <c r="A480" i="42"/>
  <c r="B480" i="42" s="1"/>
  <c r="A481" i="42"/>
  <c r="B481" i="42" s="1"/>
  <c r="A482" i="42"/>
  <c r="B482" i="42" s="1"/>
  <c r="A483" i="42"/>
  <c r="B483" i="42" s="1"/>
  <c r="A484" i="42"/>
  <c r="B484" i="42" s="1"/>
  <c r="A485" i="42"/>
  <c r="B485" i="42" s="1"/>
  <c r="A486" i="42"/>
  <c r="B486" i="42" s="1"/>
  <c r="A487" i="42"/>
  <c r="B487" i="42" s="1"/>
  <c r="A488" i="42"/>
  <c r="B488" i="42" s="1"/>
  <c r="A489" i="42"/>
  <c r="B489" i="42" s="1"/>
  <c r="A490" i="42"/>
  <c r="B490" i="42" s="1"/>
  <c r="A491" i="42"/>
  <c r="B491" i="42" s="1"/>
  <c r="A492" i="42"/>
  <c r="B492" i="42" s="1"/>
  <c r="A493" i="42"/>
  <c r="B493" i="42" s="1"/>
  <c r="A494" i="42"/>
  <c r="B494" i="42" s="1"/>
  <c r="A495" i="42"/>
  <c r="B495" i="42" s="1"/>
  <c r="A496" i="42"/>
  <c r="B496" i="42" s="1"/>
  <c r="A497" i="42"/>
  <c r="B497" i="42" s="1"/>
  <c r="A498" i="42"/>
  <c r="B498" i="42" s="1"/>
  <c r="A499" i="42"/>
  <c r="B499" i="42" s="1"/>
  <c r="A500" i="42"/>
  <c r="B500" i="42" s="1"/>
  <c r="A501" i="42"/>
  <c r="B501" i="42" s="1"/>
  <c r="A502" i="42"/>
  <c r="B502" i="42" s="1"/>
  <c r="A503" i="42"/>
  <c r="B503" i="42" s="1"/>
  <c r="A504" i="42"/>
  <c r="B504" i="42" s="1"/>
  <c r="A505" i="42"/>
  <c r="B505" i="42" s="1"/>
  <c r="A506" i="42"/>
  <c r="B506" i="42" s="1"/>
  <c r="A507" i="42"/>
  <c r="B507" i="42" s="1"/>
  <c r="A508" i="42"/>
  <c r="B508" i="42" s="1"/>
  <c r="A509" i="42"/>
  <c r="B509" i="42" s="1"/>
  <c r="A510" i="42"/>
  <c r="B510" i="42" s="1"/>
  <c r="A511" i="42"/>
  <c r="B511" i="42" s="1"/>
  <c r="A512" i="42"/>
  <c r="B512" i="42" s="1"/>
  <c r="A513" i="42"/>
  <c r="B513" i="42" s="1"/>
  <c r="A514" i="42"/>
  <c r="B514" i="42" s="1"/>
  <c r="A515" i="42"/>
  <c r="B515" i="42" s="1"/>
  <c r="A516" i="42"/>
  <c r="B516" i="42" s="1"/>
  <c r="A517" i="42"/>
  <c r="B517" i="42" s="1"/>
  <c r="A518" i="42"/>
  <c r="B518" i="42" s="1"/>
  <c r="A519" i="42"/>
  <c r="B519" i="42" s="1"/>
  <c r="A520" i="42"/>
  <c r="B520" i="42" s="1"/>
  <c r="A521" i="42"/>
  <c r="B521" i="42" s="1"/>
  <c r="A522" i="42"/>
  <c r="B522" i="42" s="1"/>
  <c r="A523" i="42"/>
  <c r="B523" i="42" s="1"/>
  <c r="A524" i="42"/>
  <c r="B524" i="42" s="1"/>
  <c r="A525" i="42"/>
  <c r="B525" i="42" s="1"/>
  <c r="A526" i="42"/>
  <c r="B526" i="42" s="1"/>
  <c r="A527" i="42"/>
  <c r="B527" i="42" s="1"/>
  <c r="A528" i="42"/>
  <c r="B528" i="42" s="1"/>
  <c r="A529" i="42"/>
  <c r="B529" i="42" s="1"/>
  <c r="A530" i="42"/>
  <c r="B530" i="42" s="1"/>
  <c r="A531" i="42"/>
  <c r="B531" i="42" s="1"/>
  <c r="A532" i="42"/>
  <c r="B532" i="42" s="1"/>
  <c r="A533" i="42"/>
  <c r="B533" i="42" s="1"/>
  <c r="A534" i="42"/>
  <c r="B534" i="42" s="1"/>
  <c r="A535" i="42"/>
  <c r="B535" i="42" s="1"/>
  <c r="A536" i="42"/>
  <c r="B536" i="42" s="1"/>
  <c r="A537" i="42"/>
  <c r="B537" i="42" s="1"/>
  <c r="A538" i="42"/>
  <c r="B538" i="42" s="1"/>
  <c r="A539" i="42"/>
  <c r="B539" i="42" s="1"/>
  <c r="A540" i="42"/>
  <c r="B540" i="42" s="1"/>
  <c r="A541" i="42"/>
  <c r="B541" i="42" s="1"/>
  <c r="A542" i="42"/>
  <c r="B542" i="42" s="1"/>
  <c r="A543" i="42"/>
  <c r="B543" i="42" s="1"/>
  <c r="A544" i="42"/>
  <c r="B544" i="42" s="1"/>
  <c r="A545" i="42"/>
  <c r="B545" i="42" s="1"/>
  <c r="A546" i="42"/>
  <c r="B546" i="42" s="1"/>
  <c r="A547" i="42"/>
  <c r="B547" i="42" s="1"/>
  <c r="A548" i="42"/>
  <c r="B548" i="42" s="1"/>
  <c r="A549" i="42"/>
  <c r="B549" i="42" s="1"/>
  <c r="A550" i="42"/>
  <c r="B550" i="42" s="1"/>
  <c r="A551" i="42"/>
  <c r="B551" i="42" s="1"/>
  <c r="A552" i="42"/>
  <c r="B552" i="42" s="1"/>
  <c r="A553" i="42"/>
  <c r="B553" i="42" s="1"/>
  <c r="A554" i="42"/>
  <c r="B554" i="42" s="1"/>
  <c r="A555" i="42"/>
  <c r="B555" i="42" s="1"/>
  <c r="A556" i="42"/>
  <c r="B556" i="42" s="1"/>
  <c r="A557" i="42"/>
  <c r="B557" i="42" s="1"/>
  <c r="A558" i="42"/>
  <c r="B558" i="42" s="1"/>
  <c r="A559" i="42"/>
  <c r="B559" i="42" s="1"/>
  <c r="A560" i="42"/>
  <c r="B560" i="42" s="1"/>
  <c r="A561" i="42"/>
  <c r="B561" i="42" s="1"/>
  <c r="A562" i="42"/>
  <c r="B562" i="42" s="1"/>
  <c r="A563" i="42"/>
  <c r="B563" i="42" s="1"/>
  <c r="A564" i="42"/>
  <c r="B564" i="42" s="1"/>
  <c r="A565" i="42"/>
  <c r="B565" i="42" s="1"/>
  <c r="A566" i="42"/>
  <c r="B566" i="42" s="1"/>
  <c r="A567" i="42"/>
  <c r="B567" i="42" s="1"/>
  <c r="A568" i="42"/>
  <c r="B568" i="42" s="1"/>
  <c r="A569" i="42"/>
  <c r="B569" i="42" s="1"/>
  <c r="A570" i="42"/>
  <c r="B570" i="42" s="1"/>
  <c r="A571" i="42"/>
  <c r="B571" i="42" s="1"/>
  <c r="A572" i="42"/>
  <c r="B572" i="42" s="1"/>
  <c r="A573" i="42"/>
  <c r="B573" i="42" s="1"/>
  <c r="A574" i="42"/>
  <c r="B574" i="42" s="1"/>
  <c r="A575" i="42"/>
  <c r="B575" i="42" s="1"/>
  <c r="A576" i="42"/>
  <c r="B576" i="42" s="1"/>
  <c r="A577" i="42"/>
  <c r="B577" i="42" s="1"/>
  <c r="A578" i="42"/>
  <c r="B578" i="42" s="1"/>
  <c r="A579" i="42"/>
  <c r="B579" i="42" s="1"/>
  <c r="A580" i="42"/>
  <c r="B580" i="42" s="1"/>
  <c r="A581" i="42"/>
  <c r="B581" i="42" s="1"/>
  <c r="A582" i="42"/>
  <c r="B582" i="42" s="1"/>
  <c r="A583" i="42"/>
  <c r="B583" i="42" s="1"/>
  <c r="A584" i="42"/>
  <c r="B584" i="42" s="1"/>
  <c r="A585" i="42"/>
  <c r="B585" i="42" s="1"/>
  <c r="A586" i="42"/>
  <c r="B586" i="42" s="1"/>
  <c r="A587" i="42"/>
  <c r="B587" i="42" s="1"/>
  <c r="A588" i="42"/>
  <c r="B588" i="42" s="1"/>
  <c r="A589" i="42"/>
  <c r="B589" i="42" s="1"/>
  <c r="A590" i="42"/>
  <c r="B590" i="42" s="1"/>
  <c r="A591" i="42"/>
  <c r="B591" i="42" s="1"/>
  <c r="A592" i="42"/>
  <c r="B592" i="42" s="1"/>
  <c r="A593" i="42"/>
  <c r="B593" i="42" s="1"/>
  <c r="A594" i="42"/>
  <c r="B594" i="42" s="1"/>
  <c r="A595" i="42"/>
  <c r="B595" i="42" s="1"/>
  <c r="A596" i="42"/>
  <c r="B596" i="42" s="1"/>
  <c r="A597" i="42"/>
  <c r="B597" i="42" s="1"/>
  <c r="A598" i="42"/>
  <c r="B598" i="42" s="1"/>
  <c r="A599" i="42"/>
  <c r="B599" i="42" s="1"/>
  <c r="A600" i="42"/>
  <c r="B600" i="42" s="1"/>
  <c r="A601" i="42"/>
  <c r="B601" i="42" s="1"/>
  <c r="A602" i="42"/>
  <c r="B602" i="42" s="1"/>
  <c r="A603" i="42"/>
  <c r="B603" i="42" s="1"/>
  <c r="A604" i="42"/>
  <c r="B604" i="42" s="1"/>
  <c r="A605" i="42"/>
  <c r="B605" i="42" s="1"/>
  <c r="A606" i="42"/>
  <c r="B606" i="42" s="1"/>
  <c r="A607" i="42"/>
  <c r="B607" i="42" s="1"/>
  <c r="A608" i="42"/>
  <c r="B608" i="42" s="1"/>
  <c r="A609" i="42"/>
  <c r="B609" i="42" s="1"/>
  <c r="A610" i="42"/>
  <c r="B610" i="42" s="1"/>
  <c r="A611" i="42"/>
  <c r="B611" i="42" s="1"/>
  <c r="A612" i="42"/>
  <c r="B612" i="42" s="1"/>
  <c r="A613" i="42"/>
  <c r="B613" i="42" s="1"/>
  <c r="A614" i="42"/>
  <c r="B614" i="42" s="1"/>
  <c r="A615" i="42"/>
  <c r="B615" i="42" s="1"/>
  <c r="A616" i="42"/>
  <c r="B616" i="42" s="1"/>
  <c r="A617" i="42"/>
  <c r="B617" i="42" s="1"/>
  <c r="A618" i="42"/>
  <c r="B618" i="42" s="1"/>
  <c r="A619" i="42"/>
  <c r="B619" i="42" s="1"/>
  <c r="A620" i="42"/>
  <c r="B620" i="42" s="1"/>
  <c r="A621" i="42"/>
  <c r="B621" i="42" s="1"/>
  <c r="A622" i="42"/>
  <c r="B622" i="42" s="1"/>
  <c r="A623" i="42"/>
  <c r="B623" i="42" s="1"/>
  <c r="A624" i="42"/>
  <c r="B624" i="42" s="1"/>
  <c r="A625" i="42"/>
  <c r="B625" i="42" s="1"/>
  <c r="A626" i="42"/>
  <c r="B626" i="42" s="1"/>
  <c r="A627" i="42"/>
  <c r="B627" i="42" s="1"/>
  <c r="A628" i="42"/>
  <c r="B628" i="42" s="1"/>
  <c r="A629" i="42"/>
  <c r="B629" i="42" s="1"/>
  <c r="A630" i="42"/>
  <c r="B630" i="42" s="1"/>
  <c r="A631" i="42"/>
  <c r="B631" i="42" s="1"/>
  <c r="A632" i="42"/>
  <c r="B632" i="42" s="1"/>
  <c r="A633" i="42"/>
  <c r="B633" i="42" s="1"/>
  <c r="A634" i="42"/>
  <c r="B634" i="42" s="1"/>
  <c r="A635" i="42"/>
  <c r="B635" i="42" s="1"/>
  <c r="A636" i="42"/>
  <c r="B636" i="42" s="1"/>
  <c r="A637" i="42"/>
  <c r="B637" i="42" s="1"/>
  <c r="A638" i="42"/>
  <c r="B638" i="42" s="1"/>
  <c r="A639" i="42"/>
  <c r="B639" i="42" s="1"/>
  <c r="A640" i="42"/>
  <c r="B640" i="42" s="1"/>
  <c r="A641" i="42"/>
  <c r="B641" i="42" s="1"/>
  <c r="A642" i="42"/>
  <c r="B642" i="42" s="1"/>
  <c r="A643" i="42"/>
  <c r="B643" i="42" s="1"/>
  <c r="A644" i="42"/>
  <c r="B644" i="42" s="1"/>
  <c r="A645" i="42"/>
  <c r="B645" i="42" s="1"/>
  <c r="A646" i="42"/>
  <c r="B646" i="42" s="1"/>
  <c r="A647" i="42"/>
  <c r="B647" i="42" s="1"/>
  <c r="A648" i="42"/>
  <c r="B648" i="42" s="1"/>
  <c r="A649" i="42"/>
  <c r="B649" i="42" s="1"/>
  <c r="A650" i="42"/>
  <c r="B650" i="42" s="1"/>
  <c r="A651" i="42"/>
  <c r="B651" i="42" s="1"/>
  <c r="A652" i="42"/>
  <c r="B652" i="42" s="1"/>
  <c r="A653" i="42"/>
  <c r="B653" i="42" s="1"/>
  <c r="A654" i="42"/>
  <c r="B654" i="42" s="1"/>
  <c r="A655" i="42"/>
  <c r="B655" i="42" s="1"/>
  <c r="A656" i="42"/>
  <c r="B656" i="42" s="1"/>
  <c r="A657" i="42"/>
  <c r="B657" i="42" s="1"/>
  <c r="A658" i="42"/>
  <c r="B658" i="42" s="1"/>
  <c r="A659" i="42"/>
  <c r="B659" i="42" s="1"/>
  <c r="A660" i="42"/>
  <c r="B660" i="42" s="1"/>
  <c r="A661" i="42"/>
  <c r="B661" i="42" s="1"/>
  <c r="A662" i="42"/>
  <c r="B662" i="42" s="1"/>
  <c r="A663" i="42"/>
  <c r="B663" i="42" s="1"/>
  <c r="A664" i="42"/>
  <c r="B664" i="42" s="1"/>
  <c r="A665" i="42"/>
  <c r="B665" i="42" s="1"/>
  <c r="A666" i="42"/>
  <c r="B666" i="42" s="1"/>
  <c r="A667" i="42"/>
  <c r="B667" i="42" s="1"/>
  <c r="A668" i="42"/>
  <c r="B668" i="42" s="1"/>
  <c r="A669" i="42"/>
  <c r="B669" i="42" s="1"/>
  <c r="A670" i="42"/>
  <c r="B670" i="42" s="1"/>
  <c r="A671" i="42"/>
  <c r="B671" i="42" s="1"/>
  <c r="A672" i="42"/>
  <c r="B672" i="42" s="1"/>
  <c r="A673" i="42"/>
  <c r="B673" i="42" s="1"/>
  <c r="A674" i="42"/>
  <c r="B674" i="42" s="1"/>
  <c r="A675" i="42"/>
  <c r="B675" i="42" s="1"/>
  <c r="A676" i="42"/>
  <c r="B676" i="42" s="1"/>
  <c r="A677" i="42"/>
  <c r="B677" i="42" s="1"/>
  <c r="A678" i="42"/>
  <c r="B678" i="42" s="1"/>
  <c r="A679" i="42"/>
  <c r="B679" i="42" s="1"/>
  <c r="A680" i="42"/>
  <c r="B680" i="42" s="1"/>
  <c r="A681" i="42"/>
  <c r="B681" i="42" s="1"/>
  <c r="A682" i="42"/>
  <c r="B682" i="42" s="1"/>
  <c r="A683" i="42"/>
  <c r="B683" i="42" s="1"/>
  <c r="A684" i="42"/>
  <c r="B684" i="42" s="1"/>
  <c r="A685" i="42"/>
  <c r="B685" i="42" s="1"/>
  <c r="A686" i="42"/>
  <c r="B686" i="42" s="1"/>
  <c r="A687" i="42"/>
  <c r="B687" i="42" s="1"/>
  <c r="A688" i="42"/>
  <c r="B688" i="42" s="1"/>
  <c r="A689" i="42"/>
  <c r="B689" i="42" s="1"/>
  <c r="A690" i="42"/>
  <c r="B690" i="42" s="1"/>
  <c r="A691" i="42"/>
  <c r="B691" i="42" s="1"/>
  <c r="A692" i="42"/>
  <c r="B692" i="42" s="1"/>
  <c r="A693" i="42"/>
  <c r="B693" i="42" s="1"/>
  <c r="A694" i="42"/>
  <c r="B694" i="42" s="1"/>
  <c r="A695" i="42"/>
  <c r="B695" i="42" s="1"/>
  <c r="A696" i="42"/>
  <c r="B696" i="42" s="1"/>
  <c r="A697" i="42"/>
  <c r="B697" i="42" s="1"/>
  <c r="A698" i="42"/>
  <c r="B698" i="42" s="1"/>
  <c r="A699" i="42"/>
  <c r="B699" i="42" s="1"/>
  <c r="A700" i="42"/>
  <c r="B700" i="42" s="1"/>
  <c r="A701" i="42"/>
  <c r="B701" i="42" s="1"/>
  <c r="A702" i="42"/>
  <c r="B702" i="42" s="1"/>
  <c r="A703" i="42"/>
  <c r="B703" i="42" s="1"/>
  <c r="A704" i="42"/>
  <c r="B704" i="42" s="1"/>
  <c r="A705" i="42"/>
  <c r="B705" i="42" s="1"/>
  <c r="A706" i="42"/>
  <c r="B706" i="42" s="1"/>
  <c r="A707" i="42"/>
  <c r="B707" i="42" s="1"/>
  <c r="A708" i="42"/>
  <c r="B708" i="42" s="1"/>
  <c r="A709" i="42"/>
  <c r="B709" i="42" s="1"/>
  <c r="A710" i="42"/>
  <c r="B710" i="42" s="1"/>
  <c r="A711" i="42"/>
  <c r="B711" i="42" s="1"/>
  <c r="A712" i="42"/>
  <c r="B712" i="42" s="1"/>
  <c r="A713" i="42"/>
  <c r="B713" i="42" s="1"/>
  <c r="A714" i="42"/>
  <c r="B714" i="42" s="1"/>
  <c r="A715" i="42"/>
  <c r="B715" i="42" s="1"/>
  <c r="A716" i="42"/>
  <c r="B716" i="42" s="1"/>
  <c r="A717" i="42"/>
  <c r="B717" i="42" s="1"/>
  <c r="A718" i="42"/>
  <c r="B718" i="42" s="1"/>
  <c r="A719" i="42"/>
  <c r="B719" i="42" s="1"/>
  <c r="A720" i="42"/>
  <c r="B720" i="42" s="1"/>
  <c r="A721" i="42"/>
  <c r="B721" i="42" s="1"/>
  <c r="A722" i="42"/>
  <c r="B722" i="42" s="1"/>
  <c r="A723" i="42"/>
  <c r="B723" i="42" s="1"/>
  <c r="A724" i="42"/>
  <c r="B724" i="42" s="1"/>
  <c r="A725" i="42"/>
  <c r="B725" i="42" s="1"/>
  <c r="A726" i="42"/>
  <c r="B726" i="42" s="1"/>
  <c r="A727" i="42"/>
  <c r="B727" i="42" s="1"/>
  <c r="A728" i="42"/>
  <c r="B728" i="42" s="1"/>
  <c r="A729" i="42"/>
  <c r="B729" i="42" s="1"/>
  <c r="A730" i="42"/>
  <c r="B730" i="42" s="1"/>
  <c r="A731" i="42"/>
  <c r="B731" i="42" s="1"/>
  <c r="A732" i="42"/>
  <c r="B732" i="42" s="1"/>
  <c r="A733" i="42"/>
  <c r="B733" i="42" s="1"/>
  <c r="A734" i="42"/>
  <c r="B734" i="42" s="1"/>
  <c r="A735" i="42"/>
  <c r="B735" i="42" s="1"/>
  <c r="A736" i="42"/>
  <c r="B736" i="42" s="1"/>
  <c r="A737" i="42"/>
  <c r="B737" i="42" s="1"/>
  <c r="A738" i="42"/>
  <c r="B738" i="42" s="1"/>
  <c r="A739" i="42"/>
  <c r="B739" i="42" s="1"/>
  <c r="A740" i="42"/>
  <c r="B740" i="42" s="1"/>
  <c r="A741" i="42"/>
  <c r="B741" i="42" s="1"/>
  <c r="A742" i="42"/>
  <c r="B742" i="42" s="1"/>
  <c r="A743" i="42"/>
  <c r="B743" i="42" s="1"/>
  <c r="A744" i="42"/>
  <c r="B744" i="42" s="1"/>
  <c r="A745" i="42"/>
  <c r="B745" i="42" s="1"/>
  <c r="A746" i="42"/>
  <c r="B746" i="42" s="1"/>
  <c r="A747" i="42"/>
  <c r="B747" i="42" s="1"/>
  <c r="A748" i="42"/>
  <c r="B748" i="42" s="1"/>
  <c r="A749" i="42"/>
  <c r="B749" i="42" s="1"/>
  <c r="A750" i="42"/>
  <c r="B750" i="42" s="1"/>
  <c r="A751" i="42"/>
  <c r="B751" i="42" s="1"/>
  <c r="A752" i="42"/>
  <c r="B752" i="42" s="1"/>
  <c r="A753" i="42"/>
  <c r="B753" i="42" s="1"/>
  <c r="A754" i="42"/>
  <c r="B754" i="42" s="1"/>
  <c r="A755" i="42"/>
  <c r="B755" i="42" s="1"/>
  <c r="A756" i="42"/>
  <c r="B756" i="42" s="1"/>
  <c r="A757" i="42"/>
  <c r="B757" i="42" s="1"/>
  <c r="A758" i="42"/>
  <c r="B758" i="42" s="1"/>
  <c r="A759" i="42"/>
  <c r="B759" i="42" s="1"/>
  <c r="A760" i="42"/>
  <c r="B760" i="42" s="1"/>
  <c r="A761" i="42"/>
  <c r="B761" i="42" s="1"/>
  <c r="A762" i="42"/>
  <c r="B762" i="42" s="1"/>
  <c r="A763" i="42"/>
  <c r="B763" i="42" s="1"/>
  <c r="A764" i="42"/>
  <c r="B764" i="42" s="1"/>
  <c r="A765" i="42"/>
  <c r="B765" i="42" s="1"/>
  <c r="A766" i="42"/>
  <c r="B766" i="42" s="1"/>
  <c r="A767" i="42"/>
  <c r="B767" i="42" s="1"/>
  <c r="A768" i="42"/>
  <c r="B768" i="42" s="1"/>
  <c r="A769" i="42"/>
  <c r="B769" i="42" s="1"/>
  <c r="A770" i="42"/>
  <c r="B770" i="42" s="1"/>
  <c r="A771" i="42"/>
  <c r="B771" i="42" s="1"/>
  <c r="A772" i="42"/>
  <c r="B772" i="42" s="1"/>
  <c r="A773" i="42"/>
  <c r="B773" i="42" s="1"/>
  <c r="A774" i="42"/>
  <c r="B774" i="42" s="1"/>
  <c r="A775" i="42"/>
  <c r="B775" i="42" s="1"/>
  <c r="A776" i="42"/>
  <c r="B776" i="42" s="1"/>
  <c r="A777" i="42"/>
  <c r="B777" i="42" s="1"/>
  <c r="A778" i="42"/>
  <c r="B778" i="42" s="1"/>
  <c r="A779" i="42"/>
  <c r="B779" i="42" s="1"/>
  <c r="A780" i="42"/>
  <c r="B780" i="42" s="1"/>
  <c r="A781" i="42"/>
  <c r="B781" i="42" s="1"/>
  <c r="A782" i="42"/>
  <c r="B782" i="42" s="1"/>
  <c r="A783" i="42"/>
  <c r="B783" i="42" s="1"/>
  <c r="A784" i="42"/>
  <c r="B784" i="42" s="1"/>
  <c r="A785" i="42"/>
  <c r="B785" i="42" s="1"/>
  <c r="A786" i="42"/>
  <c r="B786" i="42" s="1"/>
  <c r="A787" i="42"/>
  <c r="B787" i="42" s="1"/>
  <c r="A788" i="42"/>
  <c r="B788" i="42" s="1"/>
  <c r="A789" i="42"/>
  <c r="B789" i="42" s="1"/>
  <c r="A790" i="42"/>
  <c r="B790" i="42" s="1"/>
  <c r="A791" i="42"/>
  <c r="B791" i="42" s="1"/>
  <c r="A792" i="42"/>
  <c r="B792" i="42" s="1"/>
  <c r="A793" i="42"/>
  <c r="B793" i="42" s="1"/>
  <c r="A794" i="42"/>
  <c r="B794" i="42" s="1"/>
  <c r="A795" i="42"/>
  <c r="B795" i="42" s="1"/>
  <c r="A796" i="42"/>
  <c r="B796" i="42" s="1"/>
  <c r="A797" i="42"/>
  <c r="B797" i="42" s="1"/>
  <c r="A798" i="42"/>
  <c r="B798" i="42" s="1"/>
  <c r="A799" i="42"/>
  <c r="B799" i="42" s="1"/>
  <c r="A800" i="42"/>
  <c r="B800" i="42" s="1"/>
  <c r="A801" i="42"/>
  <c r="B801" i="42" s="1"/>
  <c r="A802" i="42"/>
  <c r="B802" i="42" s="1"/>
  <c r="A803" i="42"/>
  <c r="B803" i="42" s="1"/>
  <c r="A804" i="42"/>
  <c r="B804" i="42" s="1"/>
  <c r="A805" i="42"/>
  <c r="B805" i="42" s="1"/>
  <c r="A806" i="42"/>
  <c r="B806" i="42" s="1"/>
  <c r="A807" i="42"/>
  <c r="B807" i="42" s="1"/>
  <c r="A808" i="42"/>
  <c r="B808" i="42" s="1"/>
  <c r="A809" i="42"/>
  <c r="B809" i="42" s="1"/>
  <c r="A810" i="42"/>
  <c r="B810" i="42" s="1"/>
  <c r="A811" i="42"/>
  <c r="B811" i="42" s="1"/>
  <c r="A812" i="42"/>
  <c r="B812" i="42" s="1"/>
  <c r="A813" i="42"/>
  <c r="B813" i="42" s="1"/>
  <c r="A814" i="42"/>
  <c r="B814" i="42" s="1"/>
  <c r="A815" i="42"/>
  <c r="B815" i="42" s="1"/>
  <c r="A816" i="42"/>
  <c r="B816" i="42" s="1"/>
  <c r="A817" i="42"/>
  <c r="B817" i="42" s="1"/>
  <c r="A818" i="42"/>
  <c r="B818" i="42" s="1"/>
  <c r="A819" i="42"/>
  <c r="B819" i="42" s="1"/>
  <c r="A820" i="42"/>
  <c r="B820" i="42" s="1"/>
  <c r="A821" i="42"/>
  <c r="B821" i="42" s="1"/>
  <c r="A822" i="42"/>
  <c r="B822" i="42" s="1"/>
  <c r="A823" i="42"/>
  <c r="B823" i="42" s="1"/>
  <c r="A824" i="42"/>
  <c r="B824" i="42" s="1"/>
  <c r="A825" i="42"/>
  <c r="B825" i="42" s="1"/>
  <c r="A826" i="42"/>
  <c r="B826" i="42" s="1"/>
  <c r="A827" i="42"/>
  <c r="B827" i="42" s="1"/>
  <c r="A828" i="42"/>
  <c r="B828" i="42" s="1"/>
  <c r="A829" i="42"/>
  <c r="B829" i="42" s="1"/>
  <c r="A830" i="42"/>
  <c r="B830" i="42" s="1"/>
  <c r="A831" i="42"/>
  <c r="B831" i="42" s="1"/>
  <c r="A832" i="42"/>
  <c r="B832" i="42" s="1"/>
  <c r="A833" i="42"/>
  <c r="B833" i="42" s="1"/>
  <c r="A834" i="42"/>
  <c r="B834" i="42" s="1"/>
  <c r="A835" i="42"/>
  <c r="B835" i="42" s="1"/>
  <c r="A836" i="42"/>
  <c r="B836" i="42" s="1"/>
  <c r="A837" i="42"/>
  <c r="B837" i="42" s="1"/>
  <c r="A838" i="42"/>
  <c r="B838" i="42" s="1"/>
  <c r="A839" i="42"/>
  <c r="B839" i="42" s="1"/>
  <c r="A840" i="42"/>
  <c r="B840" i="42" s="1"/>
  <c r="A841" i="42"/>
  <c r="B841" i="42" s="1"/>
  <c r="A842" i="42"/>
  <c r="B842" i="42" s="1"/>
  <c r="A843" i="42"/>
  <c r="B843" i="42" s="1"/>
  <c r="A844" i="42"/>
  <c r="B844" i="42" s="1"/>
  <c r="A845" i="42"/>
  <c r="B845" i="42" s="1"/>
  <c r="A846" i="42"/>
  <c r="B846" i="42" s="1"/>
  <c r="A847" i="42"/>
  <c r="B847" i="42" s="1"/>
  <c r="A848" i="42"/>
  <c r="B848" i="42" s="1"/>
  <c r="A849" i="42"/>
  <c r="B849" i="42" s="1"/>
  <c r="A850" i="42"/>
  <c r="B850" i="42" s="1"/>
  <c r="A851" i="42"/>
  <c r="B851" i="42" s="1"/>
  <c r="A852" i="42"/>
  <c r="B852" i="42" s="1"/>
  <c r="A853" i="42"/>
  <c r="B853" i="42" s="1"/>
  <c r="A854" i="42"/>
  <c r="B854" i="42" s="1"/>
  <c r="A855" i="42"/>
  <c r="B855" i="42" s="1"/>
  <c r="A856" i="42"/>
  <c r="B856" i="42" s="1"/>
  <c r="A857" i="42"/>
  <c r="B857" i="42" s="1"/>
  <c r="A858" i="42"/>
  <c r="B858" i="42" s="1"/>
  <c r="A859" i="42"/>
  <c r="B859" i="42" s="1"/>
  <c r="A860" i="42"/>
  <c r="B860" i="42" s="1"/>
  <c r="A861" i="42"/>
  <c r="B861" i="42" s="1"/>
  <c r="A862" i="42"/>
  <c r="B862" i="42" s="1"/>
  <c r="A863" i="42"/>
  <c r="B863" i="42" s="1"/>
  <c r="A864" i="42"/>
  <c r="B864" i="42" s="1"/>
  <c r="A865" i="42"/>
  <c r="B865" i="42" s="1"/>
  <c r="A866" i="42"/>
  <c r="B866" i="42" s="1"/>
  <c r="A867" i="42"/>
  <c r="B867" i="42" s="1"/>
  <c r="A868" i="42"/>
  <c r="B868" i="42" s="1"/>
  <c r="A869" i="42"/>
  <c r="B869" i="42" s="1"/>
  <c r="A870" i="42"/>
  <c r="B870" i="42" s="1"/>
  <c r="A871" i="42"/>
  <c r="B871" i="42" s="1"/>
  <c r="A872" i="42"/>
  <c r="B872" i="42" s="1"/>
  <c r="A873" i="42"/>
  <c r="B873" i="42" s="1"/>
  <c r="A874" i="42"/>
  <c r="B874" i="42" s="1"/>
  <c r="A875" i="42"/>
  <c r="B875" i="42" s="1"/>
  <c r="A876" i="42"/>
  <c r="B876" i="42" s="1"/>
  <c r="A877" i="42"/>
  <c r="B877" i="42" s="1"/>
  <c r="A878" i="42"/>
  <c r="B878" i="42" s="1"/>
  <c r="A879" i="42"/>
  <c r="B879" i="42" s="1"/>
  <c r="A880" i="42"/>
  <c r="B880" i="42" s="1"/>
  <c r="A881" i="42"/>
  <c r="B881" i="42" s="1"/>
  <c r="A882" i="42"/>
  <c r="B882" i="42" s="1"/>
  <c r="A883" i="42"/>
  <c r="B883" i="42" s="1"/>
  <c r="A884" i="42"/>
  <c r="B884" i="42" s="1"/>
  <c r="A885" i="42"/>
  <c r="B885" i="42" s="1"/>
  <c r="A886" i="42"/>
  <c r="B886" i="42" s="1"/>
  <c r="A887" i="42"/>
  <c r="B887" i="42" s="1"/>
  <c r="A888" i="42"/>
  <c r="B888" i="42" s="1"/>
  <c r="A889" i="42"/>
  <c r="B889" i="42" s="1"/>
  <c r="A890" i="42"/>
  <c r="B890" i="42" s="1"/>
  <c r="A891" i="42"/>
  <c r="B891" i="42" s="1"/>
  <c r="A892" i="42"/>
  <c r="B892" i="42" s="1"/>
  <c r="A893" i="42"/>
  <c r="B893" i="42" s="1"/>
  <c r="A894" i="42"/>
  <c r="B894" i="42" s="1"/>
  <c r="A895" i="42"/>
  <c r="B895" i="42" s="1"/>
  <c r="A896" i="42"/>
  <c r="B896" i="42" s="1"/>
  <c r="A897" i="42"/>
  <c r="B897" i="42" s="1"/>
  <c r="A898" i="42"/>
  <c r="B898" i="42" s="1"/>
  <c r="A899" i="42"/>
  <c r="B899" i="42" s="1"/>
  <c r="A900" i="42"/>
  <c r="B900" i="42" s="1"/>
  <c r="A901" i="42"/>
  <c r="B901" i="42" s="1"/>
  <c r="A902" i="42"/>
  <c r="B902" i="42" s="1"/>
  <c r="A903" i="42"/>
  <c r="B903" i="42" s="1"/>
  <c r="A904" i="42"/>
  <c r="B904" i="42" s="1"/>
  <c r="A905" i="42"/>
  <c r="B905" i="42" s="1"/>
  <c r="A906" i="42"/>
  <c r="B906" i="42" s="1"/>
  <c r="A907" i="42"/>
  <c r="B907" i="42" s="1"/>
  <c r="A908" i="42"/>
  <c r="B908" i="42" s="1"/>
  <c r="A909" i="42"/>
  <c r="B909" i="42" s="1"/>
  <c r="A910" i="42"/>
  <c r="B910" i="42" s="1"/>
  <c r="A911" i="42"/>
  <c r="B911" i="42" s="1"/>
  <c r="A912" i="42"/>
  <c r="B912" i="42" s="1"/>
  <c r="A913" i="42"/>
  <c r="B913" i="42" s="1"/>
  <c r="A914" i="42"/>
  <c r="B914" i="42" s="1"/>
  <c r="A915" i="42"/>
  <c r="B915" i="42" s="1"/>
  <c r="A916" i="42"/>
  <c r="B916" i="42" s="1"/>
  <c r="A917" i="42"/>
  <c r="B917" i="42" s="1"/>
  <c r="A918" i="42"/>
  <c r="B918" i="42" s="1"/>
  <c r="A919" i="42"/>
  <c r="B919" i="42" s="1"/>
  <c r="A920" i="42"/>
  <c r="B920" i="42" s="1"/>
  <c r="A921" i="42"/>
  <c r="B921" i="42" s="1"/>
  <c r="A922" i="42"/>
  <c r="B922" i="42" s="1"/>
  <c r="A923" i="42"/>
  <c r="B923" i="42" s="1"/>
  <c r="A924" i="42"/>
  <c r="B924" i="42" s="1"/>
  <c r="A925" i="42"/>
  <c r="B925" i="42" s="1"/>
  <c r="A926" i="42"/>
  <c r="B926" i="42" s="1"/>
  <c r="A927" i="42"/>
  <c r="B927" i="42" s="1"/>
  <c r="A928" i="42"/>
  <c r="B928" i="42" s="1"/>
  <c r="A929" i="42"/>
  <c r="B929" i="42" s="1"/>
  <c r="A930" i="42"/>
  <c r="B930" i="42" s="1"/>
  <c r="A931" i="42"/>
  <c r="B931" i="42" s="1"/>
  <c r="A932" i="42"/>
  <c r="B932" i="42" s="1"/>
  <c r="A933" i="42"/>
  <c r="B933" i="42" s="1"/>
  <c r="A934" i="42"/>
  <c r="B934" i="42" s="1"/>
  <c r="A935" i="42"/>
  <c r="B935" i="42" s="1"/>
  <c r="A936" i="42"/>
  <c r="B936" i="42" s="1"/>
  <c r="A937" i="42"/>
  <c r="B937" i="42" s="1"/>
  <c r="A938" i="42"/>
  <c r="B938" i="42" s="1"/>
  <c r="A939" i="42"/>
  <c r="B939" i="42" s="1"/>
  <c r="A940" i="42"/>
  <c r="B940" i="42" s="1"/>
  <c r="A941" i="42"/>
  <c r="B941" i="42" s="1"/>
  <c r="A942" i="42"/>
  <c r="B942" i="42" s="1"/>
  <c r="A943" i="42"/>
  <c r="B943" i="42" s="1"/>
  <c r="A944" i="42"/>
  <c r="B944" i="42" s="1"/>
  <c r="A945" i="42"/>
  <c r="B945" i="42" s="1"/>
  <c r="A946" i="42"/>
  <c r="B946" i="42" s="1"/>
  <c r="A947" i="42"/>
  <c r="B947" i="42" s="1"/>
  <c r="A948" i="42"/>
  <c r="B948" i="42" s="1"/>
  <c r="A949" i="42"/>
  <c r="B949" i="42" s="1"/>
  <c r="A950" i="42"/>
  <c r="B950" i="42" s="1"/>
  <c r="A951" i="42"/>
  <c r="B951" i="42" s="1"/>
  <c r="A952" i="42"/>
  <c r="B952" i="42" s="1"/>
  <c r="A953" i="42"/>
  <c r="B953" i="42" s="1"/>
  <c r="A954" i="42"/>
  <c r="B954" i="42" s="1"/>
  <c r="A955" i="42"/>
  <c r="B955" i="42" s="1"/>
  <c r="A956" i="42"/>
  <c r="B956" i="42" s="1"/>
  <c r="A957" i="42"/>
  <c r="B957" i="42" s="1"/>
  <c r="A958" i="42"/>
  <c r="B958" i="42" s="1"/>
  <c r="A959" i="42"/>
  <c r="B959" i="42" s="1"/>
  <c r="A960" i="42"/>
  <c r="B960" i="42" s="1"/>
  <c r="A961" i="42"/>
  <c r="B961" i="42" s="1"/>
  <c r="A962" i="42"/>
  <c r="B962" i="42" s="1"/>
  <c r="A963" i="42"/>
  <c r="B963" i="42" s="1"/>
  <c r="A964" i="42"/>
  <c r="B964" i="42" s="1"/>
  <c r="A965" i="42"/>
  <c r="B965" i="42" s="1"/>
  <c r="A966" i="42"/>
  <c r="B966" i="42" s="1"/>
  <c r="A967" i="42"/>
  <c r="B967" i="42" s="1"/>
  <c r="A968" i="42"/>
  <c r="B968" i="42" s="1"/>
  <c r="A969" i="42"/>
  <c r="B969" i="42" s="1"/>
  <c r="A970" i="42"/>
  <c r="B970" i="42" s="1"/>
  <c r="A971" i="42"/>
  <c r="B971" i="42" s="1"/>
  <c r="A972" i="42"/>
  <c r="B972" i="42" s="1"/>
  <c r="A973" i="42"/>
  <c r="B973" i="42" s="1"/>
  <c r="A974" i="42"/>
  <c r="B974" i="42" s="1"/>
  <c r="A975" i="42"/>
  <c r="B975" i="42" s="1"/>
  <c r="A976" i="42"/>
  <c r="B976" i="42" s="1"/>
  <c r="A977" i="42"/>
  <c r="B977" i="42" s="1"/>
  <c r="A978" i="42"/>
  <c r="B978" i="42" s="1"/>
  <c r="A979" i="42"/>
  <c r="B979" i="42" s="1"/>
  <c r="A980" i="42"/>
  <c r="B980" i="42" s="1"/>
  <c r="A981" i="42"/>
  <c r="B981" i="42" s="1"/>
  <c r="A982" i="42"/>
  <c r="B982" i="42" s="1"/>
  <c r="A983" i="42"/>
  <c r="B983" i="42" s="1"/>
  <c r="A984" i="42"/>
  <c r="B984" i="42" s="1"/>
  <c r="A985" i="42"/>
  <c r="B985" i="42" s="1"/>
  <c r="A986" i="42"/>
  <c r="B986" i="42" s="1"/>
  <c r="A987" i="42"/>
  <c r="B987" i="42" s="1"/>
  <c r="A988" i="42"/>
  <c r="B988" i="42" s="1"/>
  <c r="A989" i="42"/>
  <c r="B989" i="42" s="1"/>
  <c r="A990" i="42"/>
  <c r="B990" i="42" s="1"/>
  <c r="A991" i="42"/>
  <c r="B991" i="42" s="1"/>
  <c r="A992" i="42"/>
  <c r="B992" i="42" s="1"/>
  <c r="A993" i="42"/>
  <c r="B993" i="42" s="1"/>
  <c r="A994" i="42"/>
  <c r="B994" i="42" s="1"/>
  <c r="A995" i="42"/>
  <c r="B995" i="42" s="1"/>
  <c r="A996" i="42"/>
  <c r="B996" i="42" s="1"/>
  <c r="A997" i="42"/>
  <c r="B997" i="42" s="1"/>
  <c r="A998" i="42"/>
  <c r="B998" i="42" s="1"/>
  <c r="A999" i="42"/>
  <c r="B999" i="42" s="1"/>
  <c r="A1000" i="42"/>
  <c r="B1000" i="42" s="1"/>
  <c r="A1001" i="42"/>
  <c r="B1001" i="42" s="1"/>
  <c r="A1002" i="42"/>
  <c r="B1002" i="42" s="1"/>
  <c r="A1003" i="42"/>
  <c r="B1003" i="42" s="1"/>
  <c r="A1004" i="42"/>
  <c r="B1004" i="42" s="1"/>
  <c r="A1005" i="42"/>
  <c r="B1005" i="42" s="1"/>
  <c r="A1006" i="42"/>
  <c r="B1006" i="42" s="1"/>
  <c r="A1007" i="42"/>
  <c r="B1007" i="42" s="1"/>
  <c r="A1008" i="42"/>
  <c r="B1008" i="42" s="1"/>
  <c r="A1009" i="42"/>
  <c r="B1009" i="42" s="1"/>
  <c r="A1010" i="42"/>
  <c r="B1010" i="42" s="1"/>
  <c r="A1011" i="42"/>
  <c r="B1011" i="42" s="1"/>
  <c r="A1012" i="42"/>
  <c r="B1012" i="42" s="1"/>
  <c r="A1013" i="42"/>
  <c r="B1013" i="42" s="1"/>
  <c r="A1014" i="42"/>
  <c r="B1014" i="42" s="1"/>
  <c r="A1015" i="42"/>
  <c r="B1015" i="42" s="1"/>
  <c r="A1016" i="42"/>
  <c r="B1016" i="42" s="1"/>
  <c r="A1017" i="42"/>
  <c r="B1017" i="42" s="1"/>
  <c r="A1018" i="42"/>
  <c r="B1018" i="42" s="1"/>
  <c r="A1019" i="42"/>
  <c r="B1019" i="42" s="1"/>
  <c r="A1020" i="42"/>
  <c r="B1020" i="42" s="1"/>
  <c r="A1021" i="42"/>
  <c r="B1021" i="42" s="1"/>
  <c r="A1022" i="42"/>
  <c r="B1022" i="42" s="1"/>
  <c r="A1023" i="42"/>
  <c r="B1023" i="42" s="1"/>
  <c r="A1024" i="42"/>
  <c r="B1024" i="42" s="1"/>
  <c r="A1025" i="42"/>
  <c r="B1025" i="42" s="1"/>
  <c r="A1026" i="42"/>
  <c r="B1026" i="42" s="1"/>
  <c r="A1027" i="42"/>
  <c r="B1027" i="42" s="1"/>
  <c r="A1028" i="42"/>
  <c r="B1028" i="42" s="1"/>
  <c r="A1029" i="42"/>
  <c r="B1029" i="42" s="1"/>
  <c r="A1030" i="42"/>
  <c r="B1030" i="42" s="1"/>
  <c r="A1031" i="42"/>
  <c r="B1031" i="42" s="1"/>
  <c r="A1032" i="42"/>
  <c r="B1032" i="42" s="1"/>
  <c r="A1033" i="42"/>
  <c r="B1033" i="42" s="1"/>
  <c r="A1034" i="42"/>
  <c r="B1034" i="42" s="1"/>
  <c r="A1035" i="42"/>
  <c r="B1035" i="42" s="1"/>
  <c r="A1036" i="42"/>
  <c r="B1036" i="42" s="1"/>
  <c r="A1037" i="42"/>
  <c r="B1037" i="42" s="1"/>
  <c r="A1038" i="42"/>
  <c r="B1038" i="42" s="1"/>
  <c r="A1039" i="42"/>
  <c r="B1039" i="42" s="1"/>
  <c r="A1040" i="42"/>
  <c r="B1040" i="42" s="1"/>
  <c r="A1041" i="42"/>
  <c r="B1041" i="42" s="1"/>
  <c r="A1042" i="42"/>
  <c r="B1042" i="42" s="1"/>
  <c r="A1043" i="42"/>
  <c r="B1043" i="42" s="1"/>
  <c r="A1044" i="42"/>
  <c r="B1044" i="42" s="1"/>
  <c r="A1045" i="42"/>
  <c r="B1045" i="42" s="1"/>
  <c r="A1046" i="42"/>
  <c r="B1046" i="42" s="1"/>
  <c r="A1047" i="42"/>
  <c r="B1047" i="42" s="1"/>
  <c r="A1048" i="42"/>
  <c r="B1048" i="42" s="1"/>
  <c r="A1049" i="42"/>
  <c r="B1049" i="42" s="1"/>
  <c r="A1050" i="42"/>
  <c r="B1050" i="42" s="1"/>
  <c r="A1051" i="42"/>
  <c r="B1051" i="42" s="1"/>
  <c r="A1052" i="42"/>
  <c r="B1052" i="42" s="1"/>
  <c r="A1053" i="42"/>
  <c r="B1053" i="42" s="1"/>
  <c r="A1054" i="42"/>
  <c r="B1054" i="42" s="1"/>
  <c r="A1055" i="42"/>
  <c r="B1055" i="42" s="1"/>
  <c r="A1056" i="42"/>
  <c r="B1056" i="42" s="1"/>
  <c r="A1057" i="42"/>
  <c r="B1057" i="42" s="1"/>
  <c r="A1058" i="42"/>
  <c r="B1058" i="42" s="1"/>
  <c r="A1059" i="42"/>
  <c r="B1059" i="42" s="1"/>
  <c r="A1060" i="42"/>
  <c r="B1060" i="42" s="1"/>
  <c r="A1061" i="42"/>
  <c r="B1061" i="42" s="1"/>
  <c r="A1062" i="42"/>
  <c r="B1062" i="42" s="1"/>
  <c r="A1063" i="42"/>
  <c r="B1063" i="42" s="1"/>
  <c r="A1064" i="42"/>
  <c r="B1064" i="42" s="1"/>
  <c r="A1065" i="42"/>
  <c r="B1065" i="42" s="1"/>
  <c r="A1066" i="42"/>
  <c r="B1066" i="42" s="1"/>
  <c r="A1067" i="42"/>
  <c r="B1067" i="42" s="1"/>
  <c r="A1068" i="42"/>
  <c r="B1068" i="42" s="1"/>
  <c r="A1069" i="42"/>
  <c r="B1069" i="42" s="1"/>
  <c r="A1070" i="42"/>
  <c r="B1070" i="42" s="1"/>
  <c r="A1071" i="42"/>
  <c r="B1071" i="42" s="1"/>
  <c r="A1072" i="42"/>
  <c r="B1072" i="42" s="1"/>
  <c r="A1073" i="42"/>
  <c r="B1073" i="42" s="1"/>
  <c r="A1074" i="42"/>
  <c r="B1074" i="42" s="1"/>
  <c r="A1075" i="42"/>
  <c r="B1075" i="42" s="1"/>
  <c r="A1076" i="42"/>
  <c r="B1076" i="42" s="1"/>
  <c r="A1077" i="42"/>
  <c r="B1077" i="42" s="1"/>
  <c r="A1078" i="42"/>
  <c r="B1078" i="42" s="1"/>
  <c r="A1079" i="42"/>
  <c r="B1079" i="42" s="1"/>
  <c r="A1080" i="42"/>
  <c r="B1080" i="42" s="1"/>
  <c r="A1081" i="42"/>
  <c r="B1081" i="42" s="1"/>
  <c r="A1082" i="42"/>
  <c r="B1082" i="42" s="1"/>
  <c r="A1083" i="42"/>
  <c r="B1083" i="42" s="1"/>
  <c r="A1084" i="42"/>
  <c r="B1084" i="42" s="1"/>
  <c r="A1085" i="42"/>
  <c r="B1085" i="42" s="1"/>
  <c r="A1086" i="42"/>
  <c r="B1086" i="42" s="1"/>
  <c r="A1087" i="42"/>
  <c r="B1087" i="42" s="1"/>
  <c r="A1088" i="42"/>
  <c r="B1088" i="42" s="1"/>
  <c r="A1089" i="42"/>
  <c r="B1089" i="42" s="1"/>
  <c r="A1090" i="42"/>
  <c r="B1090" i="42" s="1"/>
  <c r="A1091" i="42"/>
  <c r="B1091" i="42" s="1"/>
  <c r="A1092" i="42"/>
  <c r="B1092" i="42" s="1"/>
  <c r="A1093" i="42"/>
  <c r="B1093" i="42" s="1"/>
  <c r="A1094" i="42"/>
  <c r="B1094" i="42" s="1"/>
  <c r="A1095" i="42"/>
  <c r="B1095" i="42" s="1"/>
  <c r="A1096" i="42"/>
  <c r="B1096" i="42" s="1"/>
  <c r="A1097" i="42"/>
  <c r="B1097" i="42" s="1"/>
  <c r="A1098" i="42"/>
  <c r="B1098" i="42" s="1"/>
  <c r="A1099" i="42"/>
  <c r="B1099" i="42" s="1"/>
  <c r="A1100" i="42"/>
  <c r="B1100" i="42" s="1"/>
  <c r="A1101" i="42"/>
  <c r="B1101" i="42" s="1"/>
  <c r="A1102" i="42"/>
  <c r="B1102" i="42" s="1"/>
  <c r="A1103" i="42"/>
  <c r="B1103" i="42" s="1"/>
  <c r="A1104" i="42"/>
  <c r="B1104" i="42" s="1"/>
  <c r="A1105" i="42"/>
  <c r="B1105" i="42" s="1"/>
  <c r="A1106" i="42"/>
  <c r="B1106" i="42" s="1"/>
  <c r="A1107" i="42"/>
  <c r="B1107" i="42" s="1"/>
  <c r="A1108" i="42"/>
  <c r="B1108" i="42" s="1"/>
  <c r="A1109" i="42"/>
  <c r="B1109" i="42" s="1"/>
  <c r="A1110" i="42"/>
  <c r="B1110" i="42" s="1"/>
  <c r="A1111" i="42"/>
  <c r="B1111" i="42" s="1"/>
  <c r="A1112" i="42"/>
  <c r="B1112" i="42" s="1"/>
  <c r="A1113" i="42"/>
  <c r="B1113" i="42" s="1"/>
  <c r="A1114" i="42"/>
  <c r="B1114" i="42" s="1"/>
  <c r="A1115" i="42"/>
  <c r="B1115" i="42" s="1"/>
  <c r="A1116" i="42"/>
  <c r="B1116" i="42" s="1"/>
  <c r="A1117" i="42"/>
  <c r="B1117" i="42" s="1"/>
  <c r="A1118" i="42"/>
  <c r="B1118" i="42" s="1"/>
  <c r="A1119" i="42"/>
  <c r="B1119" i="42" s="1"/>
  <c r="A1120" i="42"/>
  <c r="B1120" i="42" s="1"/>
  <c r="A1121" i="42"/>
  <c r="B1121" i="42" s="1"/>
  <c r="A1122" i="42"/>
  <c r="B1122" i="42" s="1"/>
  <c r="A1123" i="42"/>
  <c r="B1123" i="42" s="1"/>
  <c r="A1124" i="42"/>
  <c r="B1124" i="42" s="1"/>
  <c r="A1125" i="42"/>
  <c r="B1125" i="42" s="1"/>
  <c r="A1126" i="42"/>
  <c r="B1126" i="42" s="1"/>
  <c r="A1127" i="42"/>
  <c r="B1127" i="42" s="1"/>
  <c r="A1128" i="42"/>
  <c r="B1128" i="42" s="1"/>
  <c r="A1129" i="42"/>
  <c r="B1129" i="42" s="1"/>
  <c r="A1130" i="42"/>
  <c r="B1130" i="42" s="1"/>
  <c r="A1131" i="42"/>
  <c r="B1131" i="42" s="1"/>
  <c r="A1132" i="42"/>
  <c r="B1132" i="42" s="1"/>
  <c r="A1133" i="42"/>
  <c r="B1133" i="42" s="1"/>
  <c r="A1134" i="42"/>
  <c r="B1134" i="42" s="1"/>
  <c r="A1135" i="42"/>
  <c r="B1135" i="42" s="1"/>
  <c r="A1136" i="42"/>
  <c r="B1136" i="42" s="1"/>
  <c r="A1137" i="42"/>
  <c r="B1137" i="42" s="1"/>
  <c r="A1138" i="42"/>
  <c r="B1138" i="42" s="1"/>
  <c r="A1139" i="42"/>
  <c r="B1139" i="42" s="1"/>
  <c r="A1140" i="42"/>
  <c r="B1140" i="42" s="1"/>
  <c r="A1141" i="42"/>
  <c r="B1141" i="42" s="1"/>
  <c r="A1142" i="42"/>
  <c r="B1142" i="42" s="1"/>
  <c r="A1143" i="42"/>
  <c r="B1143" i="42" s="1"/>
  <c r="A1144" i="42"/>
  <c r="B1144" i="42" s="1"/>
  <c r="A1145" i="42"/>
  <c r="B1145" i="42" s="1"/>
  <c r="A1146" i="42"/>
  <c r="B1146" i="42" s="1"/>
  <c r="A1147" i="42"/>
  <c r="B1147" i="42" s="1"/>
  <c r="A1148" i="42"/>
  <c r="B1148" i="42" s="1"/>
  <c r="A1149" i="42"/>
  <c r="B1149" i="42" s="1"/>
  <c r="A1150" i="42"/>
  <c r="B1150" i="42" s="1"/>
  <c r="A1151" i="42"/>
  <c r="B1151" i="42" s="1"/>
  <c r="A1152" i="42"/>
  <c r="B1152" i="42" s="1"/>
  <c r="A1153" i="42"/>
  <c r="B1153" i="42" s="1"/>
  <c r="A1154" i="42"/>
  <c r="B1154" i="42" s="1"/>
  <c r="A1155" i="42"/>
  <c r="B1155" i="42" s="1"/>
  <c r="A1156" i="42"/>
  <c r="B1156" i="42" s="1"/>
  <c r="A1157" i="42"/>
  <c r="B1157" i="42" s="1"/>
  <c r="A1158" i="42"/>
  <c r="B1158" i="42" s="1"/>
  <c r="A1159" i="42"/>
  <c r="B1159" i="42" s="1"/>
  <c r="A1160" i="42"/>
  <c r="B1160" i="42" s="1"/>
  <c r="A1161" i="42"/>
  <c r="B1161" i="42" s="1"/>
  <c r="A1162" i="42"/>
  <c r="B1162" i="42" s="1"/>
  <c r="A1163" i="42"/>
  <c r="B1163" i="42" s="1"/>
  <c r="A1164" i="42"/>
  <c r="B1164" i="42" s="1"/>
  <c r="A1165" i="42"/>
  <c r="B1165" i="42" s="1"/>
  <c r="A1166" i="42"/>
  <c r="B1166" i="42" s="1"/>
  <c r="A1167" i="42"/>
  <c r="B1167" i="42" s="1"/>
  <c r="A1168" i="42"/>
  <c r="B1168" i="42" s="1"/>
  <c r="A1169" i="42"/>
  <c r="B1169" i="42" s="1"/>
  <c r="A1170" i="42"/>
  <c r="B1170" i="42" s="1"/>
  <c r="A1171" i="42"/>
  <c r="B1171" i="42" s="1"/>
  <c r="A1172" i="42"/>
  <c r="B1172" i="42" s="1"/>
  <c r="A1173" i="42"/>
  <c r="B1173" i="42" s="1"/>
  <c r="A1174" i="42"/>
  <c r="B1174" i="42" s="1"/>
  <c r="A1175" i="42"/>
  <c r="B1175" i="42" s="1"/>
  <c r="A1176" i="42"/>
  <c r="B1176" i="42" s="1"/>
  <c r="A1177" i="42"/>
  <c r="B1177" i="42" s="1"/>
  <c r="A1178" i="42"/>
  <c r="B1178" i="42" s="1"/>
  <c r="A1179" i="42"/>
  <c r="B1179" i="42" s="1"/>
  <c r="A1180" i="42"/>
  <c r="B1180" i="42" s="1"/>
  <c r="A1181" i="42"/>
  <c r="B1181" i="42" s="1"/>
  <c r="A1182" i="42"/>
  <c r="B1182" i="42" s="1"/>
  <c r="A1183" i="42"/>
  <c r="B1183" i="42" s="1"/>
  <c r="A1184" i="42"/>
  <c r="B1184" i="42" s="1"/>
  <c r="A1185" i="42"/>
  <c r="B1185" i="42" s="1"/>
  <c r="A1186" i="42"/>
  <c r="B1186" i="42" s="1"/>
  <c r="A1187" i="42"/>
  <c r="B1187" i="42" s="1"/>
  <c r="A1188" i="42"/>
  <c r="B1188" i="42" s="1"/>
  <c r="A1189" i="42"/>
  <c r="B1189" i="42" s="1"/>
  <c r="A1190" i="42"/>
  <c r="B1190" i="42" s="1"/>
  <c r="A1191" i="42"/>
  <c r="B1191" i="42" s="1"/>
  <c r="A1192" i="42"/>
  <c r="B1192" i="42" s="1"/>
  <c r="A1193" i="42"/>
  <c r="B1193" i="42" s="1"/>
  <c r="A1194" i="42"/>
  <c r="B1194" i="42" s="1"/>
  <c r="A1195" i="42"/>
  <c r="B1195" i="42" s="1"/>
  <c r="A1196" i="42"/>
  <c r="B1196" i="42" s="1"/>
  <c r="A1197" i="42"/>
  <c r="B1197" i="42" s="1"/>
  <c r="A1198" i="42"/>
  <c r="B1198" i="42" s="1"/>
  <c r="A1199" i="42"/>
  <c r="B1199" i="42" s="1"/>
  <c r="A1200" i="42"/>
  <c r="B1200" i="42" s="1"/>
  <c r="A6" i="42"/>
  <c r="B6" i="42" s="1"/>
  <c r="F19" i="11" l="1"/>
  <c r="AU50" i="40" l="1"/>
  <c r="AU51" i="40"/>
  <c r="C59" i="38" l="1"/>
  <c r="C37" i="25" l="1"/>
  <c r="I14" i="25" l="1"/>
  <c r="I13" i="25"/>
  <c r="F13" i="25"/>
  <c r="AJ58" i="40" l="1"/>
  <c r="AJ59" i="40"/>
  <c r="AJ60" i="40"/>
  <c r="AJ61" i="40"/>
  <c r="AJ62" i="40"/>
  <c r="AJ63" i="40"/>
  <c r="AJ57" i="40"/>
  <c r="AJ42" i="40"/>
  <c r="AJ43" i="40"/>
  <c r="AJ44" i="40"/>
  <c r="AJ45" i="40"/>
  <c r="AJ46" i="40"/>
  <c r="AJ47" i="40"/>
  <c r="AJ48" i="40"/>
  <c r="AJ49" i="40"/>
  <c r="AJ52" i="40"/>
  <c r="AJ53" i="40"/>
  <c r="AJ55" i="40"/>
  <c r="AJ56" i="40"/>
  <c r="AJ40" i="40"/>
  <c r="AJ41" i="40"/>
  <c r="AJ10" i="40"/>
  <c r="AJ11" i="40"/>
  <c r="AJ12" i="40"/>
  <c r="AJ13" i="40"/>
  <c r="AJ14" i="40"/>
  <c r="AJ15" i="40"/>
  <c r="AJ16" i="40"/>
  <c r="AJ17" i="40"/>
  <c r="AJ18" i="40"/>
  <c r="AJ19" i="40"/>
  <c r="AJ20" i="40"/>
  <c r="AJ21" i="40"/>
  <c r="AJ22" i="40"/>
  <c r="AJ23" i="40"/>
  <c r="AJ24" i="40"/>
  <c r="AJ25" i="40"/>
  <c r="AJ26" i="40"/>
  <c r="AJ27" i="40"/>
  <c r="AJ28" i="40"/>
  <c r="AJ29" i="40"/>
  <c r="AJ30" i="40"/>
  <c r="AJ31" i="40"/>
  <c r="AJ32" i="40"/>
  <c r="AJ33" i="40"/>
  <c r="AJ34" i="40"/>
  <c r="AJ35" i="40"/>
  <c r="AJ36" i="40"/>
  <c r="AJ37" i="40"/>
  <c r="AJ9" i="40"/>
  <c r="CB7" i="40" l="1"/>
  <c r="A35" i="39" l="1"/>
  <c r="A36" i="39"/>
  <c r="A37" i="39"/>
  <c r="A38" i="39"/>
  <c r="A39" i="39"/>
  <c r="A40" i="39"/>
  <c r="A41" i="39"/>
  <c r="A42" i="39"/>
  <c r="A43" i="39"/>
  <c r="A44" i="39"/>
  <c r="A47" i="39"/>
  <c r="A48" i="39"/>
  <c r="A49" i="39"/>
  <c r="A50" i="39"/>
  <c r="A51" i="39"/>
  <c r="A52" i="39"/>
  <c r="A53" i="39"/>
  <c r="A54" i="39"/>
  <c r="A55" i="39"/>
  <c r="A56" i="39"/>
  <c r="A57"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4" i="39"/>
  <c r="B44" i="11"/>
  <c r="C44" i="11" s="1"/>
  <c r="CC8" i="40" l="1"/>
  <c r="BY8" i="40"/>
  <c r="CB8" i="40"/>
  <c r="BZ8" i="40"/>
  <c r="CA8" i="40"/>
  <c r="BX63" i="40"/>
  <c r="BX62" i="40"/>
  <c r="BX61" i="40"/>
  <c r="BX60" i="40"/>
  <c r="BX59" i="40"/>
  <c r="BX58" i="40"/>
  <c r="BX57" i="40"/>
  <c r="BX56" i="40"/>
  <c r="BX55" i="40"/>
  <c r="BX53" i="40"/>
  <c r="BX52" i="40"/>
  <c r="BX49" i="40"/>
  <c r="BX48" i="40"/>
  <c r="BX47" i="40"/>
  <c r="BX46" i="40"/>
  <c r="BX45" i="40"/>
  <c r="BX44" i="40"/>
  <c r="BX43" i="40"/>
  <c r="BX42" i="40"/>
  <c r="BX41" i="40"/>
  <c r="BX40" i="40"/>
  <c r="BX37" i="40"/>
  <c r="BX36" i="40"/>
  <c r="BX35" i="40"/>
  <c r="BX34" i="40"/>
  <c r="BX33" i="40"/>
  <c r="BX32" i="40"/>
  <c r="BX31" i="40"/>
  <c r="BX30" i="40"/>
  <c r="BX29" i="40"/>
  <c r="BX28" i="40"/>
  <c r="BX27" i="40"/>
  <c r="BX26" i="40"/>
  <c r="BX25" i="40"/>
  <c r="BX24" i="40"/>
  <c r="BX23" i="40"/>
  <c r="BX22" i="40"/>
  <c r="BX21" i="40"/>
  <c r="BX20" i="40"/>
  <c r="BX19" i="40"/>
  <c r="BX18" i="40"/>
  <c r="BX17" i="40"/>
  <c r="BX16" i="40"/>
  <c r="BX15" i="40"/>
  <c r="BX14" i="40"/>
  <c r="BX13" i="40"/>
  <c r="BX12" i="40"/>
  <c r="BX11" i="40"/>
  <c r="BX10" i="40"/>
  <c r="BX9" i="40"/>
  <c r="AW14" i="41" l="1"/>
  <c r="AT50" i="40" l="1"/>
  <c r="AT51" i="40"/>
  <c r="H58" i="52" l="1"/>
  <c r="BA3" i="40"/>
  <c r="BA2" i="40"/>
  <c r="D6" i="25" l="1"/>
  <c r="G13" i="25" s="1"/>
  <c r="H14" i="25"/>
  <c r="H13" i="25"/>
  <c r="J13" i="25" s="1"/>
  <c r="J16" i="25" l="1"/>
  <c r="J17" i="25" s="1"/>
  <c r="AO27" i="40" s="1"/>
  <c r="N6" i="53" l="1"/>
  <c r="M6" i="53"/>
  <c r="AO31" i="40"/>
  <c r="I30" i="52" s="1"/>
  <c r="AO24" i="40"/>
  <c r="I23" i="52" s="1"/>
  <c r="CA31" i="40" l="1"/>
  <c r="AK62" i="40" l="1"/>
  <c r="Y43" i="41"/>
  <c r="BF48" i="52" l="1"/>
  <c r="K58" i="53"/>
  <c r="T61" i="52"/>
  <c r="Z61" i="52" l="1"/>
  <c r="C13" i="56" l="1"/>
  <c r="Y61" i="52"/>
  <c r="K3" i="39" l="1"/>
  <c r="B17" i="40" l="1"/>
  <c r="Y23" i="41"/>
  <c r="Y24" i="41"/>
  <c r="Y25" i="41"/>
  <c r="Y26" i="41"/>
  <c r="Y27" i="41"/>
  <c r="Y28" i="41"/>
  <c r="Y29" i="41"/>
  <c r="Y30" i="41"/>
  <c r="Y31" i="41"/>
  <c r="Y32" i="41"/>
  <c r="Y33" i="41"/>
  <c r="Y34" i="41"/>
  <c r="Y35" i="41"/>
  <c r="Y36" i="41"/>
  <c r="Y37" i="41"/>
  <c r="Y38" i="41"/>
  <c r="Y39" i="41"/>
  <c r="Y40" i="41"/>
  <c r="Y41" i="41"/>
  <c r="Y42" i="41"/>
  <c r="Y44" i="41"/>
  <c r="Y45" i="41"/>
  <c r="Y46" i="41"/>
  <c r="Y47" i="41"/>
  <c r="Y48" i="41"/>
  <c r="Y49" i="41"/>
  <c r="Y50" i="41"/>
  <c r="Y51" i="41"/>
  <c r="Y52" i="41"/>
  <c r="Y53" i="41"/>
  <c r="Y54" i="41"/>
  <c r="Y55" i="41"/>
  <c r="Y56" i="41"/>
  <c r="Y57" i="41"/>
  <c r="Y58" i="41"/>
  <c r="Y59" i="41"/>
  <c r="Y60" i="41"/>
  <c r="Y61" i="41"/>
  <c r="Y62" i="41"/>
  <c r="Y63" i="41"/>
  <c r="Y64" i="41"/>
  <c r="Y65" i="41"/>
  <c r="Y66" i="41"/>
  <c r="Y67" i="41"/>
  <c r="Y68" i="41"/>
  <c r="Y69" i="41"/>
  <c r="Y70" i="41"/>
  <c r="Y71" i="41"/>
  <c r="Y72" i="41"/>
  <c r="Y73" i="41"/>
  <c r="Y74" i="41"/>
  <c r="Y75" i="41"/>
  <c r="Y76" i="41"/>
  <c r="Y77" i="41"/>
  <c r="Y78" i="41"/>
  <c r="Y79" i="41"/>
  <c r="Y80" i="41"/>
  <c r="Y81" i="41"/>
  <c r="Y82" i="41"/>
  <c r="Y83" i="41"/>
  <c r="Y84" i="41"/>
  <c r="Y85" i="41"/>
  <c r="Y86" i="41"/>
  <c r="Y87" i="41"/>
  <c r="Y88" i="41"/>
  <c r="Y89" i="41"/>
  <c r="Y90" i="41"/>
  <c r="Y91" i="41"/>
  <c r="Y92" i="41"/>
  <c r="Y93" i="41"/>
  <c r="Y94" i="41"/>
  <c r="Y95" i="41"/>
  <c r="Y96" i="41"/>
  <c r="Y97" i="41"/>
  <c r="Y98" i="41"/>
  <c r="Y99" i="41"/>
  <c r="Y100" i="41"/>
  <c r="Y101" i="41"/>
  <c r="Y102" i="41"/>
  <c r="Y103" i="41"/>
  <c r="Y104" i="41"/>
  <c r="Y105" i="41"/>
  <c r="Y106" i="41"/>
  <c r="Y107" i="41"/>
  <c r="Y109" i="41"/>
  <c r="Y110" i="41"/>
  <c r="Y111" i="41"/>
  <c r="Y112" i="41"/>
  <c r="Y113" i="41"/>
  <c r="Y114" i="41"/>
  <c r="Y115" i="41"/>
  <c r="Y116" i="41"/>
  <c r="Y117" i="41"/>
  <c r="Y118" i="41"/>
  <c r="Y119" i="41"/>
  <c r="Y120" i="41"/>
  <c r="Y121" i="41"/>
  <c r="Y122" i="41"/>
  <c r="Y123" i="41"/>
  <c r="Y124" i="41"/>
  <c r="Y125" i="41"/>
  <c r="Y126" i="41"/>
  <c r="Y127" i="41"/>
  <c r="Y128" i="41"/>
  <c r="Y129" i="41"/>
  <c r="Y130" i="41"/>
  <c r="Y131" i="41"/>
  <c r="Y132" i="41"/>
  <c r="Y133" i="41"/>
  <c r="Y134" i="41"/>
  <c r="Y135" i="41"/>
  <c r="Y136" i="41"/>
  <c r="Y137" i="41"/>
  <c r="Y138" i="41"/>
  <c r="Y139" i="41"/>
  <c r="Y140" i="41"/>
  <c r="Y141" i="41"/>
  <c r="Y142" i="41"/>
  <c r="Y143" i="41"/>
  <c r="Y144" i="41"/>
  <c r="Y145" i="41"/>
  <c r="Y146" i="41"/>
  <c r="Y147" i="41"/>
  <c r="Y148" i="41"/>
  <c r="Y149" i="41"/>
  <c r="Y150" i="41"/>
  <c r="Y151" i="41"/>
  <c r="Y152" i="41"/>
  <c r="Y153" i="41"/>
  <c r="Y154" i="41"/>
  <c r="Y155" i="41"/>
  <c r="Y156" i="41"/>
  <c r="Y157" i="41"/>
  <c r="Y158" i="41"/>
  <c r="Y159" i="41"/>
  <c r="Y160" i="41"/>
  <c r="Y161" i="41"/>
  <c r="Y162" i="41"/>
  <c r="Y163" i="41"/>
  <c r="Y164" i="41"/>
  <c r="Y165" i="41"/>
  <c r="Y166" i="41"/>
  <c r="Y167" i="41"/>
  <c r="Y168" i="41"/>
  <c r="Y169" i="41"/>
  <c r="Y170" i="41"/>
  <c r="Y171" i="41"/>
  <c r="Y172" i="41"/>
  <c r="Y173" i="41"/>
  <c r="Y174" i="41"/>
  <c r="Y175" i="41"/>
  <c r="Y176" i="41"/>
  <c r="Y177" i="41"/>
  <c r="Y178" i="41"/>
  <c r="Y179" i="41"/>
  <c r="Y180" i="41"/>
  <c r="Y181" i="41"/>
  <c r="Y182" i="41"/>
  <c r="Y183" i="41"/>
  <c r="Y184" i="41"/>
  <c r="Y185" i="41"/>
  <c r="Y186" i="41"/>
  <c r="Y187" i="41"/>
  <c r="Y188" i="41"/>
  <c r="Y189" i="41"/>
  <c r="Y190" i="41"/>
  <c r="Y191" i="41"/>
  <c r="Y192" i="41"/>
  <c r="Y193" i="41"/>
  <c r="Y194" i="41"/>
  <c r="Y195" i="41"/>
  <c r="Y196" i="41"/>
  <c r="Y197" i="41"/>
  <c r="Y198" i="41"/>
  <c r="Y199" i="41"/>
  <c r="Y200" i="41"/>
  <c r="Y201" i="41"/>
  <c r="Y202" i="41"/>
  <c r="Y203" i="41"/>
  <c r="Y204" i="41"/>
  <c r="Y205" i="41"/>
  <c r="Y206" i="41"/>
  <c r="Y207" i="41"/>
  <c r="Y208" i="41"/>
  <c r="Y209" i="41"/>
  <c r="Y210" i="41"/>
  <c r="Y211" i="41"/>
  <c r="Y212" i="41"/>
  <c r="Y213" i="41"/>
  <c r="Y214" i="41"/>
  <c r="Y215" i="41"/>
  <c r="Y216" i="41"/>
  <c r="Y217" i="41"/>
  <c r="Y218" i="41"/>
  <c r="Y219" i="41"/>
  <c r="Y220" i="41"/>
  <c r="Y221" i="41"/>
  <c r="Y222" i="41"/>
  <c r="Y223" i="41"/>
  <c r="Y224" i="41"/>
  <c r="Y225" i="41"/>
  <c r="Y226" i="41"/>
  <c r="Y227" i="41"/>
  <c r="Y228" i="41"/>
  <c r="Y229" i="41"/>
  <c r="Y230" i="41"/>
  <c r="Y231" i="41"/>
  <c r="Y232" i="41"/>
  <c r="Y233" i="41"/>
  <c r="Y234" i="41"/>
  <c r="Y235" i="41"/>
  <c r="Y236" i="41"/>
  <c r="Y237" i="41"/>
  <c r="Y238" i="41"/>
  <c r="Y239" i="41"/>
  <c r="Y240" i="41"/>
  <c r="Y241" i="41"/>
  <c r="Y242" i="41"/>
  <c r="Y243" i="41"/>
  <c r="Y244" i="41"/>
  <c r="Y245" i="41"/>
  <c r="Y246" i="41"/>
  <c r="Y254" i="41"/>
  <c r="Y255" i="41"/>
  <c r="Y489" i="41"/>
  <c r="Y490" i="41"/>
  <c r="Y491" i="41"/>
  <c r="Y576" i="41"/>
  <c r="Y577" i="41"/>
  <c r="Y578" i="41"/>
  <c r="Y579" i="41"/>
  <c r="Y580" i="41"/>
  <c r="Y581" i="41"/>
  <c r="Y582" i="41"/>
  <c r="Y583" i="41"/>
  <c r="Y584" i="41"/>
  <c r="Y585" i="41"/>
  <c r="Y586" i="41"/>
  <c r="Y587" i="41"/>
  <c r="Y588" i="41"/>
  <c r="Y589" i="41"/>
  <c r="Y590" i="41"/>
  <c r="Y591" i="41"/>
  <c r="Y592" i="41"/>
  <c r="Y593" i="41"/>
  <c r="Y594" i="41"/>
  <c r="Y595" i="41"/>
  <c r="Y596" i="41"/>
  <c r="Y597" i="41"/>
  <c r="Y598" i="41"/>
  <c r="Y599" i="41"/>
  <c r="Y600" i="41"/>
  <c r="Y601" i="41"/>
  <c r="Y602" i="41"/>
  <c r="Y603" i="41"/>
  <c r="Y604" i="41"/>
  <c r="Y605" i="41"/>
  <c r="Y606" i="41"/>
  <c r="Y607" i="41"/>
  <c r="Y608" i="41"/>
  <c r="Y609" i="41"/>
  <c r="Y610" i="41"/>
  <c r="Y611" i="41"/>
  <c r="Y612" i="41"/>
  <c r="Y613" i="41"/>
  <c r="Y614" i="41"/>
  <c r="Y615" i="41"/>
  <c r="Y616" i="41"/>
  <c r="Y617" i="41"/>
  <c r="Y618" i="41"/>
  <c r="Y619" i="41"/>
  <c r="Y620" i="41"/>
  <c r="Y621" i="41"/>
  <c r="Y622" i="41"/>
  <c r="Y623" i="41"/>
  <c r="Y624" i="41"/>
  <c r="Y625" i="41"/>
  <c r="Y626" i="41"/>
  <c r="Y627" i="41"/>
  <c r="Y628" i="41"/>
  <c r="Y629" i="41"/>
  <c r="Y630" i="41"/>
  <c r="Y631" i="41"/>
  <c r="Y632" i="41"/>
  <c r="Y633" i="41"/>
  <c r="Y634" i="41"/>
  <c r="Y635" i="41"/>
  <c r="Y636" i="41"/>
  <c r="Y637" i="41"/>
  <c r="Y638" i="41"/>
  <c r="Y639" i="41"/>
  <c r="Y640" i="41"/>
  <c r="Y641" i="41"/>
  <c r="Y642" i="41"/>
  <c r="Y643" i="41"/>
  <c r="Y644" i="41"/>
  <c r="Y645" i="41"/>
  <c r="Y646" i="41"/>
  <c r="Y647" i="41"/>
  <c r="Y648" i="41"/>
  <c r="Y649" i="41"/>
  <c r="Y650" i="41"/>
  <c r="Y651" i="41"/>
  <c r="Y652" i="41"/>
  <c r="Y22" i="41"/>
  <c r="X4" i="40" l="1"/>
  <c r="X1" i="40" s="1"/>
  <c r="X6" i="40" s="1"/>
  <c r="O8" i="41" l="1"/>
  <c r="P8" i="41"/>
  <c r="Q8" i="41"/>
  <c r="R8" i="41"/>
  <c r="S8" i="41"/>
  <c r="S7" i="41" s="1"/>
  <c r="T8" i="41"/>
  <c r="T7" i="41" s="1"/>
  <c r="I8" i="41"/>
  <c r="J8" i="41"/>
  <c r="K8" i="41"/>
  <c r="L8" i="41"/>
  <c r="M8" i="41"/>
  <c r="H8" i="41"/>
  <c r="AQ221" i="41" l="1"/>
  <c r="AQ238" i="41"/>
  <c r="AQ196" i="41"/>
  <c r="AQ213" i="41"/>
  <c r="AQ194" i="41"/>
  <c r="AQ115" i="41"/>
  <c r="AQ157" i="41"/>
  <c r="AQ187" i="41"/>
  <c r="AQ212" i="41"/>
  <c r="AQ165" i="41"/>
  <c r="AQ185" i="41"/>
  <c r="AQ179" i="41"/>
  <c r="AQ31" i="41"/>
  <c r="AQ203" i="41"/>
  <c r="AQ198" i="41"/>
  <c r="AQ148" i="41"/>
  <c r="AQ51" i="41"/>
  <c r="AQ231" i="41"/>
  <c r="AQ37" i="41"/>
  <c r="AQ81" i="41"/>
  <c r="AQ124" i="41"/>
  <c r="AQ24" i="41"/>
  <c r="AQ184" i="41"/>
  <c r="AQ86" i="41"/>
  <c r="AQ38" i="41"/>
  <c r="AQ220" i="41"/>
  <c r="AQ61" i="41"/>
  <c r="AQ78" i="41"/>
  <c r="AQ56" i="41"/>
  <c r="AQ123" i="41"/>
  <c r="AQ158" i="41"/>
  <c r="AQ91" i="41"/>
  <c r="AQ145" i="41"/>
  <c r="AQ188" i="41"/>
  <c r="AQ173" i="41"/>
  <c r="AQ126" i="41"/>
  <c r="AQ114" i="41"/>
  <c r="AQ172" i="41"/>
  <c r="AQ63" i="41"/>
  <c r="AQ88" i="41"/>
  <c r="AQ106" i="41"/>
  <c r="AQ155" i="41"/>
  <c r="AQ109" i="41"/>
  <c r="AQ177" i="41"/>
  <c r="AQ232" i="41"/>
  <c r="AQ191" i="41"/>
  <c r="AQ122" i="41"/>
  <c r="AQ241" i="41"/>
  <c r="AQ35" i="41"/>
  <c r="AQ201" i="41"/>
  <c r="AQ223" i="41"/>
  <c r="AQ70" i="41"/>
  <c r="AQ76" i="41"/>
  <c r="AQ200" i="41"/>
  <c r="AQ215" i="41"/>
  <c r="AQ189" i="41"/>
  <c r="AQ226" i="41"/>
  <c r="AQ52" i="41"/>
  <c r="AQ137" i="41"/>
  <c r="AQ234" i="41"/>
  <c r="AQ42" i="41"/>
  <c r="AQ44" i="41"/>
  <c r="AQ142" i="41"/>
  <c r="AQ55" i="41"/>
  <c r="AQ151" i="41"/>
  <c r="AQ94" i="41"/>
  <c r="AQ205" i="41"/>
  <c r="AQ40" i="41"/>
  <c r="AQ105" i="41"/>
  <c r="AQ82" i="41"/>
  <c r="AQ170" i="41"/>
  <c r="AQ80" i="41"/>
  <c r="AQ120" i="41"/>
  <c r="AQ43" i="41"/>
  <c r="AQ153" i="41"/>
  <c r="AQ169" i="41"/>
  <c r="AQ217" i="41"/>
  <c r="AQ183" i="41"/>
  <c r="AQ162" i="41"/>
  <c r="AQ176" i="41"/>
  <c r="AQ134" i="41"/>
  <c r="AQ131" i="41"/>
  <c r="AQ149" i="41"/>
  <c r="AQ242" i="41"/>
  <c r="AQ154" i="41"/>
  <c r="AQ171" i="41"/>
  <c r="AQ59" i="41"/>
  <c r="AQ79" i="41"/>
  <c r="AQ240" i="41"/>
  <c r="AQ67" i="41"/>
  <c r="AQ71" i="41"/>
  <c r="AQ69" i="41"/>
  <c r="AQ100" i="41"/>
  <c r="AQ25" i="41"/>
  <c r="AQ28" i="41"/>
  <c r="AQ98" i="41"/>
  <c r="AQ166" i="41"/>
  <c r="AQ53" i="41"/>
  <c r="AQ244" i="41"/>
  <c r="AQ26" i="41"/>
  <c r="AQ41" i="41"/>
  <c r="AQ147" i="41"/>
  <c r="AQ22" i="41"/>
  <c r="AQ127" i="41"/>
  <c r="AQ197" i="41"/>
  <c r="AQ83" i="41"/>
  <c r="AQ121" i="41"/>
  <c r="AQ140" i="41"/>
  <c r="AQ222" i="41"/>
  <c r="AQ60" i="41"/>
  <c r="AQ108" i="41"/>
  <c r="AQ125" i="41"/>
  <c r="AQ89" i="41"/>
  <c r="AQ202" i="41"/>
  <c r="AQ141" i="41"/>
  <c r="AQ208" i="41"/>
  <c r="AQ211" i="41"/>
  <c r="AQ225" i="41"/>
  <c r="AQ216" i="41"/>
  <c r="AQ190" i="41"/>
  <c r="AQ192" i="41"/>
  <c r="AQ103" i="41"/>
  <c r="AQ245" i="41"/>
  <c r="AQ182" i="41"/>
  <c r="AQ199" i="41"/>
  <c r="AQ235" i="41"/>
  <c r="AQ175" i="41"/>
  <c r="AQ54" i="41"/>
  <c r="AQ32" i="41"/>
  <c r="AQ214" i="41"/>
  <c r="AQ46" i="41"/>
  <c r="AQ233" i="41"/>
  <c r="AQ99" i="41"/>
  <c r="AQ23" i="41"/>
  <c r="AQ27" i="41"/>
  <c r="AQ74" i="41"/>
  <c r="R58" i="40" s="1"/>
  <c r="AQ104" i="41"/>
  <c r="AQ64" i="41"/>
  <c r="AQ128" i="41"/>
  <c r="AQ84" i="41"/>
  <c r="AQ161" i="41"/>
  <c r="AQ136" i="41"/>
  <c r="AQ224" i="41"/>
  <c r="AQ139" i="41"/>
  <c r="AQ227" i="41"/>
  <c r="AQ229" i="41"/>
  <c r="AQ117" i="41"/>
  <c r="AQ101" i="41"/>
  <c r="AQ180" i="41"/>
  <c r="AQ168" i="41"/>
  <c r="AQ116" i="41"/>
  <c r="AQ93" i="41"/>
  <c r="AQ133" i="41"/>
  <c r="AQ45" i="41"/>
  <c r="AQ219" i="41"/>
  <c r="AQ174" i="41"/>
  <c r="AQ230" i="41"/>
  <c r="AQ193" i="41"/>
  <c r="AQ236" i="41"/>
  <c r="AQ113" i="41"/>
  <c r="AQ34" i="41"/>
  <c r="AQ218" i="41"/>
  <c r="AQ228" i="41"/>
  <c r="AQ246" i="41"/>
  <c r="AQ239" i="41"/>
  <c r="AQ210" i="41"/>
  <c r="AQ29" i="41"/>
  <c r="AQ62" i="41"/>
  <c r="AQ243" i="41"/>
  <c r="AQ57" i="41"/>
  <c r="AQ186" i="41"/>
  <c r="AQ68" i="41"/>
  <c r="AQ39" i="41"/>
  <c r="AQ107" i="41"/>
  <c r="AQ160" i="41"/>
  <c r="AQ119" i="41"/>
  <c r="AQ143" i="41"/>
  <c r="AQ132" i="41"/>
  <c r="AQ50" i="41"/>
  <c r="AQ97" i="41"/>
  <c r="AQ92" i="41"/>
  <c r="AQ138" i="41"/>
  <c r="AQ33" i="41"/>
  <c r="AQ85" i="41"/>
  <c r="AQ237" i="41"/>
  <c r="AQ96" i="41"/>
  <c r="AQ167" i="41"/>
  <c r="AQ181" i="41"/>
  <c r="AQ164" i="41"/>
  <c r="AQ152" i="41"/>
  <c r="AQ159" i="41"/>
  <c r="AQ204" i="41"/>
  <c r="AQ130" i="41"/>
  <c r="AQ144" i="41"/>
  <c r="AQ163" i="41"/>
  <c r="AQ135" i="41"/>
  <c r="AQ118" i="41"/>
  <c r="AQ102" i="41"/>
  <c r="AQ111" i="41"/>
  <c r="AQ77" i="41"/>
  <c r="AQ156" i="41"/>
  <c r="AQ72" i="41"/>
  <c r="AQ58" i="41"/>
  <c r="AQ195" i="41"/>
  <c r="AQ207" i="41"/>
  <c r="AQ66" i="41"/>
  <c r="AQ206" i="41"/>
  <c r="AQ48" i="41"/>
  <c r="AQ30" i="41"/>
  <c r="AQ87" i="41"/>
  <c r="AQ49" i="41"/>
  <c r="AQ75" i="41"/>
  <c r="AQ112" i="41"/>
  <c r="AQ36" i="41"/>
  <c r="AQ129" i="41"/>
  <c r="AQ150" i="41"/>
  <c r="AQ95" i="41"/>
  <c r="AQ73" i="41"/>
  <c r="AQ110" i="41"/>
  <c r="AQ146" i="41"/>
  <c r="AQ178" i="41"/>
  <c r="AQ65" i="41"/>
  <c r="AQ90" i="41"/>
  <c r="AQ209" i="41"/>
  <c r="AQ47" i="41"/>
  <c r="AP546" i="41"/>
  <c r="AP557" i="41"/>
  <c r="AP512" i="41"/>
  <c r="AP515" i="41"/>
  <c r="AP526" i="41"/>
  <c r="AP497" i="41"/>
  <c r="AP492" i="41"/>
  <c r="AP538" i="41"/>
  <c r="AP541" i="41"/>
  <c r="AP496" i="41"/>
  <c r="AP507" i="41"/>
  <c r="AP502" i="41"/>
  <c r="AP503" i="41"/>
  <c r="AP519" i="41"/>
  <c r="AP530" i="41"/>
  <c r="AP533" i="41"/>
  <c r="AP501" i="41"/>
  <c r="AP499" i="41"/>
  <c r="AP494" i="41"/>
  <c r="AP495" i="41"/>
  <c r="AP567" i="41"/>
  <c r="AP506" i="41"/>
  <c r="AP560" i="41"/>
  <c r="AP563" i="41"/>
  <c r="AP553" i="41"/>
  <c r="AP548" i="41"/>
  <c r="AP551" i="41"/>
  <c r="AP517" i="41"/>
  <c r="AP544" i="41"/>
  <c r="AP539" i="41"/>
  <c r="AP534" i="41"/>
  <c r="AP542" i="41"/>
  <c r="AP536" i="41"/>
  <c r="AP529" i="41"/>
  <c r="AP568" i="41"/>
  <c r="AP561" i="41"/>
  <c r="AP509" i="41"/>
  <c r="AP558" i="41"/>
  <c r="AP540" i="41"/>
  <c r="AP547" i="41"/>
  <c r="AP510" i="41"/>
  <c r="AP525" i="41"/>
  <c r="AP523" i="41"/>
  <c r="AP527" i="41"/>
  <c r="AP504" i="41"/>
  <c r="AP550" i="41"/>
  <c r="AP528" i="41"/>
  <c r="AP554" i="41"/>
  <c r="AP520" i="41"/>
  <c r="AP532" i="41"/>
  <c r="AP555" i="41"/>
  <c r="AP522" i="41"/>
  <c r="AP516" i="41"/>
  <c r="AP549" i="41"/>
  <c r="AP543" i="41"/>
  <c r="AP511" i="41"/>
  <c r="AP565" i="41"/>
  <c r="AP545" i="41"/>
  <c r="AP552" i="41"/>
  <c r="AP513" i="41"/>
  <c r="AP514" i="41"/>
  <c r="AP508" i="41"/>
  <c r="AP505" i="41"/>
  <c r="AP562" i="41"/>
  <c r="AP566" i="41"/>
  <c r="AP498" i="41"/>
  <c r="AP535" i="41"/>
  <c r="AP493" i="41"/>
  <c r="AP569" i="41"/>
  <c r="AP524" i="41"/>
  <c r="AP559" i="41"/>
  <c r="AP500" i="41"/>
  <c r="AP537" i="41"/>
  <c r="AP521" i="41"/>
  <c r="AP531" i="41"/>
  <c r="AP556" i="41"/>
  <c r="AP564" i="41"/>
  <c r="AP518" i="41"/>
  <c r="AP22" i="41"/>
  <c r="AP146" i="41"/>
  <c r="AP192" i="41"/>
  <c r="AP31" i="41"/>
  <c r="AP60" i="41"/>
  <c r="AP57" i="41"/>
  <c r="AP24" i="41"/>
  <c r="AP179" i="41"/>
  <c r="AP136" i="41"/>
  <c r="AP107" i="41"/>
  <c r="AP174" i="41"/>
  <c r="AP42" i="41"/>
  <c r="AP92" i="41"/>
  <c r="AP164" i="41"/>
  <c r="AP84" i="41"/>
  <c r="AP140" i="41"/>
  <c r="AP67" i="41"/>
  <c r="AP71" i="41"/>
  <c r="AP104" i="41"/>
  <c r="AP138" i="41"/>
  <c r="AP74" i="41"/>
  <c r="AP87" i="41"/>
  <c r="AP246" i="41"/>
  <c r="AP93" i="41"/>
  <c r="AP90" i="41"/>
  <c r="AP141" i="41"/>
  <c r="AP37" i="41"/>
  <c r="AP214" i="41"/>
  <c r="AP112" i="41"/>
  <c r="AP39" i="41"/>
  <c r="AP209" i="41"/>
  <c r="AP244" i="41"/>
  <c r="AP131" i="41"/>
  <c r="AP245" i="41"/>
  <c r="AP239" i="41"/>
  <c r="AP61" i="41"/>
  <c r="AP225" i="41"/>
  <c r="AP237" i="41"/>
  <c r="AP221" i="41"/>
  <c r="AP94" i="41"/>
  <c r="AP173" i="41"/>
  <c r="AP170" i="41"/>
  <c r="AP195" i="41"/>
  <c r="AP181" i="41"/>
  <c r="AP165" i="41"/>
  <c r="AP89" i="41"/>
  <c r="AP53" i="41"/>
  <c r="AP235" i="41"/>
  <c r="AP68" i="41"/>
  <c r="AP58" i="41"/>
  <c r="AP158" i="41"/>
  <c r="AP35" i="41"/>
  <c r="AP56" i="41"/>
  <c r="AP81" i="41"/>
  <c r="AP118" i="41"/>
  <c r="AP33" i="41"/>
  <c r="AP180" i="41"/>
  <c r="AP205" i="41"/>
  <c r="AP123" i="41"/>
  <c r="AP135" i="41"/>
  <c r="AP119" i="41"/>
  <c r="AP183" i="41"/>
  <c r="AP117" i="41"/>
  <c r="AP232" i="41"/>
  <c r="AP184" i="41"/>
  <c r="AP88" i="41"/>
  <c r="AP191" i="41"/>
  <c r="AP154" i="41"/>
  <c r="AP27" i="41"/>
  <c r="AP185" i="41"/>
  <c r="AP193" i="41"/>
  <c r="AP166" i="41"/>
  <c r="AP44" i="41"/>
  <c r="AP153" i="41"/>
  <c r="AP218" i="41"/>
  <c r="AP102" i="41"/>
  <c r="AP242" i="41"/>
  <c r="AP28" i="41"/>
  <c r="AP216" i="41"/>
  <c r="AP91" i="41"/>
  <c r="AP227" i="41"/>
  <c r="AP211" i="41"/>
  <c r="AP32" i="41"/>
  <c r="AP217" i="41"/>
  <c r="AP85" i="41"/>
  <c r="AP77" i="41"/>
  <c r="AP144" i="41"/>
  <c r="AP238" i="41"/>
  <c r="AP134" i="41"/>
  <c r="AP115" i="41"/>
  <c r="AP207" i="41"/>
  <c r="AP62" i="41"/>
  <c r="AP105" i="41"/>
  <c r="AP121" i="41"/>
  <c r="AP226" i="41"/>
  <c r="AP54" i="41"/>
  <c r="AP38" i="41"/>
  <c r="AP189" i="41"/>
  <c r="AP36" i="41"/>
  <c r="AP124" i="41"/>
  <c r="AP142" i="41"/>
  <c r="AP234" i="41"/>
  <c r="AP108" i="41"/>
  <c r="AP137" i="41"/>
  <c r="AP100" i="41"/>
  <c r="AP106" i="41"/>
  <c r="AP208" i="41"/>
  <c r="AP228" i="41"/>
  <c r="AP151" i="41"/>
  <c r="AP210" i="41"/>
  <c r="AP182" i="41"/>
  <c r="AP213" i="41"/>
  <c r="AP143" i="41"/>
  <c r="AP222" i="41"/>
  <c r="AP69" i="41"/>
  <c r="AP73" i="41"/>
  <c r="AP83" i="41"/>
  <c r="AP148" i="41"/>
  <c r="AP198" i="41"/>
  <c r="AP133" i="41"/>
  <c r="AP152" i="41"/>
  <c r="AP236" i="41"/>
  <c r="AP47" i="41"/>
  <c r="AP110" i="41"/>
  <c r="AP223" i="41"/>
  <c r="AP129" i="41"/>
  <c r="AP150" i="41"/>
  <c r="AP40" i="41"/>
  <c r="AP147" i="41"/>
  <c r="AP25" i="41"/>
  <c r="AP23" i="41"/>
  <c r="AP79" i="41"/>
  <c r="AP63" i="41"/>
  <c r="AP163" i="41"/>
  <c r="AP72" i="41"/>
  <c r="AP95" i="41"/>
  <c r="AP167" i="41"/>
  <c r="AP30" i="41"/>
  <c r="AP98" i="41"/>
  <c r="AP82" i="41"/>
  <c r="AP233" i="41"/>
  <c r="AP80" i="41"/>
  <c r="AP206" i="41"/>
  <c r="AP59" i="41"/>
  <c r="AP204" i="41"/>
  <c r="AP201" i="41"/>
  <c r="AP50" i="41"/>
  <c r="AP243" i="41"/>
  <c r="AP196" i="41"/>
  <c r="AP231" i="41"/>
  <c r="AP96" i="41"/>
  <c r="AP186" i="41"/>
  <c r="AP229" i="41"/>
  <c r="AP75" i="41"/>
  <c r="AP199" i="41"/>
  <c r="AP178" i="41"/>
  <c r="AP162" i="41"/>
  <c r="AP52" i="41"/>
  <c r="AP160" i="41"/>
  <c r="AP45" i="41"/>
  <c r="AP29" i="41"/>
  <c r="AP109" i="41"/>
  <c r="AP43" i="41"/>
  <c r="AP66" i="41"/>
  <c r="AP99" i="41"/>
  <c r="AP128" i="41"/>
  <c r="AP64" i="41"/>
  <c r="AP48" i="41"/>
  <c r="AP177" i="41"/>
  <c r="AP203" i="41"/>
  <c r="AP172" i="41"/>
  <c r="AP224" i="41"/>
  <c r="AP130" i="41"/>
  <c r="AP127" i="41"/>
  <c r="AP194" i="41"/>
  <c r="AP114" i="41"/>
  <c r="AP122" i="41"/>
  <c r="AP169" i="41"/>
  <c r="AP55" i="41"/>
  <c r="AP120" i="41"/>
  <c r="AP159" i="41"/>
  <c r="AP171" i="41"/>
  <c r="AP70" i="41"/>
  <c r="AP200" i="41"/>
  <c r="AP161" i="41"/>
  <c r="AP34" i="41"/>
  <c r="AP111" i="41"/>
  <c r="AP157" i="41"/>
  <c r="AP241" i="41"/>
  <c r="AP155" i="41"/>
  <c r="AP240" i="41"/>
  <c r="AP26" i="41"/>
  <c r="AP51" i="41"/>
  <c r="AP230" i="41"/>
  <c r="AP219" i="41"/>
  <c r="AP149" i="41"/>
  <c r="AP65" i="41"/>
  <c r="AP132" i="41"/>
  <c r="AP220" i="41"/>
  <c r="AP126" i="41"/>
  <c r="AP116" i="41"/>
  <c r="AP139" i="41"/>
  <c r="AP212" i="41"/>
  <c r="AP113" i="41"/>
  <c r="AP97" i="41"/>
  <c r="AP197" i="41"/>
  <c r="AP49" i="41"/>
  <c r="AP46" i="41"/>
  <c r="AP175" i="41"/>
  <c r="AP168" i="41"/>
  <c r="AP41" i="41"/>
  <c r="AP86" i="41"/>
  <c r="AP176" i="41"/>
  <c r="AP78" i="41"/>
  <c r="AP145" i="41"/>
  <c r="AP156" i="41"/>
  <c r="AP76" i="41"/>
  <c r="AP103" i="41"/>
  <c r="AP187" i="41"/>
  <c r="AP101" i="41"/>
  <c r="AP202" i="41"/>
  <c r="AP190" i="41"/>
  <c r="AP215" i="41"/>
  <c r="AP125" i="41"/>
  <c r="AP188" i="41"/>
  <c r="T9" i="41"/>
  <c r="S9" i="41"/>
  <c r="AP7" i="41"/>
  <c r="Q58" i="40" l="1"/>
  <c r="AI7" i="41"/>
  <c r="AB9" i="40"/>
  <c r="AC9" i="40" l="1"/>
  <c r="AD9" i="40"/>
  <c r="AE9" i="40"/>
  <c r="AF9" i="40"/>
  <c r="AG9" i="40"/>
  <c r="AH9" i="40"/>
  <c r="N8" i="41" l="1"/>
  <c r="AI59" i="40" l="1"/>
  <c r="AB6" i="40"/>
  <c r="AC6" i="40"/>
  <c r="AD6" i="40"/>
  <c r="AE6" i="40"/>
  <c r="AF6" i="40"/>
  <c r="AG6" i="40"/>
  <c r="AH6" i="40"/>
  <c r="AK10" i="40"/>
  <c r="AK11" i="40"/>
  <c r="AK12" i="40"/>
  <c r="AK13" i="40"/>
  <c r="AK14" i="40"/>
  <c r="AK15" i="40"/>
  <c r="AK16" i="40"/>
  <c r="AK17" i="40"/>
  <c r="AK18" i="40"/>
  <c r="AK19" i="40"/>
  <c r="AK20" i="40"/>
  <c r="AK21" i="40"/>
  <c r="AK22" i="40"/>
  <c r="AK23" i="40"/>
  <c r="AK24" i="40"/>
  <c r="AK25" i="40"/>
  <c r="AK26" i="40"/>
  <c r="AK27" i="40"/>
  <c r="AK28" i="40"/>
  <c r="AK29" i="40"/>
  <c r="AK30" i="40"/>
  <c r="AK31" i="40"/>
  <c r="AK32" i="40"/>
  <c r="AK33" i="40"/>
  <c r="AK34" i="40"/>
  <c r="AK35" i="40"/>
  <c r="AK36" i="40"/>
  <c r="AK37" i="40"/>
  <c r="AK40" i="40"/>
  <c r="H39" i="52" s="1"/>
  <c r="AK41" i="40"/>
  <c r="H40" i="52" s="1"/>
  <c r="AK42" i="40"/>
  <c r="H41" i="52" s="1"/>
  <c r="AK43" i="40"/>
  <c r="AK44" i="40"/>
  <c r="H43" i="52" s="1"/>
  <c r="AK45" i="40"/>
  <c r="AK46" i="40"/>
  <c r="AK47" i="40"/>
  <c r="AK48" i="40"/>
  <c r="H47" i="52" s="1"/>
  <c r="AK49" i="40"/>
  <c r="H48" i="52" s="1"/>
  <c r="AK52" i="40"/>
  <c r="AK53" i="40"/>
  <c r="AK55" i="40"/>
  <c r="AK56" i="40"/>
  <c r="AK57" i="40"/>
  <c r="AK58" i="40"/>
  <c r="AK60" i="40"/>
  <c r="AK61" i="40"/>
  <c r="AK63" i="40"/>
  <c r="AK9" i="40"/>
  <c r="AB10" i="40"/>
  <c r="AC10" i="40"/>
  <c r="AD10" i="40"/>
  <c r="AE10" i="40"/>
  <c r="AF10" i="40"/>
  <c r="AG10" i="40"/>
  <c r="AH10" i="40"/>
  <c r="AB11" i="40"/>
  <c r="AC11" i="40"/>
  <c r="AD11" i="40"/>
  <c r="AE11" i="40"/>
  <c r="AF11" i="40"/>
  <c r="AG11" i="40"/>
  <c r="AH11" i="40"/>
  <c r="AB12" i="40"/>
  <c r="AC12" i="40"/>
  <c r="AD12" i="40"/>
  <c r="AE12" i="40"/>
  <c r="AF12" i="40"/>
  <c r="AG12" i="40"/>
  <c r="AH12" i="40"/>
  <c r="AB13" i="40"/>
  <c r="AC13" i="40"/>
  <c r="AD13" i="40"/>
  <c r="AE13" i="40"/>
  <c r="AF13" i="40"/>
  <c r="AG13" i="40"/>
  <c r="AH13" i="40"/>
  <c r="AB14" i="40"/>
  <c r="AC14" i="40"/>
  <c r="AD14" i="40"/>
  <c r="AE14" i="40"/>
  <c r="AF14" i="40"/>
  <c r="AG14" i="40"/>
  <c r="AH14" i="40"/>
  <c r="AB15" i="40"/>
  <c r="AC15" i="40"/>
  <c r="AD15" i="40"/>
  <c r="AE15" i="40"/>
  <c r="AF15" i="40"/>
  <c r="AG15" i="40"/>
  <c r="AH15" i="40"/>
  <c r="AB16" i="40"/>
  <c r="AC16" i="40"/>
  <c r="AD16" i="40"/>
  <c r="AE16" i="40"/>
  <c r="AF16" i="40"/>
  <c r="AG16" i="40"/>
  <c r="AH16" i="40"/>
  <c r="AB17" i="40"/>
  <c r="AC17" i="40"/>
  <c r="AD17" i="40"/>
  <c r="AE17" i="40"/>
  <c r="AF17" i="40"/>
  <c r="AG17" i="40"/>
  <c r="AH17" i="40"/>
  <c r="AB18" i="40"/>
  <c r="AC18" i="40"/>
  <c r="AD18" i="40"/>
  <c r="AE18" i="40"/>
  <c r="AF18" i="40"/>
  <c r="AG18" i="40"/>
  <c r="AH18" i="40"/>
  <c r="AB19" i="40"/>
  <c r="AC19" i="40"/>
  <c r="AD19" i="40"/>
  <c r="AE19" i="40"/>
  <c r="AF19" i="40"/>
  <c r="AG19" i="40"/>
  <c r="AH19" i="40"/>
  <c r="AB20" i="40"/>
  <c r="AC20" i="40"/>
  <c r="AD20" i="40"/>
  <c r="AE20" i="40"/>
  <c r="AF20" i="40"/>
  <c r="AG20" i="40"/>
  <c r="AH20" i="40"/>
  <c r="AB21" i="40"/>
  <c r="AC21" i="40"/>
  <c r="AD21" i="40"/>
  <c r="AE21" i="40"/>
  <c r="AF21" i="40"/>
  <c r="AG21" i="40"/>
  <c r="AH21" i="40"/>
  <c r="AB22" i="40"/>
  <c r="AC22" i="40"/>
  <c r="AD22" i="40"/>
  <c r="AE22" i="40"/>
  <c r="AF22" i="40"/>
  <c r="AG22" i="40"/>
  <c r="AH22" i="40"/>
  <c r="AB23" i="40"/>
  <c r="AC23" i="40"/>
  <c r="AD23" i="40"/>
  <c r="AE23" i="40"/>
  <c r="AF23" i="40"/>
  <c r="AG23" i="40"/>
  <c r="AH23" i="40"/>
  <c r="AB24" i="40"/>
  <c r="AC24" i="40"/>
  <c r="AD24" i="40"/>
  <c r="AE24" i="40"/>
  <c r="AF24" i="40"/>
  <c r="AG24" i="40"/>
  <c r="AH24" i="40"/>
  <c r="AB25" i="40"/>
  <c r="AC25" i="40"/>
  <c r="AD25" i="40"/>
  <c r="AE25" i="40"/>
  <c r="AF25" i="40"/>
  <c r="AG25" i="40"/>
  <c r="AH25" i="40"/>
  <c r="AB26" i="40"/>
  <c r="AC26" i="40"/>
  <c r="AD26" i="40"/>
  <c r="AE26" i="40"/>
  <c r="AF26" i="40"/>
  <c r="AG26" i="40"/>
  <c r="AH26" i="40"/>
  <c r="AB27" i="40"/>
  <c r="AC27" i="40"/>
  <c r="AD27" i="40"/>
  <c r="AE27" i="40"/>
  <c r="AF27" i="40"/>
  <c r="AG27" i="40"/>
  <c r="AH27" i="40"/>
  <c r="AB28" i="40"/>
  <c r="AC28" i="40"/>
  <c r="AD28" i="40"/>
  <c r="AE28" i="40"/>
  <c r="AF28" i="40"/>
  <c r="AG28" i="40"/>
  <c r="AH28" i="40"/>
  <c r="AB29" i="40"/>
  <c r="AC29" i="40"/>
  <c r="AD29" i="40"/>
  <c r="AE29" i="40"/>
  <c r="AF29" i="40"/>
  <c r="AG29" i="40"/>
  <c r="AH29" i="40"/>
  <c r="AB30" i="40"/>
  <c r="AC30" i="40"/>
  <c r="AD30" i="40"/>
  <c r="AE30" i="40"/>
  <c r="AF30" i="40"/>
  <c r="AG30" i="40"/>
  <c r="AH30" i="40"/>
  <c r="AB31" i="40"/>
  <c r="AC31" i="40"/>
  <c r="AD31" i="40"/>
  <c r="AE31" i="40"/>
  <c r="AF31" i="40"/>
  <c r="AG31" i="40"/>
  <c r="AH31" i="40"/>
  <c r="AB32" i="40"/>
  <c r="AC32" i="40"/>
  <c r="AD32" i="40"/>
  <c r="AE32" i="40"/>
  <c r="AF32" i="40"/>
  <c r="AG32" i="40"/>
  <c r="AH32" i="40"/>
  <c r="AB33" i="40"/>
  <c r="AC33" i="40"/>
  <c r="AD33" i="40"/>
  <c r="AE33" i="40"/>
  <c r="AF33" i="40"/>
  <c r="AG33" i="40"/>
  <c r="AH33" i="40"/>
  <c r="AB34" i="40"/>
  <c r="AC34" i="40"/>
  <c r="AD34" i="40"/>
  <c r="AE34" i="40"/>
  <c r="AF34" i="40"/>
  <c r="AG34" i="40"/>
  <c r="AH34" i="40"/>
  <c r="AB35" i="40"/>
  <c r="AC35" i="40"/>
  <c r="AD35" i="40"/>
  <c r="AE35" i="40"/>
  <c r="AF35" i="40"/>
  <c r="AG35" i="40"/>
  <c r="AH35" i="40"/>
  <c r="AB36" i="40"/>
  <c r="AC36" i="40"/>
  <c r="AD36" i="40"/>
  <c r="AE36" i="40"/>
  <c r="AF36" i="40"/>
  <c r="AG36" i="40"/>
  <c r="AH36" i="40"/>
  <c r="AB37" i="40"/>
  <c r="AC37" i="40"/>
  <c r="AD37" i="40"/>
  <c r="AE37" i="40"/>
  <c r="AF37" i="40"/>
  <c r="AG37" i="40"/>
  <c r="AH37" i="40"/>
  <c r="AB38" i="40"/>
  <c r="AC38" i="40"/>
  <c r="AD38" i="40"/>
  <c r="AE38" i="40"/>
  <c r="AF38" i="40"/>
  <c r="AG38" i="40"/>
  <c r="AH38" i="40"/>
  <c r="AB39" i="40"/>
  <c r="AC39" i="40"/>
  <c r="AD39" i="40"/>
  <c r="AE39" i="40"/>
  <c r="AF39" i="40"/>
  <c r="AG39" i="40"/>
  <c r="AH39" i="40"/>
  <c r="AB40" i="40"/>
  <c r="AC40" i="40"/>
  <c r="AD40" i="40"/>
  <c r="AE40" i="40"/>
  <c r="AF40" i="40"/>
  <c r="AG40" i="40"/>
  <c r="AH40" i="40"/>
  <c r="AB41" i="40"/>
  <c r="AC41" i="40"/>
  <c r="AD41" i="40"/>
  <c r="AE41" i="40"/>
  <c r="AF41" i="40"/>
  <c r="AG41" i="40"/>
  <c r="AH41" i="40"/>
  <c r="AB42" i="40"/>
  <c r="AC42" i="40"/>
  <c r="AD42" i="40"/>
  <c r="AE42" i="40"/>
  <c r="AF42" i="40"/>
  <c r="AG42" i="40"/>
  <c r="AH42" i="40"/>
  <c r="AB43" i="40"/>
  <c r="AC43" i="40"/>
  <c r="AD43" i="40"/>
  <c r="AE43" i="40"/>
  <c r="AF43" i="40"/>
  <c r="AG43" i="40"/>
  <c r="AH43" i="40"/>
  <c r="AB44" i="40"/>
  <c r="AC44" i="40"/>
  <c r="AD44" i="40"/>
  <c r="AE44" i="40"/>
  <c r="AF44" i="40"/>
  <c r="AG44" i="40"/>
  <c r="AH44" i="40"/>
  <c r="AB45" i="40"/>
  <c r="AC45" i="40"/>
  <c r="AD45" i="40"/>
  <c r="AE45" i="40"/>
  <c r="AF45" i="40"/>
  <c r="AG45" i="40"/>
  <c r="AH45" i="40"/>
  <c r="AB46" i="40"/>
  <c r="AC46" i="40"/>
  <c r="AD46" i="40"/>
  <c r="AE46" i="40"/>
  <c r="AF46" i="40"/>
  <c r="AG46" i="40"/>
  <c r="AH46" i="40"/>
  <c r="AB47" i="40"/>
  <c r="AC47" i="40"/>
  <c r="AD47" i="40"/>
  <c r="AE47" i="40"/>
  <c r="AF47" i="40"/>
  <c r="AG47" i="40"/>
  <c r="AH47" i="40"/>
  <c r="AB48" i="40"/>
  <c r="AC48" i="40"/>
  <c r="AD48" i="40"/>
  <c r="AE48" i="40"/>
  <c r="AF48" i="40"/>
  <c r="AG48" i="40"/>
  <c r="AH48" i="40"/>
  <c r="AB49" i="40"/>
  <c r="AC49" i="40"/>
  <c r="AD49" i="40"/>
  <c r="AE49" i="40"/>
  <c r="AF49" i="40"/>
  <c r="AG49" i="40"/>
  <c r="AH49" i="40"/>
  <c r="AB50" i="40"/>
  <c r="AC50" i="40"/>
  <c r="AD50" i="40"/>
  <c r="AE50" i="40"/>
  <c r="AF50" i="40"/>
  <c r="AG50" i="40"/>
  <c r="AH50" i="40"/>
  <c r="AB51" i="40"/>
  <c r="AC51" i="40"/>
  <c r="AD51" i="40"/>
  <c r="AE51" i="40"/>
  <c r="AF51" i="40"/>
  <c r="AG51" i="40"/>
  <c r="AH51" i="40"/>
  <c r="AB52" i="40"/>
  <c r="AC52" i="40"/>
  <c r="AD52" i="40"/>
  <c r="AE52" i="40"/>
  <c r="AF52" i="40"/>
  <c r="AG52" i="40"/>
  <c r="AH52" i="40"/>
  <c r="AB53" i="40"/>
  <c r="AC53" i="40"/>
  <c r="AD53" i="40"/>
  <c r="AE53" i="40"/>
  <c r="AF53" i="40"/>
  <c r="AG53" i="40"/>
  <c r="AH53" i="40"/>
  <c r="AB55" i="40"/>
  <c r="AC55" i="40"/>
  <c r="AD55" i="40"/>
  <c r="AE55" i="40"/>
  <c r="AF55" i="40"/>
  <c r="AG55" i="40"/>
  <c r="AH55" i="40"/>
  <c r="AB56" i="40"/>
  <c r="AC56" i="40"/>
  <c r="AD56" i="40"/>
  <c r="AE56" i="40"/>
  <c r="AF56" i="40"/>
  <c r="AG56" i="40"/>
  <c r="AH56" i="40"/>
  <c r="AB57" i="40"/>
  <c r="AC57" i="40"/>
  <c r="AD57" i="40"/>
  <c r="AE57" i="40"/>
  <c r="AF57" i="40"/>
  <c r="AG57" i="40"/>
  <c r="AH57" i="40"/>
  <c r="AB58" i="40"/>
  <c r="AC58" i="40"/>
  <c r="AD58" i="40"/>
  <c r="AE58" i="40"/>
  <c r="AF58" i="40"/>
  <c r="AG58" i="40"/>
  <c r="AH58" i="40"/>
  <c r="AB59" i="40"/>
  <c r="AC59" i="40"/>
  <c r="AD59" i="40"/>
  <c r="AE59" i="40"/>
  <c r="AF59" i="40"/>
  <c r="AG59" i="40"/>
  <c r="AH59" i="40"/>
  <c r="AB60" i="40"/>
  <c r="AC60" i="40"/>
  <c r="AD60" i="40"/>
  <c r="AE60" i="40"/>
  <c r="AF60" i="40"/>
  <c r="AG60" i="40"/>
  <c r="AH60" i="40"/>
  <c r="AB61" i="40"/>
  <c r="AC61" i="40"/>
  <c r="AD61" i="40"/>
  <c r="AE61" i="40"/>
  <c r="AF61" i="40"/>
  <c r="AG61" i="40"/>
  <c r="AH61" i="40"/>
  <c r="AB63" i="40"/>
  <c r="AC63" i="40"/>
  <c r="AD63" i="40"/>
  <c r="AE63" i="40"/>
  <c r="AF63" i="40"/>
  <c r="AG63" i="40"/>
  <c r="AH63" i="40"/>
  <c r="H23" i="52" l="1"/>
  <c r="H30" i="52"/>
  <c r="H60" i="52"/>
  <c r="H22" i="52"/>
  <c r="H14" i="52"/>
  <c r="H59" i="52"/>
  <c r="H29" i="52"/>
  <c r="H21" i="52"/>
  <c r="H13" i="52"/>
  <c r="H57" i="52"/>
  <c r="H36" i="52"/>
  <c r="H28" i="52"/>
  <c r="H20" i="52"/>
  <c r="H12" i="52"/>
  <c r="H56" i="52"/>
  <c r="H35" i="52"/>
  <c r="H27" i="52"/>
  <c r="H19" i="52"/>
  <c r="H11" i="52"/>
  <c r="H55" i="52"/>
  <c r="H34" i="52"/>
  <c r="H26" i="52"/>
  <c r="H18" i="52"/>
  <c r="H10" i="52"/>
  <c r="H54" i="52"/>
  <c r="H33" i="52"/>
  <c r="H25" i="52"/>
  <c r="H17" i="52"/>
  <c r="H9" i="52"/>
  <c r="H8" i="52"/>
  <c r="H52" i="52"/>
  <c r="H32" i="52"/>
  <c r="H24" i="52"/>
  <c r="H16" i="52"/>
  <c r="H62" i="52"/>
  <c r="H51" i="52"/>
  <c r="H31" i="52"/>
  <c r="H15" i="52"/>
  <c r="H45" i="52"/>
  <c r="H44" i="52"/>
  <c r="H46" i="52"/>
  <c r="H42" i="52"/>
  <c r="AN65" i="40" l="1"/>
  <c r="B57" i="39" l="1"/>
  <c r="J57" i="39" s="1"/>
  <c r="B55" i="39"/>
  <c r="J55" i="39" s="1"/>
  <c r="B54" i="39"/>
  <c r="J54" i="39" s="1"/>
  <c r="B53" i="39"/>
  <c r="J53" i="39" s="1"/>
  <c r="B52" i="39"/>
  <c r="J52" i="39" s="1"/>
  <c r="B51" i="39"/>
  <c r="J51" i="39" s="1"/>
  <c r="B50" i="39"/>
  <c r="J50" i="39" s="1"/>
  <c r="B49" i="39"/>
  <c r="J49" i="39" s="1"/>
  <c r="B48" i="39"/>
  <c r="J48" i="39" s="1"/>
  <c r="B47" i="39"/>
  <c r="J47" i="39" s="1"/>
  <c r="B44" i="39"/>
  <c r="J44" i="39" s="1"/>
  <c r="B43" i="39"/>
  <c r="J43" i="39" s="1"/>
  <c r="B42" i="39"/>
  <c r="J42" i="39" s="1"/>
  <c r="B41" i="39"/>
  <c r="J41" i="39" s="1"/>
  <c r="B40" i="39"/>
  <c r="J40" i="39" s="1"/>
  <c r="B39" i="39"/>
  <c r="J39" i="39" s="1"/>
  <c r="B38" i="39"/>
  <c r="J38" i="39" s="1"/>
  <c r="B37" i="39"/>
  <c r="J37" i="39" s="1"/>
  <c r="B36" i="39"/>
  <c r="J36" i="39" s="1"/>
  <c r="B35" i="39"/>
  <c r="J35" i="39" s="1"/>
  <c r="B32" i="39"/>
  <c r="J32" i="39" s="1"/>
  <c r="B31" i="39"/>
  <c r="J31" i="39" s="1"/>
  <c r="B30" i="39"/>
  <c r="J30" i="39" s="1"/>
  <c r="B29" i="39"/>
  <c r="J29" i="39" s="1"/>
  <c r="B28" i="39"/>
  <c r="J28" i="39" s="1"/>
  <c r="B27" i="39"/>
  <c r="J27" i="39" s="1"/>
  <c r="B26" i="39"/>
  <c r="B25" i="39"/>
  <c r="J25" i="39" s="1"/>
  <c r="B24" i="39"/>
  <c r="J24" i="39" s="1"/>
  <c r="B23" i="39"/>
  <c r="J23" i="39" s="1"/>
  <c r="B22" i="39"/>
  <c r="B21" i="39"/>
  <c r="J21" i="39" s="1"/>
  <c r="B20" i="39"/>
  <c r="J20" i="39" s="1"/>
  <c r="B19" i="39"/>
  <c r="B18" i="39"/>
  <c r="J18" i="39" s="1"/>
  <c r="B17" i="39"/>
  <c r="J17" i="39" s="1"/>
  <c r="B16" i="39"/>
  <c r="J16" i="39" s="1"/>
  <c r="B15" i="39"/>
  <c r="J15" i="39" s="1"/>
  <c r="B14" i="39"/>
  <c r="J14" i="39" s="1"/>
  <c r="B13" i="39"/>
  <c r="J13" i="39" s="1"/>
  <c r="B12" i="39"/>
  <c r="J12" i="39" s="1"/>
  <c r="B11" i="39"/>
  <c r="J11" i="39" s="1"/>
  <c r="B10" i="39"/>
  <c r="J10" i="39" s="1"/>
  <c r="B9" i="39"/>
  <c r="J9" i="39" s="1"/>
  <c r="B8" i="39"/>
  <c r="J8" i="39" s="1"/>
  <c r="B7" i="39"/>
  <c r="J7" i="39" s="1"/>
  <c r="B6" i="39"/>
  <c r="J6" i="39" s="1"/>
  <c r="B5" i="39"/>
  <c r="J5" i="39" s="1"/>
  <c r="B4" i="39"/>
  <c r="J4" i="39" s="1"/>
  <c r="B3" i="39"/>
  <c r="J19" i="39" l="1"/>
  <c r="BF23" i="52" s="1"/>
  <c r="J22" i="39"/>
  <c r="J26" i="39"/>
  <c r="BF30" i="52" s="1"/>
  <c r="J6" i="54"/>
  <c r="J14" i="54"/>
  <c r="J22" i="54"/>
  <c r="J13" i="54"/>
  <c r="J7" i="54"/>
  <c r="J15" i="54"/>
  <c r="J23" i="54"/>
  <c r="J16" i="54"/>
  <c r="J24" i="54"/>
  <c r="J32" i="54"/>
  <c r="J9" i="54"/>
  <c r="J25" i="54"/>
  <c r="J33" i="54"/>
  <c r="J17" i="54"/>
  <c r="J10" i="54"/>
  <c r="J18" i="54"/>
  <c r="J26" i="54"/>
  <c r="J8" i="54"/>
  <c r="J11" i="54"/>
  <c r="J19" i="54"/>
  <c r="J27" i="54"/>
  <c r="J12" i="54"/>
  <c r="J28" i="54"/>
  <c r="J21" i="54"/>
  <c r="J29" i="54"/>
  <c r="A73" i="39"/>
  <c r="A78" i="39"/>
  <c r="A83" i="39"/>
  <c r="A87" i="39"/>
  <c r="A91" i="39"/>
  <c r="A95" i="39"/>
  <c r="A99" i="39"/>
  <c r="A103" i="39"/>
  <c r="A109" i="39"/>
  <c r="A113" i="39"/>
  <c r="A117" i="39"/>
  <c r="A75" i="39"/>
  <c r="A79" i="39"/>
  <c r="A84" i="39"/>
  <c r="A88" i="39"/>
  <c r="A92" i="39"/>
  <c r="A96" i="39"/>
  <c r="A100" i="39"/>
  <c r="A105" i="39"/>
  <c r="A110" i="39"/>
  <c r="A114" i="39"/>
  <c r="A118" i="39"/>
  <c r="A70" i="39"/>
  <c r="A76" i="39"/>
  <c r="A81" i="39"/>
  <c r="A85" i="39"/>
  <c r="A89" i="39"/>
  <c r="A93" i="39"/>
  <c r="A97" i="39"/>
  <c r="A101" i="39"/>
  <c r="A106" i="39"/>
  <c r="A111" i="39"/>
  <c r="A115" i="39"/>
  <c r="A69" i="39"/>
  <c r="A71" i="39"/>
  <c r="A77" i="39"/>
  <c r="A82" i="39"/>
  <c r="A86" i="39"/>
  <c r="A90" i="39"/>
  <c r="A94" i="39"/>
  <c r="A98" i="39"/>
  <c r="A102" i="39"/>
  <c r="A107" i="39"/>
  <c r="A112" i="39"/>
  <c r="A116" i="39"/>
  <c r="A80" i="39"/>
  <c r="A74" i="39"/>
  <c r="A72" i="39"/>
  <c r="A108" i="39"/>
  <c r="A104" i="39"/>
  <c r="J20" i="54" l="1"/>
  <c r="K44" i="53"/>
  <c r="T31" i="52"/>
  <c r="BF31" i="52"/>
  <c r="K39" i="53"/>
  <c r="T14" i="52"/>
  <c r="BF14" i="52"/>
  <c r="BF16" i="52"/>
  <c r="K23" i="53"/>
  <c r="T16" i="52"/>
  <c r="T12" i="52"/>
  <c r="BF12" i="52"/>
  <c r="K56" i="53"/>
  <c r="BF19" i="52"/>
  <c r="K33" i="53"/>
  <c r="T19" i="52"/>
  <c r="K57" i="53"/>
  <c r="BF32" i="52"/>
  <c r="T32" i="52"/>
  <c r="K61" i="53"/>
  <c r="T30" i="52"/>
  <c r="BF21" i="52"/>
  <c r="K35" i="53"/>
  <c r="T21" i="52"/>
  <c r="J30" i="54"/>
  <c r="T23" i="52"/>
  <c r="K59" i="53"/>
  <c r="K46" i="53"/>
  <c r="T13" i="52"/>
  <c r="BF13" i="52"/>
  <c r="K37" i="53"/>
  <c r="T36" i="52"/>
  <c r="BF36" i="52"/>
  <c r="K26" i="53"/>
  <c r="T18" i="52"/>
  <c r="BF18" i="52"/>
  <c r="K25" i="53"/>
  <c r="T9" i="52"/>
  <c r="BF9" i="52"/>
  <c r="K43" i="53"/>
  <c r="T11" i="52"/>
  <c r="BF11" i="52"/>
  <c r="BF35" i="52"/>
  <c r="K38" i="53"/>
  <c r="T35" i="52"/>
  <c r="J31" i="54"/>
  <c r="K27" i="53"/>
  <c r="T25" i="52"/>
  <c r="BF25" i="52"/>
  <c r="T22" i="52"/>
  <c r="BF22" i="52"/>
  <c r="K28" i="53"/>
  <c r="T29" i="52"/>
  <c r="BF29" i="52"/>
  <c r="K22" i="53"/>
  <c r="K36" i="53"/>
  <c r="T10" i="52"/>
  <c r="BF10" i="52"/>
  <c r="J5" i="54"/>
  <c r="T24" i="52"/>
  <c r="BF24" i="52"/>
  <c r="K32" i="53"/>
  <c r="K30" i="53"/>
  <c r="T15" i="52"/>
  <c r="BF15" i="52"/>
  <c r="K34" i="53"/>
  <c r="T20" i="52"/>
  <c r="BF20" i="52"/>
  <c r="BF28" i="52"/>
  <c r="K52" i="53"/>
  <c r="T28" i="52"/>
  <c r="C4" i="39"/>
  <c r="T27" i="52"/>
  <c r="BF27" i="52"/>
  <c r="K40" i="53"/>
  <c r="BF26" i="52"/>
  <c r="K51" i="53"/>
  <c r="T26" i="52"/>
  <c r="T17" i="52"/>
  <c r="BF17" i="52"/>
  <c r="K47" i="53"/>
  <c r="K14" i="53"/>
  <c r="T42" i="52"/>
  <c r="W42" i="52" s="1"/>
  <c r="K17" i="53"/>
  <c r="T45" i="52"/>
  <c r="W45" i="52" s="1"/>
  <c r="K50" i="53"/>
  <c r="K18" i="53"/>
  <c r="T46" i="52"/>
  <c r="W46" i="52" s="1"/>
  <c r="K16" i="53"/>
  <c r="T44" i="52"/>
  <c r="W44" i="52" s="1"/>
  <c r="AE35" i="39"/>
  <c r="AE36" i="39"/>
  <c r="C8" i="39"/>
  <c r="C32" i="39"/>
  <c r="C16" i="39"/>
  <c r="C18" i="39"/>
  <c r="C21" i="39"/>
  <c r="C27" i="39"/>
  <c r="C19" i="39"/>
  <c r="C11" i="39"/>
  <c r="C30" i="39"/>
  <c r="C14" i="39"/>
  <c r="C17" i="39"/>
  <c r="C24" i="39"/>
  <c r="C5" i="39"/>
  <c r="C28" i="39"/>
  <c r="C20" i="39"/>
  <c r="C12" i="39"/>
  <c r="C26" i="39"/>
  <c r="C10" i="39"/>
  <c r="C29" i="39"/>
  <c r="C13" i="39"/>
  <c r="C31" i="39"/>
  <c r="C23" i="39"/>
  <c r="C15" i="39"/>
  <c r="C7" i="39"/>
  <c r="C22" i="39"/>
  <c r="C6" i="39"/>
  <c r="C25" i="39"/>
  <c r="C9" i="39"/>
  <c r="M20" i="39"/>
  <c r="M30" i="39"/>
  <c r="M14" i="39"/>
  <c r="M21" i="39"/>
  <c r="M5" i="39"/>
  <c r="M12" i="39"/>
  <c r="M27" i="39"/>
  <c r="M19" i="39"/>
  <c r="M11" i="39"/>
  <c r="M26" i="39"/>
  <c r="M10" i="39"/>
  <c r="M17" i="39"/>
  <c r="M22" i="39"/>
  <c r="M6" i="39"/>
  <c r="M29" i="39"/>
  <c r="M13" i="39"/>
  <c r="E77" i="39"/>
  <c r="M28" i="39"/>
  <c r="M32" i="39"/>
  <c r="M24" i="39"/>
  <c r="M16" i="39"/>
  <c r="M8" i="39"/>
  <c r="M31" i="39"/>
  <c r="M23" i="39"/>
  <c r="M15" i="39"/>
  <c r="M7" i="39"/>
  <c r="M18" i="39"/>
  <c r="M25" i="39"/>
  <c r="M9" i="39"/>
  <c r="J3" i="39"/>
  <c r="X6" i="39" s="1"/>
  <c r="M4" i="39"/>
  <c r="Y2" i="52" l="1"/>
  <c r="AA4" i="39"/>
  <c r="K53" i="53"/>
  <c r="T33" i="52"/>
  <c r="BF33" i="52"/>
  <c r="BF8" i="52"/>
  <c r="K29" i="53"/>
  <c r="T8" i="52"/>
  <c r="K5" i="54"/>
  <c r="N5" i="54" s="1"/>
  <c r="K54" i="53"/>
  <c r="T34" i="52"/>
  <c r="BF34" i="52"/>
  <c r="Z46" i="52"/>
  <c r="Y46" i="52"/>
  <c r="K13" i="53"/>
  <c r="T41" i="52"/>
  <c r="W41" i="52" s="1"/>
  <c r="K41" i="53"/>
  <c r="T62" i="52"/>
  <c r="W62" i="52" s="1"/>
  <c r="BF49" i="52"/>
  <c r="K42" i="53"/>
  <c r="T55" i="52"/>
  <c r="W55" i="52" s="1"/>
  <c r="BF42" i="52"/>
  <c r="Z45" i="52"/>
  <c r="Y45" i="52"/>
  <c r="K21" i="53"/>
  <c r="T58" i="52"/>
  <c r="W58" i="52" s="1"/>
  <c r="BF45" i="52"/>
  <c r="K20" i="53"/>
  <c r="T48" i="52"/>
  <c r="W48" i="52" s="1"/>
  <c r="K19" i="53"/>
  <c r="T47" i="52"/>
  <c r="W47" i="52" s="1"/>
  <c r="K55" i="53"/>
  <c r="T57" i="52"/>
  <c r="W57" i="52" s="1"/>
  <c r="BF44" i="52"/>
  <c r="K24" i="53"/>
  <c r="T60" i="52"/>
  <c r="W60" i="52" s="1"/>
  <c r="BF47" i="52"/>
  <c r="K11" i="53"/>
  <c r="T39" i="52"/>
  <c r="W39" i="52" s="1"/>
  <c r="T54" i="52"/>
  <c r="W54" i="52" s="1"/>
  <c r="BF41" i="52"/>
  <c r="K31" i="53"/>
  <c r="T52" i="52"/>
  <c r="W52" i="52" s="1"/>
  <c r="BF39" i="52"/>
  <c r="K12" i="53"/>
  <c r="T40" i="52"/>
  <c r="W40" i="52" s="1"/>
  <c r="Z42" i="52"/>
  <c r="Y42" i="52"/>
  <c r="K49" i="53"/>
  <c r="T51" i="52"/>
  <c r="W51" i="52" s="1"/>
  <c r="BF38" i="52"/>
  <c r="K48" i="53"/>
  <c r="T56" i="52"/>
  <c r="W56" i="52" s="1"/>
  <c r="BF43" i="52"/>
  <c r="Z44" i="52"/>
  <c r="Y44" i="52"/>
  <c r="K15" i="53"/>
  <c r="T43" i="52"/>
  <c r="W43" i="52" s="1"/>
  <c r="K45" i="53"/>
  <c r="T59" i="52"/>
  <c r="W59" i="52" s="1"/>
  <c r="BF46" i="52"/>
  <c r="AA9" i="39"/>
  <c r="AA6" i="39"/>
  <c r="AA7" i="39"/>
  <c r="AA23" i="39"/>
  <c r="AA29" i="39"/>
  <c r="AA26" i="39"/>
  <c r="AA20" i="39"/>
  <c r="AA5" i="39"/>
  <c r="AA17" i="39"/>
  <c r="AA30" i="39"/>
  <c r="AA19" i="39"/>
  <c r="AA21" i="39"/>
  <c r="AA16" i="39"/>
  <c r="AA8" i="39"/>
  <c r="AA25" i="39"/>
  <c r="AA22" i="39"/>
  <c r="AA15" i="39"/>
  <c r="AA31" i="39"/>
  <c r="AA13" i="39"/>
  <c r="AA10" i="39"/>
  <c r="AA12" i="39"/>
  <c r="AA28" i="39"/>
  <c r="AA24" i="39"/>
  <c r="AA14" i="39"/>
  <c r="AA11" i="39"/>
  <c r="AA27" i="39"/>
  <c r="AA18" i="39"/>
  <c r="AA32" i="39"/>
  <c r="D4" i="55" l="1"/>
  <c r="D36" i="55" s="1"/>
  <c r="C11" i="56"/>
  <c r="C9" i="56"/>
  <c r="C8" i="56"/>
  <c r="C4" i="56"/>
  <c r="C14" i="56"/>
  <c r="C3" i="56"/>
  <c r="C10" i="56"/>
  <c r="C6" i="56"/>
  <c r="C7" i="56"/>
  <c r="C12" i="56"/>
  <c r="Z51" i="52"/>
  <c r="Y51" i="52"/>
  <c r="Z60" i="52"/>
  <c r="Y60" i="52"/>
  <c r="Z57" i="52"/>
  <c r="Y57" i="52"/>
  <c r="Z47" i="52"/>
  <c r="Y47" i="52"/>
  <c r="Z58" i="52"/>
  <c r="Y58" i="52"/>
  <c r="Z55" i="52"/>
  <c r="Y55" i="52"/>
  <c r="Z41" i="52"/>
  <c r="Y41" i="52"/>
  <c r="AC36" i="39"/>
  <c r="AC39" i="39" s="1"/>
  <c r="AC35" i="39"/>
  <c r="AC38" i="39" s="1"/>
  <c r="Z59" i="52"/>
  <c r="Y59" i="52"/>
  <c r="Z40" i="52"/>
  <c r="Y40" i="52"/>
  <c r="Z52" i="52"/>
  <c r="Y52" i="52"/>
  <c r="Z54" i="52"/>
  <c r="Y54" i="52"/>
  <c r="Z56" i="52"/>
  <c r="Y56" i="52"/>
  <c r="Z39" i="52"/>
  <c r="Y39" i="52"/>
  <c r="Z48" i="52"/>
  <c r="Y48" i="52"/>
  <c r="Z62" i="52"/>
  <c r="Y62" i="52"/>
  <c r="Z43" i="52"/>
  <c r="Y43" i="52"/>
  <c r="K33" i="54"/>
  <c r="K28" i="54"/>
  <c r="K15" i="54"/>
  <c r="K29" i="54"/>
  <c r="K11" i="54"/>
  <c r="K32" i="54"/>
  <c r="K23" i="54"/>
  <c r="K9" i="54"/>
  <c r="K22" i="54"/>
  <c r="K31" i="54"/>
  <c r="K6" i="54"/>
  <c r="K27" i="54"/>
  <c r="K24" i="54"/>
  <c r="K7" i="54"/>
  <c r="K19" i="54"/>
  <c r="K12" i="54"/>
  <c r="K25" i="54"/>
  <c r="K13" i="54"/>
  <c r="K14" i="54"/>
  <c r="K16" i="54"/>
  <c r="K26" i="54"/>
  <c r="K17" i="54"/>
  <c r="K20" i="54"/>
  <c r="K18" i="54"/>
  <c r="K21" i="54"/>
  <c r="K30" i="54"/>
  <c r="K8" i="54"/>
  <c r="K10" i="54"/>
  <c r="D9" i="55" l="1"/>
  <c r="D41" i="55" s="1"/>
  <c r="N10" i="54"/>
  <c r="D5" i="55"/>
  <c r="D37" i="55" s="1"/>
  <c r="N6" i="54"/>
  <c r="D14" i="55"/>
  <c r="D46" i="55" s="1"/>
  <c r="N15" i="54"/>
  <c r="D29" i="55"/>
  <c r="D61" i="55" s="1"/>
  <c r="N30" i="54"/>
  <c r="D12" i="55"/>
  <c r="D44" i="55" s="1"/>
  <c r="N13" i="54"/>
  <c r="D30" i="55"/>
  <c r="D62" i="55" s="1"/>
  <c r="N31" i="54"/>
  <c r="D27" i="55"/>
  <c r="D59" i="55" s="1"/>
  <c r="N28" i="54"/>
  <c r="D20" i="55"/>
  <c r="D52" i="55" s="1"/>
  <c r="N21" i="54"/>
  <c r="D25" i="55"/>
  <c r="D57" i="55" s="1"/>
  <c r="N26" i="54"/>
  <c r="D17" i="55"/>
  <c r="D49" i="55" s="1"/>
  <c r="N18" i="54"/>
  <c r="D28" i="55"/>
  <c r="D60" i="55" s="1"/>
  <c r="N29" i="54"/>
  <c r="D7" i="55"/>
  <c r="D39" i="55" s="1"/>
  <c r="N8" i="54"/>
  <c r="D21" i="55"/>
  <c r="D53" i="55" s="1"/>
  <c r="N22" i="54"/>
  <c r="D8" i="55"/>
  <c r="D40" i="55" s="1"/>
  <c r="N9" i="54"/>
  <c r="D19" i="55"/>
  <c r="D51" i="55" s="1"/>
  <c r="N20" i="54"/>
  <c r="D18" i="55"/>
  <c r="D50" i="55" s="1"/>
  <c r="N19" i="54"/>
  <c r="D22" i="55"/>
  <c r="D54" i="55" s="1"/>
  <c r="N23" i="54"/>
  <c r="D15" i="55"/>
  <c r="D47" i="55" s="1"/>
  <c r="N16" i="54"/>
  <c r="D13" i="55"/>
  <c r="D45" i="55" s="1"/>
  <c r="N14" i="54"/>
  <c r="D24" i="55"/>
  <c r="D56" i="55" s="1"/>
  <c r="N25" i="54"/>
  <c r="D32" i="55"/>
  <c r="D64" i="55" s="1"/>
  <c r="N33" i="54"/>
  <c r="D11" i="55"/>
  <c r="D43" i="55" s="1"/>
  <c r="N12" i="54"/>
  <c r="D16" i="55"/>
  <c r="D48" i="55" s="1"/>
  <c r="N17" i="54"/>
  <c r="D6" i="55"/>
  <c r="D38" i="55" s="1"/>
  <c r="N7" i="54"/>
  <c r="D31" i="55"/>
  <c r="D63" i="55" s="1"/>
  <c r="N32" i="54"/>
  <c r="D23" i="55"/>
  <c r="D55" i="55" s="1"/>
  <c r="N24" i="54"/>
  <c r="D10" i="55"/>
  <c r="D42" i="55" s="1"/>
  <c r="N11" i="54"/>
  <c r="D26" i="55"/>
  <c r="D58" i="55" s="1"/>
  <c r="N27" i="54"/>
  <c r="C56" i="39"/>
  <c r="C116" i="39" s="1"/>
  <c r="C80" i="39"/>
  <c r="C102" i="39"/>
  <c r="C85" i="39"/>
  <c r="C113" i="39"/>
  <c r="C101" i="39"/>
  <c r="C90" i="39"/>
  <c r="C79" i="39"/>
  <c r="C73" i="39"/>
  <c r="C71" i="39"/>
  <c r="C97" i="39"/>
  <c r="C111" i="39"/>
  <c r="C103" i="39"/>
  <c r="C100" i="39"/>
  <c r="C104" i="39"/>
  <c r="C81" i="39"/>
  <c r="C99" i="39"/>
  <c r="C107" i="39"/>
  <c r="C78" i="39"/>
  <c r="C70" i="39"/>
  <c r="C96" i="39"/>
  <c r="C112" i="39"/>
  <c r="C115" i="39"/>
  <c r="C118" i="39"/>
  <c r="C86" i="39"/>
  <c r="C117" i="39"/>
  <c r="C110" i="39"/>
  <c r="C87" i="39"/>
  <c r="C89" i="39"/>
  <c r="C105" i="39"/>
  <c r="C95" i="39"/>
  <c r="C83" i="39"/>
  <c r="C91" i="39"/>
  <c r="C92" i="39"/>
  <c r="C106" i="39"/>
  <c r="C94" i="39"/>
  <c r="C82" i="39"/>
  <c r="C98" i="39"/>
  <c r="C114" i="39"/>
  <c r="C84" i="39"/>
  <c r="C109" i="39"/>
  <c r="C93" i="39"/>
  <c r="C72" i="39" l="1"/>
  <c r="C74" i="39"/>
  <c r="C76" i="39"/>
  <c r="C75" i="39"/>
  <c r="C77" i="39"/>
  <c r="N8" i="39"/>
  <c r="N10" i="39"/>
  <c r="N16" i="39"/>
  <c r="N12" i="39"/>
  <c r="N20" i="39"/>
  <c r="N6" i="39"/>
  <c r="N26" i="39"/>
  <c r="N7" i="39"/>
  <c r="N22" i="39"/>
  <c r="N5" i="39"/>
  <c r="N9" i="39"/>
  <c r="N19" i="39"/>
  <c r="N28" i="39"/>
  <c r="N27" i="39"/>
  <c r="N17" i="39"/>
  <c r="N13" i="39"/>
  <c r="N15" i="39"/>
  <c r="N11" i="39"/>
  <c r="N18" i="39"/>
  <c r="N21" i="39"/>
  <c r="N30" i="39"/>
  <c r="N23" i="39"/>
  <c r="N29" i="39"/>
  <c r="N24" i="39"/>
  <c r="N32" i="39"/>
  <c r="N25" i="39"/>
  <c r="N31" i="39"/>
  <c r="N14" i="39"/>
  <c r="C88" i="39"/>
  <c r="C108" i="39"/>
  <c r="N4" i="39" l="1"/>
  <c r="CB49" i="40" l="1"/>
  <c r="H77" i="39" l="1"/>
  <c r="CB48" i="40"/>
  <c r="CB46" i="40"/>
  <c r="CB43" i="40"/>
  <c r="CB47" i="40"/>
  <c r="CB41" i="40"/>
  <c r="CB45" i="40"/>
  <c r="CB44" i="40"/>
  <c r="CB42" i="40"/>
  <c r="CB40" i="40"/>
  <c r="D77" i="39"/>
  <c r="AQ7" i="41" l="1"/>
  <c r="D14" i="25" l="1"/>
  <c r="AW13" i="41" l="1"/>
  <c r="H16" i="25" l="1"/>
  <c r="H17" i="25" s="1"/>
  <c r="AO9" i="40"/>
  <c r="AO61" i="40"/>
  <c r="I60" i="52" s="1"/>
  <c r="I84" i="25"/>
  <c r="H15" i="25"/>
  <c r="AO14" i="40"/>
  <c r="CA14" i="40" s="1"/>
  <c r="AO32" i="40"/>
  <c r="CA32" i="40" s="1"/>
  <c r="AO63" i="40"/>
  <c r="CA63" i="40" s="1"/>
  <c r="I26" i="52"/>
  <c r="AO23" i="40"/>
  <c r="CA23" i="40" s="1"/>
  <c r="AO17" i="40"/>
  <c r="CA17" i="40" s="1"/>
  <c r="AO28" i="40"/>
  <c r="I27" i="52" s="1"/>
  <c r="D15" i="25"/>
  <c r="E15" i="25" s="1"/>
  <c r="AO57" i="40"/>
  <c r="I56" i="52" s="1"/>
  <c r="AO33" i="40"/>
  <c r="I32" i="52" s="1"/>
  <c r="AO20" i="40"/>
  <c r="I19" i="52" s="1"/>
  <c r="AO36" i="40"/>
  <c r="CA36" i="40" s="1"/>
  <c r="AO29" i="40"/>
  <c r="I28" i="52" s="1"/>
  <c r="CA24" i="40"/>
  <c r="AO56" i="40"/>
  <c r="I55" i="52" s="1"/>
  <c r="AO26" i="40"/>
  <c r="CA26" i="40" s="1"/>
  <c r="AO35" i="40"/>
  <c r="I34" i="52" s="1"/>
  <c r="AO12" i="40"/>
  <c r="CA12" i="40" s="1"/>
  <c r="AO55" i="40"/>
  <c r="CA55" i="40" s="1"/>
  <c r="CA52" i="40"/>
  <c r="AO15" i="40"/>
  <c r="I14" i="52" s="1"/>
  <c r="AO10" i="40"/>
  <c r="I9" i="52" s="1"/>
  <c r="AO30" i="40"/>
  <c r="I29" i="52" s="1"/>
  <c r="AO13" i="40"/>
  <c r="I12" i="52" s="1"/>
  <c r="AO53" i="40"/>
  <c r="CA53" i="40" s="1"/>
  <c r="AO58" i="40"/>
  <c r="CA58" i="40" s="1"/>
  <c r="AO34" i="40"/>
  <c r="I33" i="52" s="1"/>
  <c r="AO18" i="40"/>
  <c r="I17" i="52" s="1"/>
  <c r="AO21" i="40"/>
  <c r="CA21" i="40" s="1"/>
  <c r="AO11" i="40"/>
  <c r="CA11" i="40" s="1"/>
  <c r="AO19" i="40"/>
  <c r="I18" i="52" s="1"/>
  <c r="AO59" i="40"/>
  <c r="I58" i="52" s="1"/>
  <c r="AO22" i="40"/>
  <c r="I21" i="52" s="1"/>
  <c r="AO60" i="40"/>
  <c r="I59" i="52" s="1"/>
  <c r="AO37" i="40"/>
  <c r="CA37" i="40" s="1"/>
  <c r="AO16" i="40"/>
  <c r="I15" i="52" s="1"/>
  <c r="AO25" i="40"/>
  <c r="I24" i="52" s="1"/>
  <c r="E34" i="25"/>
  <c r="Q5" i="41" s="1"/>
  <c r="Q7" i="41" s="1"/>
  <c r="E29" i="25"/>
  <c r="L5" i="41" s="1"/>
  <c r="E32" i="25"/>
  <c r="O5" i="41" s="1"/>
  <c r="E31" i="25"/>
  <c r="N5" i="41" s="1"/>
  <c r="E28" i="25"/>
  <c r="K5" i="41" s="1"/>
  <c r="E30" i="25"/>
  <c r="M5" i="41" s="1"/>
  <c r="E35" i="25"/>
  <c r="R5" i="41" s="1"/>
  <c r="E33" i="25"/>
  <c r="P5" i="41" s="1"/>
  <c r="P7" i="41" s="1"/>
  <c r="AM160" i="41" s="1"/>
  <c r="E27" i="25"/>
  <c r="J5" i="41" s="1"/>
  <c r="AO45" i="40"/>
  <c r="CA45" i="40" s="1"/>
  <c r="AO41" i="40"/>
  <c r="AO43" i="40"/>
  <c r="CA43" i="40" s="1"/>
  <c r="AO46" i="40"/>
  <c r="CA46" i="40" s="1"/>
  <c r="AO42" i="40"/>
  <c r="CA42" i="40" s="1"/>
  <c r="AO48" i="40"/>
  <c r="AO49" i="40"/>
  <c r="CA49" i="40" s="1"/>
  <c r="AO44" i="40"/>
  <c r="CA44" i="40" s="1"/>
  <c r="AO47" i="40"/>
  <c r="CA47" i="40" s="1"/>
  <c r="E26" i="25"/>
  <c r="I5" i="41" s="1"/>
  <c r="I7" i="41" s="1"/>
  <c r="AO40" i="40"/>
  <c r="E25" i="25"/>
  <c r="H5" i="41" s="1"/>
  <c r="E14" i="25"/>
  <c r="D16" i="25"/>
  <c r="D17" i="25" s="1"/>
  <c r="AF520" i="41" l="1"/>
  <c r="AF523" i="41"/>
  <c r="AF550" i="41"/>
  <c r="AF495" i="41"/>
  <c r="AF564" i="41"/>
  <c r="AF500" i="41"/>
  <c r="AF535" i="41"/>
  <c r="AF522" i="41"/>
  <c r="AF557" i="41"/>
  <c r="AF512" i="41"/>
  <c r="AF515" i="41"/>
  <c r="AF542" i="41"/>
  <c r="AF569" i="41"/>
  <c r="AF556" i="41"/>
  <c r="AF492" i="41"/>
  <c r="AF527" i="41"/>
  <c r="AF514" i="41"/>
  <c r="AF549" i="41"/>
  <c r="AF568" i="41"/>
  <c r="AF496" i="41"/>
  <c r="AF507" i="41"/>
  <c r="AF534" i="41"/>
  <c r="AF561" i="41"/>
  <c r="AF548" i="41"/>
  <c r="AF519" i="41"/>
  <c r="AF503" i="41"/>
  <c r="AF506" i="41"/>
  <c r="AF541" i="41"/>
  <c r="AF560" i="41"/>
  <c r="AF563" i="41"/>
  <c r="AF499" i="41"/>
  <c r="AF526" i="41"/>
  <c r="AF553" i="41"/>
  <c r="AF540" i="41"/>
  <c r="AF511" i="41"/>
  <c r="AF562" i="41"/>
  <c r="AF498" i="41"/>
  <c r="AF533" i="41"/>
  <c r="AF552" i="41"/>
  <c r="AF555" i="41"/>
  <c r="AF513" i="41"/>
  <c r="AF518" i="41"/>
  <c r="AF545" i="41"/>
  <c r="AF532" i="41"/>
  <c r="AF567" i="41"/>
  <c r="AF554" i="41"/>
  <c r="AF493" i="41"/>
  <c r="AF525" i="41"/>
  <c r="AF544" i="41"/>
  <c r="AF547" i="41"/>
  <c r="AF505" i="41"/>
  <c r="AF510" i="41"/>
  <c r="AF537" i="41"/>
  <c r="AF524" i="41"/>
  <c r="AF559" i="41"/>
  <c r="AF546" i="41"/>
  <c r="AF504" i="41"/>
  <c r="AF517" i="41"/>
  <c r="AF536" i="41"/>
  <c r="AF539" i="41"/>
  <c r="AF566" i="41"/>
  <c r="AF502" i="41"/>
  <c r="AF529" i="41"/>
  <c r="AF516" i="41"/>
  <c r="AF551" i="41"/>
  <c r="AF538" i="41"/>
  <c r="AF497" i="41"/>
  <c r="AF509" i="41"/>
  <c r="AF528" i="41"/>
  <c r="AF531" i="41"/>
  <c r="AF558" i="41"/>
  <c r="AF494" i="41"/>
  <c r="AF521" i="41"/>
  <c r="AF508" i="41"/>
  <c r="AF543" i="41"/>
  <c r="AF530" i="41"/>
  <c r="AF565" i="41"/>
  <c r="AF501" i="41"/>
  <c r="AF53" i="41"/>
  <c r="AF71" i="41"/>
  <c r="AF22" i="41"/>
  <c r="AF27" i="41"/>
  <c r="AF37" i="41"/>
  <c r="AF76" i="41"/>
  <c r="AF28" i="41"/>
  <c r="AF39" i="41"/>
  <c r="AF32" i="41"/>
  <c r="AF110" i="41"/>
  <c r="AF86" i="41"/>
  <c r="AF33" i="41"/>
  <c r="AF61" i="41"/>
  <c r="AF24" i="41"/>
  <c r="AF63" i="41"/>
  <c r="AF30" i="41"/>
  <c r="AF35" i="41"/>
  <c r="AF36" i="41"/>
  <c r="AF25" i="41"/>
  <c r="AF69" i="41"/>
  <c r="AF205" i="41"/>
  <c r="AF243" i="41"/>
  <c r="AF238" i="41"/>
  <c r="AF225" i="41"/>
  <c r="AF207" i="41"/>
  <c r="AF156" i="41"/>
  <c r="AF236" i="41"/>
  <c r="AF226" i="41"/>
  <c r="AF192" i="41"/>
  <c r="AF174" i="41"/>
  <c r="AF129" i="41"/>
  <c r="AF151" i="41"/>
  <c r="AF138" i="41"/>
  <c r="AF218" i="41"/>
  <c r="AF105" i="41"/>
  <c r="AF84" i="41"/>
  <c r="AF79" i="41"/>
  <c r="AF152" i="41"/>
  <c r="AF169" i="41"/>
  <c r="AF112" i="41"/>
  <c r="AF75" i="41"/>
  <c r="AF54" i="41"/>
  <c r="AF57" i="41"/>
  <c r="AF44" i="41"/>
  <c r="AF29" i="41"/>
  <c r="AF197" i="41"/>
  <c r="AF235" i="41"/>
  <c r="AF230" i="41"/>
  <c r="AF217" i="41"/>
  <c r="AF199" i="41"/>
  <c r="AF234" i="41"/>
  <c r="AF204" i="41"/>
  <c r="AF189" i="41"/>
  <c r="AF184" i="41"/>
  <c r="AF166" i="41"/>
  <c r="AF121" i="41"/>
  <c r="AF143" i="41"/>
  <c r="AF130" i="41"/>
  <c r="AF171" i="41"/>
  <c r="AF97" i="41"/>
  <c r="AF128" i="41"/>
  <c r="AF193" i="41"/>
  <c r="AF120" i="41"/>
  <c r="AF144" i="41"/>
  <c r="AF80" i="41"/>
  <c r="AF67" i="41"/>
  <c r="AF46" i="41"/>
  <c r="AF49" i="41"/>
  <c r="AF88" i="41"/>
  <c r="AF26" i="41"/>
  <c r="AF78" i="41"/>
  <c r="AF240" i="41"/>
  <c r="AF227" i="41"/>
  <c r="AF222" i="41"/>
  <c r="AF209" i="41"/>
  <c r="AF244" i="41"/>
  <c r="AF202" i="41"/>
  <c r="AF194" i="41"/>
  <c r="AF181" i="41"/>
  <c r="AF176" i="41"/>
  <c r="AF158" i="41"/>
  <c r="AF185" i="41"/>
  <c r="AF135" i="41"/>
  <c r="AF122" i="41"/>
  <c r="AF147" i="41"/>
  <c r="AF89" i="41"/>
  <c r="AF117" i="41"/>
  <c r="AF150" i="41"/>
  <c r="AF118" i="41"/>
  <c r="AF115" i="41"/>
  <c r="AF72" i="41"/>
  <c r="AF59" i="41"/>
  <c r="AF38" i="41"/>
  <c r="AF41" i="41"/>
  <c r="AF74" i="41"/>
  <c r="AF47" i="41"/>
  <c r="AF245" i="41"/>
  <c r="AF232" i="41"/>
  <c r="AF219" i="41"/>
  <c r="AF214" i="41"/>
  <c r="AF201" i="41"/>
  <c r="AF212" i="41"/>
  <c r="AF191" i="41"/>
  <c r="AF186" i="41"/>
  <c r="AF173" i="41"/>
  <c r="AF168" i="41"/>
  <c r="AF163" i="41"/>
  <c r="AF148" i="41"/>
  <c r="AF127" i="41"/>
  <c r="AF179" i="41"/>
  <c r="AF139" i="41"/>
  <c r="AF81" i="41"/>
  <c r="AF116" i="41"/>
  <c r="AF114" i="41"/>
  <c r="AF109" i="41"/>
  <c r="AF107" i="41"/>
  <c r="AF64" i="41"/>
  <c r="AF51" i="41"/>
  <c r="AF134" i="41"/>
  <c r="AF142" i="41"/>
  <c r="AF66" i="41"/>
  <c r="AF237" i="41"/>
  <c r="AF224" i="41"/>
  <c r="AF211" i="41"/>
  <c r="AF206" i="41"/>
  <c r="AF239" i="41"/>
  <c r="AF188" i="41"/>
  <c r="AF183" i="41"/>
  <c r="AF178" i="41"/>
  <c r="AF165" i="41"/>
  <c r="AF160" i="41"/>
  <c r="AF155" i="41"/>
  <c r="AF140" i="41"/>
  <c r="AF119" i="41"/>
  <c r="AF149" i="41"/>
  <c r="AF131" i="41"/>
  <c r="AF126" i="41"/>
  <c r="AF111" i="41"/>
  <c r="AF106" i="41"/>
  <c r="AF101" i="41"/>
  <c r="AF99" i="41"/>
  <c r="AF56" i="41"/>
  <c r="AF43" i="41"/>
  <c r="AF94" i="41"/>
  <c r="AF96" i="41"/>
  <c r="AF58" i="41"/>
  <c r="AF229" i="41"/>
  <c r="AF216" i="41"/>
  <c r="AF203" i="41"/>
  <c r="AF198" i="41"/>
  <c r="AF231" i="41"/>
  <c r="AF180" i="41"/>
  <c r="AF175" i="41"/>
  <c r="AF170" i="41"/>
  <c r="AF157" i="41"/>
  <c r="AF220" i="41"/>
  <c r="AF153" i="41"/>
  <c r="AF132" i="41"/>
  <c r="AF242" i="41"/>
  <c r="AF141" i="41"/>
  <c r="AF123" i="41"/>
  <c r="AF108" i="41"/>
  <c r="AF103" i="41"/>
  <c r="AF98" i="41"/>
  <c r="AF93" i="41"/>
  <c r="AF91" i="41"/>
  <c r="AF48" i="41"/>
  <c r="AF104" i="41"/>
  <c r="AF77" i="41"/>
  <c r="AF68" i="41"/>
  <c r="AF50" i="41"/>
  <c r="AF221" i="41"/>
  <c r="AF208" i="41"/>
  <c r="AF195" i="41"/>
  <c r="AF241" i="41"/>
  <c r="AF223" i="41"/>
  <c r="AF172" i="41"/>
  <c r="AF167" i="41"/>
  <c r="AF162" i="41"/>
  <c r="AF228" i="41"/>
  <c r="AF190" i="41"/>
  <c r="AF145" i="41"/>
  <c r="AF124" i="41"/>
  <c r="AF177" i="41"/>
  <c r="AF133" i="41"/>
  <c r="AF136" i="41"/>
  <c r="AF100" i="41"/>
  <c r="AF95" i="41"/>
  <c r="AF90" i="41"/>
  <c r="AF85" i="41"/>
  <c r="AF83" i="41"/>
  <c r="AF40" i="41"/>
  <c r="AF70" i="41"/>
  <c r="AF73" i="41"/>
  <c r="AF60" i="41"/>
  <c r="AF42" i="41"/>
  <c r="AF34" i="41"/>
  <c r="AF213" i="41"/>
  <c r="AF200" i="41"/>
  <c r="AF246" i="41"/>
  <c r="AF233" i="41"/>
  <c r="AF215" i="41"/>
  <c r="AF164" i="41"/>
  <c r="AF159" i="41"/>
  <c r="AF154" i="41"/>
  <c r="AF196" i="41"/>
  <c r="AF182" i="41"/>
  <c r="AF137" i="41"/>
  <c r="AF187" i="41"/>
  <c r="AF146" i="41"/>
  <c r="AF125" i="41"/>
  <c r="AF113" i="41"/>
  <c r="AF92" i="41"/>
  <c r="AF87" i="41"/>
  <c r="AF82" i="41"/>
  <c r="AF210" i="41"/>
  <c r="AF161" i="41"/>
  <c r="AF102" i="41"/>
  <c r="AF62" i="41"/>
  <c r="AF65" i="41"/>
  <c r="AF52" i="41"/>
  <c r="AF45" i="41"/>
  <c r="AF31" i="41"/>
  <c r="AF55" i="41"/>
  <c r="AF23" i="41"/>
  <c r="AN25" i="41"/>
  <c r="AN53" i="41"/>
  <c r="AN22" i="41"/>
  <c r="AN27" i="41"/>
  <c r="AN76" i="41"/>
  <c r="AN28" i="41"/>
  <c r="AN37" i="41"/>
  <c r="AN55" i="41"/>
  <c r="AN102" i="41"/>
  <c r="AN39" i="41"/>
  <c r="AN32" i="41"/>
  <c r="AN71" i="41"/>
  <c r="AN45" i="41"/>
  <c r="AN33" i="41"/>
  <c r="AN63" i="41"/>
  <c r="AN61" i="41"/>
  <c r="AN24" i="41"/>
  <c r="AN110" i="41"/>
  <c r="AN30" i="41"/>
  <c r="AN35" i="41"/>
  <c r="AN237" i="41"/>
  <c r="AN224" i="41"/>
  <c r="AN211" i="41"/>
  <c r="AN206" i="41"/>
  <c r="AN239" i="41"/>
  <c r="AN188" i="41"/>
  <c r="AN175" i="41"/>
  <c r="AN170" i="41"/>
  <c r="AN157" i="41"/>
  <c r="AN212" i="41"/>
  <c r="AN145" i="41"/>
  <c r="AN132" i="41"/>
  <c r="AN127" i="41"/>
  <c r="AN210" i="41"/>
  <c r="AN139" i="41"/>
  <c r="AN81" i="41"/>
  <c r="AN193" i="41"/>
  <c r="AN142" i="41"/>
  <c r="AN109" i="41"/>
  <c r="AN107" i="41"/>
  <c r="AN48" i="41"/>
  <c r="AN43" i="41"/>
  <c r="AN38" i="41"/>
  <c r="AN68" i="41"/>
  <c r="AN58" i="41"/>
  <c r="AN229" i="41"/>
  <c r="AN216" i="41"/>
  <c r="AN203" i="41"/>
  <c r="AN198" i="41"/>
  <c r="AN231" i="41"/>
  <c r="AN180" i="41"/>
  <c r="AN167" i="41"/>
  <c r="AN162" i="41"/>
  <c r="AN220" i="41"/>
  <c r="AN190" i="41"/>
  <c r="AN137" i="41"/>
  <c r="AN124" i="41"/>
  <c r="AN119" i="41"/>
  <c r="AN171" i="41"/>
  <c r="AN131" i="41"/>
  <c r="AN185" i="41"/>
  <c r="AN152" i="41"/>
  <c r="AN114" i="41"/>
  <c r="AN101" i="41"/>
  <c r="AN99" i="41"/>
  <c r="AN40" i="41"/>
  <c r="AN134" i="41"/>
  <c r="AN86" i="41"/>
  <c r="AN60" i="41"/>
  <c r="AN50" i="41"/>
  <c r="AN29" i="41"/>
  <c r="AN221" i="41"/>
  <c r="AN208" i="41"/>
  <c r="AN195" i="41"/>
  <c r="AN241" i="41"/>
  <c r="AN223" i="41"/>
  <c r="AN172" i="41"/>
  <c r="AN159" i="41"/>
  <c r="AN154" i="41"/>
  <c r="AN192" i="41"/>
  <c r="AN182" i="41"/>
  <c r="AN129" i="41"/>
  <c r="AN242" i="41"/>
  <c r="AN202" i="41"/>
  <c r="AN149" i="41"/>
  <c r="AN123" i="41"/>
  <c r="AN150" i="41"/>
  <c r="AN120" i="41"/>
  <c r="AN106" i="41"/>
  <c r="AN93" i="41"/>
  <c r="AN91" i="41"/>
  <c r="AN126" i="41"/>
  <c r="AN116" i="41"/>
  <c r="AN73" i="41"/>
  <c r="AN52" i="41"/>
  <c r="AN42" i="41"/>
  <c r="AN26" i="41"/>
  <c r="AN213" i="41"/>
  <c r="AN200" i="41"/>
  <c r="AN246" i="41"/>
  <c r="AN233" i="41"/>
  <c r="AN215" i="41"/>
  <c r="AN164" i="41"/>
  <c r="AN228" i="41"/>
  <c r="AN218" i="41"/>
  <c r="AN184" i="41"/>
  <c r="AN174" i="41"/>
  <c r="AN121" i="41"/>
  <c r="AN179" i="41"/>
  <c r="AN169" i="41"/>
  <c r="AN141" i="41"/>
  <c r="AN128" i="41"/>
  <c r="AN118" i="41"/>
  <c r="AN111" i="41"/>
  <c r="AN98" i="41"/>
  <c r="AN85" i="41"/>
  <c r="AN83" i="41"/>
  <c r="AN94" i="41"/>
  <c r="AN96" i="41"/>
  <c r="AN65" i="41"/>
  <c r="AN44" i="41"/>
  <c r="AN205" i="41"/>
  <c r="AN243" i="41"/>
  <c r="AN238" i="41"/>
  <c r="AN225" i="41"/>
  <c r="AN207" i="41"/>
  <c r="AN156" i="41"/>
  <c r="AN196" i="41"/>
  <c r="AN189" i="41"/>
  <c r="AN176" i="41"/>
  <c r="AN166" i="41"/>
  <c r="AN234" i="41"/>
  <c r="AN155" i="41"/>
  <c r="AN146" i="41"/>
  <c r="AN133" i="41"/>
  <c r="AN113" i="41"/>
  <c r="AN108" i="41"/>
  <c r="AN103" i="41"/>
  <c r="AN90" i="41"/>
  <c r="AN77" i="41"/>
  <c r="AN104" i="41"/>
  <c r="AN75" i="41"/>
  <c r="AN70" i="41"/>
  <c r="AN57" i="41"/>
  <c r="AN112" i="41"/>
  <c r="AN197" i="41"/>
  <c r="AN235" i="41"/>
  <c r="AN230" i="41"/>
  <c r="AN217" i="41"/>
  <c r="AN199" i="41"/>
  <c r="AN226" i="41"/>
  <c r="AN194" i="41"/>
  <c r="AN181" i="41"/>
  <c r="AN168" i="41"/>
  <c r="AN158" i="41"/>
  <c r="AN177" i="41"/>
  <c r="AN151" i="41"/>
  <c r="AN138" i="41"/>
  <c r="AN125" i="41"/>
  <c r="AN105" i="41"/>
  <c r="AN100" i="41"/>
  <c r="AN95" i="41"/>
  <c r="AN82" i="41"/>
  <c r="AN136" i="41"/>
  <c r="AN72" i="41"/>
  <c r="AN67" i="41"/>
  <c r="AN62" i="41"/>
  <c r="AN49" i="41"/>
  <c r="AN80" i="41"/>
  <c r="AN240" i="41"/>
  <c r="AN227" i="41"/>
  <c r="AN222" i="41"/>
  <c r="AN209" i="41"/>
  <c r="AN236" i="41"/>
  <c r="AN191" i="41"/>
  <c r="AN186" i="41"/>
  <c r="AN173" i="41"/>
  <c r="AN160" i="41"/>
  <c r="AN187" i="41"/>
  <c r="AN148" i="41"/>
  <c r="AN143" i="41"/>
  <c r="AN130" i="41"/>
  <c r="AN163" i="41"/>
  <c r="AN97" i="41"/>
  <c r="AN92" i="41"/>
  <c r="AN87" i="41"/>
  <c r="AN161" i="41"/>
  <c r="AN117" i="41"/>
  <c r="AN64" i="41"/>
  <c r="AN59" i="41"/>
  <c r="AN54" i="41"/>
  <c r="AN41" i="41"/>
  <c r="AN74" i="41"/>
  <c r="O58" i="40" s="1"/>
  <c r="AN245" i="41"/>
  <c r="AN232" i="41"/>
  <c r="AN219" i="41"/>
  <c r="AN214" i="41"/>
  <c r="AN201" i="41"/>
  <c r="AN204" i="41"/>
  <c r="AN183" i="41"/>
  <c r="AN178" i="41"/>
  <c r="AN165" i="41"/>
  <c r="AN244" i="41"/>
  <c r="AN153" i="41"/>
  <c r="AN140" i="41"/>
  <c r="AN135" i="41"/>
  <c r="AN122" i="41"/>
  <c r="AN147" i="41"/>
  <c r="AN89" i="41"/>
  <c r="AN84" i="41"/>
  <c r="AN79" i="41"/>
  <c r="AN144" i="41"/>
  <c r="AN115" i="41"/>
  <c r="AN56" i="41"/>
  <c r="AN51" i="41"/>
  <c r="AN46" i="41"/>
  <c r="AN88" i="41"/>
  <c r="AN66" i="41"/>
  <c r="AN34" i="41"/>
  <c r="AN69" i="41"/>
  <c r="AN23" i="41"/>
  <c r="AN78" i="41"/>
  <c r="AN47" i="41"/>
  <c r="AN31" i="41"/>
  <c r="AN36" i="41"/>
  <c r="AM30" i="41"/>
  <c r="AM131" i="41"/>
  <c r="AM202" i="41"/>
  <c r="AM240" i="41"/>
  <c r="AM227" i="41"/>
  <c r="AM222" i="41"/>
  <c r="AM212" i="41"/>
  <c r="AM169" i="41"/>
  <c r="AM233" i="41"/>
  <c r="AM194" i="41"/>
  <c r="AM173" i="41"/>
  <c r="AM155" i="41"/>
  <c r="AM118" i="41"/>
  <c r="AM245" i="41"/>
  <c r="AM232" i="41"/>
  <c r="AM219" i="41"/>
  <c r="AM214" i="41"/>
  <c r="AM204" i="41"/>
  <c r="AM161" i="41"/>
  <c r="AM201" i="41"/>
  <c r="AM186" i="41"/>
  <c r="AM165" i="41"/>
  <c r="AM215" i="41"/>
  <c r="AM27" i="41"/>
  <c r="AM32" i="41"/>
  <c r="AM83" i="41"/>
  <c r="AM237" i="41"/>
  <c r="AM224" i="41"/>
  <c r="AM211" i="41"/>
  <c r="AM206" i="41"/>
  <c r="AM196" i="41"/>
  <c r="AM231" i="41"/>
  <c r="AM66" i="41"/>
  <c r="AM33" i="41"/>
  <c r="AM22" i="41"/>
  <c r="AM58" i="41"/>
  <c r="AM242" i="41"/>
  <c r="AM229" i="41"/>
  <c r="AM216" i="41"/>
  <c r="AM203" i="41"/>
  <c r="AM198" i="41"/>
  <c r="AM241" i="41"/>
  <c r="AM199" i="41"/>
  <c r="AM183" i="41"/>
  <c r="AM170" i="41"/>
  <c r="AM217" i="41"/>
  <c r="AM145" i="41"/>
  <c r="AM124" i="41"/>
  <c r="AM176" i="41"/>
  <c r="AM234" i="41"/>
  <c r="AM221" i="41"/>
  <c r="AM208" i="41"/>
  <c r="AM195" i="41"/>
  <c r="AM244" i="41"/>
  <c r="AM209" i="41"/>
  <c r="AM188" i="41"/>
  <c r="AM175" i="41"/>
  <c r="AM162" i="41"/>
  <c r="AM187" i="41"/>
  <c r="AM150" i="41"/>
  <c r="AM137" i="41"/>
  <c r="AM116" i="41"/>
  <c r="AM146" i="41"/>
  <c r="AM60" i="41"/>
  <c r="AM24" i="41"/>
  <c r="AM226" i="41"/>
  <c r="AM213" i="41"/>
  <c r="AM200" i="41"/>
  <c r="AM246" i="41"/>
  <c r="AM236" i="41"/>
  <c r="AM193" i="41"/>
  <c r="AM180" i="41"/>
  <c r="AM167" i="41"/>
  <c r="AM225" i="41"/>
  <c r="AM179" i="41"/>
  <c r="AM142" i="41"/>
  <c r="AM25" i="41"/>
  <c r="AM29" i="41"/>
  <c r="AM218" i="41"/>
  <c r="AM205" i="41"/>
  <c r="AM243" i="41"/>
  <c r="AM238" i="41"/>
  <c r="AM228" i="41"/>
  <c r="AM185" i="41"/>
  <c r="AM172" i="41"/>
  <c r="AM159" i="41"/>
  <c r="AM189" i="41"/>
  <c r="AM171" i="41"/>
  <c r="AM134" i="41"/>
  <c r="AM121" i="41"/>
  <c r="AM151" i="41"/>
  <c r="AM50" i="41"/>
  <c r="AM35" i="41"/>
  <c r="AM68" i="41"/>
  <c r="AM210" i="41"/>
  <c r="AM223" i="41"/>
  <c r="AM153" i="41"/>
  <c r="AM135" i="41"/>
  <c r="AM152" i="41"/>
  <c r="AM110" i="41"/>
  <c r="AM97" i="41"/>
  <c r="AM76" i="41"/>
  <c r="AM149" i="41"/>
  <c r="AM104" i="41"/>
  <c r="AM53" i="41"/>
  <c r="AM64" i="41"/>
  <c r="AM59" i="41"/>
  <c r="AM38" i="41"/>
  <c r="AM85" i="41"/>
  <c r="AM74" i="41"/>
  <c r="AM197" i="41"/>
  <c r="AM178" i="41"/>
  <c r="AM129" i="41"/>
  <c r="AM127" i="41"/>
  <c r="AM144" i="41"/>
  <c r="AM102" i="41"/>
  <c r="AM89" i="41"/>
  <c r="AM147" i="41"/>
  <c r="AM114" i="41"/>
  <c r="AM96" i="41"/>
  <c r="AM45" i="41"/>
  <c r="AM56" i="41"/>
  <c r="AM51" i="41"/>
  <c r="AM93" i="41"/>
  <c r="AM71" i="41"/>
  <c r="AM115" i="41"/>
  <c r="AM235" i="41"/>
  <c r="AM181" i="41"/>
  <c r="AM184" i="41"/>
  <c r="AM119" i="41"/>
  <c r="AM136" i="41"/>
  <c r="AM94" i="41"/>
  <c r="AM81" i="41"/>
  <c r="AM111" i="41"/>
  <c r="AM106" i="41"/>
  <c r="AM88" i="41"/>
  <c r="AM37" i="41"/>
  <c r="AM48" i="41"/>
  <c r="AM43" i="41"/>
  <c r="AM73" i="41"/>
  <c r="AM63" i="41"/>
  <c r="AM34" i="41"/>
  <c r="AM44" i="41"/>
  <c r="AM31" i="41"/>
  <c r="AM36" i="41"/>
  <c r="AM230" i="41"/>
  <c r="AM157" i="41"/>
  <c r="AM148" i="41"/>
  <c r="AM138" i="41"/>
  <c r="AM128" i="41"/>
  <c r="AM86" i="41"/>
  <c r="AM125" i="41"/>
  <c r="AM103" i="41"/>
  <c r="AM98" i="41"/>
  <c r="AM80" i="41"/>
  <c r="AM207" i="41"/>
  <c r="AM40" i="41"/>
  <c r="AM91" i="41"/>
  <c r="AM65" i="41"/>
  <c r="AM55" i="41"/>
  <c r="AM107" i="41"/>
  <c r="AM220" i="41"/>
  <c r="AM163" i="41"/>
  <c r="AM140" i="41"/>
  <c r="AM130" i="41"/>
  <c r="AM120" i="41"/>
  <c r="AM78" i="41"/>
  <c r="AM108" i="41"/>
  <c r="AM95" i="41"/>
  <c r="AM90" i="41"/>
  <c r="AM109" i="41"/>
  <c r="AM158" i="41"/>
  <c r="AM190" i="41"/>
  <c r="AM70" i="41"/>
  <c r="AM57" i="41"/>
  <c r="AM47" i="41"/>
  <c r="AM177" i="41"/>
  <c r="AM192" i="41"/>
  <c r="AM132" i="41"/>
  <c r="AM122" i="41"/>
  <c r="AM239" i="41"/>
  <c r="AM123" i="41"/>
  <c r="AM100" i="41"/>
  <c r="AM87" i="41"/>
  <c r="AM82" i="41"/>
  <c r="AM77" i="41"/>
  <c r="AM117" i="41"/>
  <c r="AM101" i="41"/>
  <c r="AM62" i="41"/>
  <c r="AM49" i="41"/>
  <c r="AM39" i="41"/>
  <c r="AM26" i="41"/>
  <c r="AM23" i="41"/>
  <c r="AM164" i="41"/>
  <c r="AM126" i="41"/>
  <c r="AM174" i="41"/>
  <c r="AM168" i="41"/>
  <c r="AM166" i="41"/>
  <c r="AM113" i="41"/>
  <c r="AM92" i="41"/>
  <c r="AM79" i="41"/>
  <c r="AM141" i="41"/>
  <c r="AM69" i="41"/>
  <c r="AM99" i="41"/>
  <c r="AM75" i="41"/>
  <c r="AM54" i="41"/>
  <c r="AM41" i="41"/>
  <c r="AM42" i="41"/>
  <c r="AM191" i="41"/>
  <c r="AM182" i="41"/>
  <c r="AM143" i="41"/>
  <c r="AM156" i="41"/>
  <c r="AM133" i="41"/>
  <c r="AM105" i="41"/>
  <c r="AM84" i="41"/>
  <c r="AM154" i="41"/>
  <c r="AM112" i="41"/>
  <c r="AM61" i="41"/>
  <c r="AM72" i="41"/>
  <c r="AM67" i="41"/>
  <c r="AM46" i="41"/>
  <c r="AM139" i="41"/>
  <c r="AM28" i="41"/>
  <c r="AM52" i="41"/>
  <c r="N7" i="41"/>
  <c r="L5" i="40"/>
  <c r="E16" i="25"/>
  <c r="E17" i="25" s="1"/>
  <c r="AW12" i="41" s="1"/>
  <c r="CA62" i="40"/>
  <c r="I16" i="52"/>
  <c r="I42" i="52"/>
  <c r="CA15" i="40"/>
  <c r="I57" i="52"/>
  <c r="CA33" i="40"/>
  <c r="CA25" i="40"/>
  <c r="CA20" i="40"/>
  <c r="E37" i="25"/>
  <c r="CA22" i="40"/>
  <c r="K5" i="40"/>
  <c r="M7" i="41"/>
  <c r="I5" i="40"/>
  <c r="K7" i="41"/>
  <c r="I44" i="52"/>
  <c r="I10" i="52"/>
  <c r="I52" i="52"/>
  <c r="I35" i="52"/>
  <c r="CA28" i="40"/>
  <c r="I41" i="52"/>
  <c r="CA18" i="40"/>
  <c r="I11" i="52"/>
  <c r="CA16" i="40"/>
  <c r="CA19" i="40"/>
  <c r="CA34" i="40"/>
  <c r="CA29" i="40"/>
  <c r="I43" i="52"/>
  <c r="I25" i="52"/>
  <c r="CA40" i="40"/>
  <c r="I39" i="52"/>
  <c r="AF7" i="41"/>
  <c r="F5" i="40"/>
  <c r="CA48" i="40"/>
  <c r="I47" i="52"/>
  <c r="I46" i="52"/>
  <c r="I48" i="52"/>
  <c r="G5" i="40"/>
  <c r="I9" i="41"/>
  <c r="W5" i="40" s="1"/>
  <c r="CA41" i="40"/>
  <c r="I40" i="52"/>
  <c r="I45" i="52"/>
  <c r="P5" i="40"/>
  <c r="AM7" i="41"/>
  <c r="N5" i="40"/>
  <c r="P9" i="41"/>
  <c r="J5" i="40"/>
  <c r="L9" i="41"/>
  <c r="Z5" i="40" s="1"/>
  <c r="Z27" i="40" s="1"/>
  <c r="H5" i="40"/>
  <c r="J7" i="41"/>
  <c r="R7" i="41"/>
  <c r="M5" i="40"/>
  <c r="O7" i="41"/>
  <c r="AN7" i="41"/>
  <c r="O5" i="40"/>
  <c r="Q9" i="41"/>
  <c r="CA10" i="40"/>
  <c r="I54" i="52"/>
  <c r="I36" i="52"/>
  <c r="CA60" i="40"/>
  <c r="CA59" i="40"/>
  <c r="I20" i="52"/>
  <c r="CA13" i="40"/>
  <c r="CA30" i="40"/>
  <c r="AO65" i="40"/>
  <c r="I22" i="52"/>
  <c r="I62" i="52"/>
  <c r="CA61" i="40"/>
  <c r="CA35" i="40"/>
  <c r="CA57" i="40"/>
  <c r="CA27" i="40"/>
  <c r="CA9" i="40"/>
  <c r="I8" i="52"/>
  <c r="I31" i="52"/>
  <c r="CA56" i="40"/>
  <c r="I13" i="52"/>
  <c r="N31" i="40" l="1"/>
  <c r="O31" i="40"/>
  <c r="N58" i="40"/>
  <c r="G58" i="40"/>
  <c r="AL646" i="41"/>
  <c r="AL638" i="41"/>
  <c r="AL630" i="41"/>
  <c r="AL614" i="41"/>
  <c r="AL598" i="41"/>
  <c r="AL582" i="41"/>
  <c r="AL649" i="41"/>
  <c r="AL641" i="41"/>
  <c r="AL633" i="41"/>
  <c r="AL625" i="41"/>
  <c r="AL617" i="41"/>
  <c r="AL609" i="41"/>
  <c r="AL601" i="41"/>
  <c r="AL593" i="41"/>
  <c r="AL585" i="41"/>
  <c r="AL577" i="41"/>
  <c r="AL589" i="41"/>
  <c r="AL652" i="41"/>
  <c r="AL644" i="41"/>
  <c r="AL636" i="41"/>
  <c r="AL628" i="41"/>
  <c r="AL620" i="41"/>
  <c r="AL612" i="41"/>
  <c r="AL604" i="41"/>
  <c r="AL596" i="41"/>
  <c r="AL588" i="41"/>
  <c r="AL580" i="41"/>
  <c r="AL647" i="41"/>
  <c r="AL639" i="41"/>
  <c r="AL631" i="41"/>
  <c r="AL623" i="41"/>
  <c r="AL615" i="41"/>
  <c r="AL607" i="41"/>
  <c r="AL599" i="41"/>
  <c r="AL591" i="41"/>
  <c r="AL583" i="41"/>
  <c r="AL575" i="41"/>
  <c r="AL650" i="41"/>
  <c r="AL642" i="41"/>
  <c r="AL634" i="41"/>
  <c r="AL626" i="41"/>
  <c r="AL618" i="41"/>
  <c r="AL610" i="41"/>
  <c r="AL602" i="41"/>
  <c r="AL594" i="41"/>
  <c r="AL586" i="41"/>
  <c r="AL578" i="41"/>
  <c r="AL613" i="41"/>
  <c r="AL597" i="41"/>
  <c r="AL645" i="41"/>
  <c r="AL637" i="41"/>
  <c r="AL629" i="41"/>
  <c r="AL621" i="41"/>
  <c r="AL605" i="41"/>
  <c r="AL581" i="41"/>
  <c r="AL648" i="41"/>
  <c r="AL640" i="41"/>
  <c r="AL632" i="41"/>
  <c r="AL624" i="41"/>
  <c r="AL616" i="41"/>
  <c r="AL608" i="41"/>
  <c r="AL600" i="41"/>
  <c r="AL592" i="41"/>
  <c r="AL584" i="41"/>
  <c r="AL576" i="41"/>
  <c r="AL651" i="41"/>
  <c r="AL643" i="41"/>
  <c r="AL635" i="41"/>
  <c r="AL627" i="41"/>
  <c r="AL619" i="41"/>
  <c r="AL611" i="41"/>
  <c r="AL603" i="41"/>
  <c r="AL595" i="41"/>
  <c r="AL587" i="41"/>
  <c r="AL579" i="41"/>
  <c r="AL622" i="41"/>
  <c r="AL606" i="41"/>
  <c r="AL590" i="41"/>
  <c r="AJ540" i="41"/>
  <c r="AJ532" i="41"/>
  <c r="AJ524" i="41"/>
  <c r="AJ515" i="41"/>
  <c r="AJ507" i="41"/>
  <c r="AJ499" i="41"/>
  <c r="AJ538" i="41"/>
  <c r="AJ531" i="41"/>
  <c r="AJ523" i="41"/>
  <c r="AJ516" i="41"/>
  <c r="AJ506" i="41"/>
  <c r="AJ498" i="41"/>
  <c r="AJ569" i="41"/>
  <c r="AJ568" i="41"/>
  <c r="AJ567" i="41"/>
  <c r="AJ566" i="41"/>
  <c r="AJ565" i="41"/>
  <c r="AJ564" i="41"/>
  <c r="AJ563" i="41"/>
  <c r="AJ562" i="41"/>
  <c r="AJ561" i="41"/>
  <c r="AJ560" i="41"/>
  <c r="AJ559" i="41"/>
  <c r="AJ558" i="41"/>
  <c r="AJ557" i="41"/>
  <c r="AJ556" i="41"/>
  <c r="AJ555" i="41"/>
  <c r="AJ554" i="41"/>
  <c r="AJ553" i="41"/>
  <c r="AJ552" i="41"/>
  <c r="AJ551" i="41"/>
  <c r="AJ550" i="41"/>
  <c r="AJ549" i="41"/>
  <c r="AJ548" i="41"/>
  <c r="AJ547" i="41"/>
  <c r="AJ546" i="41"/>
  <c r="AJ545" i="41"/>
  <c r="AJ544" i="41"/>
  <c r="AJ543" i="41"/>
  <c r="AJ542" i="41"/>
  <c r="AJ535" i="41"/>
  <c r="AJ528" i="41"/>
  <c r="AJ520" i="41"/>
  <c r="AJ512" i="41"/>
  <c r="AJ504" i="41"/>
  <c r="AJ496" i="41"/>
  <c r="AJ526" i="41"/>
  <c r="AJ517" i="41"/>
  <c r="AJ509" i="41"/>
  <c r="AJ501" i="41"/>
  <c r="AJ494" i="41"/>
  <c r="AJ541" i="41"/>
  <c r="AJ534" i="41"/>
  <c r="AJ527" i="41"/>
  <c r="AJ519" i="41"/>
  <c r="AJ511" i="41"/>
  <c r="AJ503" i="41"/>
  <c r="AJ495" i="41"/>
  <c r="AJ539" i="41"/>
  <c r="AJ533" i="41"/>
  <c r="AJ525" i="41"/>
  <c r="AJ518" i="41"/>
  <c r="AJ510" i="41"/>
  <c r="AJ502" i="41"/>
  <c r="AJ493" i="41"/>
  <c r="AJ536" i="41"/>
  <c r="AJ529" i="41"/>
  <c r="AJ521" i="41"/>
  <c r="AJ513" i="41"/>
  <c r="AJ505" i="41"/>
  <c r="AJ497" i="41"/>
  <c r="AJ537" i="41"/>
  <c r="AJ530" i="41"/>
  <c r="AJ522" i="41"/>
  <c r="AJ514" i="41"/>
  <c r="AJ508" i="41"/>
  <c r="AJ500" i="41"/>
  <c r="AJ492" i="41"/>
  <c r="AG531" i="41"/>
  <c r="AG534" i="41"/>
  <c r="AG569" i="41"/>
  <c r="AG505" i="41"/>
  <c r="AG532" i="41"/>
  <c r="AG519" i="41"/>
  <c r="AG554" i="41"/>
  <c r="AG533" i="41"/>
  <c r="AG560" i="41"/>
  <c r="AG496" i="41"/>
  <c r="AG523" i="41"/>
  <c r="AG526" i="41"/>
  <c r="AG561" i="41"/>
  <c r="AG497" i="41"/>
  <c r="AG524" i="41"/>
  <c r="AG511" i="41"/>
  <c r="AG546" i="41"/>
  <c r="AG525" i="41"/>
  <c r="AG552" i="41"/>
  <c r="AG492" i="41"/>
  <c r="AG515" i="41"/>
  <c r="AG518" i="41"/>
  <c r="AG553" i="41"/>
  <c r="AG516" i="41"/>
  <c r="AG567" i="41"/>
  <c r="AG503" i="41"/>
  <c r="AG538" i="41"/>
  <c r="AG517" i="41"/>
  <c r="AG544" i="41"/>
  <c r="AG499" i="41"/>
  <c r="AG510" i="41"/>
  <c r="AG545" i="41"/>
  <c r="AG498" i="41"/>
  <c r="AG559" i="41"/>
  <c r="AG495" i="41"/>
  <c r="AG530" i="41"/>
  <c r="AG509" i="41"/>
  <c r="AG536" i="41"/>
  <c r="AG563" i="41"/>
  <c r="AG566" i="41"/>
  <c r="AG502" i="41"/>
  <c r="AG537" i="41"/>
  <c r="AG564" i="41"/>
  <c r="AG551" i="41"/>
  <c r="AG522" i="41"/>
  <c r="AG565" i="41"/>
  <c r="AG501" i="41"/>
  <c r="AG528" i="41"/>
  <c r="AG555" i="41"/>
  <c r="AG558" i="41"/>
  <c r="AG494" i="41"/>
  <c r="AG529" i="41"/>
  <c r="AG556" i="41"/>
  <c r="AG543" i="41"/>
  <c r="AG514" i="41"/>
  <c r="AG557" i="41"/>
  <c r="AG493" i="41"/>
  <c r="AG520" i="41"/>
  <c r="AG547" i="41"/>
  <c r="AG550" i="41"/>
  <c r="AG508" i="41"/>
  <c r="AG521" i="41"/>
  <c r="AG548" i="41"/>
  <c r="AG535" i="41"/>
  <c r="AG506" i="41"/>
  <c r="AG549" i="41"/>
  <c r="AG507" i="41"/>
  <c r="AG512" i="41"/>
  <c r="AG539" i="41"/>
  <c r="AG542" i="41"/>
  <c r="AG500" i="41"/>
  <c r="AG513" i="41"/>
  <c r="AG540" i="41"/>
  <c r="AG527" i="41"/>
  <c r="AG562" i="41"/>
  <c r="AG541" i="41"/>
  <c r="AG568" i="41"/>
  <c r="AG504" i="41"/>
  <c r="AL562" i="41"/>
  <c r="AL505" i="41"/>
  <c r="AL509" i="41"/>
  <c r="AL544" i="41"/>
  <c r="AL555" i="41"/>
  <c r="AL542" i="41"/>
  <c r="AL513" i="41"/>
  <c r="AL556" i="41"/>
  <c r="AL492" i="41"/>
  <c r="AL535" i="41"/>
  <c r="AL554" i="41"/>
  <c r="AL565" i="41"/>
  <c r="AL501" i="41"/>
  <c r="AL536" i="41"/>
  <c r="AL547" i="41"/>
  <c r="AL534" i="41"/>
  <c r="AL569" i="41"/>
  <c r="AL548" i="41"/>
  <c r="AL495" i="41"/>
  <c r="AL527" i="41"/>
  <c r="AL546" i="41"/>
  <c r="AL557" i="41"/>
  <c r="AL493" i="41"/>
  <c r="AL528" i="41"/>
  <c r="AL539" i="41"/>
  <c r="AL526" i="41"/>
  <c r="AL561" i="41"/>
  <c r="AL540" i="41"/>
  <c r="AL498" i="41"/>
  <c r="AL519" i="41"/>
  <c r="AL538" i="41"/>
  <c r="AL549" i="41"/>
  <c r="AL515" i="41"/>
  <c r="AL520" i="41"/>
  <c r="AL531" i="41"/>
  <c r="AL518" i="41"/>
  <c r="AL553" i="41"/>
  <c r="AL532" i="41"/>
  <c r="AL499" i="41"/>
  <c r="AL511" i="41"/>
  <c r="AL530" i="41"/>
  <c r="AL541" i="41"/>
  <c r="AL507" i="41"/>
  <c r="AL512" i="41"/>
  <c r="AL523" i="41"/>
  <c r="AL510" i="41"/>
  <c r="AL545" i="41"/>
  <c r="AL524" i="41"/>
  <c r="AL567" i="41"/>
  <c r="AL503" i="41"/>
  <c r="AL522" i="41"/>
  <c r="AL533" i="41"/>
  <c r="AL568" i="41"/>
  <c r="AL504" i="41"/>
  <c r="AL566" i="41"/>
  <c r="AL502" i="41"/>
  <c r="AL537" i="41"/>
  <c r="AL516" i="41"/>
  <c r="AL559" i="41"/>
  <c r="AL497" i="41"/>
  <c r="AL514" i="41"/>
  <c r="AL525" i="41"/>
  <c r="AL560" i="41"/>
  <c r="AL496" i="41"/>
  <c r="AL558" i="41"/>
  <c r="AL494" i="41"/>
  <c r="AL529" i="41"/>
  <c r="AL508" i="41"/>
  <c r="AL551" i="41"/>
  <c r="AL506" i="41"/>
  <c r="M58" i="40" s="1"/>
  <c r="AL517" i="41"/>
  <c r="AL552" i="41"/>
  <c r="AL563" i="41"/>
  <c r="AL550" i="41"/>
  <c r="AL521" i="41"/>
  <c r="AL564" i="41"/>
  <c r="AL500" i="41"/>
  <c r="AL543" i="41"/>
  <c r="AG458" i="41"/>
  <c r="AG445" i="41"/>
  <c r="AG432" i="41"/>
  <c r="AG470" i="41"/>
  <c r="AG457" i="41"/>
  <c r="AG444" i="41"/>
  <c r="AG387" i="41"/>
  <c r="AG425" i="41"/>
  <c r="AG420" i="41"/>
  <c r="AG407" i="41"/>
  <c r="AG394" i="41"/>
  <c r="AG471" i="41"/>
  <c r="AG342" i="41"/>
  <c r="AG380" i="41"/>
  <c r="AG367" i="41"/>
  <c r="AG346" i="41"/>
  <c r="AG384" i="41"/>
  <c r="AG379" i="41"/>
  <c r="AG319" i="41"/>
  <c r="AG306" i="41"/>
  <c r="AG293" i="41"/>
  <c r="AG331" i="41"/>
  <c r="AG318" i="41"/>
  <c r="AG305" i="41"/>
  <c r="AG259" i="41"/>
  <c r="AG265" i="41"/>
  <c r="AG279" i="41"/>
  <c r="AG308" i="41"/>
  <c r="AG450" i="41"/>
  <c r="AG437" i="41"/>
  <c r="AG475" i="41"/>
  <c r="AG462" i="41"/>
  <c r="AG449" i="41"/>
  <c r="AG436" i="41"/>
  <c r="AG455" i="41"/>
  <c r="AG417" i="41"/>
  <c r="AG412" i="41"/>
  <c r="AG399" i="41"/>
  <c r="AG386" i="41"/>
  <c r="AG424" i="41"/>
  <c r="AG377" i="41"/>
  <c r="AG372" i="41"/>
  <c r="AG359" i="41"/>
  <c r="AG408" i="41"/>
  <c r="AG376" i="41"/>
  <c r="AG371" i="41"/>
  <c r="AG311" i="41"/>
  <c r="AG298" i="41"/>
  <c r="AG285" i="41"/>
  <c r="AG323" i="41"/>
  <c r="AG310" i="41"/>
  <c r="AG297" i="41"/>
  <c r="AG316" i="41"/>
  <c r="AG257" i="41"/>
  <c r="AG271" i="41"/>
  <c r="AG277" i="41"/>
  <c r="AG442" i="41"/>
  <c r="AG480" i="41"/>
  <c r="AG467" i="41"/>
  <c r="AG454" i="41"/>
  <c r="AG441" i="41"/>
  <c r="AG429" i="41"/>
  <c r="AG422" i="41"/>
  <c r="AG409" i="41"/>
  <c r="AG404" i="41"/>
  <c r="AG391" i="41"/>
  <c r="AG447" i="41"/>
  <c r="AG416" i="41"/>
  <c r="AG369" i="41"/>
  <c r="AG364" i="41"/>
  <c r="AG351" i="41"/>
  <c r="AG381" i="41"/>
  <c r="AG368" i="41"/>
  <c r="AG363" i="41"/>
  <c r="AG303" i="41"/>
  <c r="AG290" i="41"/>
  <c r="AG328" i="41"/>
  <c r="AG315" i="41"/>
  <c r="AG302" i="41"/>
  <c r="AG289" i="41"/>
  <c r="AG278" i="41"/>
  <c r="AG300" i="41"/>
  <c r="AG263" i="41"/>
  <c r="AG269" i="41"/>
  <c r="AG434" i="41"/>
  <c r="AG472" i="41"/>
  <c r="AG459" i="41"/>
  <c r="AG446" i="41"/>
  <c r="AG433" i="41"/>
  <c r="AG427" i="41"/>
  <c r="AG414" i="41"/>
  <c r="AG401" i="41"/>
  <c r="AG396" i="41"/>
  <c r="AG431" i="41"/>
  <c r="AG421" i="41"/>
  <c r="AG382" i="41"/>
  <c r="AG361" i="41"/>
  <c r="AG356" i="41"/>
  <c r="AG343" i="41"/>
  <c r="AG373" i="41"/>
  <c r="AG360" i="41"/>
  <c r="AG355" i="41"/>
  <c r="AG295" i="41"/>
  <c r="AG333" i="41"/>
  <c r="AG320" i="41"/>
  <c r="AG307" i="41"/>
  <c r="AG294" i="41"/>
  <c r="AG338" i="41"/>
  <c r="AG270" i="41"/>
  <c r="AG276" i="41"/>
  <c r="AG282" i="41"/>
  <c r="AG261" i="41"/>
  <c r="AG477" i="41"/>
  <c r="AG464" i="41"/>
  <c r="AG451" i="41"/>
  <c r="AG438" i="41"/>
  <c r="AG476" i="41"/>
  <c r="AG419" i="41"/>
  <c r="AG406" i="41"/>
  <c r="AG393" i="41"/>
  <c r="AG388" i="41"/>
  <c r="AG426" i="41"/>
  <c r="AG413" i="41"/>
  <c r="AG374" i="41"/>
  <c r="AG353" i="41"/>
  <c r="AG348" i="41"/>
  <c r="AG378" i="41"/>
  <c r="AG365" i="41"/>
  <c r="AG352" i="41"/>
  <c r="AG347" i="41"/>
  <c r="AG287" i="41"/>
  <c r="AG325" i="41"/>
  <c r="AG312" i="41"/>
  <c r="AG299" i="41"/>
  <c r="AG286" i="41"/>
  <c r="AG292" i="41"/>
  <c r="AG262" i="41"/>
  <c r="AG268" i="41"/>
  <c r="AG274" i="41"/>
  <c r="AG332" i="41"/>
  <c r="AG469" i="41"/>
  <c r="AG456" i="41"/>
  <c r="AG443" i="41"/>
  <c r="AG430" i="41"/>
  <c r="AG468" i="41"/>
  <c r="AG411" i="41"/>
  <c r="AG398" i="41"/>
  <c r="AG385" i="41"/>
  <c r="AG463" i="41"/>
  <c r="AG418" i="41"/>
  <c r="AG405" i="41"/>
  <c r="AG366" i="41"/>
  <c r="AG345" i="41"/>
  <c r="AG340" i="41"/>
  <c r="AG370" i="41"/>
  <c r="AG357" i="41"/>
  <c r="AG344" i="41"/>
  <c r="AG339" i="41"/>
  <c r="AG330" i="41"/>
  <c r="AG317" i="41"/>
  <c r="AG304" i="41"/>
  <c r="AG291" i="41"/>
  <c r="AG329" i="41"/>
  <c r="AG283" i="41"/>
  <c r="AG264" i="41"/>
  <c r="AG260" i="41"/>
  <c r="AG266" i="41"/>
  <c r="AG280" i="41"/>
  <c r="AG474" i="41"/>
  <c r="AG461" i="41"/>
  <c r="AG448" i="41"/>
  <c r="AG435" i="41"/>
  <c r="AG473" i="41"/>
  <c r="AG460" i="41"/>
  <c r="AG403" i="41"/>
  <c r="AG390" i="41"/>
  <c r="AG439" i="41"/>
  <c r="AG423" i="41"/>
  <c r="AG410" i="41"/>
  <c r="AG397" i="41"/>
  <c r="AG358" i="41"/>
  <c r="AG337" i="41"/>
  <c r="AG383" i="41"/>
  <c r="AG362" i="41"/>
  <c r="AG349" i="41"/>
  <c r="AG336" i="41"/>
  <c r="AG335" i="41"/>
  <c r="AG322" i="41"/>
  <c r="AG309" i="41"/>
  <c r="AG296" i="41"/>
  <c r="AG334" i="41"/>
  <c r="AG321" i="41"/>
  <c r="AG275" i="41"/>
  <c r="AG281" i="41"/>
  <c r="AG324" i="41"/>
  <c r="AG258" i="41"/>
  <c r="AG272" i="41"/>
  <c r="AG466" i="41"/>
  <c r="AG453" i="41"/>
  <c r="AG440" i="41"/>
  <c r="AG478" i="41"/>
  <c r="AG465" i="41"/>
  <c r="AG452" i="41"/>
  <c r="AG395" i="41"/>
  <c r="AG479" i="41"/>
  <c r="AG428" i="41"/>
  <c r="AG415" i="41"/>
  <c r="AG402" i="41"/>
  <c r="AG389" i="41"/>
  <c r="AG350" i="41"/>
  <c r="AG400" i="41"/>
  <c r="AG375" i="41"/>
  <c r="AG354" i="41"/>
  <c r="AG341" i="41"/>
  <c r="AG392" i="41"/>
  <c r="AG327" i="41"/>
  <c r="AG314" i="41"/>
  <c r="AG301" i="41"/>
  <c r="AG288" i="41"/>
  <c r="AG326" i="41"/>
  <c r="AG313" i="41"/>
  <c r="AG267" i="41"/>
  <c r="AG273" i="41"/>
  <c r="AG284" i="41"/>
  <c r="AG256" i="41"/>
  <c r="AH67" i="41"/>
  <c r="AH51" i="41"/>
  <c r="AH31" i="41"/>
  <c r="AH100" i="41"/>
  <c r="AH53" i="41"/>
  <c r="AH28" i="41"/>
  <c r="AH33" i="41"/>
  <c r="AH34" i="41"/>
  <c r="AH43" i="41"/>
  <c r="AH23" i="41"/>
  <c r="AH61" i="41"/>
  <c r="AH59" i="41"/>
  <c r="AH25" i="41"/>
  <c r="AH26" i="41"/>
  <c r="AH75" i="41"/>
  <c r="AH30" i="41"/>
  <c r="AH227" i="41"/>
  <c r="AH222" i="41"/>
  <c r="AH209" i="41"/>
  <c r="AH196" i="41"/>
  <c r="AH237" i="41"/>
  <c r="AH194" i="41"/>
  <c r="AH173" i="41"/>
  <c r="AH160" i="41"/>
  <c r="AH182" i="41"/>
  <c r="AH172" i="41"/>
  <c r="AH119" i="41"/>
  <c r="AH149" i="41"/>
  <c r="AH144" i="41"/>
  <c r="AH131" i="41"/>
  <c r="AH137" i="41"/>
  <c r="AH219" i="41"/>
  <c r="AH214" i="41"/>
  <c r="AH201" i="41"/>
  <c r="AH239" i="41"/>
  <c r="AH229" i="41"/>
  <c r="AH186" i="41"/>
  <c r="AH165" i="41"/>
  <c r="AH216" i="41"/>
  <c r="AH174" i="41"/>
  <c r="AH164" i="41"/>
  <c r="AH175" i="41"/>
  <c r="AH141" i="41"/>
  <c r="AH136" i="41"/>
  <c r="AH211" i="41"/>
  <c r="AH206" i="41"/>
  <c r="AH244" i="41"/>
  <c r="AH231" i="41"/>
  <c r="AH221" i="41"/>
  <c r="AH178" i="41"/>
  <c r="AH157" i="41"/>
  <c r="AH187" i="41"/>
  <c r="AH166" i="41"/>
  <c r="AH156" i="41"/>
  <c r="AH146" i="41"/>
  <c r="AH133" i="41"/>
  <c r="AH128" i="41"/>
  <c r="AH35" i="41"/>
  <c r="AH32" i="41"/>
  <c r="AH203" i="41"/>
  <c r="AH198" i="41"/>
  <c r="AH236" i="41"/>
  <c r="AH223" i="41"/>
  <c r="AH213" i="41"/>
  <c r="AH170" i="41"/>
  <c r="AH226" i="41"/>
  <c r="AH179" i="41"/>
  <c r="AH158" i="41"/>
  <c r="AH185" i="41"/>
  <c r="AH138" i="41"/>
  <c r="AH125" i="41"/>
  <c r="AH69" i="41"/>
  <c r="AH195" i="41"/>
  <c r="AH241" i="41"/>
  <c r="AH228" i="41"/>
  <c r="AH215" i="41"/>
  <c r="AH205" i="41"/>
  <c r="AH162" i="41"/>
  <c r="AH192" i="41"/>
  <c r="AH171" i="41"/>
  <c r="AH242" i="41"/>
  <c r="AH246" i="41"/>
  <c r="AH233" i="41"/>
  <c r="AH220" i="41"/>
  <c r="AH207" i="41"/>
  <c r="AH197" i="41"/>
  <c r="AH224" i="41"/>
  <c r="AH184" i="41"/>
  <c r="AH163" i="41"/>
  <c r="AH210" i="41"/>
  <c r="AH143" i="41"/>
  <c r="AH122" i="41"/>
  <c r="AH232" i="41"/>
  <c r="AH169" i="41"/>
  <c r="AH22" i="41"/>
  <c r="AH27" i="41"/>
  <c r="AH37" i="41"/>
  <c r="AH24" i="41"/>
  <c r="AH243" i="41"/>
  <c r="AH238" i="41"/>
  <c r="AH225" i="41"/>
  <c r="AH212" i="41"/>
  <c r="AH199" i="41"/>
  <c r="AH234" i="41"/>
  <c r="AH189" i="41"/>
  <c r="AH176" i="41"/>
  <c r="AH218" i="41"/>
  <c r="AH188" i="41"/>
  <c r="AH135" i="41"/>
  <c r="AH177" i="41"/>
  <c r="AH167" i="41"/>
  <c r="AH147" i="41"/>
  <c r="AH235" i="41"/>
  <c r="AH230" i="41"/>
  <c r="AH217" i="41"/>
  <c r="AH204" i="41"/>
  <c r="AH245" i="41"/>
  <c r="AH202" i="41"/>
  <c r="AH181" i="41"/>
  <c r="AH168" i="41"/>
  <c r="AH190" i="41"/>
  <c r="AH180" i="41"/>
  <c r="AH240" i="41"/>
  <c r="AH145" i="41"/>
  <c r="AH95" i="41"/>
  <c r="AH82" i="41"/>
  <c r="AH140" i="41"/>
  <c r="AH142" i="41"/>
  <c r="AH113" i="41"/>
  <c r="AH54" i="41"/>
  <c r="AH41" i="41"/>
  <c r="AH84" i="41"/>
  <c r="AH76" i="41"/>
  <c r="AH72" i="41"/>
  <c r="AH151" i="41"/>
  <c r="AH139" i="41"/>
  <c r="AH129" i="41"/>
  <c r="AH87" i="41"/>
  <c r="AH150" i="41"/>
  <c r="AH118" i="41"/>
  <c r="AH115" i="41"/>
  <c r="AH105" i="41"/>
  <c r="AH46" i="41"/>
  <c r="AH94" i="41"/>
  <c r="AH71" i="41"/>
  <c r="AH74" i="41"/>
  <c r="AH64" i="41"/>
  <c r="AH29" i="41"/>
  <c r="AH45" i="41"/>
  <c r="AH108" i="41"/>
  <c r="AH127" i="41"/>
  <c r="AH123" i="41"/>
  <c r="AH121" i="41"/>
  <c r="AH79" i="41"/>
  <c r="AH109" i="41"/>
  <c r="AH112" i="41"/>
  <c r="AH107" i="41"/>
  <c r="AH97" i="41"/>
  <c r="AH38" i="41"/>
  <c r="AH68" i="41"/>
  <c r="AH63" i="41"/>
  <c r="AH66" i="41"/>
  <c r="AH56" i="41"/>
  <c r="AH130" i="41"/>
  <c r="AH208" i="41"/>
  <c r="AH200" i="41"/>
  <c r="AH148" i="41"/>
  <c r="AH101" i="41"/>
  <c r="AH104" i="41"/>
  <c r="AH99" i="41"/>
  <c r="AH89" i="41"/>
  <c r="AH92" i="41"/>
  <c r="AH60" i="41"/>
  <c r="AH55" i="41"/>
  <c r="AH58" i="41"/>
  <c r="AH48" i="41"/>
  <c r="AH154" i="41"/>
  <c r="AH193" i="41"/>
  <c r="AH126" i="41"/>
  <c r="AH114" i="41"/>
  <c r="AH93" i="41"/>
  <c r="AH96" i="41"/>
  <c r="AH91" i="41"/>
  <c r="AH81" i="41"/>
  <c r="AH73" i="41"/>
  <c r="AH52" i="41"/>
  <c r="AH47" i="41"/>
  <c r="AH50" i="41"/>
  <c r="AH40" i="41"/>
  <c r="AH117" i="41"/>
  <c r="AH161" i="41"/>
  <c r="AH116" i="41"/>
  <c r="AH106" i="41"/>
  <c r="AH85" i="41"/>
  <c r="AH88" i="41"/>
  <c r="AH83" i="41"/>
  <c r="AH102" i="41"/>
  <c r="AH65" i="41"/>
  <c r="AH44" i="41"/>
  <c r="AH39" i="41"/>
  <c r="AH42" i="41"/>
  <c r="AH152" i="41"/>
  <c r="AH155" i="41"/>
  <c r="AH111" i="41"/>
  <c r="AH98" i="41"/>
  <c r="AH77" i="41"/>
  <c r="AH80" i="41"/>
  <c r="AH159" i="41"/>
  <c r="AH70" i="41"/>
  <c r="AH57" i="41"/>
  <c r="AH36" i="41"/>
  <c r="AH132" i="41"/>
  <c r="AH110" i="41"/>
  <c r="AH120" i="41"/>
  <c r="AH153" i="41"/>
  <c r="AH103" i="41"/>
  <c r="AH90" i="41"/>
  <c r="AH183" i="41"/>
  <c r="AH191" i="41"/>
  <c r="AH134" i="41"/>
  <c r="AH62" i="41"/>
  <c r="AH49" i="41"/>
  <c r="AH124" i="41"/>
  <c r="AH86" i="41"/>
  <c r="AH78" i="41"/>
  <c r="AK68" i="41"/>
  <c r="AK212" i="41"/>
  <c r="AK199" i="41"/>
  <c r="AK237" i="41"/>
  <c r="AK224" i="41"/>
  <c r="AK214" i="41"/>
  <c r="AK241" i="41"/>
  <c r="AK211" i="41"/>
  <c r="AK188" i="41"/>
  <c r="AK183" i="41"/>
  <c r="AK173" i="41"/>
  <c r="AK128" i="41"/>
  <c r="AK194" i="41"/>
  <c r="AK153" i="41"/>
  <c r="AK140" i="41"/>
  <c r="AK176" i="41"/>
  <c r="AK133" i="41"/>
  <c r="AK102" i="41"/>
  <c r="AK89" i="41"/>
  <c r="AK119" i="41"/>
  <c r="AK87" i="41"/>
  <c r="AK76" i="41"/>
  <c r="AK79" i="41"/>
  <c r="AK64" i="41"/>
  <c r="AK51" i="41"/>
  <c r="AK41" i="41"/>
  <c r="AK26" i="41"/>
  <c r="AK27" i="41"/>
  <c r="AK70" i="41"/>
  <c r="AK204" i="41"/>
  <c r="AK242" i="41"/>
  <c r="AK229" i="41"/>
  <c r="AK216" i="41"/>
  <c r="AK206" i="41"/>
  <c r="AK209" i="41"/>
  <c r="AK193" i="41"/>
  <c r="AK180" i="41"/>
  <c r="AK175" i="41"/>
  <c r="AK165" i="41"/>
  <c r="AK120" i="41"/>
  <c r="AK162" i="41"/>
  <c r="AK145" i="41"/>
  <c r="AK132" i="41"/>
  <c r="AK143" i="41"/>
  <c r="AK115" i="41"/>
  <c r="AK94" i="41"/>
  <c r="AK81" i="41"/>
  <c r="AK116" i="41"/>
  <c r="AK71" i="41"/>
  <c r="AK74" i="41"/>
  <c r="AK69" i="41"/>
  <c r="AK56" i="41"/>
  <c r="AK43" i="41"/>
  <c r="AK31" i="41"/>
  <c r="AK36" i="41"/>
  <c r="AK196" i="41"/>
  <c r="AK234" i="41"/>
  <c r="AK221" i="41"/>
  <c r="AK208" i="41"/>
  <c r="AK198" i="41"/>
  <c r="AK190" i="41"/>
  <c r="AK185" i="41"/>
  <c r="AK172" i="41"/>
  <c r="AK167" i="41"/>
  <c r="AK157" i="41"/>
  <c r="AK192" i="41"/>
  <c r="AK150" i="41"/>
  <c r="AK137" i="41"/>
  <c r="AK124" i="41"/>
  <c r="AK117" i="41"/>
  <c r="AK107" i="41"/>
  <c r="AK86" i="41"/>
  <c r="AK127" i="41"/>
  <c r="AK114" i="41"/>
  <c r="AK63" i="41"/>
  <c r="AK66" i="41"/>
  <c r="AK61" i="41"/>
  <c r="AK48" i="41"/>
  <c r="AK149" i="41"/>
  <c r="AK60" i="41"/>
  <c r="AK32" i="41"/>
  <c r="AK239" i="41"/>
  <c r="AK226" i="41"/>
  <c r="AK213" i="41"/>
  <c r="AK200" i="41"/>
  <c r="AK219" i="41"/>
  <c r="AK182" i="41"/>
  <c r="AK177" i="41"/>
  <c r="AK164" i="41"/>
  <c r="AK159" i="41"/>
  <c r="AK225" i="41"/>
  <c r="AK160" i="41"/>
  <c r="AK142" i="41"/>
  <c r="AK129" i="41"/>
  <c r="AK178" i="41"/>
  <c r="AK112" i="41"/>
  <c r="AK99" i="41"/>
  <c r="AK78" i="41"/>
  <c r="AK108" i="41"/>
  <c r="AK106" i="41"/>
  <c r="AK55" i="41"/>
  <c r="AK58" i="41"/>
  <c r="AK53" i="41"/>
  <c r="AK40" i="41"/>
  <c r="AK95" i="41"/>
  <c r="AK93" i="41"/>
  <c r="AK85" i="41"/>
  <c r="AK244" i="41"/>
  <c r="AK231" i="41"/>
  <c r="AK218" i="41"/>
  <c r="AK205" i="41"/>
  <c r="AK246" i="41"/>
  <c r="AK187" i="41"/>
  <c r="AK174" i="41"/>
  <c r="AK169" i="41"/>
  <c r="AK156" i="41"/>
  <c r="AK227" i="41"/>
  <c r="AK170" i="41"/>
  <c r="AK147" i="41"/>
  <c r="AK134" i="41"/>
  <c r="AK121" i="41"/>
  <c r="AK146" i="41"/>
  <c r="AK104" i="41"/>
  <c r="AK91" i="41"/>
  <c r="AK125" i="41"/>
  <c r="AK100" i="41"/>
  <c r="AK98" i="41"/>
  <c r="AK47" i="41"/>
  <c r="AK50" i="41"/>
  <c r="AK45" i="41"/>
  <c r="AK103" i="41"/>
  <c r="AK73" i="41"/>
  <c r="AK23" i="41"/>
  <c r="AK29" i="41"/>
  <c r="AK236" i="41"/>
  <c r="AK223" i="41"/>
  <c r="AK210" i="41"/>
  <c r="AK197" i="41"/>
  <c r="AK238" i="41"/>
  <c r="AK179" i="41"/>
  <c r="AK166" i="41"/>
  <c r="AK161" i="41"/>
  <c r="AK235" i="41"/>
  <c r="AK195" i="41"/>
  <c r="AK152" i="41"/>
  <c r="AK139" i="41"/>
  <c r="AK126" i="41"/>
  <c r="AK186" i="41"/>
  <c r="AK138" i="41"/>
  <c r="AK96" i="41"/>
  <c r="AK83" i="41"/>
  <c r="AK113" i="41"/>
  <c r="AK92" i="41"/>
  <c r="AK90" i="41"/>
  <c r="AK39" i="41"/>
  <c r="AK42" i="41"/>
  <c r="AK37" i="41"/>
  <c r="AK75" i="41"/>
  <c r="AK65" i="41"/>
  <c r="AK34" i="41"/>
  <c r="AK35" i="41"/>
  <c r="AK24" i="41"/>
  <c r="AK228" i="41"/>
  <c r="AK215" i="41"/>
  <c r="AK202" i="41"/>
  <c r="AK240" i="41"/>
  <c r="AK230" i="41"/>
  <c r="AK171" i="41"/>
  <c r="AK158" i="41"/>
  <c r="AK233" i="41"/>
  <c r="AK203" i="41"/>
  <c r="AK189" i="41"/>
  <c r="AK144" i="41"/>
  <c r="AK131" i="41"/>
  <c r="AK118" i="41"/>
  <c r="AK155" i="41"/>
  <c r="AK130" i="41"/>
  <c r="AK88" i="41"/>
  <c r="AK135" i="41"/>
  <c r="AK105" i="41"/>
  <c r="AK84" i="41"/>
  <c r="AK82" i="41"/>
  <c r="AK109" i="41"/>
  <c r="AK154" i="41"/>
  <c r="AK101" i="41"/>
  <c r="AK67" i="41"/>
  <c r="AK57" i="41"/>
  <c r="AK46" i="41"/>
  <c r="AK141" i="41"/>
  <c r="AK44" i="41"/>
  <c r="AK220" i="41"/>
  <c r="AK207" i="41"/>
  <c r="AK245" i="41"/>
  <c r="AK232" i="41"/>
  <c r="AK222" i="41"/>
  <c r="AK163" i="41"/>
  <c r="AK243" i="41"/>
  <c r="AK201" i="41"/>
  <c r="AK191" i="41"/>
  <c r="AK181" i="41"/>
  <c r="AK136" i="41"/>
  <c r="AK123" i="41"/>
  <c r="AK184" i="41"/>
  <c r="AK148" i="41"/>
  <c r="AK122" i="41"/>
  <c r="AK80" i="41"/>
  <c r="AK110" i="41"/>
  <c r="AK97" i="41"/>
  <c r="AK151" i="41"/>
  <c r="AK217" i="41"/>
  <c r="AK77" i="41"/>
  <c r="AK111" i="41"/>
  <c r="AK72" i="41"/>
  <c r="AK59" i="41"/>
  <c r="AK49" i="41"/>
  <c r="AK28" i="41"/>
  <c r="AK25" i="41"/>
  <c r="AK52" i="41"/>
  <c r="AK33" i="41"/>
  <c r="AK168" i="41"/>
  <c r="AK54" i="41"/>
  <c r="AK38" i="41"/>
  <c r="AK62" i="41"/>
  <c r="AK30" i="41"/>
  <c r="AK22" i="41"/>
  <c r="AO31" i="41"/>
  <c r="AO36" i="41"/>
  <c r="AO35" i="41"/>
  <c r="AO50" i="41"/>
  <c r="AO22" i="41"/>
  <c r="AO23" i="41"/>
  <c r="AO40" i="41"/>
  <c r="AO58" i="41"/>
  <c r="AO27" i="41"/>
  <c r="AO56" i="41"/>
  <c r="AO33" i="41"/>
  <c r="AO39" i="41"/>
  <c r="AO28" i="41"/>
  <c r="AO72" i="41"/>
  <c r="AO97" i="41"/>
  <c r="AO25" i="41"/>
  <c r="AO48" i="41"/>
  <c r="AO30" i="41"/>
  <c r="AO105" i="41"/>
  <c r="AO24" i="41"/>
  <c r="AO66" i="41"/>
  <c r="AO64" i="41"/>
  <c r="AO32" i="41"/>
  <c r="AO29" i="41"/>
  <c r="AO200" i="41"/>
  <c r="AO246" i="41"/>
  <c r="AO233" i="41"/>
  <c r="AO220" i="41"/>
  <c r="AO210" i="41"/>
  <c r="AO167" i="41"/>
  <c r="AO189" i="41"/>
  <c r="AO184" i="41"/>
  <c r="AO163" i="41"/>
  <c r="AO138" i="41"/>
  <c r="AO99" i="41"/>
  <c r="AO243" i="41"/>
  <c r="AO238" i="41"/>
  <c r="AO225" i="41"/>
  <c r="AO212" i="41"/>
  <c r="AO202" i="41"/>
  <c r="AO159" i="41"/>
  <c r="AO181" i="41"/>
  <c r="AO176" i="41"/>
  <c r="AO155" i="41"/>
  <c r="AO205" i="41"/>
  <c r="AO151" i="41"/>
  <c r="AO130" i="41"/>
  <c r="AO166" i="41"/>
  <c r="AO190" i="41"/>
  <c r="AO123" i="41"/>
  <c r="AO111" i="41"/>
  <c r="AO106" i="41"/>
  <c r="AO85" i="41"/>
  <c r="AO188" i="41"/>
  <c r="AO75" i="41"/>
  <c r="AO54" i="41"/>
  <c r="AO41" i="41"/>
  <c r="AO180" i="41"/>
  <c r="AO107" i="41"/>
  <c r="AO42" i="41"/>
  <c r="AO241" i="41"/>
  <c r="AO116" i="41"/>
  <c r="AO147" i="41"/>
  <c r="AO47" i="41"/>
  <c r="AO161" i="41"/>
  <c r="AO80" i="41"/>
  <c r="AO235" i="41"/>
  <c r="AO230" i="41"/>
  <c r="AO217" i="41"/>
  <c r="AO204" i="41"/>
  <c r="AO194" i="41"/>
  <c r="AO221" i="41"/>
  <c r="AO173" i="41"/>
  <c r="AO168" i="41"/>
  <c r="AO239" i="41"/>
  <c r="AO182" i="41"/>
  <c r="AO143" i="41"/>
  <c r="AO122" i="41"/>
  <c r="AO154" i="41"/>
  <c r="AO158" i="41"/>
  <c r="AO108" i="41"/>
  <c r="AO103" i="41"/>
  <c r="AO98" i="41"/>
  <c r="AO77" i="41"/>
  <c r="AO131" i="41"/>
  <c r="AO67" i="41"/>
  <c r="AO46" i="41"/>
  <c r="AO153" i="41"/>
  <c r="AO115" i="41"/>
  <c r="AO69" i="41"/>
  <c r="AO34" i="41"/>
  <c r="AO175" i="41"/>
  <c r="AO146" i="41"/>
  <c r="AO88" i="41"/>
  <c r="AO237" i="41"/>
  <c r="AO49" i="41"/>
  <c r="AO240" i="41"/>
  <c r="AO227" i="41"/>
  <c r="AO222" i="41"/>
  <c r="AO209" i="41"/>
  <c r="AO196" i="41"/>
  <c r="AO231" i="41"/>
  <c r="AO186" i="41"/>
  <c r="AO165" i="41"/>
  <c r="AO160" i="41"/>
  <c r="AO207" i="41"/>
  <c r="AO148" i="41"/>
  <c r="AO135" i="41"/>
  <c r="AO164" i="41"/>
  <c r="AO152" i="41"/>
  <c r="AO150" i="41"/>
  <c r="AO100" i="41"/>
  <c r="AO95" i="41"/>
  <c r="AO90" i="41"/>
  <c r="AO139" i="41"/>
  <c r="AO110" i="41"/>
  <c r="AO59" i="41"/>
  <c r="AO38" i="41"/>
  <c r="AO113" i="41"/>
  <c r="AO83" i="41"/>
  <c r="AO61" i="41"/>
  <c r="AO218" i="41"/>
  <c r="AO125" i="41"/>
  <c r="AO78" i="41"/>
  <c r="AO156" i="41"/>
  <c r="AO44" i="41"/>
  <c r="AO232" i="41"/>
  <c r="AO219" i="41"/>
  <c r="AO214" i="41"/>
  <c r="AO201" i="41"/>
  <c r="AO242" i="41"/>
  <c r="AO199" i="41"/>
  <c r="AO178" i="41"/>
  <c r="AO157" i="41"/>
  <c r="AO215" i="41"/>
  <c r="AO193" i="41"/>
  <c r="AO140" i="41"/>
  <c r="AO127" i="41"/>
  <c r="AO149" i="41"/>
  <c r="AO144" i="41"/>
  <c r="AO142" i="41"/>
  <c r="AO92" i="41"/>
  <c r="AO87" i="41"/>
  <c r="AO82" i="41"/>
  <c r="AO112" i="41"/>
  <c r="AO102" i="41"/>
  <c r="AO51" i="41"/>
  <c r="AO91" i="41"/>
  <c r="AO81" i="41"/>
  <c r="AO71" i="41"/>
  <c r="AO53" i="41"/>
  <c r="AO121" i="41"/>
  <c r="AO223" i="41"/>
  <c r="AO120" i="41"/>
  <c r="AO70" i="41"/>
  <c r="AO117" i="41"/>
  <c r="AO62" i="41"/>
  <c r="AO224" i="41"/>
  <c r="AO211" i="41"/>
  <c r="AO206" i="41"/>
  <c r="AO244" i="41"/>
  <c r="AO234" i="41"/>
  <c r="AO191" i="41"/>
  <c r="AO170" i="41"/>
  <c r="AO245" i="41"/>
  <c r="AO187" i="41"/>
  <c r="AO185" i="41"/>
  <c r="AO132" i="41"/>
  <c r="AO119" i="41"/>
  <c r="AO141" i="41"/>
  <c r="AO136" i="41"/>
  <c r="AO134" i="41"/>
  <c r="AO84" i="41"/>
  <c r="AO79" i="41"/>
  <c r="AO137" i="41"/>
  <c r="AO104" i="41"/>
  <c r="AO94" i="41"/>
  <c r="AO43" i="41"/>
  <c r="AO73" i="41"/>
  <c r="AO68" i="41"/>
  <c r="AO63" i="41"/>
  <c r="AO45" i="41"/>
  <c r="AO228" i="41"/>
  <c r="AO169" i="41"/>
  <c r="AO101" i="41"/>
  <c r="AO172" i="41"/>
  <c r="AO93" i="41"/>
  <c r="AO216" i="41"/>
  <c r="P59" i="40" s="1"/>
  <c r="AO203" i="41"/>
  <c r="AO198" i="41"/>
  <c r="AO236" i="41"/>
  <c r="AO226" i="41"/>
  <c r="AO183" i="41"/>
  <c r="AO162" i="41"/>
  <c r="AO213" i="41"/>
  <c r="AO179" i="41"/>
  <c r="AO177" i="41"/>
  <c r="AO124" i="41"/>
  <c r="AO174" i="41"/>
  <c r="AO133" i="41"/>
  <c r="AO128" i="41"/>
  <c r="AO126" i="41"/>
  <c r="AO76" i="41"/>
  <c r="AO229" i="41"/>
  <c r="AO109" i="41"/>
  <c r="AO96" i="41"/>
  <c r="AO86" i="41"/>
  <c r="AO89" i="41"/>
  <c r="AO65" i="41"/>
  <c r="AO60" i="41"/>
  <c r="AO55" i="41"/>
  <c r="AO37" i="41"/>
  <c r="AO26" i="41"/>
  <c r="AO208" i="41"/>
  <c r="AO171" i="41"/>
  <c r="AO197" i="41"/>
  <c r="AO57" i="41"/>
  <c r="AO114" i="41"/>
  <c r="AO195" i="41"/>
  <c r="AO192" i="41"/>
  <c r="AO118" i="41"/>
  <c r="AO52" i="41"/>
  <c r="AO74" i="41"/>
  <c r="AO145" i="41"/>
  <c r="AO129" i="41"/>
  <c r="AJ26" i="41"/>
  <c r="AJ73" i="41"/>
  <c r="AJ31" i="41"/>
  <c r="AJ36" i="41"/>
  <c r="AJ51" i="41"/>
  <c r="AJ49" i="41"/>
  <c r="AJ57" i="41"/>
  <c r="AJ32" i="41"/>
  <c r="AJ90" i="41"/>
  <c r="AJ75" i="41"/>
  <c r="AJ23" i="41"/>
  <c r="AJ24" i="41"/>
  <c r="AJ65" i="41"/>
  <c r="AJ41" i="41"/>
  <c r="AJ28" i="41"/>
  <c r="AJ34" i="41"/>
  <c r="AJ29" i="41"/>
  <c r="AJ43" i="41"/>
  <c r="AJ33" i="41"/>
  <c r="AJ59" i="41"/>
  <c r="AJ30" i="41"/>
  <c r="AJ25" i="41"/>
  <c r="AJ22" i="41"/>
  <c r="AJ217" i="41"/>
  <c r="AJ204" i="41"/>
  <c r="AJ242" i="41"/>
  <c r="AJ229" i="41"/>
  <c r="AJ219" i="41"/>
  <c r="AJ168" i="41"/>
  <c r="AJ216" i="41"/>
  <c r="AJ193" i="41"/>
  <c r="AJ180" i="41"/>
  <c r="AJ178" i="41"/>
  <c r="AJ125" i="41"/>
  <c r="AJ167" i="41"/>
  <c r="AJ150" i="41"/>
  <c r="AJ153" i="41"/>
  <c r="AJ143" i="41"/>
  <c r="AJ85" i="41"/>
  <c r="AJ155" i="41"/>
  <c r="AJ130" i="41"/>
  <c r="AJ113" i="41"/>
  <c r="AJ95" i="41"/>
  <c r="AJ146" i="41"/>
  <c r="AJ84" i="41"/>
  <c r="AJ106" i="41"/>
  <c r="AJ64" i="41"/>
  <c r="AJ38" i="41"/>
  <c r="AJ209" i="41"/>
  <c r="AJ196" i="41"/>
  <c r="AJ234" i="41"/>
  <c r="AJ221" i="41"/>
  <c r="AJ211" i="41"/>
  <c r="AJ160" i="41"/>
  <c r="AJ190" i="41"/>
  <c r="AJ185" i="41"/>
  <c r="AJ172" i="41"/>
  <c r="AJ170" i="41"/>
  <c r="AJ117" i="41"/>
  <c r="AJ147" i="41"/>
  <c r="AJ142" i="41"/>
  <c r="AJ145" i="41"/>
  <c r="AJ135" i="41"/>
  <c r="AJ77" i="41"/>
  <c r="AJ140" i="41"/>
  <c r="AJ110" i="41"/>
  <c r="AJ105" i="41"/>
  <c r="AJ87" i="41"/>
  <c r="AJ114" i="41"/>
  <c r="AJ76" i="41"/>
  <c r="AJ69" i="41"/>
  <c r="AJ56" i="41"/>
  <c r="AJ40" i="41"/>
  <c r="AJ98" i="41"/>
  <c r="AJ201" i="41"/>
  <c r="AJ239" i="41"/>
  <c r="AJ226" i="41"/>
  <c r="AJ213" i="41"/>
  <c r="AJ203" i="41"/>
  <c r="AJ246" i="41"/>
  <c r="AJ182" i="41"/>
  <c r="AJ177" i="41"/>
  <c r="AJ164" i="41"/>
  <c r="AJ162" i="41"/>
  <c r="AJ165" i="41"/>
  <c r="AJ139" i="41"/>
  <c r="AJ134" i="41"/>
  <c r="AJ137" i="41"/>
  <c r="AJ127" i="41"/>
  <c r="AJ138" i="41"/>
  <c r="AJ115" i="41"/>
  <c r="AJ102" i="41"/>
  <c r="AJ97" i="41"/>
  <c r="AJ79" i="41"/>
  <c r="AJ82" i="41"/>
  <c r="AJ74" i="41"/>
  <c r="AJ61" i="41"/>
  <c r="AJ48" i="41"/>
  <c r="AJ244" i="41"/>
  <c r="AJ231" i="41"/>
  <c r="AJ218" i="41"/>
  <c r="AJ205" i="41"/>
  <c r="AJ195" i="41"/>
  <c r="AJ214" i="41"/>
  <c r="AJ174" i="41"/>
  <c r="AJ169" i="41"/>
  <c r="AJ156" i="41"/>
  <c r="AJ175" i="41"/>
  <c r="AJ152" i="41"/>
  <c r="AJ131" i="41"/>
  <c r="AJ126" i="41"/>
  <c r="AJ129" i="41"/>
  <c r="AJ119" i="41"/>
  <c r="AJ112" i="41"/>
  <c r="AJ107" i="41"/>
  <c r="AJ94" i="41"/>
  <c r="AJ89" i="41"/>
  <c r="AJ92" i="41"/>
  <c r="AJ71" i="41"/>
  <c r="AJ66" i="41"/>
  <c r="AJ53" i="41"/>
  <c r="AJ100" i="41"/>
  <c r="AJ27" i="41"/>
  <c r="AJ236" i="41"/>
  <c r="AJ223" i="41"/>
  <c r="AJ210" i="41"/>
  <c r="AJ197" i="41"/>
  <c r="AJ224" i="41"/>
  <c r="AJ187" i="41"/>
  <c r="AJ166" i="41"/>
  <c r="AJ161" i="41"/>
  <c r="AJ232" i="41"/>
  <c r="AJ154" i="41"/>
  <c r="AJ144" i="41"/>
  <c r="AJ123" i="41"/>
  <c r="AJ118" i="41"/>
  <c r="AJ121" i="41"/>
  <c r="AJ148" i="41"/>
  <c r="AJ104" i="41"/>
  <c r="AJ99" i="41"/>
  <c r="AJ86" i="41"/>
  <c r="AJ81" i="41"/>
  <c r="AJ68" i="41"/>
  <c r="AJ63" i="41"/>
  <c r="AJ58" i="41"/>
  <c r="AJ45" i="41"/>
  <c r="AJ70" i="41"/>
  <c r="AJ35" i="41"/>
  <c r="AJ67" i="41"/>
  <c r="AJ37" i="41"/>
  <c r="AJ241" i="41"/>
  <c r="AJ228" i="41"/>
  <c r="AJ215" i="41"/>
  <c r="AJ202" i="41"/>
  <c r="AJ243" i="41"/>
  <c r="AJ192" i="41"/>
  <c r="AJ179" i="41"/>
  <c r="AJ158" i="41"/>
  <c r="AJ240" i="41"/>
  <c r="AJ200" i="41"/>
  <c r="AJ149" i="41"/>
  <c r="AJ136" i="41"/>
  <c r="AJ222" i="41"/>
  <c r="AJ230" i="41"/>
  <c r="AJ198" i="41"/>
  <c r="AJ109" i="41"/>
  <c r="AJ96" i="41"/>
  <c r="AJ91" i="41"/>
  <c r="AJ78" i="41"/>
  <c r="AJ124" i="41"/>
  <c r="AJ60" i="41"/>
  <c r="AJ55" i="41"/>
  <c r="AJ50" i="41"/>
  <c r="AJ122" i="41"/>
  <c r="AJ62" i="41"/>
  <c r="AJ116" i="41"/>
  <c r="AJ233" i="41"/>
  <c r="AJ220" i="41"/>
  <c r="AJ207" i="41"/>
  <c r="AJ245" i="41"/>
  <c r="AJ235" i="41"/>
  <c r="AJ184" i="41"/>
  <c r="AJ171" i="41"/>
  <c r="AJ238" i="41"/>
  <c r="AJ208" i="41"/>
  <c r="AJ194" i="41"/>
  <c r="AJ141" i="41"/>
  <c r="AJ128" i="41"/>
  <c r="AJ189" i="41"/>
  <c r="AJ191" i="41"/>
  <c r="AJ183" i="41"/>
  <c r="AJ101" i="41"/>
  <c r="AJ88" i="41"/>
  <c r="AJ83" i="41"/>
  <c r="AJ181" i="41"/>
  <c r="AJ111" i="41"/>
  <c r="AJ52" i="41"/>
  <c r="AJ47" i="41"/>
  <c r="AJ42" i="41"/>
  <c r="AJ108" i="41"/>
  <c r="AJ54" i="41"/>
  <c r="AJ103" i="41"/>
  <c r="AJ39" i="41"/>
  <c r="AJ72" i="41"/>
  <c r="AJ225" i="41"/>
  <c r="AJ212" i="41"/>
  <c r="AJ199" i="41"/>
  <c r="AJ237" i="41"/>
  <c r="AJ227" i="41"/>
  <c r="AJ176" i="41"/>
  <c r="AJ163" i="41"/>
  <c r="AJ206" i="41"/>
  <c r="AJ188" i="41"/>
  <c r="AJ186" i="41"/>
  <c r="AJ133" i="41"/>
  <c r="AJ120" i="41"/>
  <c r="AJ157" i="41"/>
  <c r="AJ159" i="41"/>
  <c r="AJ151" i="41"/>
  <c r="AJ93" i="41"/>
  <c r="AJ80" i="41"/>
  <c r="AJ173" i="41"/>
  <c r="AJ132" i="41"/>
  <c r="AJ44" i="41"/>
  <c r="AJ46" i="41"/>
  <c r="AG36" i="41"/>
  <c r="AG23" i="41"/>
  <c r="AG56" i="41"/>
  <c r="AG22" i="41"/>
  <c r="AG27" i="41"/>
  <c r="AG37" i="41"/>
  <c r="AG33" i="41"/>
  <c r="AG129" i="41"/>
  <c r="AG28" i="41"/>
  <c r="AG39" i="41"/>
  <c r="AG58" i="41"/>
  <c r="AG81" i="41"/>
  <c r="AG113" i="41"/>
  <c r="AG105" i="41"/>
  <c r="AG72" i="41"/>
  <c r="AG48" i="41"/>
  <c r="AG25" i="41"/>
  <c r="AG30" i="41"/>
  <c r="AG66" i="41"/>
  <c r="AG64" i="41"/>
  <c r="AG31" i="41"/>
  <c r="AG35" i="41"/>
  <c r="AG40" i="41"/>
  <c r="AG24" i="41"/>
  <c r="AG42" i="41"/>
  <c r="AG74" i="41"/>
  <c r="AG32" i="41"/>
  <c r="AG29" i="41"/>
  <c r="AG235" i="41"/>
  <c r="AG230" i="41"/>
  <c r="AG217" i="41"/>
  <c r="AG204" i="41"/>
  <c r="AG239" i="41"/>
  <c r="AG197" i="41"/>
  <c r="AG189" i="41"/>
  <c r="AG176" i="41"/>
  <c r="AG215" i="41"/>
  <c r="AG158" i="41"/>
  <c r="AG151" i="41"/>
  <c r="AG138" i="41"/>
  <c r="AG125" i="41"/>
  <c r="AG166" i="41"/>
  <c r="AG100" i="41"/>
  <c r="AG111" i="41"/>
  <c r="AG106" i="41"/>
  <c r="AG93" i="41"/>
  <c r="AG80" i="41"/>
  <c r="AG107" i="41"/>
  <c r="AG62" i="41"/>
  <c r="AG49" i="41"/>
  <c r="AG91" i="41"/>
  <c r="AG61" i="41"/>
  <c r="AG240" i="41"/>
  <c r="AG227" i="41"/>
  <c r="AG222" i="41"/>
  <c r="AG209" i="41"/>
  <c r="AG196" i="41"/>
  <c r="AG207" i="41"/>
  <c r="AG194" i="41"/>
  <c r="AG181" i="41"/>
  <c r="AG168" i="41"/>
  <c r="AG193" i="41"/>
  <c r="AG156" i="41"/>
  <c r="AG143" i="41"/>
  <c r="AG130" i="41"/>
  <c r="AG117" i="41"/>
  <c r="AG150" i="41"/>
  <c r="AG92" i="41"/>
  <c r="AG103" i="41"/>
  <c r="AG98" i="41"/>
  <c r="AG85" i="41"/>
  <c r="AG139" i="41"/>
  <c r="AG75" i="41"/>
  <c r="AG54" i="41"/>
  <c r="AG41" i="41"/>
  <c r="AG71" i="41"/>
  <c r="AG53" i="41"/>
  <c r="AG120" i="41"/>
  <c r="AG70" i="41"/>
  <c r="AG232" i="41"/>
  <c r="AG219" i="41"/>
  <c r="AG214" i="41"/>
  <c r="AG201" i="41"/>
  <c r="AG242" i="41"/>
  <c r="AG191" i="41"/>
  <c r="AG186" i="41"/>
  <c r="AG173" i="41"/>
  <c r="AG160" i="41"/>
  <c r="AG185" i="41"/>
  <c r="AG148" i="41"/>
  <c r="AG135" i="41"/>
  <c r="AG122" i="41"/>
  <c r="AG174" i="41"/>
  <c r="AG142" i="41"/>
  <c r="AG84" i="41"/>
  <c r="AG95" i="41"/>
  <c r="AG90" i="41"/>
  <c r="AG77" i="41"/>
  <c r="AG110" i="41"/>
  <c r="AG67" i="41"/>
  <c r="AG46" i="41"/>
  <c r="AG188" i="41"/>
  <c r="AG63" i="41"/>
  <c r="AG45" i="41"/>
  <c r="AG34" i="41"/>
  <c r="AG108" i="41"/>
  <c r="AG44" i="41"/>
  <c r="AG224" i="41"/>
  <c r="AG211" i="41"/>
  <c r="AG206" i="41"/>
  <c r="AG244" i="41"/>
  <c r="AG234" i="41"/>
  <c r="AG183" i="41"/>
  <c r="AG178" i="41"/>
  <c r="AG165" i="41"/>
  <c r="AG223" i="41"/>
  <c r="AG177" i="41"/>
  <c r="AG140" i="41"/>
  <c r="AG127" i="41"/>
  <c r="AG172" i="41"/>
  <c r="AG152" i="41"/>
  <c r="AG134" i="41"/>
  <c r="AG76" i="41"/>
  <c r="AG87" i="41"/>
  <c r="AG82" i="41"/>
  <c r="AG147" i="41"/>
  <c r="AG102" i="41"/>
  <c r="AG59" i="41"/>
  <c r="AG38" i="41"/>
  <c r="AG89" i="41"/>
  <c r="AG55" i="41"/>
  <c r="AG163" i="41"/>
  <c r="AG116" i="41"/>
  <c r="AG57" i="41"/>
  <c r="AG216" i="41"/>
  <c r="AG203" i="41"/>
  <c r="AG198" i="41"/>
  <c r="AG236" i="41"/>
  <c r="AG226" i="41"/>
  <c r="AG175" i="41"/>
  <c r="AG170" i="41"/>
  <c r="AG157" i="41"/>
  <c r="AG187" i="41"/>
  <c r="AG169" i="41"/>
  <c r="AG132" i="41"/>
  <c r="AG119" i="41"/>
  <c r="AG154" i="41"/>
  <c r="AG144" i="41"/>
  <c r="AG126" i="41"/>
  <c r="AG237" i="41"/>
  <c r="AG79" i="41"/>
  <c r="AG155" i="41"/>
  <c r="AG112" i="41"/>
  <c r="AG94" i="41"/>
  <c r="AG51" i="41"/>
  <c r="AG99" i="41"/>
  <c r="AG68" i="41"/>
  <c r="AG47" i="41"/>
  <c r="AG202" i="41"/>
  <c r="AG190" i="41"/>
  <c r="AG114" i="41"/>
  <c r="AG69" i="41"/>
  <c r="AG208" i="41"/>
  <c r="AG195" i="41"/>
  <c r="AG241" i="41"/>
  <c r="AG228" i="41"/>
  <c r="AG218" i="41"/>
  <c r="AG167" i="41"/>
  <c r="AG162" i="41"/>
  <c r="AG221" i="41"/>
  <c r="AG179" i="41"/>
  <c r="AG161" i="41"/>
  <c r="AG124" i="41"/>
  <c r="AG213" i="41"/>
  <c r="AG149" i="41"/>
  <c r="AG136" i="41"/>
  <c r="AG118" i="41"/>
  <c r="AG153" i="41"/>
  <c r="AG164" i="41"/>
  <c r="AG145" i="41"/>
  <c r="AG104" i="41"/>
  <c r="AG86" i="41"/>
  <c r="AG43" i="41"/>
  <c r="AG73" i="41"/>
  <c r="AG60" i="41"/>
  <c r="AG115" i="41"/>
  <c r="AG26" i="41"/>
  <c r="AG50" i="41"/>
  <c r="AG243" i="41"/>
  <c r="AG212" i="41"/>
  <c r="AG184" i="41"/>
  <c r="AG133" i="41"/>
  <c r="AG137" i="41"/>
  <c r="AG200" i="41"/>
  <c r="AG246" i="41"/>
  <c r="AG233" i="41"/>
  <c r="AG220" i="41"/>
  <c r="AG210" i="41"/>
  <c r="AG159" i="41"/>
  <c r="AG231" i="41"/>
  <c r="AG192" i="41"/>
  <c r="AG171" i="41"/>
  <c r="AG245" i="41"/>
  <c r="AG205" i="41"/>
  <c r="AG182" i="41"/>
  <c r="AG141" i="41"/>
  <c r="AG128" i="41"/>
  <c r="AG131" i="41"/>
  <c r="AG121" i="41"/>
  <c r="AG123" i="41"/>
  <c r="AG109" i="41"/>
  <c r="AG96" i="41"/>
  <c r="AG78" i="41"/>
  <c r="AG97" i="41"/>
  <c r="AG65" i="41"/>
  <c r="AG52" i="41"/>
  <c r="AG83" i="41"/>
  <c r="AG238" i="41"/>
  <c r="AG199" i="41"/>
  <c r="AG180" i="41"/>
  <c r="AG88" i="41"/>
  <c r="AG225" i="41"/>
  <c r="AG229" i="41"/>
  <c r="AG146" i="41"/>
  <c r="AG101" i="41"/>
  <c r="AK7" i="41"/>
  <c r="N9" i="41"/>
  <c r="AU66" i="40"/>
  <c r="M9" i="41"/>
  <c r="AA5" i="40" s="1"/>
  <c r="AA27" i="40" s="1"/>
  <c r="AY60" i="41"/>
  <c r="AY44" i="41"/>
  <c r="AY117" i="41"/>
  <c r="AM31" i="40" s="1"/>
  <c r="AY25" i="41"/>
  <c r="AY66" i="41"/>
  <c r="AY43" i="41"/>
  <c r="AY112" i="41"/>
  <c r="AY46" i="41"/>
  <c r="AY39" i="41"/>
  <c r="AY71" i="41"/>
  <c r="AY209" i="41"/>
  <c r="AY45" i="41"/>
  <c r="AY212" i="41"/>
  <c r="AY78" i="41"/>
  <c r="AY22" i="41"/>
  <c r="AY216" i="41"/>
  <c r="AY23" i="41"/>
  <c r="AY74" i="41"/>
  <c r="AY51" i="41"/>
  <c r="AY33" i="41"/>
  <c r="AY31" i="41"/>
  <c r="AY129" i="41"/>
  <c r="AY97" i="41"/>
  <c r="AY107" i="41"/>
  <c r="AY24" i="41"/>
  <c r="AY113" i="41"/>
  <c r="AY69" i="41"/>
  <c r="AY67" i="41"/>
  <c r="AY135" i="41"/>
  <c r="AY238" i="41"/>
  <c r="AY116" i="41"/>
  <c r="AY37" i="41"/>
  <c r="AY227" i="41"/>
  <c r="AY88" i="41"/>
  <c r="AY26" i="41"/>
  <c r="AY63" i="41"/>
  <c r="AY162" i="41"/>
  <c r="AY184" i="41"/>
  <c r="AY130" i="41"/>
  <c r="AY155" i="41"/>
  <c r="AY196" i="41"/>
  <c r="AY169" i="41"/>
  <c r="AY27" i="41"/>
  <c r="AY34" i="41"/>
  <c r="AY96" i="41"/>
  <c r="AY124" i="41"/>
  <c r="AY108" i="41"/>
  <c r="AY136" i="41"/>
  <c r="AY101" i="41"/>
  <c r="AY200" i="41"/>
  <c r="AY81" i="41"/>
  <c r="AY242" i="41"/>
  <c r="AY172" i="41"/>
  <c r="AY153" i="41"/>
  <c r="AY114" i="41"/>
  <c r="AY224" i="41"/>
  <c r="AY206" i="41"/>
  <c r="AY229" i="41"/>
  <c r="AY80" i="41"/>
  <c r="AY121" i="41"/>
  <c r="AY100" i="41"/>
  <c r="AY115" i="41"/>
  <c r="AY193" i="41"/>
  <c r="AY152" i="41"/>
  <c r="AY243" i="41"/>
  <c r="AY157" i="41"/>
  <c r="AY50" i="41"/>
  <c r="AY59" i="41"/>
  <c r="AY167" i="41"/>
  <c r="AY241" i="41"/>
  <c r="AY194" i="41"/>
  <c r="AY119" i="41"/>
  <c r="AY95" i="41"/>
  <c r="AY207" i="41"/>
  <c r="AY185" i="41"/>
  <c r="AY142" i="41"/>
  <c r="AY166" i="41"/>
  <c r="AY197" i="41"/>
  <c r="AY110" i="41"/>
  <c r="AY213" i="41"/>
  <c r="AY173" i="41"/>
  <c r="AY104" i="41"/>
  <c r="AY137" i="41"/>
  <c r="AY198" i="41"/>
  <c r="AY192" i="41"/>
  <c r="AY177" i="41"/>
  <c r="AY32" i="41"/>
  <c r="AY109" i="41"/>
  <c r="AY244" i="41"/>
  <c r="AY118" i="41"/>
  <c r="AY86" i="41"/>
  <c r="AY181" i="41"/>
  <c r="AY70" i="41"/>
  <c r="AY41" i="41"/>
  <c r="AY111" i="41"/>
  <c r="AY138" i="41"/>
  <c r="AY75" i="41"/>
  <c r="AY221" i="41"/>
  <c r="AY91" i="41"/>
  <c r="AY42" i="41"/>
  <c r="AY187" i="41"/>
  <c r="AY128" i="41"/>
  <c r="AY122" i="41"/>
  <c r="AY62" i="41"/>
  <c r="AY225" i="41"/>
  <c r="AY87" i="41"/>
  <c r="AY191" i="41"/>
  <c r="AY154" i="41"/>
  <c r="AY79" i="41"/>
  <c r="AY83" i="41"/>
  <c r="AY73" i="41"/>
  <c r="AY132" i="41"/>
  <c r="AJ7" i="41"/>
  <c r="AY179" i="41"/>
  <c r="AY143" i="41"/>
  <c r="I64" i="52"/>
  <c r="AY205" i="41"/>
  <c r="AY190" i="41"/>
  <c r="AY145" i="41"/>
  <c r="AY49" i="41"/>
  <c r="AY178" i="41"/>
  <c r="AY93" i="41"/>
  <c r="AY150" i="41"/>
  <c r="AY240" i="41"/>
  <c r="AY58" i="41"/>
  <c r="AY127" i="41"/>
  <c r="AY223" i="41"/>
  <c r="AY204" i="41"/>
  <c r="AY149" i="41"/>
  <c r="AY174" i="41"/>
  <c r="AY237" i="41"/>
  <c r="AY126" i="41"/>
  <c r="AY29" i="41"/>
  <c r="AY208" i="41"/>
  <c r="AY77" i="41"/>
  <c r="AY123" i="41"/>
  <c r="AY140" i="41"/>
  <c r="AY180" i="41"/>
  <c r="AY239" i="41"/>
  <c r="AY52" i="41"/>
  <c r="AY164" i="41"/>
  <c r="AY235" i="41"/>
  <c r="AY201" i="41"/>
  <c r="AX17" i="41"/>
  <c r="AY211" i="41"/>
  <c r="AY203" i="41"/>
  <c r="AY148" i="41"/>
  <c r="AY210" i="41"/>
  <c r="AY175" i="41"/>
  <c r="AY146" i="41"/>
  <c r="AY89" i="41"/>
  <c r="AY165" i="41"/>
  <c r="AY245" i="41"/>
  <c r="AY94" i="41"/>
  <c r="AY72" i="41"/>
  <c r="AY226" i="41"/>
  <c r="AY64" i="41"/>
  <c r="AY170" i="41"/>
  <c r="AY147" i="41"/>
  <c r="AY159" i="41"/>
  <c r="AY219" i="41"/>
  <c r="AY131" i="41"/>
  <c r="AY103" i="41"/>
  <c r="AY141" i="41"/>
  <c r="AY158" i="41"/>
  <c r="AY230" i="41"/>
  <c r="AY218" i="41"/>
  <c r="AY56" i="41"/>
  <c r="AY214" i="41"/>
  <c r="AY90" i="41"/>
  <c r="AY76" i="41"/>
  <c r="AY125" i="41"/>
  <c r="AY98" i="41"/>
  <c r="AY217" i="41"/>
  <c r="AY134" i="41"/>
  <c r="AY105" i="41"/>
  <c r="AY168" i="41"/>
  <c r="AY182" i="41"/>
  <c r="AY163" i="41"/>
  <c r="AY199" i="41"/>
  <c r="AY61" i="41"/>
  <c r="AY183" i="41"/>
  <c r="AY84" i="41"/>
  <c r="AY231" i="41"/>
  <c r="AY156" i="41"/>
  <c r="AY222" i="41"/>
  <c r="AY234" i="41"/>
  <c r="AY106" i="41"/>
  <c r="AY189" i="41"/>
  <c r="AY28" i="41"/>
  <c r="AY82" i="41"/>
  <c r="AY246" i="41"/>
  <c r="AY202" i="41"/>
  <c r="AY48" i="41"/>
  <c r="AY99" i="41"/>
  <c r="AY55" i="41"/>
  <c r="AY236" i="41"/>
  <c r="AY120" i="41"/>
  <c r="AY85" i="41"/>
  <c r="AY133" i="41"/>
  <c r="AY36" i="41"/>
  <c r="AY144" i="41"/>
  <c r="AY220" i="41"/>
  <c r="AY233" i="41"/>
  <c r="AY176" i="41"/>
  <c r="AY40" i="41"/>
  <c r="AY195" i="41"/>
  <c r="AY65" i="41"/>
  <c r="AY186" i="41"/>
  <c r="AY215" i="41"/>
  <c r="AY139" i="41"/>
  <c r="AY228" i="41"/>
  <c r="AY188" i="41"/>
  <c r="AY151" i="41"/>
  <c r="AY54" i="41"/>
  <c r="AY232" i="41"/>
  <c r="AY171" i="41"/>
  <c r="AY38" i="41"/>
  <c r="AY161" i="41"/>
  <c r="AY30" i="41"/>
  <c r="AY160" i="41"/>
  <c r="AY57" i="41"/>
  <c r="AY92" i="41"/>
  <c r="AY53" i="41"/>
  <c r="AY35" i="41"/>
  <c r="AY102" i="41"/>
  <c r="AY47" i="41"/>
  <c r="AY68" i="41"/>
  <c r="Z31" i="40"/>
  <c r="Z24" i="40"/>
  <c r="K9" i="41"/>
  <c r="Y5" i="40" s="1"/>
  <c r="AH7" i="41"/>
  <c r="AO7" i="41"/>
  <c r="R9" i="41"/>
  <c r="AG7" i="41"/>
  <c r="H7" i="41"/>
  <c r="AL7" i="41"/>
  <c r="O9" i="41"/>
  <c r="J9" i="41"/>
  <c r="X5" i="40" s="1"/>
  <c r="X27" i="40" s="1"/>
  <c r="W11" i="40"/>
  <c r="W10" i="40"/>
  <c r="W21" i="40"/>
  <c r="W61" i="40"/>
  <c r="W29" i="40"/>
  <c r="W23" i="40"/>
  <c r="W53" i="40"/>
  <c r="W14" i="40"/>
  <c r="W59" i="40"/>
  <c r="W12" i="40"/>
  <c r="W51" i="40"/>
  <c r="W54" i="40"/>
  <c r="W45" i="40"/>
  <c r="W41" i="40"/>
  <c r="W48" i="40"/>
  <c r="W44" i="40"/>
  <c r="W58" i="40"/>
  <c r="W33" i="40"/>
  <c r="W52" i="40"/>
  <c r="W46" i="40"/>
  <c r="W43" i="40"/>
  <c r="W42" i="40"/>
  <c r="W39" i="40"/>
  <c r="W15" i="40"/>
  <c r="W22" i="40"/>
  <c r="W19" i="40"/>
  <c r="W40" i="40"/>
  <c r="W47" i="40"/>
  <c r="W63" i="40"/>
  <c r="W32" i="40"/>
  <c r="W34" i="40"/>
  <c r="W60" i="40"/>
  <c r="W16" i="40"/>
  <c r="W50" i="40"/>
  <c r="W26" i="40"/>
  <c r="W55" i="40"/>
  <c r="W35" i="40"/>
  <c r="W49" i="40"/>
  <c r="W18" i="40"/>
  <c r="W25" i="40"/>
  <c r="W17" i="40"/>
  <c r="W62" i="40"/>
  <c r="W57" i="40"/>
  <c r="W30" i="40"/>
  <c r="W38" i="40"/>
  <c r="W20" i="40"/>
  <c r="W56" i="40"/>
  <c r="W13" i="40"/>
  <c r="W28" i="40"/>
  <c r="W36" i="40"/>
  <c r="W37" i="40"/>
  <c r="W9" i="40"/>
  <c r="Z37" i="40"/>
  <c r="Z23" i="40"/>
  <c r="Z39" i="40"/>
  <c r="Z25" i="40"/>
  <c r="Z38" i="40"/>
  <c r="Z53" i="40"/>
  <c r="Z18" i="40"/>
  <c r="Z30" i="40"/>
  <c r="Z45" i="40"/>
  <c r="Z35" i="40"/>
  <c r="Z21" i="40"/>
  <c r="Z56" i="40"/>
  <c r="Z62" i="40"/>
  <c r="Z54" i="40"/>
  <c r="Z42" i="40"/>
  <c r="Z22" i="40"/>
  <c r="Z59" i="40"/>
  <c r="Z16" i="40"/>
  <c r="Z51" i="40"/>
  <c r="Z20" i="40"/>
  <c r="Z15" i="40"/>
  <c r="Z26" i="40"/>
  <c r="Z28" i="40"/>
  <c r="Z60" i="40"/>
  <c r="Z14" i="40"/>
  <c r="Z46" i="40"/>
  <c r="Z57" i="40"/>
  <c r="Z48" i="40"/>
  <c r="Z47" i="40"/>
  <c r="Z50" i="40"/>
  <c r="Z29" i="40"/>
  <c r="Z32" i="40"/>
  <c r="Z11" i="40"/>
  <c r="Z44" i="40"/>
  <c r="Z49" i="40"/>
  <c r="Z52" i="40"/>
  <c r="Z10" i="40"/>
  <c r="Z33" i="40"/>
  <c r="Z61" i="40"/>
  <c r="Z55" i="40"/>
  <c r="Z36" i="40"/>
  <c r="Z58" i="40"/>
  <c r="Z34" i="40"/>
  <c r="Z13" i="40"/>
  <c r="Z63" i="40"/>
  <c r="Z43" i="40"/>
  <c r="Z19" i="40"/>
  <c r="Z17" i="40"/>
  <c r="Z40" i="40"/>
  <c r="Z41" i="40"/>
  <c r="Z12" i="40"/>
  <c r="Z9" i="40"/>
  <c r="AA33" i="40"/>
  <c r="I31" i="40" l="1"/>
  <c r="L31" i="40"/>
  <c r="K31" i="40"/>
  <c r="P58" i="40"/>
  <c r="K58" i="40"/>
  <c r="H58" i="40"/>
  <c r="I58" i="40"/>
  <c r="L58" i="40"/>
  <c r="AA37" i="40"/>
  <c r="AA35" i="40"/>
  <c r="AA62" i="40"/>
  <c r="AA57" i="40"/>
  <c r="AA46" i="40"/>
  <c r="AA47" i="40"/>
  <c r="AA41" i="40"/>
  <c r="AA45" i="40"/>
  <c r="AA11" i="40"/>
  <c r="AA12" i="40"/>
  <c r="AA30" i="40"/>
  <c r="AA14" i="40"/>
  <c r="AA36" i="40"/>
  <c r="AA61" i="40"/>
  <c r="AA15" i="40"/>
  <c r="AA34" i="40"/>
  <c r="AA44" i="40"/>
  <c r="AA17" i="40"/>
  <c r="AA53" i="40"/>
  <c r="AA56" i="40"/>
  <c r="AA43" i="40"/>
  <c r="AA21" i="40"/>
  <c r="AA22" i="40"/>
  <c r="AA20" i="40"/>
  <c r="AA55" i="40"/>
  <c r="AA25" i="40"/>
  <c r="AA49" i="40"/>
  <c r="AA54" i="40"/>
  <c r="AA18" i="40"/>
  <c r="AA51" i="40"/>
  <c r="AA58" i="40"/>
  <c r="AA19" i="40"/>
  <c r="AA26" i="40"/>
  <c r="AA63" i="40"/>
  <c r="AA9" i="40"/>
  <c r="AA28" i="40"/>
  <c r="AA48" i="40"/>
  <c r="AA40" i="40"/>
  <c r="AA60" i="40"/>
  <c r="AA10" i="40"/>
  <c r="AA50" i="40"/>
  <c r="AA29" i="40"/>
  <c r="AA16" i="40"/>
  <c r="AA32" i="40"/>
  <c r="AA42" i="40"/>
  <c r="AA38" i="40"/>
  <c r="AA23" i="40"/>
  <c r="AA13" i="40"/>
  <c r="AA39" i="40"/>
  <c r="AA59" i="40"/>
  <c r="AA52" i="40"/>
  <c r="AE68" i="41"/>
  <c r="AE234" i="41"/>
  <c r="AE221" i="41"/>
  <c r="AE208" i="41"/>
  <c r="AE195" i="41"/>
  <c r="AE244" i="41"/>
  <c r="AE193" i="41"/>
  <c r="AE180" i="41"/>
  <c r="AE167" i="41"/>
  <c r="AE162" i="41"/>
  <c r="AE225" i="41"/>
  <c r="AE134" i="41"/>
  <c r="AE153" i="41"/>
  <c r="AE148" i="41"/>
  <c r="AE135" i="41"/>
  <c r="AE122" i="41"/>
  <c r="AE110" i="41"/>
  <c r="AE105" i="41"/>
  <c r="AE92" i="41"/>
  <c r="AE87" i="41"/>
  <c r="AE149" i="41"/>
  <c r="AE69" i="41"/>
  <c r="AE48" i="41"/>
  <c r="AE99" i="41"/>
  <c r="AE73" i="41"/>
  <c r="AE55" i="41"/>
  <c r="AE22" i="41"/>
  <c r="AE27" i="41"/>
  <c r="AE37" i="41"/>
  <c r="AE32" i="41"/>
  <c r="AE74" i="41"/>
  <c r="AE226" i="41"/>
  <c r="AE213" i="41"/>
  <c r="AE200" i="41"/>
  <c r="AE246" i="41"/>
  <c r="AE236" i="41"/>
  <c r="AE185" i="41"/>
  <c r="AE172" i="41"/>
  <c r="AE159" i="41"/>
  <c r="AE233" i="41"/>
  <c r="AE187" i="41"/>
  <c r="AE126" i="41"/>
  <c r="AE145" i="41"/>
  <c r="AE140" i="41"/>
  <c r="AE127" i="41"/>
  <c r="AE176" i="41"/>
  <c r="AE102" i="41"/>
  <c r="AE97" i="41"/>
  <c r="AE84" i="41"/>
  <c r="AE79" i="41"/>
  <c r="AE112" i="41"/>
  <c r="AE61" i="41"/>
  <c r="AE40" i="41"/>
  <c r="AE70" i="41"/>
  <c r="AE65" i="41"/>
  <c r="AE47" i="41"/>
  <c r="AE115" i="41"/>
  <c r="AE33" i="41"/>
  <c r="AE58" i="41"/>
  <c r="AE83" i="41"/>
  <c r="AE218" i="41"/>
  <c r="AE205" i="41"/>
  <c r="AE243" i="41"/>
  <c r="AE238" i="41"/>
  <c r="AE228" i="41"/>
  <c r="AE177" i="41"/>
  <c r="AE164" i="41"/>
  <c r="AE231" i="41"/>
  <c r="AE201" i="41"/>
  <c r="AE179" i="41"/>
  <c r="AE118" i="41"/>
  <c r="AE137" i="41"/>
  <c r="AE132" i="41"/>
  <c r="AE119" i="41"/>
  <c r="AE152" i="41"/>
  <c r="AE94" i="41"/>
  <c r="AE89" i="41"/>
  <c r="AE76" i="41"/>
  <c r="AE125" i="41"/>
  <c r="AE104" i="41"/>
  <c r="AE53" i="41"/>
  <c r="AE109" i="41"/>
  <c r="AE62" i="41"/>
  <c r="AE57" i="41"/>
  <c r="AE39" i="41"/>
  <c r="AE210" i="41"/>
  <c r="AE197" i="41"/>
  <c r="AE235" i="41"/>
  <c r="AE230" i="41"/>
  <c r="AE220" i="41"/>
  <c r="AE169" i="41"/>
  <c r="AE241" i="41"/>
  <c r="AE199" i="41"/>
  <c r="AE189" i="41"/>
  <c r="AE171" i="41"/>
  <c r="AE215" i="41"/>
  <c r="AE129" i="41"/>
  <c r="AE124" i="41"/>
  <c r="AE184" i="41"/>
  <c r="AE144" i="41"/>
  <c r="AE86" i="41"/>
  <c r="AE81" i="41"/>
  <c r="AE123" i="41"/>
  <c r="AE114" i="41"/>
  <c r="AE96" i="41"/>
  <c r="AE45" i="41"/>
  <c r="AE75" i="41"/>
  <c r="AE54" i="41"/>
  <c r="AE49" i="41"/>
  <c r="AE24" i="41"/>
  <c r="AE202" i="41"/>
  <c r="AE240" i="41"/>
  <c r="AE227" i="41"/>
  <c r="AE222" i="41"/>
  <c r="AE212" i="41"/>
  <c r="AE161" i="41"/>
  <c r="AE209" i="41"/>
  <c r="AE194" i="41"/>
  <c r="AE181" i="41"/>
  <c r="AE163" i="41"/>
  <c r="AE190" i="41"/>
  <c r="AE121" i="41"/>
  <c r="AE116" i="41"/>
  <c r="AE154" i="41"/>
  <c r="AE136" i="41"/>
  <c r="AE78" i="41"/>
  <c r="AE174" i="41"/>
  <c r="AE117" i="41"/>
  <c r="F31" i="40" s="1"/>
  <c r="AE106" i="41"/>
  <c r="AE88" i="41"/>
  <c r="AE107" i="41"/>
  <c r="AE67" i="41"/>
  <c r="AE46" i="41"/>
  <c r="AE41" i="41"/>
  <c r="AE25" i="41"/>
  <c r="AE91" i="41"/>
  <c r="AE139" i="41"/>
  <c r="AE44" i="41"/>
  <c r="AE29" i="41"/>
  <c r="AE42" i="41"/>
  <c r="AE245" i="41"/>
  <c r="AE232" i="41"/>
  <c r="AE219" i="41"/>
  <c r="AE214" i="41"/>
  <c r="AE204" i="41"/>
  <c r="AE239" i="41"/>
  <c r="AE191" i="41"/>
  <c r="AE186" i="41"/>
  <c r="AE173" i="41"/>
  <c r="AE168" i="41"/>
  <c r="AE158" i="41"/>
  <c r="AE223" i="41"/>
  <c r="AE182" i="41"/>
  <c r="AE146" i="41"/>
  <c r="AE128" i="41"/>
  <c r="AE166" i="41"/>
  <c r="AE133" i="41"/>
  <c r="AE111" i="41"/>
  <c r="AE98" i="41"/>
  <c r="AE80" i="41"/>
  <c r="AE72" i="41"/>
  <c r="AE59" i="41"/>
  <c r="AE38" i="41"/>
  <c r="AE93" i="41"/>
  <c r="AE35" i="41"/>
  <c r="AE66" i="41"/>
  <c r="AE237" i="41"/>
  <c r="AE224" i="41"/>
  <c r="AE211" i="41"/>
  <c r="AE206" i="41"/>
  <c r="AE196" i="41"/>
  <c r="AE207" i="41"/>
  <c r="AE183" i="41"/>
  <c r="AE178" i="41"/>
  <c r="AE165" i="41"/>
  <c r="AE150" i="41"/>
  <c r="AE156" i="41"/>
  <c r="AE192" i="41"/>
  <c r="AE151" i="41"/>
  <c r="AE138" i="41"/>
  <c r="AE120" i="41"/>
  <c r="AE131" i="41"/>
  <c r="AE108" i="41"/>
  <c r="AE103" i="41"/>
  <c r="AE90" i="41"/>
  <c r="AE147" i="41"/>
  <c r="AE64" i="41"/>
  <c r="AE51" i="41"/>
  <c r="AE101" i="41"/>
  <c r="AE71" i="41"/>
  <c r="AE30" i="41"/>
  <c r="AE242" i="41"/>
  <c r="AE229" i="41"/>
  <c r="AE216" i="41"/>
  <c r="AE203" i="41"/>
  <c r="AE198" i="41"/>
  <c r="AE217" i="41"/>
  <c r="AE188" i="41"/>
  <c r="AE175" i="41"/>
  <c r="AE170" i="41"/>
  <c r="AE157" i="41"/>
  <c r="AE142" i="41"/>
  <c r="AE100" i="41"/>
  <c r="AE95" i="41"/>
  <c r="AE34" i="41"/>
  <c r="AE31" i="41"/>
  <c r="AE50" i="41"/>
  <c r="AE155" i="41"/>
  <c r="AE82" i="41"/>
  <c r="AE160" i="41"/>
  <c r="AE85" i="41"/>
  <c r="AE143" i="41"/>
  <c r="AE56" i="41"/>
  <c r="AE26" i="41"/>
  <c r="AE23" i="41"/>
  <c r="AE130" i="41"/>
  <c r="AE43" i="41"/>
  <c r="AE52" i="41"/>
  <c r="AE141" i="41"/>
  <c r="AE77" i="41"/>
  <c r="AE113" i="41"/>
  <c r="AE63" i="41"/>
  <c r="AE60" i="41"/>
  <c r="AE28" i="41"/>
  <c r="AE36" i="41"/>
  <c r="H9" i="41"/>
  <c r="V5" i="40" s="1"/>
  <c r="W27" i="40" s="1"/>
  <c r="AA24" i="40"/>
  <c r="AA31" i="40"/>
  <c r="W24" i="40"/>
  <c r="W31" i="40"/>
  <c r="Y27" i="40"/>
  <c r="AW17" i="41"/>
  <c r="Y53" i="40"/>
  <c r="Y28" i="40"/>
  <c r="Y24" i="40"/>
  <c r="X31" i="40"/>
  <c r="X24" i="40"/>
  <c r="Y32" i="40"/>
  <c r="Y50" i="40"/>
  <c r="Y19" i="40"/>
  <c r="Y31" i="40"/>
  <c r="Y26" i="40"/>
  <c r="Y55" i="40"/>
  <c r="Y11" i="40"/>
  <c r="Y60" i="40"/>
  <c r="Y37" i="40"/>
  <c r="Y35" i="40"/>
  <c r="Y15" i="40"/>
  <c r="Y34" i="40"/>
  <c r="Y63" i="40"/>
  <c r="Y48" i="40"/>
  <c r="Y9" i="40"/>
  <c r="Y59" i="40"/>
  <c r="Y38" i="40"/>
  <c r="Y17" i="40"/>
  <c r="Y54" i="40"/>
  <c r="Y49" i="40"/>
  <c r="Y10" i="40"/>
  <c r="Y20" i="40"/>
  <c r="Y14" i="40"/>
  <c r="Y40" i="40"/>
  <c r="Y12" i="40"/>
  <c r="Y58" i="40"/>
  <c r="Y18" i="40"/>
  <c r="Y42" i="40"/>
  <c r="Y46" i="40"/>
  <c r="Y44" i="40"/>
  <c r="Y41" i="40"/>
  <c r="Y43" i="40"/>
  <c r="Y57" i="40"/>
  <c r="Y21" i="40"/>
  <c r="Y47" i="40"/>
  <c r="Y39" i="40"/>
  <c r="Y23" i="40"/>
  <c r="Y13" i="40"/>
  <c r="Y22" i="40"/>
  <c r="Y61" i="40"/>
  <c r="Y62" i="40"/>
  <c r="Y33" i="40"/>
  <c r="Y30" i="40"/>
  <c r="Y56" i="40"/>
  <c r="Y52" i="40"/>
  <c r="Y16" i="40"/>
  <c r="Y29" i="40"/>
  <c r="Y45" i="40"/>
  <c r="Y51" i="40"/>
  <c r="Y36" i="40"/>
  <c r="Y25" i="40"/>
  <c r="Z66" i="40"/>
  <c r="Z67" i="40" s="1"/>
  <c r="AE7" i="41"/>
  <c r="V51" i="40"/>
  <c r="V58" i="40"/>
  <c r="V57" i="40"/>
  <c r="V42" i="40"/>
  <c r="V28" i="40"/>
  <c r="V14" i="40"/>
  <c r="V25" i="40"/>
  <c r="V40" i="40"/>
  <c r="V12" i="40"/>
  <c r="V52" i="40"/>
  <c r="V26" i="40"/>
  <c r="V20" i="40"/>
  <c r="V47" i="40"/>
  <c r="X52" i="40"/>
  <c r="X38" i="40"/>
  <c r="X46" i="40"/>
  <c r="X63" i="40"/>
  <c r="X41" i="40"/>
  <c r="X34" i="40"/>
  <c r="X10" i="40"/>
  <c r="X49" i="40"/>
  <c r="X43" i="40"/>
  <c r="X20" i="40"/>
  <c r="X61" i="40"/>
  <c r="X55" i="40"/>
  <c r="X18" i="40"/>
  <c r="X23" i="40"/>
  <c r="X26" i="40"/>
  <c r="X57" i="40"/>
  <c r="X39" i="40"/>
  <c r="X50" i="40"/>
  <c r="X12" i="40"/>
  <c r="X48" i="40"/>
  <c r="X59" i="40"/>
  <c r="X62" i="40"/>
  <c r="X28" i="40"/>
  <c r="X53" i="40"/>
  <c r="X32" i="40"/>
  <c r="X19" i="40"/>
  <c r="X29" i="40"/>
  <c r="X13" i="40"/>
  <c r="X15" i="40"/>
  <c r="X51" i="40"/>
  <c r="X17" i="40"/>
  <c r="X36" i="40"/>
  <c r="X42" i="40"/>
  <c r="X47" i="40"/>
  <c r="X30" i="40"/>
  <c r="X25" i="40"/>
  <c r="X37" i="40"/>
  <c r="X33" i="40"/>
  <c r="X21" i="40"/>
  <c r="X58" i="40"/>
  <c r="X11" i="40"/>
  <c r="X54" i="40"/>
  <c r="X16" i="40"/>
  <c r="X14" i="40"/>
  <c r="X22" i="40"/>
  <c r="X56" i="40"/>
  <c r="X60" i="40"/>
  <c r="X35" i="40"/>
  <c r="X45" i="40"/>
  <c r="X44" i="40"/>
  <c r="X9" i="40"/>
  <c r="X40" i="40"/>
  <c r="F58" i="40" l="1"/>
  <c r="V59" i="40"/>
  <c r="V35" i="40"/>
  <c r="V46" i="40"/>
  <c r="V23" i="40"/>
  <c r="V15" i="40"/>
  <c r="V62" i="40"/>
  <c r="AA66" i="40"/>
  <c r="AA67" i="40" s="1"/>
  <c r="V10" i="40"/>
  <c r="V13" i="40"/>
  <c r="V61" i="40"/>
  <c r="V16" i="40"/>
  <c r="V48" i="40"/>
  <c r="V45" i="40"/>
  <c r="V29" i="40"/>
  <c r="V30" i="40"/>
  <c r="V34" i="40"/>
  <c r="V11" i="40"/>
  <c r="V60" i="40"/>
  <c r="V19" i="40"/>
  <c r="V53" i="40"/>
  <c r="V22" i="40"/>
  <c r="V63" i="40"/>
  <c r="V36" i="40"/>
  <c r="V33" i="40"/>
  <c r="V39" i="40"/>
  <c r="V41" i="40"/>
  <c r="V49" i="40"/>
  <c r="V43" i="40"/>
  <c r="V18" i="40"/>
  <c r="V55" i="40"/>
  <c r="V38" i="40"/>
  <c r="V44" i="40"/>
  <c r="V37" i="40"/>
  <c r="V32" i="40"/>
  <c r="V21" i="40"/>
  <c r="V50" i="40"/>
  <c r="V9" i="40"/>
  <c r="V17" i="40"/>
  <c r="V56" i="40"/>
  <c r="V54" i="40"/>
  <c r="V24" i="40"/>
  <c r="V31" i="40"/>
  <c r="V27" i="40"/>
  <c r="W66" i="40"/>
  <c r="W67" i="40" s="1"/>
  <c r="Y66" i="40"/>
  <c r="Y67" i="40" s="1"/>
  <c r="X66" i="40"/>
  <c r="X67" i="40" s="1"/>
  <c r="V66" i="40" l="1"/>
  <c r="V67" i="40" s="1"/>
  <c r="J61" i="52"/>
  <c r="G58" i="53"/>
  <c r="M58" i="53" s="1"/>
  <c r="G49" i="53"/>
  <c r="M49" i="53" s="1"/>
  <c r="G60" i="53"/>
  <c r="M60" i="53" s="1"/>
  <c r="AC51" i="52"/>
  <c r="D13" i="56"/>
  <c r="D5" i="56" l="1"/>
  <c r="D3" i="56"/>
  <c r="I60" i="53"/>
  <c r="O53" i="52"/>
  <c r="U53" i="52" s="1"/>
  <c r="O61" i="52"/>
  <c r="U61" i="52" s="1"/>
  <c r="I58" i="53"/>
  <c r="AC61" i="52"/>
  <c r="O51" i="52"/>
  <c r="U51" i="52" s="1"/>
  <c r="I49" i="53"/>
  <c r="AD53" i="52" l="1"/>
  <c r="AD51" i="52"/>
  <c r="AD61" i="52"/>
  <c r="AE51" i="52" l="1"/>
  <c r="AF51" i="52" s="1"/>
  <c r="AD35" i="39" l="1"/>
  <c r="AD38" i="39" s="1"/>
  <c r="H60" i="53" l="1"/>
  <c r="J60" i="53" s="1"/>
  <c r="N60" i="53" s="1"/>
  <c r="H58" i="53"/>
  <c r="J58" i="53" s="1"/>
  <c r="N58" i="53" l="1"/>
  <c r="F13" i="56"/>
  <c r="G13" i="56" s="1"/>
  <c r="F5" i="56"/>
  <c r="G5" i="56" s="1"/>
  <c r="C18" i="56" l="1"/>
  <c r="C50" i="56" s="1"/>
  <c r="AD36" i="39" l="1"/>
  <c r="AD39" i="39"/>
  <c r="J51" i="52"/>
  <c r="J53" i="52"/>
  <c r="AS35" i="40"/>
  <c r="N34" i="52" s="1"/>
  <c r="AS16" i="40"/>
  <c r="N15" i="52" s="1"/>
  <c r="AS11" i="40"/>
  <c r="N10" i="52" s="1"/>
  <c r="AS58" i="40"/>
  <c r="N57" i="52" s="1"/>
  <c r="AS29" i="40"/>
  <c r="N28" i="52" s="1"/>
  <c r="AS54" i="40"/>
  <c r="N53" i="52" s="1"/>
  <c r="AS20" i="40"/>
  <c r="N19" i="52" s="1"/>
  <c r="AS12" i="40"/>
  <c r="N11" i="52" s="1"/>
  <c r="AS21" i="40"/>
  <c r="N20" i="52" s="1"/>
  <c r="AS53" i="40"/>
  <c r="N52" i="52" s="1"/>
  <c r="AS22" i="40"/>
  <c r="N21" i="52" s="1"/>
  <c r="AS24" i="40"/>
  <c r="N23" i="52" s="1"/>
  <c r="AS15" i="40"/>
  <c r="N14" i="52" s="1"/>
  <c r="AS10" i="40"/>
  <c r="N9" i="52" s="1"/>
  <c r="AS17" i="40"/>
  <c r="N16" i="52" s="1"/>
  <c r="AS27" i="40"/>
  <c r="N26" i="52" s="1"/>
  <c r="AS57" i="40"/>
  <c r="N56" i="52" s="1"/>
  <c r="AS61" i="40"/>
  <c r="N60" i="52" s="1"/>
  <c r="AS63" i="40"/>
  <c r="N62" i="52" s="1"/>
  <c r="AS18" i="40"/>
  <c r="N17" i="52" s="1"/>
  <c r="AS55" i="40"/>
  <c r="N54" i="52" s="1"/>
  <c r="AS32" i="40"/>
  <c r="N31" i="52" s="1"/>
  <c r="AS36" i="40"/>
  <c r="N35" i="52" s="1"/>
  <c r="AS60" i="40"/>
  <c r="N59" i="52" s="1"/>
  <c r="AS31" i="40"/>
  <c r="N30" i="52" s="1"/>
  <c r="AS37" i="40"/>
  <c r="N36" i="52" s="1"/>
  <c r="AS33" i="40"/>
  <c r="N32" i="52" s="1"/>
  <c r="AS13" i="40"/>
  <c r="N12" i="52" s="1"/>
  <c r="AS56" i="40"/>
  <c r="N55" i="52" s="1"/>
  <c r="AS14" i="40"/>
  <c r="N13" i="52" s="1"/>
  <c r="AS19" i="40"/>
  <c r="N18" i="52" s="1"/>
  <c r="AS59" i="40"/>
  <c r="N58" i="52" s="1"/>
  <c r="AS34" i="40"/>
  <c r="N33" i="52" s="1"/>
  <c r="AS23" i="40"/>
  <c r="N22" i="52" s="1"/>
  <c r="AS9" i="40"/>
  <c r="N8" i="52" s="1"/>
  <c r="AS30" i="40"/>
  <c r="N29" i="52" s="1"/>
  <c r="AS52" i="40"/>
  <c r="N51" i="52" s="1"/>
  <c r="AS26" i="40"/>
  <c r="N25" i="52" s="1"/>
  <c r="AS28" i="40"/>
  <c r="N27" i="52" s="1"/>
  <c r="AS25" i="40"/>
  <c r="N24" i="52" s="1"/>
  <c r="AS62" i="40"/>
  <c r="N61" i="52" s="1"/>
  <c r="AM54" i="40"/>
  <c r="BZ54" i="40" s="1"/>
  <c r="AM52" i="40"/>
  <c r="AM62" i="40"/>
  <c r="AM42" i="40"/>
  <c r="F41" i="52" s="1"/>
  <c r="AM45" i="40"/>
  <c r="F44" i="52" s="1"/>
  <c r="AM47" i="40"/>
  <c r="AM48" i="40"/>
  <c r="F47" i="52" s="1"/>
  <c r="AM14" i="40"/>
  <c r="AM43" i="40"/>
  <c r="F42" i="52" s="1"/>
  <c r="AM46" i="40"/>
  <c r="F45" i="52" s="1"/>
  <c r="AM44" i="40"/>
  <c r="F43" i="52" s="1"/>
  <c r="AM22" i="40"/>
  <c r="AM49" i="40"/>
  <c r="F48" i="52" s="1"/>
  <c r="AM41" i="40"/>
  <c r="F40" i="52" s="1"/>
  <c r="AM40" i="40"/>
  <c r="AM19" i="40"/>
  <c r="AM26" i="40"/>
  <c r="AM36" i="40"/>
  <c r="AM16" i="40"/>
  <c r="AM11" i="40"/>
  <c r="AM35" i="40"/>
  <c r="AM32" i="40"/>
  <c r="AM58" i="40"/>
  <c r="AM57" i="40"/>
  <c r="AM12" i="40"/>
  <c r="AM25" i="40"/>
  <c r="AM55" i="40"/>
  <c r="AM13" i="40"/>
  <c r="AM10" i="40"/>
  <c r="AM33" i="40"/>
  <c r="AM9" i="40"/>
  <c r="AM29" i="40"/>
  <c r="AM18" i="40"/>
  <c r="AM23" i="40"/>
  <c r="AM56" i="40"/>
  <c r="AM59" i="40"/>
  <c r="AM28" i="40"/>
  <c r="AM20" i="40"/>
  <c r="AM15" i="40"/>
  <c r="AM37" i="40"/>
  <c r="AM34" i="40"/>
  <c r="AM30" i="40"/>
  <c r="AM17" i="40"/>
  <c r="AM53" i="40"/>
  <c r="AM24" i="40"/>
  <c r="AM61" i="40"/>
  <c r="AM27" i="40"/>
  <c r="AM21" i="40"/>
  <c r="AM60" i="40"/>
  <c r="AM63" i="40"/>
  <c r="Z108" i="41" l="1"/>
  <c r="BZ18" i="40"/>
  <c r="F17" i="52"/>
  <c r="G13" i="38"/>
  <c r="F13" i="39" s="1"/>
  <c r="F14" i="52"/>
  <c r="BZ15" i="40"/>
  <c r="G10" i="38"/>
  <c r="F10" i="39" s="1"/>
  <c r="F58" i="52"/>
  <c r="BZ59" i="40"/>
  <c r="G53" i="38"/>
  <c r="F53" i="39" s="1"/>
  <c r="BZ9" i="40"/>
  <c r="F8" i="52"/>
  <c r="G4" i="38"/>
  <c r="F4" i="39" s="1"/>
  <c r="AM65" i="40"/>
  <c r="AZ21" i="40" s="1"/>
  <c r="AQ21" i="40" s="1"/>
  <c r="F10" i="52"/>
  <c r="BZ11" i="40"/>
  <c r="G6" i="38"/>
  <c r="BZ16" i="40"/>
  <c r="F15" i="52"/>
  <c r="G11" i="38"/>
  <c r="BZ25" i="40"/>
  <c r="G20" i="38"/>
  <c r="F20" i="39" s="1"/>
  <c r="F24" i="52"/>
  <c r="F59" i="52"/>
  <c r="BZ60" i="40"/>
  <c r="G54" i="38"/>
  <c r="F54" i="39" s="1"/>
  <c r="G19" i="38"/>
  <c r="F19" i="39" s="1"/>
  <c r="F23" i="52"/>
  <c r="BZ24" i="40"/>
  <c r="G18" i="38"/>
  <c r="F18" i="39" s="1"/>
  <c r="F22" i="52"/>
  <c r="BZ23" i="40"/>
  <c r="BZ10" i="40"/>
  <c r="G5" i="38"/>
  <c r="F5" i="39" s="1"/>
  <c r="F9" i="52"/>
  <c r="G51" i="38"/>
  <c r="F56" i="52"/>
  <c r="BZ57" i="40"/>
  <c r="G49" i="38"/>
  <c r="F49" i="39" s="1"/>
  <c r="BZ55" i="40"/>
  <c r="F54" i="52"/>
  <c r="G57" i="38"/>
  <c r="F57" i="39" s="1"/>
  <c r="BZ63" i="40"/>
  <c r="F62" i="52"/>
  <c r="BZ13" i="40"/>
  <c r="G8" i="38"/>
  <c r="F8" i="39" s="1"/>
  <c r="F12" i="52"/>
  <c r="G17" i="38"/>
  <c r="F17" i="39" s="1"/>
  <c r="F21" i="52"/>
  <c r="BZ22" i="40"/>
  <c r="AT47" i="40"/>
  <c r="G42" i="38"/>
  <c r="F42" i="39" s="1"/>
  <c r="H42" i="38"/>
  <c r="G42" i="39" s="1"/>
  <c r="H76" i="39" s="1"/>
  <c r="BZ47" i="40"/>
  <c r="F46" i="52"/>
  <c r="F60" i="52"/>
  <c r="BZ61" i="40"/>
  <c r="G55" i="38"/>
  <c r="F55" i="39" s="1"/>
  <c r="BZ56" i="40"/>
  <c r="F55" i="52"/>
  <c r="G50" i="38"/>
  <c r="F50" i="39" s="1"/>
  <c r="F32" i="52"/>
  <c r="BZ33" i="40"/>
  <c r="G28" i="38"/>
  <c r="F28" i="39" s="1"/>
  <c r="G29" i="38"/>
  <c r="F29" i="39" s="1"/>
  <c r="BZ34" i="40"/>
  <c r="F33" i="52"/>
  <c r="G23" i="38"/>
  <c r="F23" i="39" s="1"/>
  <c r="F27" i="52"/>
  <c r="BZ28" i="40"/>
  <c r="H35" i="38"/>
  <c r="G35" i="39" s="1"/>
  <c r="H69" i="39" s="1"/>
  <c r="AT40" i="40"/>
  <c r="BZ40" i="40"/>
  <c r="G35" i="38"/>
  <c r="F35" i="39" s="1"/>
  <c r="F39" i="52"/>
  <c r="F35" i="52"/>
  <c r="BZ36" i="40"/>
  <c r="G31" i="38"/>
  <c r="F31" i="39" s="1"/>
  <c r="F19" i="52"/>
  <c r="BZ20" i="40"/>
  <c r="G15" i="38"/>
  <c r="F15" i="39" s="1"/>
  <c r="F20" i="52"/>
  <c r="G16" i="38"/>
  <c r="F16" i="39" s="1"/>
  <c r="BZ21" i="40"/>
  <c r="BZ53" i="40"/>
  <c r="G48" i="38"/>
  <c r="F48" i="39" s="1"/>
  <c r="F52" i="52"/>
  <c r="BZ17" i="40"/>
  <c r="G12" i="38"/>
  <c r="F12" i="39" s="1"/>
  <c r="F16" i="52"/>
  <c r="G25" i="38"/>
  <c r="F25" i="39" s="1"/>
  <c r="F29" i="52"/>
  <c r="BZ30" i="40"/>
  <c r="BZ27" i="40"/>
  <c r="G22" i="38"/>
  <c r="F22" i="39" s="1"/>
  <c r="F26" i="52"/>
  <c r="BZ12" i="40"/>
  <c r="F11" i="52"/>
  <c r="G7" i="38"/>
  <c r="F7" i="39" s="1"/>
  <c r="BZ31" i="40"/>
  <c r="F30" i="52"/>
  <c r="G26" i="38"/>
  <c r="F26" i="39" s="1"/>
  <c r="BZ52" i="40"/>
  <c r="G47" i="38"/>
  <c r="F47" i="39" s="1"/>
  <c r="F36" i="52"/>
  <c r="G32" i="38"/>
  <c r="BZ37" i="40"/>
  <c r="F18" i="52"/>
  <c r="G14" i="38"/>
  <c r="F14" i="39" s="1"/>
  <c r="BZ19" i="40"/>
  <c r="BZ43" i="40"/>
  <c r="AT43" i="40"/>
  <c r="H38" i="38"/>
  <c r="G38" i="39" s="1"/>
  <c r="H72" i="39" s="1"/>
  <c r="G38" i="38"/>
  <c r="F38" i="39" s="1"/>
  <c r="F13" i="52"/>
  <c r="BZ14" i="40"/>
  <c r="G9" i="38"/>
  <c r="F9" i="39" s="1"/>
  <c r="BZ26" i="40"/>
  <c r="G21" i="38"/>
  <c r="F21" i="39" s="1"/>
  <c r="F25" i="52"/>
  <c r="G43" i="38"/>
  <c r="F43" i="39" s="1"/>
  <c r="BZ48" i="40"/>
  <c r="AT48" i="40"/>
  <c r="H43" i="38"/>
  <c r="G43" i="39" s="1"/>
  <c r="H78" i="39" s="1"/>
  <c r="G56" i="38"/>
  <c r="F56" i="39" s="1"/>
  <c r="BZ62" i="40"/>
  <c r="G52" i="38"/>
  <c r="F57" i="52"/>
  <c r="BZ58" i="40"/>
  <c r="BZ44" i="40"/>
  <c r="H39" i="38"/>
  <c r="G39" i="39" s="1"/>
  <c r="H73" i="39" s="1"/>
  <c r="G39" i="38"/>
  <c r="F39" i="39" s="1"/>
  <c r="AT44" i="40"/>
  <c r="F28" i="52"/>
  <c r="G24" i="38"/>
  <c r="F24" i="39" s="1"/>
  <c r="BZ29" i="40"/>
  <c r="H44" i="38"/>
  <c r="G44" i="39" s="1"/>
  <c r="H79" i="39" s="1"/>
  <c r="BZ49" i="40"/>
  <c r="G44" i="38"/>
  <c r="F44" i="39" s="1"/>
  <c r="AT49" i="40"/>
  <c r="G30" i="38"/>
  <c r="F30" i="39" s="1"/>
  <c r="BZ35" i="40"/>
  <c r="F34" i="52"/>
  <c r="F31" i="52"/>
  <c r="G27" i="38"/>
  <c r="F27" i="39" s="1"/>
  <c r="BZ32" i="40"/>
  <c r="G36" i="38"/>
  <c r="F36" i="39" s="1"/>
  <c r="BZ41" i="40"/>
  <c r="H36" i="38"/>
  <c r="G36" i="39" s="1"/>
  <c r="H70" i="39" s="1"/>
  <c r="AT41" i="40"/>
  <c r="AT46" i="40"/>
  <c r="H41" i="38"/>
  <c r="G41" i="39" s="1"/>
  <c r="H75" i="39" s="1"/>
  <c r="BZ46" i="40"/>
  <c r="G41" i="38"/>
  <c r="F41" i="39" s="1"/>
  <c r="BZ45" i="40"/>
  <c r="AT45" i="40"/>
  <c r="G40" i="38"/>
  <c r="F40" i="39" s="1"/>
  <c r="H40" i="38"/>
  <c r="G40" i="39" s="1"/>
  <c r="H74" i="39" s="1"/>
  <c r="H37" i="38"/>
  <c r="G37" i="39" s="1"/>
  <c r="H71" i="39" s="1"/>
  <c r="G37" i="38"/>
  <c r="F37" i="39" s="1"/>
  <c r="BZ42" i="40"/>
  <c r="AT42" i="40"/>
  <c r="F52" i="39" l="1"/>
  <c r="F51" i="39"/>
  <c r="F11" i="39"/>
  <c r="F32" i="39"/>
  <c r="F6" i="39"/>
  <c r="Y108" i="41"/>
  <c r="J38" i="40"/>
  <c r="R54" i="40"/>
  <c r="I46" i="40"/>
  <c r="K38" i="40"/>
  <c r="K54" i="40"/>
  <c r="Q51" i="40"/>
  <c r="G47" i="40"/>
  <c r="L52" i="40"/>
  <c r="O47" i="40"/>
  <c r="J62" i="40"/>
  <c r="M52" i="40"/>
  <c r="I59" i="40"/>
  <c r="G52" i="40"/>
  <c r="H38" i="40"/>
  <c r="P54" i="40"/>
  <c r="N50" i="40"/>
  <c r="R43" i="40"/>
  <c r="L54" i="40"/>
  <c r="O50" i="40"/>
  <c r="H47" i="40"/>
  <c r="F39" i="40"/>
  <c r="F59" i="40"/>
  <c r="P47" i="40"/>
  <c r="N39" i="40"/>
  <c r="N59" i="40"/>
  <c r="I47" i="40"/>
  <c r="O39" i="40"/>
  <c r="O46" i="40"/>
  <c r="N38" i="40"/>
  <c r="L50" i="40"/>
  <c r="P45" i="40"/>
  <c r="I38" i="40"/>
  <c r="Q54" i="40"/>
  <c r="M50" i="40"/>
  <c r="R45" i="40"/>
  <c r="F50" i="40"/>
  <c r="Q39" i="40"/>
  <c r="F45" i="40"/>
  <c r="M62" i="40"/>
  <c r="P52" i="40"/>
  <c r="F43" i="40"/>
  <c r="N62" i="40"/>
  <c r="G59" i="40"/>
  <c r="J51" i="40"/>
  <c r="O59" i="40"/>
  <c r="R51" i="40"/>
  <c r="H59" i="40"/>
  <c r="F52" i="40"/>
  <c r="O38" i="40"/>
  <c r="O54" i="40"/>
  <c r="R50" i="40"/>
  <c r="K62" i="40"/>
  <c r="I54" i="40"/>
  <c r="Q52" i="40"/>
  <c r="G50" i="40"/>
  <c r="J52" i="40"/>
  <c r="H50" i="40"/>
  <c r="I45" i="40"/>
  <c r="L38" i="40"/>
  <c r="L46" i="40"/>
  <c r="G39" i="40"/>
  <c r="N46" i="40"/>
  <c r="H39" i="40"/>
  <c r="F51" i="40"/>
  <c r="O45" i="40"/>
  <c r="Q62" i="40"/>
  <c r="R47" i="40"/>
  <c r="P43" i="40"/>
  <c r="L62" i="40"/>
  <c r="J54" i="40"/>
  <c r="K39" i="40"/>
  <c r="F62" i="40"/>
  <c r="L39" i="40"/>
  <c r="G62" i="40"/>
  <c r="AL62" i="40" s="1"/>
  <c r="R52" i="40"/>
  <c r="P50" i="40"/>
  <c r="M54" i="40"/>
  <c r="K51" i="40"/>
  <c r="N54" i="40"/>
  <c r="L51" i="40"/>
  <c r="R62" i="40"/>
  <c r="H54" i="40"/>
  <c r="AL54" i="40" s="1"/>
  <c r="BY54" i="40" s="1"/>
  <c r="Q59" i="40"/>
  <c r="O52" i="40"/>
  <c r="H52" i="40"/>
  <c r="O51" i="40"/>
  <c r="M47" i="40"/>
  <c r="P51" i="40"/>
  <c r="N47" i="40"/>
  <c r="I43" i="40"/>
  <c r="O62" i="40"/>
  <c r="L45" i="40"/>
  <c r="M38" i="40"/>
  <c r="N45" i="40"/>
  <c r="F38" i="40"/>
  <c r="Q47" i="40"/>
  <c r="O43" i="40"/>
  <c r="K47" i="40"/>
  <c r="I39" i="40"/>
  <c r="R39" i="40"/>
  <c r="R59" i="40"/>
  <c r="Q38" i="40"/>
  <c r="L59" i="40"/>
  <c r="R38" i="40"/>
  <c r="M59" i="40"/>
  <c r="K52" i="40"/>
  <c r="I50" i="40"/>
  <c r="F54" i="40"/>
  <c r="Q50" i="40"/>
  <c r="G38" i="40"/>
  <c r="G54" i="40"/>
  <c r="J50" i="40"/>
  <c r="N52" i="40"/>
  <c r="J39" i="40"/>
  <c r="J59" i="40"/>
  <c r="M51" i="40"/>
  <c r="I52" i="40"/>
  <c r="L47" i="40"/>
  <c r="G51" i="40"/>
  <c r="R46" i="40"/>
  <c r="H51" i="40"/>
  <c r="F47" i="40"/>
  <c r="I51" i="40"/>
  <c r="F46" i="40"/>
  <c r="M39" i="40"/>
  <c r="H62" i="40"/>
  <c r="L43" i="40"/>
  <c r="P62" i="40"/>
  <c r="K50" i="40"/>
  <c r="N43" i="40"/>
  <c r="I62" i="40"/>
  <c r="J47" i="40"/>
  <c r="P39" i="40"/>
  <c r="N51" i="40"/>
  <c r="P46" i="40"/>
  <c r="P38" i="40"/>
  <c r="K59" i="40"/>
  <c r="J43" i="40"/>
  <c r="J45" i="40"/>
  <c r="J46" i="40"/>
  <c r="Q43" i="40"/>
  <c r="Q45" i="40"/>
  <c r="Q46" i="40"/>
  <c r="G46" i="40"/>
  <c r="G43" i="40"/>
  <c r="G45" i="40"/>
  <c r="M43" i="40"/>
  <c r="H43" i="40"/>
  <c r="H45" i="40"/>
  <c r="H46" i="40"/>
  <c r="K45" i="40"/>
  <c r="K46" i="40"/>
  <c r="K43" i="40"/>
  <c r="M46" i="40"/>
  <c r="M45" i="40"/>
  <c r="J12" i="40"/>
  <c r="J63" i="40"/>
  <c r="J14" i="40"/>
  <c r="J60" i="40"/>
  <c r="J11" i="40"/>
  <c r="J56" i="40"/>
  <c r="J48" i="40"/>
  <c r="J22" i="40"/>
  <c r="J57" i="40"/>
  <c r="J29" i="40"/>
  <c r="J30" i="40"/>
  <c r="J32" i="40"/>
  <c r="J41" i="40"/>
  <c r="J19" i="40"/>
  <c r="J34" i="40"/>
  <c r="J27" i="40"/>
  <c r="J26" i="40"/>
  <c r="J17" i="40"/>
  <c r="J18" i="40"/>
  <c r="J36" i="40"/>
  <c r="J28" i="40"/>
  <c r="J20" i="40"/>
  <c r="J42" i="40"/>
  <c r="J49" i="40"/>
  <c r="J24" i="40"/>
  <c r="J61" i="40"/>
  <c r="J15" i="40"/>
  <c r="J53" i="40"/>
  <c r="J25" i="40"/>
  <c r="J40" i="40"/>
  <c r="J23" i="40"/>
  <c r="J37" i="40"/>
  <c r="J35" i="40"/>
  <c r="J55" i="40"/>
  <c r="J13" i="40"/>
  <c r="J33" i="40"/>
  <c r="J10" i="40"/>
  <c r="J21" i="40"/>
  <c r="J16" i="40"/>
  <c r="J44" i="40"/>
  <c r="M35" i="40"/>
  <c r="M20" i="40"/>
  <c r="M33" i="40"/>
  <c r="M16" i="40"/>
  <c r="M42" i="40"/>
  <c r="M23" i="40"/>
  <c r="M10" i="40"/>
  <c r="M49" i="40"/>
  <c r="M14" i="40"/>
  <c r="M55" i="40"/>
  <c r="M34" i="40"/>
  <c r="M60" i="40"/>
  <c r="M61" i="40"/>
  <c r="M24" i="40"/>
  <c r="M26" i="40"/>
  <c r="M41" i="40"/>
  <c r="M19" i="40"/>
  <c r="M63" i="40"/>
  <c r="M11" i="40"/>
  <c r="M56" i="40"/>
  <c r="M15" i="40"/>
  <c r="M48" i="40"/>
  <c r="M53" i="40"/>
  <c r="M40" i="40"/>
  <c r="M44" i="40"/>
  <c r="M18" i="40"/>
  <c r="M32" i="40"/>
  <c r="M17" i="40"/>
  <c r="M25" i="40"/>
  <c r="M22" i="40"/>
  <c r="M28" i="40"/>
  <c r="M57" i="40"/>
  <c r="M29" i="40"/>
  <c r="M13" i="40"/>
  <c r="M36" i="40"/>
  <c r="M37" i="40"/>
  <c r="M12" i="40"/>
  <c r="M21" i="40"/>
  <c r="M27" i="40"/>
  <c r="M30" i="40"/>
  <c r="AZ61" i="40"/>
  <c r="AQ61" i="40" s="1"/>
  <c r="K60" i="52" s="1"/>
  <c r="AZ18" i="40"/>
  <c r="AQ18" i="40" s="1"/>
  <c r="K17" i="52" s="1"/>
  <c r="AZ25" i="40"/>
  <c r="AQ25" i="40" s="1"/>
  <c r="K24" i="52" s="1"/>
  <c r="AZ62" i="40"/>
  <c r="AQ62" i="40" s="1"/>
  <c r="K61" i="52" s="1"/>
  <c r="AZ52" i="40"/>
  <c r="AQ52" i="40" s="1"/>
  <c r="AR52" i="40" s="1"/>
  <c r="AZ56" i="40"/>
  <c r="AQ56" i="40" s="1"/>
  <c r="K55" i="52" s="1"/>
  <c r="AZ55" i="40"/>
  <c r="AQ55" i="40" s="1"/>
  <c r="K54" i="52" s="1"/>
  <c r="AZ54" i="40"/>
  <c r="AQ54" i="40" s="1"/>
  <c r="K53" i="52" s="1"/>
  <c r="AZ10" i="40"/>
  <c r="AQ10" i="40" s="1"/>
  <c r="K9" i="52" s="1"/>
  <c r="K20" i="52"/>
  <c r="AR21" i="40"/>
  <c r="AZ32" i="40"/>
  <c r="AQ32" i="40" s="1"/>
  <c r="AZ22" i="40"/>
  <c r="AQ22" i="40" s="1"/>
  <c r="AZ35" i="40"/>
  <c r="AQ35" i="40" s="1"/>
  <c r="AZ31" i="40"/>
  <c r="AQ31" i="40" s="1"/>
  <c r="AZ63" i="40"/>
  <c r="AQ63" i="40" s="1"/>
  <c r="AZ11" i="40"/>
  <c r="AQ11" i="40" s="1"/>
  <c r="F64" i="52"/>
  <c r="AG64" i="52" s="1"/>
  <c r="AL64" i="52" s="1"/>
  <c r="AZ36" i="40"/>
  <c r="AQ36" i="40" s="1"/>
  <c r="AZ20" i="40"/>
  <c r="AQ20" i="40" s="1"/>
  <c r="AZ26" i="40"/>
  <c r="AQ26" i="40" s="1"/>
  <c r="AZ57" i="40"/>
  <c r="AQ57" i="40" s="1"/>
  <c r="AZ27" i="40"/>
  <c r="AQ27" i="40" s="1"/>
  <c r="AZ13" i="40"/>
  <c r="AQ13" i="40" s="1"/>
  <c r="AZ12" i="40"/>
  <c r="AQ12" i="40" s="1"/>
  <c r="AZ37" i="40"/>
  <c r="AQ37" i="40" s="1"/>
  <c r="AZ14" i="40"/>
  <c r="AQ14" i="40" s="1"/>
  <c r="AZ29" i="40"/>
  <c r="AQ29" i="40" s="1"/>
  <c r="AZ28" i="40"/>
  <c r="AQ28" i="40" s="1"/>
  <c r="AZ34" i="40"/>
  <c r="AQ34" i="40" s="1"/>
  <c r="AZ9" i="40"/>
  <c r="AQ9" i="40" s="1"/>
  <c r="AZ24" i="40"/>
  <c r="AQ24" i="40" s="1"/>
  <c r="AZ16" i="40"/>
  <c r="AQ16" i="40" s="1"/>
  <c r="AZ30" i="40"/>
  <c r="AQ30" i="40" s="1"/>
  <c r="AZ17" i="40"/>
  <c r="AQ17" i="40" s="1"/>
  <c r="AZ53" i="40"/>
  <c r="AQ53" i="40" s="1"/>
  <c r="AZ19" i="40"/>
  <c r="AQ19" i="40" s="1"/>
  <c r="AZ60" i="40"/>
  <c r="AQ60" i="40" s="1"/>
  <c r="AZ58" i="40"/>
  <c r="AQ58" i="40" s="1"/>
  <c r="AZ59" i="40"/>
  <c r="AQ59" i="40" s="1"/>
  <c r="AZ15" i="40"/>
  <c r="AQ15" i="40" s="1"/>
  <c r="AZ23" i="40"/>
  <c r="AQ23" i="40" s="1"/>
  <c r="AZ33" i="40"/>
  <c r="AQ33" i="40" s="1"/>
  <c r="AL47" i="40" l="1"/>
  <c r="BY47" i="40" s="1"/>
  <c r="AL52" i="40"/>
  <c r="BY52" i="40" s="1"/>
  <c r="AL46" i="40"/>
  <c r="AL45" i="40"/>
  <c r="AP45" i="40" s="1"/>
  <c r="J44" i="52" s="1"/>
  <c r="AL43" i="40"/>
  <c r="AU43" i="40" s="1"/>
  <c r="O53" i="40"/>
  <c r="J9" i="40"/>
  <c r="AI8" i="41"/>
  <c r="K19" i="40"/>
  <c r="I35" i="40"/>
  <c r="I23" i="40"/>
  <c r="M9" i="40"/>
  <c r="AL8" i="41"/>
  <c r="P60" i="40"/>
  <c r="P17" i="40"/>
  <c r="P21" i="40"/>
  <c r="O57" i="40"/>
  <c r="N21" i="40"/>
  <c r="N60" i="40"/>
  <c r="N48" i="40"/>
  <c r="R57" i="40"/>
  <c r="R17" i="40"/>
  <c r="Q61" i="40"/>
  <c r="Q48" i="40"/>
  <c r="Q56" i="40"/>
  <c r="P56" i="40"/>
  <c r="P61" i="40"/>
  <c r="L28" i="40"/>
  <c r="L61" i="40"/>
  <c r="L60" i="40"/>
  <c r="I20" i="40"/>
  <c r="I57" i="40"/>
  <c r="I56" i="40"/>
  <c r="I19" i="40"/>
  <c r="I16" i="40"/>
  <c r="I61" i="40"/>
  <c r="I60" i="40"/>
  <c r="F19" i="40"/>
  <c r="G57" i="40"/>
  <c r="G61" i="40"/>
  <c r="G56" i="40"/>
  <c r="AR61" i="40"/>
  <c r="AR18" i="40"/>
  <c r="CB18" i="40" s="1"/>
  <c r="AR62" i="40"/>
  <c r="AT62" i="40" s="1"/>
  <c r="AR55" i="40"/>
  <c r="AR25" i="40"/>
  <c r="CB25" i="40" s="1"/>
  <c r="K51" i="52"/>
  <c r="AR56" i="40"/>
  <c r="L55" i="52" s="1"/>
  <c r="BY43" i="40"/>
  <c r="AR54" i="40"/>
  <c r="AT54" i="40" s="1"/>
  <c r="AP43" i="40"/>
  <c r="J42" i="52" s="1"/>
  <c r="F47" i="38"/>
  <c r="F42" i="38"/>
  <c r="E42" i="39" s="1"/>
  <c r="E76" i="39" s="1"/>
  <c r="E46" i="52"/>
  <c r="O46" i="52" s="1"/>
  <c r="U46" i="52" s="1"/>
  <c r="AA46" i="52" s="1"/>
  <c r="AD46" i="52" s="1"/>
  <c r="F38" i="38"/>
  <c r="E38" i="39" s="1"/>
  <c r="E72" i="39" s="1"/>
  <c r="AU47" i="40"/>
  <c r="CC47" i="40" s="1"/>
  <c r="AP47" i="40"/>
  <c r="J46" i="52" s="1"/>
  <c r="E42" i="52"/>
  <c r="G14" i="53" s="1"/>
  <c r="M14" i="53" s="1"/>
  <c r="AR10" i="40"/>
  <c r="L9" i="52" s="1"/>
  <c r="I12" i="40"/>
  <c r="I63" i="40"/>
  <c r="I14" i="40"/>
  <c r="I21" i="40"/>
  <c r="I48" i="40"/>
  <c r="I53" i="40"/>
  <c r="I17" i="40"/>
  <c r="I28" i="40"/>
  <c r="I34" i="40"/>
  <c r="K57" i="52"/>
  <c r="AR58" i="40"/>
  <c r="AQ65" i="40"/>
  <c r="K8" i="52"/>
  <c r="AR9" i="40"/>
  <c r="K26" i="52"/>
  <c r="AR27" i="40"/>
  <c r="K33" i="52"/>
  <c r="AR34" i="40"/>
  <c r="K11" i="52"/>
  <c r="AR12" i="40"/>
  <c r="K60" i="40"/>
  <c r="K61" i="40"/>
  <c r="K63" i="40"/>
  <c r="K12" i="40"/>
  <c r="K21" i="40"/>
  <c r="K56" i="40"/>
  <c r="K57" i="40"/>
  <c r="K24" i="40"/>
  <c r="K16" i="40"/>
  <c r="K56" i="52"/>
  <c r="AR57" i="40"/>
  <c r="O63" i="40"/>
  <c r="O16" i="40"/>
  <c r="O19" i="40"/>
  <c r="O48" i="40"/>
  <c r="O12" i="40"/>
  <c r="O60" i="40"/>
  <c r="O56" i="40"/>
  <c r="O17" i="40"/>
  <c r="O21" i="40"/>
  <c r="O61" i="40"/>
  <c r="O14" i="40"/>
  <c r="K31" i="52"/>
  <c r="AR32" i="40"/>
  <c r="Q12" i="40"/>
  <c r="Q31" i="40"/>
  <c r="Q60" i="40"/>
  <c r="Q21" i="40"/>
  <c r="Q63" i="40"/>
  <c r="Q14" i="40"/>
  <c r="Q16" i="40"/>
  <c r="Q17" i="40"/>
  <c r="Q19" i="40"/>
  <c r="Q53" i="40"/>
  <c r="Q57" i="40"/>
  <c r="CB55" i="40"/>
  <c r="AT55" i="40"/>
  <c r="L54" i="52"/>
  <c r="H49" i="38"/>
  <c r="G49" i="39" s="1"/>
  <c r="K19" i="52"/>
  <c r="AR20" i="40"/>
  <c r="K59" i="52"/>
  <c r="AR60" i="40"/>
  <c r="K18" i="52"/>
  <c r="AR19" i="40"/>
  <c r="K27" i="52"/>
  <c r="AR28" i="40"/>
  <c r="L14" i="40"/>
  <c r="L63" i="40"/>
  <c r="L48" i="40"/>
  <c r="L12" i="40"/>
  <c r="L53" i="40"/>
  <c r="L17" i="40"/>
  <c r="L57" i="40"/>
  <c r="L21" i="40"/>
  <c r="L19" i="40"/>
  <c r="K12" i="52"/>
  <c r="AR13" i="40"/>
  <c r="F48" i="40"/>
  <c r="F60" i="40"/>
  <c r="F12" i="40"/>
  <c r="F63" i="40"/>
  <c r="F14" i="40"/>
  <c r="F56" i="40"/>
  <c r="F17" i="40"/>
  <c r="F16" i="40"/>
  <c r="F21" i="40"/>
  <c r="F53" i="40"/>
  <c r="F57" i="40"/>
  <c r="F61" i="40"/>
  <c r="K25" i="52"/>
  <c r="AR26" i="40"/>
  <c r="K35" i="52"/>
  <c r="AR36" i="40"/>
  <c r="P48" i="40"/>
  <c r="P31" i="40"/>
  <c r="P14" i="40"/>
  <c r="P63" i="40"/>
  <c r="P19" i="40"/>
  <c r="P57" i="40"/>
  <c r="P53" i="40"/>
  <c r="P16" i="40"/>
  <c r="AC42" i="52"/>
  <c r="CB52" i="40"/>
  <c r="AT52" i="40"/>
  <c r="AU52" i="40"/>
  <c r="E47" i="38" s="1"/>
  <c r="H47" i="38"/>
  <c r="G47" i="39" s="1"/>
  <c r="H108" i="39" s="1"/>
  <c r="K15" i="52"/>
  <c r="AR16" i="40"/>
  <c r="K52" i="52"/>
  <c r="AR53" i="40"/>
  <c r="K28" i="52"/>
  <c r="AR29" i="40"/>
  <c r="BY46" i="40"/>
  <c r="AP46" i="40"/>
  <c r="J45" i="52" s="1"/>
  <c r="AU46" i="40"/>
  <c r="F41" i="38"/>
  <c r="E41" i="39" s="1"/>
  <c r="E75" i="39" s="1"/>
  <c r="E45" i="52"/>
  <c r="K32" i="52"/>
  <c r="AR33" i="40"/>
  <c r="K16" i="52"/>
  <c r="AR17" i="40"/>
  <c r="K13" i="52"/>
  <c r="AR14" i="40"/>
  <c r="AT61" i="40"/>
  <c r="CB61" i="40"/>
  <c r="L60" i="52"/>
  <c r="H55" i="38"/>
  <c r="G55" i="39" s="1"/>
  <c r="H83" i="39" s="1"/>
  <c r="G14" i="40"/>
  <c r="G12" i="40"/>
  <c r="G60" i="40"/>
  <c r="G63" i="40"/>
  <c r="G31" i="40"/>
  <c r="G21" i="40"/>
  <c r="G17" i="40"/>
  <c r="G22" i="40"/>
  <c r="G53" i="40"/>
  <c r="G19" i="40"/>
  <c r="R14" i="40"/>
  <c r="R31" i="40"/>
  <c r="R56" i="40"/>
  <c r="R63" i="40"/>
  <c r="R60" i="40"/>
  <c r="R48" i="40"/>
  <c r="R12" i="40"/>
  <c r="R53" i="40"/>
  <c r="R16" i="40"/>
  <c r="R19" i="40"/>
  <c r="R61" i="40"/>
  <c r="R21" i="40"/>
  <c r="K10" i="52"/>
  <c r="AR11" i="40"/>
  <c r="K22" i="52"/>
  <c r="AR23" i="40"/>
  <c r="K29" i="52"/>
  <c r="AR30" i="40"/>
  <c r="K36" i="52"/>
  <c r="AR37" i="40"/>
  <c r="K62" i="52"/>
  <c r="AR63" i="40"/>
  <c r="K30" i="52"/>
  <c r="AR31" i="40"/>
  <c r="H14" i="40"/>
  <c r="CC43" i="40"/>
  <c r="E38" i="38"/>
  <c r="A14" i="53" s="1"/>
  <c r="F56" i="38"/>
  <c r="E56" i="39" s="1"/>
  <c r="E116" i="39" s="1"/>
  <c r="BY62" i="40"/>
  <c r="K34" i="52"/>
  <c r="AR35" i="40"/>
  <c r="AT21" i="40"/>
  <c r="CB21" i="40"/>
  <c r="L20" i="52"/>
  <c r="H16" i="38"/>
  <c r="G16" i="39" s="1"/>
  <c r="H93" i="39" s="1"/>
  <c r="K14" i="52"/>
  <c r="AR15" i="40"/>
  <c r="K58" i="52"/>
  <c r="AR59" i="40"/>
  <c r="K23" i="52"/>
  <c r="AR24" i="40"/>
  <c r="N56" i="40"/>
  <c r="N12" i="40"/>
  <c r="N63" i="40"/>
  <c r="N17" i="40"/>
  <c r="N53" i="40"/>
  <c r="N16" i="40"/>
  <c r="N61" i="40"/>
  <c r="N19" i="40"/>
  <c r="N57" i="40"/>
  <c r="K21" i="52"/>
  <c r="AR22" i="40"/>
  <c r="E44" i="52" l="1"/>
  <c r="AC44" i="52" s="1"/>
  <c r="CB62" i="40"/>
  <c r="F40" i="38"/>
  <c r="E40" i="39" s="1"/>
  <c r="E74" i="39" s="1"/>
  <c r="BY45" i="40"/>
  <c r="AU45" i="40"/>
  <c r="H56" i="38"/>
  <c r="G56" i="39" s="1"/>
  <c r="H116" i="39" s="1"/>
  <c r="AU62" i="40"/>
  <c r="AC46" i="52"/>
  <c r="E47" i="39"/>
  <c r="E108" i="39" s="1"/>
  <c r="CB10" i="40"/>
  <c r="D38" i="39"/>
  <c r="D72" i="39" s="1"/>
  <c r="H13" i="38"/>
  <c r="G13" i="39" s="1"/>
  <c r="H106" i="39" s="1"/>
  <c r="L17" i="52"/>
  <c r="I47" i="53" s="1"/>
  <c r="AT18" i="40"/>
  <c r="AT10" i="40"/>
  <c r="G18" i="53"/>
  <c r="M18" i="53" s="1"/>
  <c r="H20" i="38"/>
  <c r="G20" i="39" s="1"/>
  <c r="H91" i="39" s="1"/>
  <c r="L24" i="52"/>
  <c r="H5" i="38"/>
  <c r="G5" i="39" s="1"/>
  <c r="H84" i="39" s="1"/>
  <c r="AT25" i="40"/>
  <c r="P12" i="40"/>
  <c r="G48" i="40"/>
  <c r="G16" i="40"/>
  <c r="L56" i="40"/>
  <c r="L16" i="40"/>
  <c r="F13" i="40"/>
  <c r="I24" i="40"/>
  <c r="K34" i="40"/>
  <c r="K53" i="40"/>
  <c r="K48" i="40"/>
  <c r="K17" i="40"/>
  <c r="K14" i="40"/>
  <c r="N14" i="40"/>
  <c r="Q34" i="40"/>
  <c r="O15" i="40"/>
  <c r="G34" i="40"/>
  <c r="CB56" i="40"/>
  <c r="AT56" i="40"/>
  <c r="R34" i="40"/>
  <c r="N37" i="40"/>
  <c r="G18" i="40"/>
  <c r="N41" i="40"/>
  <c r="H12" i="40"/>
  <c r="Q24" i="40"/>
  <c r="L35" i="40"/>
  <c r="H28" i="40"/>
  <c r="Q36" i="40"/>
  <c r="Q37" i="40"/>
  <c r="Q29" i="40"/>
  <c r="Q9" i="40"/>
  <c r="Q41" i="40"/>
  <c r="Q13" i="40"/>
  <c r="Q44" i="40"/>
  <c r="Q25" i="40"/>
  <c r="H31" i="40"/>
  <c r="H56" i="40"/>
  <c r="H63" i="40"/>
  <c r="AL63" i="40" s="1"/>
  <c r="AU63" i="40" s="1"/>
  <c r="R30" i="40"/>
  <c r="R28" i="40"/>
  <c r="H30" i="40"/>
  <c r="R13" i="40"/>
  <c r="R42" i="40"/>
  <c r="R32" i="40"/>
  <c r="R37" i="40"/>
  <c r="I30" i="40"/>
  <c r="Q32" i="40"/>
  <c r="R41" i="40"/>
  <c r="R22" i="40"/>
  <c r="I11" i="40"/>
  <c r="N35" i="40"/>
  <c r="R23" i="40"/>
  <c r="R18" i="40"/>
  <c r="R24" i="40"/>
  <c r="R11" i="40"/>
  <c r="Q20" i="40"/>
  <c r="Q30" i="40"/>
  <c r="Q23" i="40"/>
  <c r="R25" i="40"/>
  <c r="R29" i="40"/>
  <c r="Q40" i="40"/>
  <c r="Q35" i="40"/>
  <c r="Q11" i="40"/>
  <c r="R26" i="40"/>
  <c r="Q15" i="40"/>
  <c r="R44" i="40"/>
  <c r="R49" i="40"/>
  <c r="R15" i="40"/>
  <c r="R10" i="40"/>
  <c r="R55" i="40"/>
  <c r="R35" i="40"/>
  <c r="Q49" i="40"/>
  <c r="Q42" i="40"/>
  <c r="Q18" i="40"/>
  <c r="Q27" i="40"/>
  <c r="Q55" i="40"/>
  <c r="Q33" i="40"/>
  <c r="Q22" i="40"/>
  <c r="R40" i="40"/>
  <c r="R9" i="40"/>
  <c r="R20" i="40"/>
  <c r="R33" i="40"/>
  <c r="R36" i="40"/>
  <c r="R27" i="40"/>
  <c r="Q10" i="40"/>
  <c r="Q28" i="40"/>
  <c r="Q26" i="40"/>
  <c r="L9" i="40"/>
  <c r="P30" i="40"/>
  <c r="P15" i="40"/>
  <c r="F24" i="40"/>
  <c r="I29" i="40"/>
  <c r="H27" i="40"/>
  <c r="G35" i="40"/>
  <c r="P42" i="40"/>
  <c r="F49" i="40"/>
  <c r="L42" i="40"/>
  <c r="F20" i="40"/>
  <c r="N34" i="40"/>
  <c r="P36" i="40"/>
  <c r="L23" i="40"/>
  <c r="G42" i="40"/>
  <c r="G28" i="40"/>
  <c r="F26" i="40"/>
  <c r="O18" i="40"/>
  <c r="H21" i="40"/>
  <c r="AL21" i="40" s="1"/>
  <c r="G11" i="40"/>
  <c r="P34" i="40"/>
  <c r="K20" i="40"/>
  <c r="N32" i="40"/>
  <c r="H61" i="40"/>
  <c r="K28" i="40"/>
  <c r="O55" i="40"/>
  <c r="O22" i="40"/>
  <c r="K23" i="40"/>
  <c r="K22" i="40"/>
  <c r="I18" i="40"/>
  <c r="L22" i="40"/>
  <c r="I40" i="40"/>
  <c r="I15" i="40"/>
  <c r="G27" i="40"/>
  <c r="F29" i="40"/>
  <c r="O9" i="40"/>
  <c r="K36" i="40"/>
  <c r="I25" i="40"/>
  <c r="H57" i="40"/>
  <c r="AL57" i="40" s="1"/>
  <c r="AU57" i="40" s="1"/>
  <c r="I37" i="40"/>
  <c r="N30" i="40"/>
  <c r="H15" i="40"/>
  <c r="I44" i="40"/>
  <c r="L30" i="40"/>
  <c r="K35" i="40"/>
  <c r="I9" i="40"/>
  <c r="I42" i="40"/>
  <c r="L44" i="40"/>
  <c r="O32" i="40"/>
  <c r="O41" i="40"/>
  <c r="K42" i="40"/>
  <c r="K33" i="40"/>
  <c r="I41" i="40"/>
  <c r="P33" i="40"/>
  <c r="K49" i="40"/>
  <c r="K40" i="40"/>
  <c r="K41" i="40"/>
  <c r="I36" i="40"/>
  <c r="I32" i="40"/>
  <c r="I26" i="40"/>
  <c r="L26" i="40"/>
  <c r="I49" i="40"/>
  <c r="N11" i="40"/>
  <c r="G30" i="40"/>
  <c r="P25" i="40"/>
  <c r="P27" i="40"/>
  <c r="F25" i="40"/>
  <c r="F40" i="40"/>
  <c r="L24" i="40"/>
  <c r="L55" i="40"/>
  <c r="O33" i="40"/>
  <c r="O29" i="40"/>
  <c r="O24" i="40"/>
  <c r="O27" i="40"/>
  <c r="O35" i="40"/>
  <c r="H23" i="40"/>
  <c r="H44" i="40"/>
  <c r="H37" i="40"/>
  <c r="G32" i="40"/>
  <c r="G29" i="40"/>
  <c r="P35" i="40"/>
  <c r="P37" i="40"/>
  <c r="P41" i="40"/>
  <c r="P29" i="40"/>
  <c r="F41" i="40"/>
  <c r="F35" i="40"/>
  <c r="L33" i="40"/>
  <c r="L40" i="40"/>
  <c r="L36" i="40"/>
  <c r="K25" i="40"/>
  <c r="K55" i="40"/>
  <c r="N36" i="40"/>
  <c r="N44" i="40"/>
  <c r="L41" i="40"/>
  <c r="K30" i="40"/>
  <c r="N49" i="40"/>
  <c r="N29" i="40"/>
  <c r="N26" i="40"/>
  <c r="N27" i="40"/>
  <c r="G36" i="40"/>
  <c r="P40" i="40"/>
  <c r="F42" i="40"/>
  <c r="H41" i="40"/>
  <c r="H25" i="40"/>
  <c r="G41" i="40"/>
  <c r="G37" i="40"/>
  <c r="G24" i="40"/>
  <c r="P44" i="40"/>
  <c r="P23" i="40"/>
  <c r="F28" i="40"/>
  <c r="F34" i="40"/>
  <c r="L32" i="40"/>
  <c r="O37" i="40"/>
  <c r="O42" i="40"/>
  <c r="K26" i="40"/>
  <c r="I33" i="40"/>
  <c r="H42" i="40"/>
  <c r="L37" i="40"/>
  <c r="N28" i="40"/>
  <c r="N24" i="40"/>
  <c r="N55" i="40"/>
  <c r="N40" i="40"/>
  <c r="N33" i="40"/>
  <c r="H29" i="40"/>
  <c r="H34" i="40"/>
  <c r="H55" i="40"/>
  <c r="H24" i="40"/>
  <c r="H48" i="40"/>
  <c r="H60" i="40"/>
  <c r="AL60" i="40" s="1"/>
  <c r="AU60" i="40" s="1"/>
  <c r="G44" i="40"/>
  <c r="G55" i="40"/>
  <c r="P26" i="40"/>
  <c r="P49" i="40"/>
  <c r="P24" i="40"/>
  <c r="F30" i="40"/>
  <c r="F32" i="40"/>
  <c r="F27" i="40"/>
  <c r="L49" i="40"/>
  <c r="L34" i="40"/>
  <c r="O26" i="40"/>
  <c r="O28" i="40"/>
  <c r="O30" i="40"/>
  <c r="O11" i="40"/>
  <c r="O36" i="40"/>
  <c r="K32" i="40"/>
  <c r="K29" i="40"/>
  <c r="K37" i="40"/>
  <c r="I27" i="40"/>
  <c r="H40" i="40"/>
  <c r="G23" i="40"/>
  <c r="G25" i="40"/>
  <c r="P32" i="40"/>
  <c r="F18" i="40"/>
  <c r="F36" i="40"/>
  <c r="F33" i="40"/>
  <c r="L29" i="40"/>
  <c r="L27" i="40"/>
  <c r="O34" i="40"/>
  <c r="O23" i="40"/>
  <c r="O25" i="40"/>
  <c r="O44" i="40"/>
  <c r="K44" i="40"/>
  <c r="I55" i="40"/>
  <c r="H33" i="40"/>
  <c r="H35" i="40"/>
  <c r="H32" i="40"/>
  <c r="H53" i="40"/>
  <c r="N25" i="40"/>
  <c r="N42" i="40"/>
  <c r="N23" i="40"/>
  <c r="H16" i="40"/>
  <c r="H36" i="40"/>
  <c r="H49" i="40"/>
  <c r="H26" i="40"/>
  <c r="G40" i="40"/>
  <c r="G26" i="40"/>
  <c r="G49" i="40"/>
  <c r="G33" i="40"/>
  <c r="P28" i="40"/>
  <c r="P9" i="40"/>
  <c r="P55" i="40"/>
  <c r="P11" i="40"/>
  <c r="F44" i="40"/>
  <c r="F55" i="40"/>
  <c r="F37" i="40"/>
  <c r="L25" i="40"/>
  <c r="O40" i="40"/>
  <c r="O49" i="40"/>
  <c r="K27" i="40"/>
  <c r="F22" i="40"/>
  <c r="L15" i="40"/>
  <c r="K11" i="40"/>
  <c r="K15" i="40"/>
  <c r="O20" i="40"/>
  <c r="K9" i="40"/>
  <c r="N13" i="40"/>
  <c r="H22" i="40"/>
  <c r="G10" i="40"/>
  <c r="N20" i="40"/>
  <c r="H9" i="40"/>
  <c r="H10" i="40"/>
  <c r="P18" i="40"/>
  <c r="H18" i="40"/>
  <c r="N10" i="40"/>
  <c r="N18" i="40"/>
  <c r="F10" i="40"/>
  <c r="F11" i="40"/>
  <c r="L10" i="40"/>
  <c r="L13" i="40"/>
  <c r="L11" i="40"/>
  <c r="K18" i="40"/>
  <c r="K10" i="40"/>
  <c r="I13" i="40"/>
  <c r="G9" i="40"/>
  <c r="G13" i="40"/>
  <c r="H13" i="40"/>
  <c r="N9" i="40"/>
  <c r="H17" i="40"/>
  <c r="G15" i="40"/>
  <c r="P13" i="40"/>
  <c r="P10" i="40"/>
  <c r="P22" i="40"/>
  <c r="N15" i="40"/>
  <c r="H19" i="40"/>
  <c r="AL19" i="40" s="1"/>
  <c r="H11" i="40"/>
  <c r="G20" i="40"/>
  <c r="P20" i="40"/>
  <c r="F23" i="40"/>
  <c r="L20" i="40"/>
  <c r="O13" i="40"/>
  <c r="I10" i="40"/>
  <c r="I22" i="40"/>
  <c r="H20" i="40"/>
  <c r="N22" i="40"/>
  <c r="L18" i="40"/>
  <c r="O10" i="40"/>
  <c r="K13" i="40"/>
  <c r="F15" i="40"/>
  <c r="F9" i="40"/>
  <c r="H50" i="38"/>
  <c r="G50" i="39" s="1"/>
  <c r="H101" i="39" s="1"/>
  <c r="AU54" i="40"/>
  <c r="CC54" i="40" s="1"/>
  <c r="CB54" i="40"/>
  <c r="O42" i="52"/>
  <c r="U42" i="52" s="1"/>
  <c r="AA42" i="52" s="1"/>
  <c r="AD42" i="52" s="1"/>
  <c r="O44" i="52"/>
  <c r="U44" i="52" s="1"/>
  <c r="AA44" i="52" s="1"/>
  <c r="AD44" i="52" s="1"/>
  <c r="G16" i="53"/>
  <c r="M16" i="53" s="1"/>
  <c r="E42" i="38"/>
  <c r="A18" i="53" s="1"/>
  <c r="AE46" i="52"/>
  <c r="AF46" i="52" s="1"/>
  <c r="AL56" i="40"/>
  <c r="E55" i="52" s="1"/>
  <c r="O55" i="52" s="1"/>
  <c r="U55" i="52" s="1"/>
  <c r="AT20" i="40"/>
  <c r="CB20" i="40"/>
  <c r="L19" i="52"/>
  <c r="H15" i="38"/>
  <c r="G15" i="39" s="1"/>
  <c r="H92" i="39" s="1"/>
  <c r="CC62" i="40"/>
  <c r="E56" i="38"/>
  <c r="A58" i="53" s="1"/>
  <c r="CB37" i="40"/>
  <c r="AT37" i="40"/>
  <c r="L36" i="52"/>
  <c r="H32" i="38"/>
  <c r="G32" i="39" s="1"/>
  <c r="H96" i="39" s="1"/>
  <c r="AT11" i="40"/>
  <c r="CB11" i="40"/>
  <c r="L10" i="52"/>
  <c r="H6" i="38"/>
  <c r="G6" i="39" s="1"/>
  <c r="H95" i="39" s="1"/>
  <c r="I24" i="53"/>
  <c r="CB33" i="40"/>
  <c r="AT33" i="40"/>
  <c r="L32" i="52"/>
  <c r="H28" i="38"/>
  <c r="G28" i="39" s="1"/>
  <c r="H115" i="39" s="1"/>
  <c r="I32" i="53"/>
  <c r="AE8" i="41"/>
  <c r="AT57" i="40"/>
  <c r="CB57" i="40"/>
  <c r="L56" i="52"/>
  <c r="H51" i="38"/>
  <c r="G51" i="39" s="1"/>
  <c r="H107" i="39" s="1"/>
  <c r="CB9" i="40"/>
  <c r="AR65" i="40"/>
  <c r="AT9" i="40"/>
  <c r="L8" i="52"/>
  <c r="H4" i="38"/>
  <c r="G4" i="39" s="1"/>
  <c r="H88" i="39" s="1"/>
  <c r="AO8" i="41"/>
  <c r="CB22" i="40"/>
  <c r="AT22" i="40"/>
  <c r="L21" i="52"/>
  <c r="H17" i="38"/>
  <c r="G17" i="39" s="1"/>
  <c r="H94" i="39" s="1"/>
  <c r="AT29" i="40"/>
  <c r="CB29" i="40"/>
  <c r="L28" i="52"/>
  <c r="H24" i="38"/>
  <c r="G24" i="39" s="1"/>
  <c r="H110" i="39" s="1"/>
  <c r="AL61" i="40"/>
  <c r="AK8" i="41"/>
  <c r="CB28" i="40"/>
  <c r="AT28" i="40"/>
  <c r="L27" i="52"/>
  <c r="H23" i="38"/>
  <c r="G23" i="39" s="1"/>
  <c r="H99" i="39" s="1"/>
  <c r="AH8" i="41"/>
  <c r="CB13" i="40"/>
  <c r="AT13" i="40"/>
  <c r="L12" i="52"/>
  <c r="H8" i="38"/>
  <c r="G8" i="39" s="1"/>
  <c r="H114" i="39" s="1"/>
  <c r="AC45" i="52"/>
  <c r="G17" i="53"/>
  <c r="M17" i="53" s="1"/>
  <c r="O45" i="52"/>
  <c r="U45" i="52" s="1"/>
  <c r="AA45" i="52" s="1"/>
  <c r="I50" i="53"/>
  <c r="AP8" i="41"/>
  <c r="CB12" i="40"/>
  <c r="AT12" i="40"/>
  <c r="L11" i="52"/>
  <c r="H7" i="38"/>
  <c r="G7" i="39" s="1"/>
  <c r="H102" i="39" s="1"/>
  <c r="AT24" i="40"/>
  <c r="CB24" i="40"/>
  <c r="L23" i="52"/>
  <c r="H19" i="38"/>
  <c r="G19" i="39" s="1"/>
  <c r="H117" i="39" s="1"/>
  <c r="AT35" i="40"/>
  <c r="CB35" i="40"/>
  <c r="L34" i="52"/>
  <c r="H30" i="38"/>
  <c r="G30" i="39" s="1"/>
  <c r="H112" i="39" s="1"/>
  <c r="CB30" i="40"/>
  <c r="AT30" i="40"/>
  <c r="L29" i="52"/>
  <c r="H25" i="38"/>
  <c r="G25" i="39" s="1"/>
  <c r="H81" i="39" s="1"/>
  <c r="AQ8" i="41"/>
  <c r="CB15" i="40"/>
  <c r="AT15" i="40"/>
  <c r="L14" i="52"/>
  <c r="H10" i="38"/>
  <c r="G10" i="39" s="1"/>
  <c r="H98" i="39" s="1"/>
  <c r="AT53" i="40"/>
  <c r="CB53" i="40"/>
  <c r="L52" i="52"/>
  <c r="H48" i="38"/>
  <c r="G48" i="39" s="1"/>
  <c r="H90" i="39" s="1"/>
  <c r="E72" i="38"/>
  <c r="CC52" i="40"/>
  <c r="CB19" i="40"/>
  <c r="AT19" i="40"/>
  <c r="L18" i="52"/>
  <c r="H14" i="38"/>
  <c r="G14" i="39" s="1"/>
  <c r="H85" i="39" s="1"/>
  <c r="AT58" i="40"/>
  <c r="CB58" i="40"/>
  <c r="L57" i="52"/>
  <c r="H52" i="38"/>
  <c r="G52" i="39" s="1"/>
  <c r="H113" i="39" s="1"/>
  <c r="I25" i="53"/>
  <c r="AT63" i="40"/>
  <c r="CB63" i="40"/>
  <c r="L62" i="52"/>
  <c r="H57" i="38"/>
  <c r="G57" i="39" s="1"/>
  <c r="H100" i="39" s="1"/>
  <c r="AM8" i="41"/>
  <c r="I42" i="53"/>
  <c r="CB59" i="40"/>
  <c r="AT59" i="40"/>
  <c r="L58" i="52"/>
  <c r="H53" i="38"/>
  <c r="G53" i="39" s="1"/>
  <c r="H80" i="39" s="1"/>
  <c r="AT23" i="40"/>
  <c r="CB23" i="40"/>
  <c r="L22" i="52"/>
  <c r="H18" i="38"/>
  <c r="G18" i="39" s="1"/>
  <c r="H87" i="39" s="1"/>
  <c r="CB14" i="40"/>
  <c r="AT14" i="40"/>
  <c r="L13" i="52"/>
  <c r="H9" i="38"/>
  <c r="G9" i="39" s="1"/>
  <c r="H105" i="39" s="1"/>
  <c r="CC46" i="40"/>
  <c r="E41" i="38"/>
  <c r="A17" i="53" s="1"/>
  <c r="CB26" i="40"/>
  <c r="AT26" i="40"/>
  <c r="L25" i="52"/>
  <c r="H21" i="38"/>
  <c r="G21" i="39" s="1"/>
  <c r="H86" i="39" s="1"/>
  <c r="AJ8" i="41"/>
  <c r="CB34" i="40"/>
  <c r="AT34" i="40"/>
  <c r="L33" i="52"/>
  <c r="H29" i="38"/>
  <c r="G29" i="39" s="1"/>
  <c r="H111" i="39" s="1"/>
  <c r="CB16" i="40"/>
  <c r="AT16" i="40"/>
  <c r="L15" i="52"/>
  <c r="H11" i="38"/>
  <c r="G11" i="39" s="1"/>
  <c r="H89" i="39" s="1"/>
  <c r="AT36" i="40"/>
  <c r="CB36" i="40"/>
  <c r="L35" i="52"/>
  <c r="H31" i="38"/>
  <c r="G31" i="39" s="1"/>
  <c r="H97" i="39" s="1"/>
  <c r="AT60" i="40"/>
  <c r="CB60" i="40"/>
  <c r="L59" i="52"/>
  <c r="H54" i="38"/>
  <c r="G54" i="39" s="1"/>
  <c r="H104" i="39" s="1"/>
  <c r="AN8" i="41"/>
  <c r="AG8" i="41"/>
  <c r="AT31" i="40"/>
  <c r="CB31" i="40"/>
  <c r="L30" i="52"/>
  <c r="H26" i="38"/>
  <c r="G26" i="39" s="1"/>
  <c r="H118" i="39" s="1"/>
  <c r="AF8" i="41"/>
  <c r="I34" i="53"/>
  <c r="CB17" i="40"/>
  <c r="AT17" i="40"/>
  <c r="L16" i="52"/>
  <c r="H12" i="38"/>
  <c r="G12" i="39" s="1"/>
  <c r="H82" i="39" s="1"/>
  <c r="AL59" i="40"/>
  <c r="AU59" i="40" s="1"/>
  <c r="CB32" i="40"/>
  <c r="AT32" i="40"/>
  <c r="L31" i="52"/>
  <c r="H27" i="38"/>
  <c r="G27" i="39" s="1"/>
  <c r="H103" i="39" s="1"/>
  <c r="CB27" i="40"/>
  <c r="AT27" i="40"/>
  <c r="L26" i="52"/>
  <c r="H22" i="38"/>
  <c r="G22" i="39" s="1"/>
  <c r="H109" i="39" s="1"/>
  <c r="AL11" i="40" l="1"/>
  <c r="BY11" i="40" s="1"/>
  <c r="AL12" i="40"/>
  <c r="AU12" i="40" s="1"/>
  <c r="E7" i="38" s="1"/>
  <c r="A43" i="53" s="1"/>
  <c r="CC45" i="40"/>
  <c r="E40" i="38"/>
  <c r="AL53" i="40"/>
  <c r="AU53" i="40" s="1"/>
  <c r="CC53" i="40" s="1"/>
  <c r="A49" i="53"/>
  <c r="AL16" i="40"/>
  <c r="AU16" i="40" s="1"/>
  <c r="D42" i="39"/>
  <c r="D76" i="39" s="1"/>
  <c r="D56" i="39"/>
  <c r="D116" i="39" s="1"/>
  <c r="D41" i="39"/>
  <c r="D75" i="39" s="1"/>
  <c r="AL48" i="40"/>
  <c r="AU48" i="40" s="1"/>
  <c r="J7" i="40"/>
  <c r="AL14" i="40"/>
  <c r="AU14" i="40" s="1"/>
  <c r="CC14" i="40" s="1"/>
  <c r="AE42" i="52"/>
  <c r="AF42" i="52" s="1"/>
  <c r="AL17" i="40"/>
  <c r="AU17" i="40" s="1"/>
  <c r="CC17" i="40" s="1"/>
  <c r="AL28" i="40"/>
  <c r="AU28" i="40" s="1"/>
  <c r="E23" i="38" s="1"/>
  <c r="A40" i="53" s="1"/>
  <c r="AU56" i="40"/>
  <c r="CC56" i="40" s="1"/>
  <c r="AP56" i="40"/>
  <c r="J55" i="52" s="1"/>
  <c r="AE44" i="52"/>
  <c r="AF44" i="52" s="1"/>
  <c r="F50" i="38"/>
  <c r="E50" i="39" s="1"/>
  <c r="E101" i="39" s="1"/>
  <c r="BY56" i="40"/>
  <c r="AU21" i="40"/>
  <c r="BY21" i="40"/>
  <c r="F16" i="38"/>
  <c r="E16" i="39" s="1"/>
  <c r="E93" i="39" s="1"/>
  <c r="AP21" i="40"/>
  <c r="J20" i="52" s="1"/>
  <c r="E20" i="52"/>
  <c r="O20" i="52" s="1"/>
  <c r="U20" i="52" s="1"/>
  <c r="AA20" i="52" s="1"/>
  <c r="AL36" i="40"/>
  <c r="BY36" i="40" s="1"/>
  <c r="AL23" i="40"/>
  <c r="E22" i="52" s="1"/>
  <c r="O22" i="52" s="1"/>
  <c r="U22" i="52" s="1"/>
  <c r="AL35" i="40"/>
  <c r="AU35" i="40" s="1"/>
  <c r="CC35" i="40" s="1"/>
  <c r="AL34" i="40"/>
  <c r="BY34" i="40" s="1"/>
  <c r="AL33" i="40"/>
  <c r="F28" i="38" s="1"/>
  <c r="E28" i="39" s="1"/>
  <c r="E115" i="39" s="1"/>
  <c r="AL18" i="40"/>
  <c r="F13" i="38" s="1"/>
  <c r="E13" i="39" s="1"/>
  <c r="E106" i="39" s="1"/>
  <c r="CC59" i="40"/>
  <c r="E53" i="38"/>
  <c r="A21" i="53" s="1"/>
  <c r="CC57" i="40"/>
  <c r="E51" i="38"/>
  <c r="E73" i="38" s="1"/>
  <c r="I44" i="53"/>
  <c r="I46" i="53"/>
  <c r="I21" i="53"/>
  <c r="AL44" i="40"/>
  <c r="AL32" i="40"/>
  <c r="K7" i="40"/>
  <c r="AL42" i="40"/>
  <c r="AL26" i="40"/>
  <c r="I39" i="53"/>
  <c r="AL40" i="40"/>
  <c r="I35" i="53"/>
  <c r="AL30" i="40"/>
  <c r="I38" i="53"/>
  <c r="AL41" i="40"/>
  <c r="I54" i="53"/>
  <c r="AL25" i="40"/>
  <c r="I40" i="53"/>
  <c r="AL15" i="40"/>
  <c r="F57" i="38"/>
  <c r="E57" i="39" s="1"/>
  <c r="E100" i="39" s="1"/>
  <c r="BY63" i="40"/>
  <c r="AP63" i="40"/>
  <c r="J62" i="52" s="1"/>
  <c r="E62" i="52"/>
  <c r="I36" i="53"/>
  <c r="I53" i="53"/>
  <c r="I41" i="53"/>
  <c r="I22" i="53"/>
  <c r="AL31" i="40"/>
  <c r="I29" i="53"/>
  <c r="AL37" i="40"/>
  <c r="CC60" i="40"/>
  <c r="E54" i="38"/>
  <c r="A45" i="53" s="1"/>
  <c r="I30" i="53"/>
  <c r="I61" i="53"/>
  <c r="I27" i="53"/>
  <c r="CC63" i="40"/>
  <c r="E57" i="38"/>
  <c r="D7" i="56"/>
  <c r="AC55" i="52"/>
  <c r="G42" i="53"/>
  <c r="M42" i="53" s="1"/>
  <c r="AL58" i="40"/>
  <c r="I48" i="53"/>
  <c r="R7" i="40"/>
  <c r="I23" i="53"/>
  <c r="AA55" i="52"/>
  <c r="I45" i="53"/>
  <c r="P7" i="40"/>
  <c r="M7" i="40"/>
  <c r="I28" i="53"/>
  <c r="D47" i="39"/>
  <c r="D108" i="39" s="1"/>
  <c r="I43" i="53"/>
  <c r="AL22" i="40"/>
  <c r="I56" i="53"/>
  <c r="AL20" i="40"/>
  <c r="I52" i="53"/>
  <c r="AT65" i="40"/>
  <c r="F7" i="40"/>
  <c r="AL9" i="40"/>
  <c r="I51" i="53"/>
  <c r="AL10" i="40"/>
  <c r="AL29" i="40"/>
  <c r="I55" i="53"/>
  <c r="I26" i="53"/>
  <c r="AP60" i="40"/>
  <c r="J59" i="52" s="1"/>
  <c r="BY60" i="40"/>
  <c r="F54" i="38"/>
  <c r="E54" i="39" s="1"/>
  <c r="E104" i="39" s="1"/>
  <c r="E59" i="52"/>
  <c r="O59" i="52" s="1"/>
  <c r="U59" i="52" s="1"/>
  <c r="Q7" i="40"/>
  <c r="AD45" i="52"/>
  <c r="AE45" i="52"/>
  <c r="AL49" i="40"/>
  <c r="BY19" i="40"/>
  <c r="F14" i="38"/>
  <c r="E14" i="39" s="1"/>
  <c r="E85" i="39" s="1"/>
  <c r="AP19" i="40"/>
  <c r="J18" i="52" s="1"/>
  <c r="E18" i="52"/>
  <c r="O18" i="52" s="1"/>
  <c r="U18" i="52" s="1"/>
  <c r="BY59" i="40"/>
  <c r="F53" i="38"/>
  <c r="E53" i="39" s="1"/>
  <c r="E80" i="39" s="1"/>
  <c r="AP59" i="40"/>
  <c r="J58" i="52" s="1"/>
  <c r="E58" i="52"/>
  <c r="O58" i="52" s="1"/>
  <c r="U58" i="52" s="1"/>
  <c r="G7" i="40"/>
  <c r="H7" i="40"/>
  <c r="F51" i="38"/>
  <c r="BY57" i="40"/>
  <c r="E56" i="52"/>
  <c r="O56" i="52" s="1"/>
  <c r="U56" i="52" s="1"/>
  <c r="AP57" i="40"/>
  <c r="J56" i="52" s="1"/>
  <c r="AL13" i="40"/>
  <c r="N7" i="40"/>
  <c r="AU19" i="40"/>
  <c r="F7" i="38"/>
  <c r="E7" i="39" s="1"/>
  <c r="E102" i="39" s="1"/>
  <c r="I31" i="53"/>
  <c r="I59" i="53"/>
  <c r="AL24" i="40"/>
  <c r="BY61" i="40"/>
  <c r="E60" i="52"/>
  <c r="F55" i="38"/>
  <c r="E55" i="39" s="1"/>
  <c r="E83" i="39" s="1"/>
  <c r="AP61" i="40"/>
  <c r="J60" i="52" s="1"/>
  <c r="AU61" i="40"/>
  <c r="AL55" i="40"/>
  <c r="I57" i="53"/>
  <c r="I37" i="53"/>
  <c r="I33" i="53"/>
  <c r="CC12" i="40" l="1"/>
  <c r="E11" i="52"/>
  <c r="O11" i="52" s="1"/>
  <c r="U11" i="52" s="1"/>
  <c r="BY12" i="40"/>
  <c r="AP12" i="40"/>
  <c r="J11" i="52" s="1"/>
  <c r="A16" i="53"/>
  <c r="D40" i="39"/>
  <c r="D74" i="39" s="1"/>
  <c r="BY53" i="40"/>
  <c r="AP53" i="40"/>
  <c r="J52" i="52" s="1"/>
  <c r="E48" i="38"/>
  <c r="A31" i="53" s="1"/>
  <c r="E52" i="52"/>
  <c r="O52" i="52" s="1"/>
  <c r="U52" i="52" s="1"/>
  <c r="AA52" i="52" s="1"/>
  <c r="F48" i="38"/>
  <c r="E48" i="39" s="1"/>
  <c r="E90" i="39" s="1"/>
  <c r="E51" i="39"/>
  <c r="E107" i="39" s="1"/>
  <c r="A48" i="53"/>
  <c r="D57" i="39"/>
  <c r="D100" i="39" s="1"/>
  <c r="A41" i="53"/>
  <c r="CC16" i="40"/>
  <c r="E15" i="52"/>
  <c r="O15" i="52" s="1"/>
  <c r="U15" i="52" s="1"/>
  <c r="E12" i="54" s="1"/>
  <c r="BY16" i="40"/>
  <c r="AP16" i="40"/>
  <c r="J15" i="52" s="1"/>
  <c r="E11" i="38"/>
  <c r="E47" i="52"/>
  <c r="G19" i="53" s="1"/>
  <c r="M19" i="53" s="1"/>
  <c r="F11" i="38"/>
  <c r="AP48" i="40"/>
  <c r="J47" i="52" s="1"/>
  <c r="D7" i="39"/>
  <c r="D102" i="39" s="1"/>
  <c r="D48" i="39"/>
  <c r="D90" i="39" s="1"/>
  <c r="D54" i="39"/>
  <c r="D104" i="39" s="1"/>
  <c r="D51" i="39"/>
  <c r="D107" i="39" s="1"/>
  <c r="D23" i="39"/>
  <c r="AA54" i="55" s="1"/>
  <c r="AB54" i="55" s="1"/>
  <c r="D53" i="39"/>
  <c r="D80" i="39" s="1"/>
  <c r="AP17" i="40"/>
  <c r="J16" i="52" s="1"/>
  <c r="BY48" i="40"/>
  <c r="F43" i="38"/>
  <c r="E43" i="39" s="1"/>
  <c r="E78" i="39" s="1"/>
  <c r="BY14" i="40"/>
  <c r="E12" i="38"/>
  <c r="A23" i="53" s="1"/>
  <c r="E16" i="52"/>
  <c r="G23" i="53" s="1"/>
  <c r="M23" i="53" s="1"/>
  <c r="BY17" i="40"/>
  <c r="E13" i="52"/>
  <c r="AC13" i="52" s="1"/>
  <c r="F9" i="38"/>
  <c r="E9" i="39" s="1"/>
  <c r="E105" i="39" s="1"/>
  <c r="AP14" i="40"/>
  <c r="J13" i="52" s="1"/>
  <c r="F12" i="38"/>
  <c r="E12" i="39" s="1"/>
  <c r="E82" i="39" s="1"/>
  <c r="E9" i="38"/>
  <c r="A46" i="53" s="1"/>
  <c r="BY35" i="40"/>
  <c r="BY28" i="40"/>
  <c r="AP28" i="40"/>
  <c r="J27" i="52" s="1"/>
  <c r="F23" i="38"/>
  <c r="E23" i="39" s="1"/>
  <c r="E99" i="39" s="1"/>
  <c r="F18" i="38"/>
  <c r="E18" i="39" s="1"/>
  <c r="E87" i="39" s="1"/>
  <c r="CC28" i="40"/>
  <c r="AU23" i="40"/>
  <c r="E18" i="38" s="1"/>
  <c r="A28" i="53" s="1"/>
  <c r="E27" i="52"/>
  <c r="O27" i="52" s="1"/>
  <c r="U27" i="52" s="1"/>
  <c r="AA27" i="52" s="1"/>
  <c r="E34" i="52"/>
  <c r="G54" i="53" s="1"/>
  <c r="M54" i="53" s="1"/>
  <c r="E50" i="38"/>
  <c r="A42" i="53" s="1"/>
  <c r="AC20" i="52"/>
  <c r="G34" i="53"/>
  <c r="M34" i="53" s="1"/>
  <c r="AP23" i="40"/>
  <c r="J22" i="52" s="1"/>
  <c r="E17" i="54"/>
  <c r="E30" i="38"/>
  <c r="A54" i="53" s="1"/>
  <c r="F30" i="38"/>
  <c r="E30" i="39" s="1"/>
  <c r="E112" i="39" s="1"/>
  <c r="AP35" i="40"/>
  <c r="J34" i="52" s="1"/>
  <c r="AP18" i="40"/>
  <c r="J17" i="52" s="1"/>
  <c r="E10" i="52"/>
  <c r="O10" i="52" s="1"/>
  <c r="U10" i="52" s="1"/>
  <c r="E7" i="54" s="1"/>
  <c r="F6" i="38"/>
  <c r="AP36" i="40"/>
  <c r="J35" i="52" s="1"/>
  <c r="AU33" i="40"/>
  <c r="E28" i="38" s="1"/>
  <c r="A57" i="53" s="1"/>
  <c r="BY33" i="40"/>
  <c r="BY23" i="40"/>
  <c r="E17" i="52"/>
  <c r="G47" i="53" s="1"/>
  <c r="M47" i="53" s="1"/>
  <c r="BY18" i="40"/>
  <c r="E33" i="52"/>
  <c r="AC33" i="52" s="1"/>
  <c r="F29" i="38"/>
  <c r="E29" i="39" s="1"/>
  <c r="E111" i="39" s="1"/>
  <c r="E32" i="52"/>
  <c r="O32" i="52" s="1"/>
  <c r="U32" i="52" s="1"/>
  <c r="AA32" i="52" s="1"/>
  <c r="AU18" i="40"/>
  <c r="E13" i="38" s="1"/>
  <c r="A47" i="53" s="1"/>
  <c r="AP34" i="40"/>
  <c r="J33" i="52" s="1"/>
  <c r="AU11" i="40"/>
  <c r="CC11" i="40" s="1"/>
  <c r="AU36" i="40"/>
  <c r="CC36" i="40" s="1"/>
  <c r="AP33" i="40"/>
  <c r="J32" i="52" s="1"/>
  <c r="E35" i="52"/>
  <c r="O35" i="52" s="1"/>
  <c r="U35" i="52" s="1"/>
  <c r="E32" i="54" s="1"/>
  <c r="F31" i="38"/>
  <c r="E31" i="39" s="1"/>
  <c r="E97" i="39" s="1"/>
  <c r="AP11" i="40"/>
  <c r="J10" i="52" s="1"/>
  <c r="AU34" i="40"/>
  <c r="E29" i="38" s="1"/>
  <c r="A53" i="53" s="1"/>
  <c r="AZ48" i="40"/>
  <c r="E16" i="38"/>
  <c r="A34" i="53" s="1"/>
  <c r="CC21" i="40"/>
  <c r="E15" i="54"/>
  <c r="AA18" i="52"/>
  <c r="E8" i="54"/>
  <c r="AA11" i="52"/>
  <c r="D12" i="56"/>
  <c r="AC60" i="52"/>
  <c r="G24" i="53"/>
  <c r="M24" i="53" s="1"/>
  <c r="O60" i="52"/>
  <c r="U60" i="52" s="1"/>
  <c r="CC19" i="40"/>
  <c r="E14" i="38"/>
  <c r="A26" i="53" s="1"/>
  <c r="D8" i="56"/>
  <c r="AC56" i="52"/>
  <c r="G48" i="53"/>
  <c r="M48" i="53" s="1"/>
  <c r="D10" i="56"/>
  <c r="AC58" i="52"/>
  <c r="G21" i="53"/>
  <c r="M21" i="53" s="1"/>
  <c r="AD55" i="52"/>
  <c r="AE55" i="52"/>
  <c r="AC62" i="52"/>
  <c r="G41" i="53"/>
  <c r="M41" i="53" s="1"/>
  <c r="D14" i="56"/>
  <c r="BY25" i="40"/>
  <c r="E24" i="52"/>
  <c r="F20" i="38"/>
  <c r="E20" i="39" s="1"/>
  <c r="E91" i="39" s="1"/>
  <c r="AP25" i="40"/>
  <c r="J24" i="52" s="1"/>
  <c r="AU25" i="40"/>
  <c r="F21" i="38"/>
  <c r="E21" i="39" s="1"/>
  <c r="E86" i="39" s="1"/>
  <c r="BY26" i="40"/>
  <c r="E25" i="52"/>
  <c r="AP26" i="40"/>
  <c r="J25" i="52" s="1"/>
  <c r="AU26" i="40"/>
  <c r="F27" i="38"/>
  <c r="E27" i="39" s="1"/>
  <c r="E103" i="39" s="1"/>
  <c r="BY32" i="40"/>
  <c r="AP32" i="40"/>
  <c r="J31" i="52" s="1"/>
  <c r="E31" i="52"/>
  <c r="AU32" i="40"/>
  <c r="CC48" i="40"/>
  <c r="E43" i="38"/>
  <c r="A19" i="53" s="1"/>
  <c r="AF45" i="52"/>
  <c r="AA56" i="52"/>
  <c r="D11" i="56"/>
  <c r="G45" i="53"/>
  <c r="M45" i="53" s="1"/>
  <c r="AC59" i="52"/>
  <c r="AP29" i="40"/>
  <c r="J28" i="52" s="1"/>
  <c r="F24" i="38"/>
  <c r="E24" i="39" s="1"/>
  <c r="E110" i="39" s="1"/>
  <c r="BY29" i="40"/>
  <c r="E28" i="52"/>
  <c r="AU29" i="40"/>
  <c r="E19" i="52"/>
  <c r="AP20" i="40"/>
  <c r="J19" i="52" s="1"/>
  <c r="F15" i="38"/>
  <c r="E15" i="39" s="1"/>
  <c r="E92" i="39" s="1"/>
  <c r="BY20" i="40"/>
  <c r="AU20" i="40"/>
  <c r="BA48" i="40"/>
  <c r="BY58" i="40"/>
  <c r="AP58" i="40"/>
  <c r="J57" i="52" s="1"/>
  <c r="E57" i="52"/>
  <c r="F52" i="38"/>
  <c r="AU58" i="40"/>
  <c r="F32" i="38"/>
  <c r="BY37" i="40"/>
  <c r="E36" i="52"/>
  <c r="AP37" i="40"/>
  <c r="J36" i="52" s="1"/>
  <c r="AU37" i="40"/>
  <c r="O62" i="52"/>
  <c r="U62" i="52" s="1"/>
  <c r="BY30" i="40"/>
  <c r="F25" i="38"/>
  <c r="E25" i="39" s="1"/>
  <c r="E81" i="39" s="1"/>
  <c r="E29" i="52"/>
  <c r="AP30" i="40"/>
  <c r="J29" i="52" s="1"/>
  <c r="AU30" i="40"/>
  <c r="AZ44" i="40"/>
  <c r="BY44" i="40"/>
  <c r="BA44" i="40"/>
  <c r="AP44" i="40"/>
  <c r="J43" i="52" s="1"/>
  <c r="AU44" i="40"/>
  <c r="F39" i="38"/>
  <c r="E39" i="39" s="1"/>
  <c r="E73" i="39" s="1"/>
  <c r="E43" i="52"/>
  <c r="AP9" i="40"/>
  <c r="J8" i="52" s="1"/>
  <c r="BY9" i="40"/>
  <c r="F4" i="38"/>
  <c r="E4" i="39" s="1"/>
  <c r="E88" i="39" s="1"/>
  <c r="E8" i="52"/>
  <c r="AU9" i="40"/>
  <c r="E19" i="54"/>
  <c r="AA22" i="52"/>
  <c r="BY31" i="40"/>
  <c r="AP31" i="40"/>
  <c r="J30" i="52" s="1"/>
  <c r="F26" i="38"/>
  <c r="E26" i="39" s="1"/>
  <c r="E118" i="39" s="1"/>
  <c r="E30" i="52"/>
  <c r="AU31" i="40"/>
  <c r="AP13" i="40"/>
  <c r="J12" i="52" s="1"/>
  <c r="F8" i="38"/>
  <c r="E8" i="39" s="1"/>
  <c r="E114" i="39" s="1"/>
  <c r="BY13" i="40"/>
  <c r="E12" i="52"/>
  <c r="AU13" i="40"/>
  <c r="BY10" i="40"/>
  <c r="E9" i="52"/>
  <c r="AP10" i="40"/>
  <c r="J9" i="52" s="1"/>
  <c r="F5" i="38"/>
  <c r="E5" i="39" s="1"/>
  <c r="E84" i="39" s="1"/>
  <c r="AU10" i="40"/>
  <c r="L7" i="40"/>
  <c r="AC18" i="52"/>
  <c r="G26" i="53"/>
  <c r="M26" i="53" s="1"/>
  <c r="AP49" i="40"/>
  <c r="J48" i="52" s="1"/>
  <c r="BA49" i="40"/>
  <c r="BY49" i="40"/>
  <c r="AZ49" i="40"/>
  <c r="AU49" i="40"/>
  <c r="F44" i="38"/>
  <c r="E44" i="39" s="1"/>
  <c r="E79" i="39" s="1"/>
  <c r="E48" i="52"/>
  <c r="BY55" i="40"/>
  <c r="F49" i="38"/>
  <c r="E49" i="39" s="1"/>
  <c r="E54" i="52"/>
  <c r="AP55" i="40"/>
  <c r="J54" i="52" s="1"/>
  <c r="AU55" i="40"/>
  <c r="BY24" i="40"/>
  <c r="E23" i="52"/>
  <c r="AP24" i="40"/>
  <c r="J23" i="52" s="1"/>
  <c r="F19" i="38"/>
  <c r="E19" i="39" s="1"/>
  <c r="E117" i="39" s="1"/>
  <c r="AU24" i="40"/>
  <c r="AC11" i="52"/>
  <c r="O7" i="40"/>
  <c r="AD20" i="52"/>
  <c r="AE20" i="52"/>
  <c r="F36" i="38"/>
  <c r="E36" i="39" s="1"/>
  <c r="E70" i="39" s="1"/>
  <c r="AZ41" i="40"/>
  <c r="BY41" i="40"/>
  <c r="AP41" i="40"/>
  <c r="J40" i="52" s="1"/>
  <c r="BA41" i="40"/>
  <c r="AU41" i="40"/>
  <c r="E40" i="52"/>
  <c r="AZ42" i="40"/>
  <c r="BA42" i="40"/>
  <c r="BY42" i="40"/>
  <c r="F37" i="38"/>
  <c r="E37" i="39" s="1"/>
  <c r="E71" i="39" s="1"/>
  <c r="AU42" i="40"/>
  <c r="AP42" i="40"/>
  <c r="J41" i="52" s="1"/>
  <c r="E41" i="52"/>
  <c r="CC61" i="40"/>
  <c r="E55" i="38"/>
  <c r="A24" i="53" s="1"/>
  <c r="BY22" i="40"/>
  <c r="AP22" i="40"/>
  <c r="J21" i="52" s="1"/>
  <c r="F17" i="38"/>
  <c r="E17" i="39" s="1"/>
  <c r="E94" i="39" s="1"/>
  <c r="E21" i="52"/>
  <c r="AU22" i="40"/>
  <c r="BY15" i="40"/>
  <c r="F10" i="38"/>
  <c r="E10" i="39" s="1"/>
  <c r="E98" i="39" s="1"/>
  <c r="E14" i="52"/>
  <c r="AP15" i="40"/>
  <c r="J14" i="52" s="1"/>
  <c r="AU15" i="40"/>
  <c r="BY40" i="40"/>
  <c r="BA40" i="40"/>
  <c r="AZ40" i="40"/>
  <c r="F35" i="38"/>
  <c r="E35" i="39" s="1"/>
  <c r="E69" i="39" s="1"/>
  <c r="AP40" i="40"/>
  <c r="J39" i="52" s="1"/>
  <c r="AU40" i="40"/>
  <c r="E39" i="52"/>
  <c r="AZ45" i="40"/>
  <c r="BA47" i="40"/>
  <c r="BA45" i="40"/>
  <c r="BA43" i="40"/>
  <c r="AZ47" i="40"/>
  <c r="AZ43" i="40"/>
  <c r="AZ46" i="40"/>
  <c r="BA46" i="40"/>
  <c r="AA58" i="52"/>
  <c r="AA59" i="52"/>
  <c r="AL27" i="40"/>
  <c r="BA19" i="40" s="1"/>
  <c r="I7" i="40"/>
  <c r="AC22" i="52"/>
  <c r="G28" i="53"/>
  <c r="M28" i="53" s="1"/>
  <c r="G43" i="53" l="1"/>
  <c r="M43" i="53" s="1"/>
  <c r="D4" i="56"/>
  <c r="AC52" i="52"/>
  <c r="G31" i="53"/>
  <c r="M31" i="53" s="1"/>
  <c r="AB23" i="39"/>
  <c r="D99" i="39"/>
  <c r="E69" i="38"/>
  <c r="AA15" i="52"/>
  <c r="AD15" i="52" s="1"/>
  <c r="E11" i="39"/>
  <c r="E89" i="39" s="1"/>
  <c r="E52" i="39"/>
  <c r="E113" i="39" s="1"/>
  <c r="E6" i="39"/>
  <c r="E95" i="39" s="1"/>
  <c r="AC15" i="52"/>
  <c r="E32" i="39"/>
  <c r="E96" i="39" s="1"/>
  <c r="AA38" i="55"/>
  <c r="AB38" i="55" s="1"/>
  <c r="D11" i="39"/>
  <c r="AA42" i="55" s="1"/>
  <c r="AB42" i="55" s="1"/>
  <c r="A30" i="53"/>
  <c r="AC47" i="52"/>
  <c r="G30" i="53"/>
  <c r="M30" i="53" s="1"/>
  <c r="O47" i="52"/>
  <c r="U47" i="52" s="1"/>
  <c r="AA47" i="52" s="1"/>
  <c r="AE47" i="52" s="1"/>
  <c r="AB7" i="39"/>
  <c r="D16" i="39"/>
  <c r="AA47" i="55" s="1"/>
  <c r="AB47" i="55" s="1"/>
  <c r="D18" i="39"/>
  <c r="AB18" i="39" s="1"/>
  <c r="D9" i="39"/>
  <c r="AB9" i="39" s="1"/>
  <c r="D13" i="39"/>
  <c r="D106" i="39" s="1"/>
  <c r="D12" i="39"/>
  <c r="AB12" i="39" s="1"/>
  <c r="D29" i="39"/>
  <c r="D111" i="39" s="1"/>
  <c r="D55" i="39"/>
  <c r="D83" i="39" s="1"/>
  <c r="D30" i="39"/>
  <c r="AA61" i="55" s="1"/>
  <c r="AB61" i="55" s="1"/>
  <c r="D50" i="39"/>
  <c r="D101" i="39" s="1"/>
  <c r="D43" i="39"/>
  <c r="D78" i="39" s="1"/>
  <c r="D14" i="39"/>
  <c r="D85" i="39" s="1"/>
  <c r="D28" i="39"/>
  <c r="AA59" i="55" s="1"/>
  <c r="AB59" i="55" s="1"/>
  <c r="CC18" i="40"/>
  <c r="O13" i="52"/>
  <c r="U13" i="52" s="1"/>
  <c r="AA13" i="52" s="1"/>
  <c r="AC16" i="52"/>
  <c r="O16" i="52"/>
  <c r="U16" i="52" s="1"/>
  <c r="E13" i="54" s="1"/>
  <c r="G46" i="53"/>
  <c r="M46" i="53" s="1"/>
  <c r="AC10" i="52"/>
  <c r="AA10" i="52"/>
  <c r="AE10" i="52" s="1"/>
  <c r="CC23" i="40"/>
  <c r="O34" i="52"/>
  <c r="U34" i="52" s="1"/>
  <c r="AA34" i="52" s="1"/>
  <c r="AC34" i="52"/>
  <c r="AC27" i="52"/>
  <c r="E24" i="54"/>
  <c r="E31" i="38"/>
  <c r="A38" i="53" s="1"/>
  <c r="G40" i="53"/>
  <c r="M40" i="53" s="1"/>
  <c r="CC33" i="40"/>
  <c r="O33" i="52"/>
  <c r="U33" i="52" s="1"/>
  <c r="AA33" i="52" s="1"/>
  <c r="G57" i="53"/>
  <c r="M57" i="53" s="1"/>
  <c r="G36" i="53"/>
  <c r="M36" i="53" s="1"/>
  <c r="E6" i="38"/>
  <c r="E68" i="38" s="1"/>
  <c r="G53" i="53"/>
  <c r="M53" i="53" s="1"/>
  <c r="CC34" i="40"/>
  <c r="AA35" i="52"/>
  <c r="AD35" i="52" s="1"/>
  <c r="G38" i="53"/>
  <c r="M38" i="53" s="1"/>
  <c r="E29" i="54"/>
  <c r="AC35" i="52"/>
  <c r="AC32" i="52"/>
  <c r="AC17" i="52"/>
  <c r="O17" i="52"/>
  <c r="U17" i="52" s="1"/>
  <c r="E14" i="54" s="1"/>
  <c r="BA34" i="40"/>
  <c r="BA11" i="40"/>
  <c r="BA32" i="40"/>
  <c r="BA28" i="40"/>
  <c r="BA25" i="40"/>
  <c r="BA52" i="40"/>
  <c r="AC8" i="52"/>
  <c r="G29" i="53"/>
  <c r="M29" i="53" s="1"/>
  <c r="O8" i="52"/>
  <c r="U8" i="52" s="1"/>
  <c r="CC15" i="40"/>
  <c r="E10" i="38"/>
  <c r="A39" i="53" s="1"/>
  <c r="E19" i="38"/>
  <c r="A59" i="53" s="1"/>
  <c r="CC24" i="40"/>
  <c r="CC55" i="40"/>
  <c r="E49" i="38"/>
  <c r="BA9" i="40"/>
  <c r="BA63" i="40"/>
  <c r="BA37" i="40"/>
  <c r="BA17" i="40"/>
  <c r="AD27" i="52"/>
  <c r="AE27" i="52"/>
  <c r="G25" i="53"/>
  <c r="M25" i="53" s="1"/>
  <c r="AC9" i="52"/>
  <c r="O9" i="52"/>
  <c r="U9" i="52" s="1"/>
  <c r="CC26" i="40"/>
  <c r="E21" i="38"/>
  <c r="A27" i="53" s="1"/>
  <c r="AC39" i="52"/>
  <c r="G11" i="53"/>
  <c r="M11" i="53" s="1"/>
  <c r="O39" i="52"/>
  <c r="U39" i="52" s="1"/>
  <c r="AA39" i="52" s="1"/>
  <c r="BA21" i="40"/>
  <c r="BA60" i="40"/>
  <c r="BA31" i="40"/>
  <c r="BA20" i="40"/>
  <c r="BA57" i="40"/>
  <c r="CC44" i="40"/>
  <c r="E39" i="38"/>
  <c r="A15" i="53" s="1"/>
  <c r="CC30" i="40"/>
  <c r="E25" i="38"/>
  <c r="A22" i="53" s="1"/>
  <c r="AC19" i="52"/>
  <c r="G33" i="53"/>
  <c r="M33" i="53" s="1"/>
  <c r="O19" i="52"/>
  <c r="U19" i="52" s="1"/>
  <c r="CC10" i="40"/>
  <c r="E5" i="38"/>
  <c r="A25" i="53" s="1"/>
  <c r="AC29" i="52"/>
  <c r="G22" i="53"/>
  <c r="M22" i="53" s="1"/>
  <c r="O29" i="52"/>
  <c r="U29" i="52" s="1"/>
  <c r="AA62" i="52"/>
  <c r="BA29" i="40"/>
  <c r="AD56" i="52"/>
  <c r="AE56" i="52"/>
  <c r="BA56" i="40"/>
  <c r="CC40" i="40"/>
  <c r="E35" i="38"/>
  <c r="AC14" i="52"/>
  <c r="G39" i="53"/>
  <c r="M39" i="53" s="1"/>
  <c r="O14" i="52"/>
  <c r="U14" i="52" s="1"/>
  <c r="BA33" i="40"/>
  <c r="BA23" i="40"/>
  <c r="AF20" i="52"/>
  <c r="D6" i="56"/>
  <c r="G50" i="53"/>
  <c r="M50" i="53" s="1"/>
  <c r="AC54" i="52"/>
  <c r="O54" i="52"/>
  <c r="U54" i="52" s="1"/>
  <c r="BA59" i="40"/>
  <c r="CC13" i="40"/>
  <c r="E8" i="38"/>
  <c r="A56" i="53" s="1"/>
  <c r="E26" i="38"/>
  <c r="A61" i="53" s="1"/>
  <c r="CC31" i="40"/>
  <c r="AD22" i="52"/>
  <c r="AE22" i="52"/>
  <c r="E32" i="38"/>
  <c r="E70" i="38" s="1"/>
  <c r="CC37" i="40"/>
  <c r="CC58" i="40"/>
  <c r="E52" i="38"/>
  <c r="E74" i="38" s="1"/>
  <c r="CC32" i="40"/>
  <c r="E27" i="38"/>
  <c r="A44" i="53" s="1"/>
  <c r="BA53" i="40"/>
  <c r="G27" i="53"/>
  <c r="M27" i="53" s="1"/>
  <c r="AC25" i="52"/>
  <c r="O25" i="52"/>
  <c r="U25" i="52" s="1"/>
  <c r="E20" i="38"/>
  <c r="A32" i="53" s="1"/>
  <c r="CC25" i="40"/>
  <c r="BA18" i="40"/>
  <c r="AC21" i="52"/>
  <c r="G35" i="53"/>
  <c r="M35" i="53" s="1"/>
  <c r="O21" i="52"/>
  <c r="U21" i="52" s="1"/>
  <c r="AC40" i="52"/>
  <c r="G12" i="53"/>
  <c r="M12" i="53" s="1"/>
  <c r="O40" i="52"/>
  <c r="U40" i="52" s="1"/>
  <c r="AA40" i="52" s="1"/>
  <c r="AC48" i="52"/>
  <c r="G20" i="53"/>
  <c r="M20" i="53" s="1"/>
  <c r="O48" i="52"/>
  <c r="U48" i="52" s="1"/>
  <c r="AA48" i="52" s="1"/>
  <c r="BA10" i="40"/>
  <c r="AC30" i="52"/>
  <c r="G61" i="53"/>
  <c r="M61" i="53" s="1"/>
  <c r="O30" i="52"/>
  <c r="U30" i="52" s="1"/>
  <c r="CC20" i="40"/>
  <c r="E15" i="38"/>
  <c r="A33" i="53" s="1"/>
  <c r="CC29" i="40"/>
  <c r="E24" i="38"/>
  <c r="A52" i="53" s="1"/>
  <c r="BA12" i="40"/>
  <c r="G44" i="53"/>
  <c r="M44" i="53" s="1"/>
  <c r="AC31" i="52"/>
  <c r="O31" i="52"/>
  <c r="U31" i="52" s="1"/>
  <c r="BA36" i="40"/>
  <c r="BA54" i="40"/>
  <c r="AD18" i="52"/>
  <c r="AE18" i="52"/>
  <c r="AA60" i="52"/>
  <c r="AC23" i="52"/>
  <c r="G59" i="53"/>
  <c r="M59" i="53" s="1"/>
  <c r="O23" i="52"/>
  <c r="U23" i="52" s="1"/>
  <c r="BA62" i="40"/>
  <c r="AC41" i="52"/>
  <c r="G13" i="53"/>
  <c r="M13" i="53" s="1"/>
  <c r="O41" i="52"/>
  <c r="U41" i="52" s="1"/>
  <c r="AA41" i="52" s="1"/>
  <c r="CC41" i="40"/>
  <c r="E36" i="38"/>
  <c r="A12" i="53" s="1"/>
  <c r="BA14" i="40"/>
  <c r="BA55" i="40"/>
  <c r="BA13" i="40"/>
  <c r="AC36" i="52"/>
  <c r="G37" i="53"/>
  <c r="M37" i="53" s="1"/>
  <c r="O36" i="52"/>
  <c r="U36" i="52" s="1"/>
  <c r="G55" i="53"/>
  <c r="M55" i="53" s="1"/>
  <c r="AC57" i="52"/>
  <c r="D9" i="56"/>
  <c r="O57" i="52"/>
  <c r="U57" i="52" s="1"/>
  <c r="G52" i="53"/>
  <c r="M52" i="53" s="1"/>
  <c r="AC28" i="52"/>
  <c r="O28" i="52"/>
  <c r="U28" i="52" s="1"/>
  <c r="AE32" i="52"/>
  <c r="AD32" i="52"/>
  <c r="BA61" i="40"/>
  <c r="AD11" i="52"/>
  <c r="AE11" i="52"/>
  <c r="BA15" i="40"/>
  <c r="BA22" i="40"/>
  <c r="BA35" i="40"/>
  <c r="BA24" i="40"/>
  <c r="CC49" i="40"/>
  <c r="E44" i="38"/>
  <c r="A20" i="53" s="1"/>
  <c r="G56" i="53"/>
  <c r="M56" i="53" s="1"/>
  <c r="AC12" i="52"/>
  <c r="O12" i="52"/>
  <c r="U12" i="52" s="1"/>
  <c r="AL65" i="40"/>
  <c r="AC43" i="52"/>
  <c r="G15" i="53"/>
  <c r="M15" i="53" s="1"/>
  <c r="O43" i="52"/>
  <c r="U43" i="52" s="1"/>
  <c r="AA43" i="52" s="1"/>
  <c r="BA30" i="40"/>
  <c r="AD52" i="52"/>
  <c r="AE52" i="52"/>
  <c r="G32" i="53"/>
  <c r="M32" i="53" s="1"/>
  <c r="AC24" i="52"/>
  <c r="O24" i="52"/>
  <c r="U24" i="52" s="1"/>
  <c r="F22" i="38"/>
  <c r="E22" i="39" s="1"/>
  <c r="E109" i="39" s="1"/>
  <c r="E26" i="52"/>
  <c r="AP27" i="40"/>
  <c r="J26" i="52" s="1"/>
  <c r="BA27" i="40"/>
  <c r="BY27" i="40"/>
  <c r="AU27" i="40"/>
  <c r="AU65" i="40" s="1"/>
  <c r="AD59" i="52"/>
  <c r="AE59" i="52"/>
  <c r="AD58" i="52"/>
  <c r="AE58" i="52"/>
  <c r="CC22" i="40"/>
  <c r="E17" i="38"/>
  <c r="A35" i="53" s="1"/>
  <c r="CC42" i="40"/>
  <c r="E37" i="38"/>
  <c r="A13" i="53" s="1"/>
  <c r="CC9" i="40"/>
  <c r="E4" i="38"/>
  <c r="A29" i="53" s="1"/>
  <c r="BA58" i="40"/>
  <c r="BA16" i="40"/>
  <c r="BA26" i="40"/>
  <c r="AF55" i="52"/>
  <c r="AB14" i="39" l="1"/>
  <c r="AE15" i="52"/>
  <c r="AA45" i="55"/>
  <c r="AB45" i="55" s="1"/>
  <c r="AD47" i="52"/>
  <c r="A36" i="53"/>
  <c r="A55" i="53"/>
  <c r="A37" i="53"/>
  <c r="D93" i="39"/>
  <c r="AB11" i="39"/>
  <c r="AA60" i="55"/>
  <c r="AB60" i="55" s="1"/>
  <c r="AA43" i="55"/>
  <c r="AB43" i="55" s="1"/>
  <c r="AB16" i="39"/>
  <c r="D112" i="39"/>
  <c r="D89" i="39"/>
  <c r="AB29" i="39"/>
  <c r="D35" i="39"/>
  <c r="D69" i="39" s="1"/>
  <c r="A11" i="53"/>
  <c r="AB28" i="39"/>
  <c r="D115" i="39"/>
  <c r="AA44" i="55"/>
  <c r="AB44" i="55" s="1"/>
  <c r="AB13" i="39"/>
  <c r="D82" i="39"/>
  <c r="D87" i="39"/>
  <c r="AA49" i="55"/>
  <c r="AB49" i="55" s="1"/>
  <c r="D105" i="39"/>
  <c r="AA40" i="55"/>
  <c r="AB40" i="55" s="1"/>
  <c r="AB30" i="39"/>
  <c r="D27" i="39"/>
  <c r="AB27" i="39" s="1"/>
  <c r="D25" i="39"/>
  <c r="AA56" i="55" s="1"/>
  <c r="AB56" i="55" s="1"/>
  <c r="D39" i="39"/>
  <c r="D73" i="39" s="1"/>
  <c r="D19" i="39"/>
  <c r="D117" i="39" s="1"/>
  <c r="D17" i="39"/>
  <c r="AB17" i="39" s="1"/>
  <c r="D24" i="39"/>
  <c r="AA55" i="55" s="1"/>
  <c r="AB55" i="55" s="1"/>
  <c r="D20" i="39"/>
  <c r="AB20" i="39" s="1"/>
  <c r="D52" i="39"/>
  <c r="D113" i="39" s="1"/>
  <c r="D26" i="39"/>
  <c r="AA57" i="55" s="1"/>
  <c r="AB57" i="55" s="1"/>
  <c r="D5" i="39"/>
  <c r="AB5" i="39" s="1"/>
  <c r="D10" i="39"/>
  <c r="AB10" i="39" s="1"/>
  <c r="D8" i="39"/>
  <c r="D114" i="39" s="1"/>
  <c r="D21" i="39"/>
  <c r="AA52" i="55" s="1"/>
  <c r="AB52" i="55" s="1"/>
  <c r="D32" i="39"/>
  <c r="AB32" i="39" s="1"/>
  <c r="D37" i="39"/>
  <c r="D71" i="39" s="1"/>
  <c r="D15" i="39"/>
  <c r="AA46" i="55" s="1"/>
  <c r="AB46" i="55" s="1"/>
  <c r="D44" i="39"/>
  <c r="D79" i="39" s="1"/>
  <c r="D36" i="39"/>
  <c r="D70" i="39" s="1"/>
  <c r="D6" i="39"/>
  <c r="AB6" i="39" s="1"/>
  <c r="D31" i="39"/>
  <c r="D97" i="39" s="1"/>
  <c r="AA16" i="52"/>
  <c r="AD16" i="52" s="1"/>
  <c r="E31" i="54"/>
  <c r="E10" i="54"/>
  <c r="AD10" i="52"/>
  <c r="E30" i="54"/>
  <c r="AA17" i="52"/>
  <c r="AD17" i="52" s="1"/>
  <c r="AE35" i="52"/>
  <c r="AF35" i="52" s="1"/>
  <c r="AF52" i="52"/>
  <c r="AD60" i="52"/>
  <c r="AE60" i="52"/>
  <c r="E28" i="54"/>
  <c r="AA31" i="52"/>
  <c r="E27" i="54"/>
  <c r="AA30" i="52"/>
  <c r="AA54" i="52"/>
  <c r="E11" i="54"/>
  <c r="AA14" i="52"/>
  <c r="E9" i="54"/>
  <c r="AA12" i="52"/>
  <c r="AF58" i="52"/>
  <c r="G51" i="53"/>
  <c r="M51" i="53" s="1"/>
  <c r="AC26" i="52"/>
  <c r="O26" i="52"/>
  <c r="U26" i="52" s="1"/>
  <c r="AA57" i="52"/>
  <c r="E20" i="54"/>
  <c r="AA23" i="52"/>
  <c r="AF47" i="52"/>
  <c r="AF22" i="52"/>
  <c r="E16" i="54"/>
  <c r="AA19" i="52"/>
  <c r="E6" i="54"/>
  <c r="AA9" i="52"/>
  <c r="AF10" i="52"/>
  <c r="E5" i="54"/>
  <c r="AA8" i="52"/>
  <c r="D4" i="39"/>
  <c r="AF15" i="52"/>
  <c r="AD41" i="52"/>
  <c r="AE41" i="52"/>
  <c r="AD62" i="52"/>
  <c r="AE62" i="52"/>
  <c r="AF59" i="52"/>
  <c r="AG59" i="52"/>
  <c r="AH59" i="52" s="1"/>
  <c r="AJ59" i="52" s="1"/>
  <c r="AF18" i="52"/>
  <c r="AD40" i="52"/>
  <c r="AE40" i="52"/>
  <c r="AD43" i="52"/>
  <c r="AE43" i="52"/>
  <c r="AF11" i="52"/>
  <c r="AD33" i="52"/>
  <c r="AE33" i="52"/>
  <c r="AD48" i="52"/>
  <c r="AE48" i="52"/>
  <c r="AA29" i="52"/>
  <c r="E26" i="54"/>
  <c r="AF27" i="52"/>
  <c r="E22" i="38"/>
  <c r="A51" i="53" s="1"/>
  <c r="CC27" i="40"/>
  <c r="E21" i="54"/>
  <c r="AA24" i="52"/>
  <c r="AF32" i="52"/>
  <c r="E33" i="54"/>
  <c r="AA36" i="52"/>
  <c r="E18" i="54"/>
  <c r="AA21" i="52"/>
  <c r="E22" i="54"/>
  <c r="AA25" i="52"/>
  <c r="AD39" i="52"/>
  <c r="AE39" i="52"/>
  <c r="D49" i="39"/>
  <c r="E59" i="38"/>
  <c r="AD13" i="52"/>
  <c r="AE13" i="52"/>
  <c r="E25" i="54"/>
  <c r="AA28" i="52"/>
  <c r="AF56" i="52"/>
  <c r="AG56" i="52"/>
  <c r="AH56" i="52" s="1"/>
  <c r="AJ56" i="52" s="1"/>
  <c r="AD34" i="52"/>
  <c r="AE34" i="52"/>
  <c r="D81" i="39" l="1"/>
  <c r="AB25" i="39"/>
  <c r="D110" i="39"/>
  <c r="AB24" i="39"/>
  <c r="AA51" i="55"/>
  <c r="AB51" i="55" s="1"/>
  <c r="D96" i="39"/>
  <c r="D84" i="39"/>
  <c r="D86" i="39"/>
  <c r="AB26" i="39"/>
  <c r="D92" i="39"/>
  <c r="AA50" i="55"/>
  <c r="AB50" i="55" s="1"/>
  <c r="AB19" i="39"/>
  <c r="AB31" i="39"/>
  <c r="AB8" i="39"/>
  <c r="AA39" i="55"/>
  <c r="AB39" i="55" s="1"/>
  <c r="AA63" i="55"/>
  <c r="AB63" i="55" s="1"/>
  <c r="D91" i="39"/>
  <c r="AB15" i="39"/>
  <c r="AA36" i="55"/>
  <c r="AB36" i="55" s="1"/>
  <c r="D98" i="39"/>
  <c r="D118" i="39"/>
  <c r="AB21" i="39"/>
  <c r="AA48" i="55"/>
  <c r="AB48" i="55" s="1"/>
  <c r="D103" i="39"/>
  <c r="AA58" i="55"/>
  <c r="AB58" i="55" s="1"/>
  <c r="D94" i="39"/>
  <c r="AA41" i="55"/>
  <c r="AB41" i="55" s="1"/>
  <c r="AA37" i="55"/>
  <c r="AB37" i="55" s="1"/>
  <c r="D22" i="39"/>
  <c r="AB22" i="39" s="1"/>
  <c r="AA62" i="55"/>
  <c r="AB62" i="55" s="1"/>
  <c r="D95" i="39"/>
  <c r="AE16" i="52"/>
  <c r="AF16" i="52" s="1"/>
  <c r="AE17" i="52"/>
  <c r="AF17" i="52" s="1"/>
  <c r="Y6" i="39"/>
  <c r="I28" i="39" s="1"/>
  <c r="AF62" i="52"/>
  <c r="AD28" i="52"/>
  <c r="AE28" i="52"/>
  <c r="AF39" i="52"/>
  <c r="AD29" i="52"/>
  <c r="AE29" i="52"/>
  <c r="AD21" i="52"/>
  <c r="AE21" i="52"/>
  <c r="AF48" i="52"/>
  <c r="AF41" i="52"/>
  <c r="AD19" i="52"/>
  <c r="AE19" i="52"/>
  <c r="AF40" i="52"/>
  <c r="AD57" i="52"/>
  <c r="AE57" i="52"/>
  <c r="AD36" i="52"/>
  <c r="AE36" i="52"/>
  <c r="AK56" i="52"/>
  <c r="AL56" i="52"/>
  <c r="AD14" i="52"/>
  <c r="AE14" i="52"/>
  <c r="AD31" i="52"/>
  <c r="AE31" i="52"/>
  <c r="AD12" i="52"/>
  <c r="AE12" i="52"/>
  <c r="AD8" i="52"/>
  <c r="AE8" i="52"/>
  <c r="AF34" i="52"/>
  <c r="AF13" i="52"/>
  <c r="AD24" i="52"/>
  <c r="AE24" i="52"/>
  <c r="AD23" i="52"/>
  <c r="AE23" i="52"/>
  <c r="AD25" i="52"/>
  <c r="AE25" i="52"/>
  <c r="AF43" i="52"/>
  <c r="AK59" i="52"/>
  <c r="AL59" i="52"/>
  <c r="AB4" i="39"/>
  <c r="AA35" i="55"/>
  <c r="AB35" i="55" s="1"/>
  <c r="D88" i="39"/>
  <c r="AD9" i="52"/>
  <c r="AE9" i="52"/>
  <c r="E23" i="54"/>
  <c r="AA26" i="52"/>
  <c r="AF33" i="52"/>
  <c r="AD30" i="52"/>
  <c r="AE30" i="52"/>
  <c r="AD54" i="52"/>
  <c r="AE54" i="52"/>
  <c r="AF60" i="52"/>
  <c r="AA53" i="55" l="1"/>
  <c r="AB53" i="55" s="1"/>
  <c r="D109" i="39"/>
  <c r="I31" i="39"/>
  <c r="I10" i="39"/>
  <c r="I20" i="39"/>
  <c r="I15" i="39"/>
  <c r="I8" i="39"/>
  <c r="I4" i="39"/>
  <c r="I32" i="39"/>
  <c r="I5" i="39"/>
  <c r="I14" i="39"/>
  <c r="I29" i="39"/>
  <c r="I19" i="39"/>
  <c r="I27" i="39"/>
  <c r="I25" i="39"/>
  <c r="I21" i="39"/>
  <c r="I26" i="39"/>
  <c r="I6" i="39"/>
  <c r="I7" i="39"/>
  <c r="I30" i="39"/>
  <c r="I11" i="39"/>
  <c r="I24" i="39"/>
  <c r="I23" i="39"/>
  <c r="I18" i="39"/>
  <c r="I13" i="39"/>
  <c r="I9" i="39"/>
  <c r="I22" i="39"/>
  <c r="I12" i="39"/>
  <c r="I17" i="39"/>
  <c r="I16" i="39"/>
  <c r="AF29" i="52"/>
  <c r="AF30" i="52"/>
  <c r="AF23" i="52"/>
  <c r="AF8" i="52"/>
  <c r="H48" i="53"/>
  <c r="J48" i="53" s="1"/>
  <c r="N48" i="53" s="1"/>
  <c r="BB43" i="52"/>
  <c r="AM56" i="52"/>
  <c r="AF25" i="52"/>
  <c r="AF14" i="52"/>
  <c r="AD26" i="52"/>
  <c r="AD4" i="52" s="1"/>
  <c r="AE26" i="52"/>
  <c r="AM59" i="52"/>
  <c r="H45" i="53"/>
  <c r="J45" i="53" s="1"/>
  <c r="N45" i="53" s="1"/>
  <c r="BB46" i="52"/>
  <c r="AF24" i="52"/>
  <c r="AF12" i="52"/>
  <c r="AF36" i="52"/>
  <c r="AF9" i="52"/>
  <c r="AF28" i="52"/>
  <c r="AF31" i="52"/>
  <c r="AF19" i="52"/>
  <c r="AF21" i="52"/>
  <c r="AF54" i="52"/>
  <c r="AG54" i="52"/>
  <c r="AH54" i="52" s="1"/>
  <c r="AJ54" i="52" s="1"/>
  <c r="AF57" i="52"/>
  <c r="AG57" i="52"/>
  <c r="AH57" i="52" s="1"/>
  <c r="AJ57" i="52" s="1"/>
  <c r="AK54" i="52" l="1"/>
  <c r="AL54" i="52"/>
  <c r="BH43" i="52"/>
  <c r="E8" i="56"/>
  <c r="AL57" i="52"/>
  <c r="AK57" i="52"/>
  <c r="AF26" i="52"/>
  <c r="AF6" i="52" s="1"/>
  <c r="E11" i="56"/>
  <c r="BH46" i="52"/>
  <c r="AQ59" i="52"/>
  <c r="AW46" i="52"/>
  <c r="F11" i="56"/>
  <c r="G11" i="56" s="1"/>
  <c r="AW43" i="52"/>
  <c r="AQ56" i="52"/>
  <c r="F8" i="56"/>
  <c r="G8" i="56" s="1"/>
  <c r="AG51" i="52" l="1"/>
  <c r="AH51" i="52" s="1"/>
  <c r="AJ51" i="52" s="1"/>
  <c r="AG46" i="52"/>
  <c r="AH46" i="52" s="1"/>
  <c r="AJ46" i="52" s="1"/>
  <c r="AG44" i="52"/>
  <c r="AH44" i="52" s="1"/>
  <c r="AJ44" i="52" s="1"/>
  <c r="AG42" i="52"/>
  <c r="AH42" i="52" s="1"/>
  <c r="AJ42" i="52" s="1"/>
  <c r="AG45" i="52"/>
  <c r="AH45" i="52" s="1"/>
  <c r="AJ45" i="52" s="1"/>
  <c r="AG55" i="52"/>
  <c r="AH55" i="52" s="1"/>
  <c r="AJ55" i="52" s="1"/>
  <c r="AG20" i="52"/>
  <c r="AH20" i="52" s="1"/>
  <c r="AJ20" i="52" s="1"/>
  <c r="AG22" i="52"/>
  <c r="AH22" i="52" s="1"/>
  <c r="AJ22" i="52" s="1"/>
  <c r="AG32" i="52"/>
  <c r="AH32" i="52" s="1"/>
  <c r="AJ32" i="52" s="1"/>
  <c r="AG10" i="52"/>
  <c r="AH10" i="52" s="1"/>
  <c r="AJ10" i="52" s="1"/>
  <c r="AG52" i="52"/>
  <c r="AH52" i="52" s="1"/>
  <c r="AJ52" i="52" s="1"/>
  <c r="AG15" i="52"/>
  <c r="AH15" i="52" s="1"/>
  <c r="AJ15" i="52" s="1"/>
  <c r="AG47" i="52"/>
  <c r="AH47" i="52" s="1"/>
  <c r="AJ47" i="52" s="1"/>
  <c r="AG18" i="52"/>
  <c r="AH18" i="52" s="1"/>
  <c r="AJ18" i="52" s="1"/>
  <c r="AG11" i="52"/>
  <c r="AH11" i="52" s="1"/>
  <c r="AJ11" i="52" s="1"/>
  <c r="AG27" i="52"/>
  <c r="AH27" i="52" s="1"/>
  <c r="AJ27" i="52" s="1"/>
  <c r="AG58" i="52"/>
  <c r="AH58" i="52" s="1"/>
  <c r="AJ58" i="52" s="1"/>
  <c r="AG35" i="52"/>
  <c r="AH35" i="52" s="1"/>
  <c r="AJ35" i="52" s="1"/>
  <c r="AG62" i="52"/>
  <c r="AH62" i="52" s="1"/>
  <c r="AJ62" i="52" s="1"/>
  <c r="AG13" i="52"/>
  <c r="AH13" i="52" s="1"/>
  <c r="AJ13" i="52" s="1"/>
  <c r="AG43" i="52"/>
  <c r="AH43" i="52" s="1"/>
  <c r="AJ43" i="52" s="1"/>
  <c r="AG60" i="52"/>
  <c r="AH60" i="52" s="1"/>
  <c r="AJ60" i="52" s="1"/>
  <c r="AG17" i="52"/>
  <c r="AH17" i="52" s="1"/>
  <c r="AJ17" i="52" s="1"/>
  <c r="AG16" i="52"/>
  <c r="AH16" i="52" s="1"/>
  <c r="AJ16" i="52" s="1"/>
  <c r="AG39" i="52"/>
  <c r="AH39" i="52" s="1"/>
  <c r="AJ39" i="52" s="1"/>
  <c r="AG33" i="52"/>
  <c r="AH33" i="52" s="1"/>
  <c r="AJ33" i="52" s="1"/>
  <c r="AG48" i="52"/>
  <c r="AH48" i="52" s="1"/>
  <c r="AJ48" i="52" s="1"/>
  <c r="AG40" i="52"/>
  <c r="AH40" i="52" s="1"/>
  <c r="AJ40" i="52" s="1"/>
  <c r="AG34" i="52"/>
  <c r="AH34" i="52" s="1"/>
  <c r="AJ34" i="52" s="1"/>
  <c r="AG41" i="52"/>
  <c r="AH41" i="52" s="1"/>
  <c r="AJ41" i="52" s="1"/>
  <c r="AG36" i="52"/>
  <c r="AH36" i="52" s="1"/>
  <c r="AJ36" i="52" s="1"/>
  <c r="AG19" i="52"/>
  <c r="AH19" i="52" s="1"/>
  <c r="AJ19" i="52" s="1"/>
  <c r="AG30" i="52"/>
  <c r="AH30" i="52" s="1"/>
  <c r="AJ30" i="52" s="1"/>
  <c r="AG25" i="52"/>
  <c r="AH25" i="52" s="1"/>
  <c r="AJ25" i="52" s="1"/>
  <c r="AG9" i="52"/>
  <c r="AH9" i="52" s="1"/>
  <c r="AJ9" i="52" s="1"/>
  <c r="AG21" i="52"/>
  <c r="AH21" i="52" s="1"/>
  <c r="AJ21" i="52" s="1"/>
  <c r="AG23" i="52"/>
  <c r="AH23" i="52" s="1"/>
  <c r="AJ23" i="52" s="1"/>
  <c r="AG8" i="52"/>
  <c r="AG31" i="52"/>
  <c r="AH31" i="52" s="1"/>
  <c r="AJ31" i="52" s="1"/>
  <c r="AG12" i="52"/>
  <c r="AH12" i="52" s="1"/>
  <c r="AJ12" i="52" s="1"/>
  <c r="AG29" i="52"/>
  <c r="AH29" i="52" s="1"/>
  <c r="AJ29" i="52" s="1"/>
  <c r="AG14" i="52"/>
  <c r="AH14" i="52" s="1"/>
  <c r="AJ14" i="52" s="1"/>
  <c r="AG24" i="52"/>
  <c r="AH24" i="52" s="1"/>
  <c r="AJ24" i="52" s="1"/>
  <c r="AG28" i="52"/>
  <c r="AH28" i="52" s="1"/>
  <c r="AJ28" i="52" s="1"/>
  <c r="AG26" i="52"/>
  <c r="AH26" i="52" s="1"/>
  <c r="AJ26" i="52" s="1"/>
  <c r="H55" i="53"/>
  <c r="J55" i="53" s="1"/>
  <c r="N55" i="53" s="1"/>
  <c r="AM57" i="52"/>
  <c r="BB44" i="52"/>
  <c r="BN43" i="52"/>
  <c r="L48" i="53"/>
  <c r="BL43" i="52"/>
  <c r="BM43" i="52"/>
  <c r="L45" i="53"/>
  <c r="BN46" i="52"/>
  <c r="BL46" i="52"/>
  <c r="BM46" i="52"/>
  <c r="BB41" i="52"/>
  <c r="H50" i="53"/>
  <c r="J50" i="53" s="1"/>
  <c r="N50" i="53" s="1"/>
  <c r="AM54" i="52"/>
  <c r="AK16" i="52" l="1"/>
  <c r="AK27" i="52"/>
  <c r="AK22" i="52"/>
  <c r="F9" i="56"/>
  <c r="G9" i="56" s="1"/>
  <c r="AQ57" i="52"/>
  <c r="AW44" i="52"/>
  <c r="AK31" i="52"/>
  <c r="AK36" i="52"/>
  <c r="AK17" i="52"/>
  <c r="AK11" i="52"/>
  <c r="AK20" i="52"/>
  <c r="AK19" i="52"/>
  <c r="AG63" i="52"/>
  <c r="AH8" i="52"/>
  <c r="AJ8" i="52" s="1"/>
  <c r="AK60" i="52"/>
  <c r="AK55" i="52"/>
  <c r="AK41" i="52"/>
  <c r="AK18" i="52"/>
  <c r="F6" i="56"/>
  <c r="G6" i="56" s="1"/>
  <c r="AQ54" i="52"/>
  <c r="AW41" i="52"/>
  <c r="AK26" i="52"/>
  <c r="AK23" i="52"/>
  <c r="AK34" i="52"/>
  <c r="AK43" i="52"/>
  <c r="AK47" i="52"/>
  <c r="AK45" i="52"/>
  <c r="AK12" i="52"/>
  <c r="AK21" i="52"/>
  <c r="AK13" i="52"/>
  <c r="AK15" i="52"/>
  <c r="AK42" i="52"/>
  <c r="BH44" i="52"/>
  <c r="E9" i="56"/>
  <c r="AK28" i="52"/>
  <c r="AK40" i="52"/>
  <c r="BH41" i="52"/>
  <c r="E6" i="56"/>
  <c r="AK24" i="52"/>
  <c r="AK9" i="52"/>
  <c r="AK48" i="52"/>
  <c r="AK62" i="52"/>
  <c r="AK52" i="52"/>
  <c r="AK44" i="52"/>
  <c r="AK25" i="52"/>
  <c r="AK33" i="52"/>
  <c r="AK35" i="52"/>
  <c r="AK10" i="52"/>
  <c r="AK46" i="52"/>
  <c r="AK14" i="52"/>
  <c r="AK29" i="52"/>
  <c r="AK30" i="52"/>
  <c r="AK39" i="52"/>
  <c r="AK58" i="52"/>
  <c r="AK32" i="52"/>
  <c r="AK51" i="52"/>
  <c r="BN41" i="52" l="1"/>
  <c r="L50" i="53"/>
  <c r="BM41" i="52"/>
  <c r="BL41" i="52"/>
  <c r="AK8" i="52"/>
  <c r="AK6" i="52" s="1"/>
  <c r="L55" i="53"/>
  <c r="BN44" i="52"/>
  <c r="BM44" i="52"/>
  <c r="BL44" i="52"/>
  <c r="AL11" i="52" l="1"/>
  <c r="AL60" i="52"/>
  <c r="AL16" i="52"/>
  <c r="AL43" i="52"/>
  <c r="AL21" i="52"/>
  <c r="AL24" i="52"/>
  <c r="AL52" i="52"/>
  <c r="AL35" i="52"/>
  <c r="AL29" i="52"/>
  <c r="AL32" i="52"/>
  <c r="AL58" i="52"/>
  <c r="BB45" i="52" s="1"/>
  <c r="AL31" i="52"/>
  <c r="AL20" i="52"/>
  <c r="AL55" i="52"/>
  <c r="AL47" i="52"/>
  <c r="AL44" i="52"/>
  <c r="AL45" i="52"/>
  <c r="AL48" i="52"/>
  <c r="AL39" i="52"/>
  <c r="AL14" i="52"/>
  <c r="AL27" i="52"/>
  <c r="AL26" i="52"/>
  <c r="AL13" i="52"/>
  <c r="AL28" i="52"/>
  <c r="AL9" i="52"/>
  <c r="AL10" i="52"/>
  <c r="BB10" i="52" s="1"/>
  <c r="AL30" i="52"/>
  <c r="BB3" i="52" s="1"/>
  <c r="AL51" i="52"/>
  <c r="AL46" i="52"/>
  <c r="AL40" i="52"/>
  <c r="AL34" i="52"/>
  <c r="AL42" i="52"/>
  <c r="AL62" i="52"/>
  <c r="AL33" i="52"/>
  <c r="AL22" i="52"/>
  <c r="AL36" i="52"/>
  <c r="AL19" i="52"/>
  <c r="AL41" i="52"/>
  <c r="AL23" i="52"/>
  <c r="AL15" i="52"/>
  <c r="AL25" i="52"/>
  <c r="AL12" i="52"/>
  <c r="AL17" i="52"/>
  <c r="AL18" i="52"/>
  <c r="AL8" i="52"/>
  <c r="AL4" i="52" l="1"/>
  <c r="H30" i="53"/>
  <c r="J30" i="53" s="1"/>
  <c r="N30" i="53" s="1"/>
  <c r="AM15" i="52"/>
  <c r="BB15" i="52"/>
  <c r="BH15" i="52" s="1"/>
  <c r="H38" i="53"/>
  <c r="J38" i="53" s="1"/>
  <c r="N38" i="53" s="1"/>
  <c r="AM35" i="52"/>
  <c r="BB35" i="52"/>
  <c r="BH35" i="52" s="1"/>
  <c r="H59" i="53"/>
  <c r="J59" i="53" s="1"/>
  <c r="N59" i="53" s="1"/>
  <c r="AM23" i="52"/>
  <c r="BB2" i="52"/>
  <c r="AM34" i="52"/>
  <c r="H54" i="53"/>
  <c r="J54" i="53" s="1"/>
  <c r="N54" i="53" s="1"/>
  <c r="BB34" i="52"/>
  <c r="BH34" i="52" s="1"/>
  <c r="H46" i="53"/>
  <c r="J46" i="53" s="1"/>
  <c r="N46" i="53" s="1"/>
  <c r="BB13" i="52"/>
  <c r="BH13" i="52" s="1"/>
  <c r="AM13" i="52"/>
  <c r="AM47" i="52"/>
  <c r="AQ47" i="52" s="1"/>
  <c r="H19" i="53"/>
  <c r="J19" i="53" s="1"/>
  <c r="N19" i="53" s="1"/>
  <c r="L19" i="53" s="1"/>
  <c r="H31" i="53"/>
  <c r="J31" i="53" s="1"/>
  <c r="N31" i="53" s="1"/>
  <c r="BB39" i="52"/>
  <c r="AM52" i="52"/>
  <c r="H16" i="53"/>
  <c r="J16" i="53" s="1"/>
  <c r="N16" i="53" s="1"/>
  <c r="L16" i="53" s="1"/>
  <c r="AM44" i="52"/>
  <c r="AM40" i="52"/>
  <c r="AQ40" i="52" s="1"/>
  <c r="H12" i="53"/>
  <c r="J12" i="53" s="1"/>
  <c r="N12" i="53" s="1"/>
  <c r="L12" i="53" s="1"/>
  <c r="AM26" i="52"/>
  <c r="H51" i="53"/>
  <c r="J51" i="53" s="1"/>
  <c r="N51" i="53" s="1"/>
  <c r="BB1" i="52"/>
  <c r="AN26" i="52"/>
  <c r="H42" i="53"/>
  <c r="J42" i="53" s="1"/>
  <c r="N42" i="53" s="1"/>
  <c r="AM55" i="52"/>
  <c r="BB42" i="52"/>
  <c r="H32" i="53"/>
  <c r="J32" i="53" s="1"/>
  <c r="N32" i="53" s="1"/>
  <c r="AM24" i="52"/>
  <c r="BB24" i="52"/>
  <c r="BH24" i="52" s="1"/>
  <c r="H52" i="53"/>
  <c r="J52" i="53" s="1"/>
  <c r="N52" i="53" s="1"/>
  <c r="AM28" i="52"/>
  <c r="BB28" i="52"/>
  <c r="BH28" i="52" s="1"/>
  <c r="AM8" i="52"/>
  <c r="AL63" i="52"/>
  <c r="H29" i="53"/>
  <c r="J29" i="53" s="1"/>
  <c r="N29" i="53" s="1"/>
  <c r="BB8" i="52"/>
  <c r="BH8" i="52" s="1"/>
  <c r="H33" i="53"/>
  <c r="J33" i="53" s="1"/>
  <c r="N33" i="53" s="1"/>
  <c r="BB19" i="52"/>
  <c r="BH19" i="52" s="1"/>
  <c r="AM19" i="52"/>
  <c r="H18" i="53"/>
  <c r="J18" i="53" s="1"/>
  <c r="N18" i="53" s="1"/>
  <c r="L18" i="53" s="1"/>
  <c r="AM46" i="52"/>
  <c r="AM27" i="52"/>
  <c r="H40" i="53"/>
  <c r="J40" i="53" s="1"/>
  <c r="N40" i="53" s="1"/>
  <c r="BB27" i="52"/>
  <c r="BH27" i="52" s="1"/>
  <c r="AM20" i="52"/>
  <c r="H34" i="53"/>
  <c r="J34" i="53" s="1"/>
  <c r="N34" i="53" s="1"/>
  <c r="BB20" i="52"/>
  <c r="BH20" i="52" s="1"/>
  <c r="BB21" i="52"/>
  <c r="BH21" i="52" s="1"/>
  <c r="H35" i="53"/>
  <c r="J35" i="53" s="1"/>
  <c r="N35" i="53" s="1"/>
  <c r="AM21" i="52"/>
  <c r="AM41" i="52"/>
  <c r="AQ41" i="52" s="1"/>
  <c r="H13" i="53"/>
  <c r="J13" i="53" s="1"/>
  <c r="N13" i="53" s="1"/>
  <c r="L13" i="53" s="1"/>
  <c r="BB18" i="52"/>
  <c r="BH18" i="52" s="1"/>
  <c r="H26" i="53"/>
  <c r="J26" i="53" s="1"/>
  <c r="N26" i="53" s="1"/>
  <c r="AM18" i="52"/>
  <c r="H37" i="53"/>
  <c r="J37" i="53" s="1"/>
  <c r="N37" i="53" s="1"/>
  <c r="AM36" i="52"/>
  <c r="BB36" i="52"/>
  <c r="BH36" i="52" s="1"/>
  <c r="H49" i="53"/>
  <c r="J49" i="53" s="1"/>
  <c r="N49" i="53" s="1"/>
  <c r="AM51" i="52"/>
  <c r="F3" i="56" s="1"/>
  <c r="G3" i="56" s="1"/>
  <c r="H39" i="53"/>
  <c r="J39" i="53" s="1"/>
  <c r="N39" i="53" s="1"/>
  <c r="AM14" i="52"/>
  <c r="BB14" i="52"/>
  <c r="BH14" i="52" s="1"/>
  <c r="AM31" i="52"/>
  <c r="BB31" i="52"/>
  <c r="BH31" i="52" s="1"/>
  <c r="H44" i="53"/>
  <c r="J44" i="53" s="1"/>
  <c r="N44" i="53" s="1"/>
  <c r="AM43" i="52"/>
  <c r="AQ43" i="52" s="1"/>
  <c r="H15" i="53"/>
  <c r="J15" i="53" s="1"/>
  <c r="N15" i="53" s="1"/>
  <c r="L15" i="53" s="1"/>
  <c r="AM42" i="52"/>
  <c r="H14" i="53"/>
  <c r="J14" i="53" s="1"/>
  <c r="N14" i="53" s="1"/>
  <c r="L14" i="53" s="1"/>
  <c r="AM17" i="52"/>
  <c r="H47" i="53"/>
  <c r="J47" i="53" s="1"/>
  <c r="N47" i="53" s="1"/>
  <c r="BB17" i="52"/>
  <c r="BH17" i="52" s="1"/>
  <c r="H28" i="53"/>
  <c r="J28" i="53" s="1"/>
  <c r="N28" i="53" s="1"/>
  <c r="AM22" i="52"/>
  <c r="BB22" i="52"/>
  <c r="BH22" i="52" s="1"/>
  <c r="H61" i="53"/>
  <c r="J61" i="53" s="1"/>
  <c r="N61" i="53" s="1"/>
  <c r="AM30" i="52"/>
  <c r="H11" i="53"/>
  <c r="AM39" i="52"/>
  <c r="AQ39" i="52" s="1"/>
  <c r="H21" i="53"/>
  <c r="J21" i="53" s="1"/>
  <c r="N21" i="53" s="1"/>
  <c r="AM58" i="52"/>
  <c r="H23" i="53"/>
  <c r="J23" i="53" s="1"/>
  <c r="N23" i="53" s="1"/>
  <c r="AM16" i="52"/>
  <c r="BB16" i="52"/>
  <c r="BH16" i="52" s="1"/>
  <c r="H56" i="53"/>
  <c r="J56" i="53" s="1"/>
  <c r="N56" i="53" s="1"/>
  <c r="AM12" i="52"/>
  <c r="BB12" i="52"/>
  <c r="BH12" i="52" s="1"/>
  <c r="H36" i="53"/>
  <c r="J36" i="53" s="1"/>
  <c r="N36" i="53" s="1"/>
  <c r="BH10" i="52"/>
  <c r="AM10" i="52"/>
  <c r="AM48" i="52"/>
  <c r="AQ48" i="52" s="1"/>
  <c r="H20" i="53"/>
  <c r="J20" i="53" s="1"/>
  <c r="N20" i="53" s="1"/>
  <c r="L20" i="53" s="1"/>
  <c r="H57" i="53"/>
  <c r="J57" i="53" s="1"/>
  <c r="N57" i="53" s="1"/>
  <c r="AM32" i="52"/>
  <c r="BB32" i="52"/>
  <c r="BH32" i="52" s="1"/>
  <c r="H24" i="53"/>
  <c r="J24" i="53" s="1"/>
  <c r="N24" i="53" s="1"/>
  <c r="AM60" i="52"/>
  <c r="BB47" i="52"/>
  <c r="H53" i="53"/>
  <c r="J53" i="53" s="1"/>
  <c r="N53" i="53" s="1"/>
  <c r="AM33" i="52"/>
  <c r="BB33" i="52"/>
  <c r="BH33" i="52" s="1"/>
  <c r="H27" i="53"/>
  <c r="J27" i="53" s="1"/>
  <c r="N27" i="53" s="1"/>
  <c r="BB25" i="52"/>
  <c r="BH25" i="52" s="1"/>
  <c r="AM25" i="52"/>
  <c r="H41" i="53"/>
  <c r="J41" i="53" s="1"/>
  <c r="N41" i="53" s="1"/>
  <c r="BB49" i="52"/>
  <c r="AM62" i="52"/>
  <c r="H25" i="53"/>
  <c r="J25" i="53" s="1"/>
  <c r="N25" i="53" s="1"/>
  <c r="AM9" i="52"/>
  <c r="BB9" i="52"/>
  <c r="BH9" i="52" s="1"/>
  <c r="H17" i="53"/>
  <c r="J17" i="53" s="1"/>
  <c r="N17" i="53" s="1"/>
  <c r="L17" i="53" s="1"/>
  <c r="AM45" i="52"/>
  <c r="H22" i="53"/>
  <c r="J22" i="53" s="1"/>
  <c r="N22" i="53" s="1"/>
  <c r="AM29" i="52"/>
  <c r="BB29" i="52"/>
  <c r="BH29" i="52" s="1"/>
  <c r="H43" i="53"/>
  <c r="J43" i="53" s="1"/>
  <c r="N43" i="53" s="1"/>
  <c r="AM11" i="52"/>
  <c r="BB11" i="52"/>
  <c r="BH11" i="52" s="1"/>
  <c r="H63" i="53" l="1"/>
  <c r="AQ23" i="52"/>
  <c r="AW23" i="52"/>
  <c r="AW48" i="52" s="1"/>
  <c r="L43" i="53"/>
  <c r="AB11" i="52"/>
  <c r="F8" i="54"/>
  <c r="O8" i="54" s="1"/>
  <c r="BN11" i="52"/>
  <c r="BL11" i="52"/>
  <c r="BM11" i="52"/>
  <c r="L25" i="53"/>
  <c r="AB9" i="52"/>
  <c r="F6" i="54"/>
  <c r="O6" i="54" s="1"/>
  <c r="BN9" i="52"/>
  <c r="BM9" i="52"/>
  <c r="BL9" i="52"/>
  <c r="AW32" i="52"/>
  <c r="AQ32" i="52"/>
  <c r="AQ12" i="52"/>
  <c r="AW12" i="52"/>
  <c r="L47" i="53"/>
  <c r="BN17" i="52"/>
  <c r="AB17" i="52"/>
  <c r="F14" i="54"/>
  <c r="O14" i="54" s="1"/>
  <c r="BL17" i="52"/>
  <c r="BM17" i="52"/>
  <c r="L44" i="53"/>
  <c r="AB31" i="52"/>
  <c r="BN31" i="52"/>
  <c r="F28" i="54"/>
  <c r="O28" i="54" s="1"/>
  <c r="BL31" i="52"/>
  <c r="BM31" i="52"/>
  <c r="AW36" i="52"/>
  <c r="AQ36" i="52"/>
  <c r="BH42" i="52"/>
  <c r="E7" i="56"/>
  <c r="AQ13" i="52"/>
  <c r="AW13" i="52"/>
  <c r="AQ27" i="52"/>
  <c r="AW27" i="52"/>
  <c r="AW9" i="52"/>
  <c r="AQ9" i="52"/>
  <c r="L53" i="53"/>
  <c r="BN33" i="52"/>
  <c r="AB33" i="52"/>
  <c r="F30" i="54"/>
  <c r="O30" i="54" s="1"/>
  <c r="BL33" i="52"/>
  <c r="BM33" i="52"/>
  <c r="J11" i="53"/>
  <c r="N11" i="53" s="1"/>
  <c r="L11" i="53" s="1"/>
  <c r="AW31" i="52"/>
  <c r="AQ31" i="52"/>
  <c r="L35" i="53"/>
  <c r="BN21" i="52"/>
  <c r="AB21" i="52"/>
  <c r="F18" i="54"/>
  <c r="O18" i="54" s="1"/>
  <c r="BL21" i="52"/>
  <c r="BM21" i="52"/>
  <c r="AW8" i="52"/>
  <c r="AQ8" i="52"/>
  <c r="AM4" i="52"/>
  <c r="AQ55" i="52"/>
  <c r="AW42" i="52"/>
  <c r="F7" i="56"/>
  <c r="G7" i="56" s="1"/>
  <c r="BN13" i="52"/>
  <c r="L46" i="53"/>
  <c r="F10" i="54"/>
  <c r="O10" i="54" s="1"/>
  <c r="AB13" i="52"/>
  <c r="BL13" i="52"/>
  <c r="BM13" i="52"/>
  <c r="BN35" i="52"/>
  <c r="L38" i="53"/>
  <c r="AB35" i="52"/>
  <c r="F32" i="54"/>
  <c r="O32" i="54" s="1"/>
  <c r="BL35" i="52"/>
  <c r="BM35" i="52"/>
  <c r="L57" i="53"/>
  <c r="BN32" i="52"/>
  <c r="AB32" i="52"/>
  <c r="F29" i="54"/>
  <c r="O29" i="54" s="1"/>
  <c r="BM32" i="52"/>
  <c r="BL32" i="52"/>
  <c r="BN16" i="52"/>
  <c r="AB16" i="52"/>
  <c r="L23" i="53"/>
  <c r="F13" i="54"/>
  <c r="O13" i="54" s="1"/>
  <c r="BM16" i="52"/>
  <c r="BL16" i="52"/>
  <c r="BB30" i="52"/>
  <c r="BH30" i="52" s="1"/>
  <c r="BB40" i="52"/>
  <c r="AQ17" i="52"/>
  <c r="AW17" i="52"/>
  <c r="AB14" i="52"/>
  <c r="L39" i="53"/>
  <c r="BN14" i="52"/>
  <c r="F11" i="54"/>
  <c r="O11" i="54" s="1"/>
  <c r="BL14" i="52"/>
  <c r="BM14" i="52"/>
  <c r="AQ18" i="52"/>
  <c r="AW18" i="52"/>
  <c r="AB20" i="52"/>
  <c r="BN20" i="52"/>
  <c r="L34" i="53"/>
  <c r="F17" i="54"/>
  <c r="O17" i="54" s="1"/>
  <c r="BL20" i="52"/>
  <c r="BM20" i="52"/>
  <c r="AQ19" i="52"/>
  <c r="AW19" i="52"/>
  <c r="AB28" i="52"/>
  <c r="BN28" i="52"/>
  <c r="L52" i="53"/>
  <c r="F25" i="54"/>
  <c r="O25" i="54" s="1"/>
  <c r="BL28" i="52"/>
  <c r="BM28" i="52"/>
  <c r="AW35" i="52"/>
  <c r="AQ35" i="52"/>
  <c r="L56" i="53"/>
  <c r="BN12" i="52"/>
  <c r="AB12" i="52"/>
  <c r="F9" i="54"/>
  <c r="O9" i="54" s="1"/>
  <c r="BM12" i="52"/>
  <c r="BL12" i="52"/>
  <c r="AW11" i="52"/>
  <c r="AQ11" i="52"/>
  <c r="AQ33" i="52"/>
  <c r="AW33" i="52"/>
  <c r="L22" i="53"/>
  <c r="BN29" i="52"/>
  <c r="AB29" i="52"/>
  <c r="F26" i="54"/>
  <c r="O26" i="54" s="1"/>
  <c r="BM29" i="52"/>
  <c r="BL29" i="52"/>
  <c r="AW49" i="52"/>
  <c r="AQ62" i="52"/>
  <c r="F14" i="56"/>
  <c r="G14" i="56" s="1"/>
  <c r="AW16" i="52"/>
  <c r="AQ16" i="52"/>
  <c r="AW30" i="52"/>
  <c r="AW40" i="52" s="1"/>
  <c r="AQ30" i="52"/>
  <c r="AW14" i="52"/>
  <c r="AQ14" i="52"/>
  <c r="BN19" i="52"/>
  <c r="AB19" i="52"/>
  <c r="L33" i="53"/>
  <c r="F16" i="54"/>
  <c r="O16" i="54" s="1"/>
  <c r="BL19" i="52"/>
  <c r="BM19" i="52"/>
  <c r="AQ28" i="52"/>
  <c r="AW28" i="52"/>
  <c r="AQ52" i="52"/>
  <c r="AW39" i="52"/>
  <c r="F4" i="56"/>
  <c r="G4" i="56" s="1"/>
  <c r="H4" i="56" s="1"/>
  <c r="AB34" i="52"/>
  <c r="BN34" i="52"/>
  <c r="F31" i="54"/>
  <c r="O31" i="54" s="1"/>
  <c r="L54" i="53"/>
  <c r="BL34" i="52"/>
  <c r="BM34" i="52"/>
  <c r="AB36" i="52"/>
  <c r="BN36" i="52"/>
  <c r="L37" i="53"/>
  <c r="F33" i="54"/>
  <c r="O33" i="54" s="1"/>
  <c r="BM36" i="52"/>
  <c r="BL36" i="52"/>
  <c r="AW29" i="52"/>
  <c r="AQ29" i="52"/>
  <c r="E14" i="56"/>
  <c r="BH49" i="52"/>
  <c r="E12" i="56"/>
  <c r="BH47" i="52"/>
  <c r="AW10" i="52"/>
  <c r="AQ10" i="52"/>
  <c r="AB18" i="52"/>
  <c r="BN18" i="52"/>
  <c r="L26" i="53"/>
  <c r="F15" i="54"/>
  <c r="O15" i="54" s="1"/>
  <c r="BL18" i="52"/>
  <c r="BM18" i="52"/>
  <c r="AQ20" i="52"/>
  <c r="AW20" i="52"/>
  <c r="BB26" i="52"/>
  <c r="BH26" i="52" s="1"/>
  <c r="BB38" i="52"/>
  <c r="BH39" i="52"/>
  <c r="E4" i="56"/>
  <c r="L30" i="53"/>
  <c r="F12" i="54"/>
  <c r="O12" i="54" s="1"/>
  <c r="AB15" i="52"/>
  <c r="BN15" i="52"/>
  <c r="BL15" i="52"/>
  <c r="BM15" i="52"/>
  <c r="AW21" i="52"/>
  <c r="AQ21" i="52"/>
  <c r="AQ60" i="52"/>
  <c r="AW47" i="52"/>
  <c r="F12" i="56"/>
  <c r="G12" i="56" s="1"/>
  <c r="AB10" i="52"/>
  <c r="BN10" i="52"/>
  <c r="F7" i="54"/>
  <c r="O7" i="54" s="1"/>
  <c r="L36" i="53"/>
  <c r="BM10" i="52"/>
  <c r="BL10" i="52"/>
  <c r="AW45" i="52"/>
  <c r="AQ58" i="52"/>
  <c r="F10" i="56"/>
  <c r="G10" i="56" s="1"/>
  <c r="BN22" i="52"/>
  <c r="AB22" i="52"/>
  <c r="L28" i="53"/>
  <c r="F19" i="54"/>
  <c r="O19" i="54" s="1"/>
  <c r="BM22" i="52"/>
  <c r="BL22" i="52"/>
  <c r="L40" i="53"/>
  <c r="AB27" i="52"/>
  <c r="BN27" i="52"/>
  <c r="F24" i="54"/>
  <c r="O24" i="54" s="1"/>
  <c r="BM27" i="52"/>
  <c r="BL27" i="52"/>
  <c r="AB8" i="52"/>
  <c r="BN8" i="52"/>
  <c r="L29" i="53"/>
  <c r="F5" i="54"/>
  <c r="O5" i="54" s="1"/>
  <c r="BL8" i="52"/>
  <c r="BM8" i="52"/>
  <c r="AB24" i="52"/>
  <c r="BN24" i="52"/>
  <c r="L32" i="53"/>
  <c r="F21" i="54"/>
  <c r="O21" i="54" s="1"/>
  <c r="BL24" i="52"/>
  <c r="BM24" i="52"/>
  <c r="AW34" i="52"/>
  <c r="AQ34" i="52"/>
  <c r="AQ15" i="52"/>
  <c r="AW15" i="52"/>
  <c r="AB25" i="52"/>
  <c r="BN25" i="52"/>
  <c r="L27" i="53"/>
  <c r="F22" i="54"/>
  <c r="O22" i="54" s="1"/>
  <c r="BL25" i="52"/>
  <c r="BM25" i="52"/>
  <c r="AW25" i="52"/>
  <c r="AQ25" i="52"/>
  <c r="E10" i="56"/>
  <c r="BH45" i="52"/>
  <c r="AQ22" i="52"/>
  <c r="AW22" i="52"/>
  <c r="AQ24" i="52"/>
  <c r="AW24" i="52"/>
  <c r="AQ26" i="52"/>
  <c r="AW26" i="52"/>
  <c r="AW38" i="52" s="1"/>
  <c r="BB48" i="52"/>
  <c r="BB23" i="52"/>
  <c r="BH23" i="52" s="1"/>
  <c r="E21" i="55" l="1"/>
  <c r="E53" i="55" s="1"/>
  <c r="F21" i="55"/>
  <c r="F53" i="55" s="1"/>
  <c r="L24" i="53"/>
  <c r="BN47" i="52"/>
  <c r="BL47" i="52"/>
  <c r="BM47" i="52"/>
  <c r="E5" i="56"/>
  <c r="BH40" i="52"/>
  <c r="E31" i="55"/>
  <c r="E63" i="55" s="1"/>
  <c r="F31" i="55"/>
  <c r="F63" i="55" s="1"/>
  <c r="E13" i="56"/>
  <c r="BH48" i="52"/>
  <c r="F15" i="55"/>
  <c r="F47" i="55" s="1"/>
  <c r="E15" i="55"/>
  <c r="E47" i="55" s="1"/>
  <c r="L61" i="53"/>
  <c r="BN30" i="52"/>
  <c r="AB30" i="52"/>
  <c r="F27" i="54"/>
  <c r="O27" i="54" s="1"/>
  <c r="BL30" i="52"/>
  <c r="BM30" i="52"/>
  <c r="L41" i="53"/>
  <c r="BN49" i="52"/>
  <c r="BL49" i="52"/>
  <c r="BM49" i="52"/>
  <c r="BN45" i="52"/>
  <c r="L21" i="53"/>
  <c r="BL45" i="52"/>
  <c r="BM45" i="52"/>
  <c r="E32" i="55"/>
  <c r="E64" i="55" s="1"/>
  <c r="F32" i="55"/>
  <c r="F64" i="55" s="1"/>
  <c r="E25" i="55"/>
  <c r="E57" i="55" s="1"/>
  <c r="F25" i="55"/>
  <c r="F57" i="55" s="1"/>
  <c r="H5" i="56"/>
  <c r="H6" i="56" s="1"/>
  <c r="H7" i="56" s="1"/>
  <c r="E8" i="55"/>
  <c r="E40" i="55" s="1"/>
  <c r="F8" i="55"/>
  <c r="F40" i="55" s="1"/>
  <c r="E16" i="55"/>
  <c r="E48" i="55" s="1"/>
  <c r="F16" i="55"/>
  <c r="F48" i="55" s="1"/>
  <c r="E10" i="55"/>
  <c r="E42" i="55" s="1"/>
  <c r="F10" i="55"/>
  <c r="F42" i="55" s="1"/>
  <c r="E28" i="55"/>
  <c r="E60" i="55" s="1"/>
  <c r="F28" i="55"/>
  <c r="F60" i="55" s="1"/>
  <c r="F13" i="55"/>
  <c r="F45" i="55" s="1"/>
  <c r="E13" i="55"/>
  <c r="E45" i="55" s="1"/>
  <c r="F7" i="55"/>
  <c r="F39" i="55" s="1"/>
  <c r="E7" i="55"/>
  <c r="E39" i="55" s="1"/>
  <c r="E4" i="55"/>
  <c r="E36" i="55" s="1"/>
  <c r="F4" i="55"/>
  <c r="F36" i="55" s="1"/>
  <c r="E11" i="55"/>
  <c r="E43" i="55" s="1"/>
  <c r="F11" i="55"/>
  <c r="F43" i="55" s="1"/>
  <c r="E18" i="55"/>
  <c r="E50" i="55" s="1"/>
  <c r="F18" i="55"/>
  <c r="F50" i="55" s="1"/>
  <c r="F14" i="55"/>
  <c r="F46" i="55" s="1"/>
  <c r="E14" i="55"/>
  <c r="E46" i="55" s="1"/>
  <c r="F24" i="55"/>
  <c r="F56" i="55" s="1"/>
  <c r="E24" i="55"/>
  <c r="E56" i="55" s="1"/>
  <c r="BN39" i="52"/>
  <c r="L31" i="53"/>
  <c r="BM39" i="52"/>
  <c r="BL39" i="52"/>
  <c r="F23" i="55"/>
  <c r="F55" i="55" s="1"/>
  <c r="E23" i="55"/>
  <c r="E55" i="55" s="1"/>
  <c r="E6" i="55"/>
  <c r="E38" i="55" s="1"/>
  <c r="F6" i="55"/>
  <c r="F38" i="55" s="1"/>
  <c r="E3" i="56"/>
  <c r="BH38" i="52"/>
  <c r="E12" i="55"/>
  <c r="E44" i="55" s="1"/>
  <c r="F12" i="55"/>
  <c r="F44" i="55" s="1"/>
  <c r="F29" i="55"/>
  <c r="F61" i="55" s="1"/>
  <c r="E29" i="55"/>
  <c r="E61" i="55" s="1"/>
  <c r="F27" i="55"/>
  <c r="F59" i="55" s="1"/>
  <c r="E27" i="55"/>
  <c r="E59" i="55" s="1"/>
  <c r="L59" i="53"/>
  <c r="AB23" i="52"/>
  <c r="BN23" i="52"/>
  <c r="F20" i="54"/>
  <c r="O20" i="54" s="1"/>
  <c r="BL23" i="52"/>
  <c r="BM23" i="52"/>
  <c r="F20" i="55"/>
  <c r="F52" i="55" s="1"/>
  <c r="E20" i="55"/>
  <c r="E52" i="55" s="1"/>
  <c r="E17" i="55"/>
  <c r="E49" i="55" s="1"/>
  <c r="F17" i="55"/>
  <c r="F49" i="55" s="1"/>
  <c r="F23" i="54"/>
  <c r="O23" i="54" s="1"/>
  <c r="BN26" i="52"/>
  <c r="L51" i="53"/>
  <c r="AB26" i="52"/>
  <c r="BL26" i="52"/>
  <c r="BM26" i="52"/>
  <c r="E5" i="55"/>
  <c r="E37" i="55" s="1"/>
  <c r="F5" i="55"/>
  <c r="F37" i="55" s="1"/>
  <c r="AQ4" i="52"/>
  <c r="E30" i="55"/>
  <c r="E62" i="55" s="1"/>
  <c r="F30" i="55"/>
  <c r="F62" i="55" s="1"/>
  <c r="F9" i="55"/>
  <c r="F41" i="55" s="1"/>
  <c r="E9" i="55"/>
  <c r="E41" i="55" s="1"/>
  <c r="L42" i="53"/>
  <c r="BN42" i="52"/>
  <c r="BL42" i="52"/>
  <c r="BM42" i="52"/>
  <c r="H8" i="56" l="1"/>
  <c r="H9" i="56" s="1"/>
  <c r="H10" i="56" s="1"/>
  <c r="H11" i="56" s="1"/>
  <c r="H12" i="56" s="1"/>
  <c r="H13" i="56" s="1"/>
  <c r="H14" i="56" s="1"/>
  <c r="Q18" i="54"/>
  <c r="F82" i="55" s="1"/>
  <c r="E114" i="55" s="1"/>
  <c r="P18" i="54"/>
  <c r="E82" i="55" s="1"/>
  <c r="D114" i="55" s="1"/>
  <c r="Q8" i="54"/>
  <c r="F72" i="55" s="1"/>
  <c r="E104" i="55" s="1"/>
  <c r="P8" i="54"/>
  <c r="E72" i="55" s="1"/>
  <c r="D104" i="55" s="1"/>
  <c r="Q9" i="54"/>
  <c r="F73" i="55" s="1"/>
  <c r="E105" i="55" s="1"/>
  <c r="P9" i="54"/>
  <c r="E73" i="55" s="1"/>
  <c r="D105" i="55" s="1"/>
  <c r="Q31" i="54"/>
  <c r="F95" i="55" s="1"/>
  <c r="E127" i="55" s="1"/>
  <c r="P31" i="54"/>
  <c r="E95" i="55" s="1"/>
  <c r="D127" i="55" s="1"/>
  <c r="P13" i="54"/>
  <c r="E77" i="55" s="1"/>
  <c r="D109" i="55" s="1"/>
  <c r="Q13" i="54"/>
  <c r="F77" i="55" s="1"/>
  <c r="E109" i="55" s="1"/>
  <c r="BN48" i="52"/>
  <c r="L58" i="53"/>
  <c r="O60" i="53" s="1"/>
  <c r="BL48" i="52"/>
  <c r="BM48" i="52"/>
  <c r="F19" i="55"/>
  <c r="F51" i="55" s="1"/>
  <c r="E19" i="55"/>
  <c r="E51" i="55" s="1"/>
  <c r="Q24" i="54"/>
  <c r="F88" i="55" s="1"/>
  <c r="E120" i="55" s="1"/>
  <c r="P24" i="54"/>
  <c r="E88" i="55" s="1"/>
  <c r="D120" i="55" s="1"/>
  <c r="Q12" i="54"/>
  <c r="F76" i="55" s="1"/>
  <c r="E108" i="55" s="1"/>
  <c r="P12" i="54"/>
  <c r="E76" i="55" s="1"/>
  <c r="D108" i="55" s="1"/>
  <c r="Q11" i="54"/>
  <c r="F75" i="55" s="1"/>
  <c r="E107" i="55" s="1"/>
  <c r="P11" i="54"/>
  <c r="E75" i="55" s="1"/>
  <c r="D107" i="55" s="1"/>
  <c r="Q26" i="54"/>
  <c r="F90" i="55" s="1"/>
  <c r="E122" i="55" s="1"/>
  <c r="P26" i="54"/>
  <c r="E90" i="55" s="1"/>
  <c r="D122" i="55" s="1"/>
  <c r="F26" i="55"/>
  <c r="F58" i="55" s="1"/>
  <c r="E26" i="55"/>
  <c r="E58" i="55" s="1"/>
  <c r="P29" i="54"/>
  <c r="E93" i="55" s="1"/>
  <c r="D125" i="55" s="1"/>
  <c r="Q29" i="54"/>
  <c r="F93" i="55" s="1"/>
  <c r="E125" i="55" s="1"/>
  <c r="Q21" i="54"/>
  <c r="F85" i="55" s="1"/>
  <c r="E117" i="55" s="1"/>
  <c r="P21" i="54"/>
  <c r="E85" i="55" s="1"/>
  <c r="D117" i="55" s="1"/>
  <c r="Q25" i="54"/>
  <c r="F89" i="55" s="1"/>
  <c r="E121" i="55" s="1"/>
  <c r="P25" i="54"/>
  <c r="E89" i="55" s="1"/>
  <c r="D121" i="55" s="1"/>
  <c r="P6" i="54"/>
  <c r="E70" i="55" s="1"/>
  <c r="D102" i="55" s="1"/>
  <c r="Q6" i="54"/>
  <c r="F70" i="55" s="1"/>
  <c r="E102" i="55" s="1"/>
  <c r="P19" i="54"/>
  <c r="E83" i="55" s="1"/>
  <c r="D115" i="55" s="1"/>
  <c r="Q19" i="54"/>
  <c r="F83" i="55" s="1"/>
  <c r="E115" i="55" s="1"/>
  <c r="P28" i="54"/>
  <c r="E92" i="55" s="1"/>
  <c r="D124" i="55" s="1"/>
  <c r="Q28" i="54"/>
  <c r="F92" i="55" s="1"/>
  <c r="E124" i="55" s="1"/>
  <c r="BN38" i="52"/>
  <c r="L49" i="53"/>
  <c r="BL38" i="52"/>
  <c r="BM38" i="52"/>
  <c r="Q10" i="54"/>
  <c r="F74" i="55" s="1"/>
  <c r="E106" i="55" s="1"/>
  <c r="P10" i="54"/>
  <c r="E74" i="55" s="1"/>
  <c r="D106" i="55" s="1"/>
  <c r="C20" i="56"/>
  <c r="C21" i="56"/>
  <c r="C19" i="56"/>
  <c r="C23" i="56"/>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22" i="56"/>
  <c r="Q15" i="54"/>
  <c r="F79" i="55" s="1"/>
  <c r="E111" i="55" s="1"/>
  <c r="P15" i="54"/>
  <c r="E79" i="55" s="1"/>
  <c r="D111" i="55" s="1"/>
  <c r="Q14" i="54"/>
  <c r="F78" i="55" s="1"/>
  <c r="E110" i="55" s="1"/>
  <c r="P14" i="54"/>
  <c r="E78" i="55" s="1"/>
  <c r="D110" i="55" s="1"/>
  <c r="Q33" i="54"/>
  <c r="F97" i="55" s="1"/>
  <c r="E129" i="55" s="1"/>
  <c r="P33" i="54"/>
  <c r="E97" i="55" s="1"/>
  <c r="D129" i="55" s="1"/>
  <c r="P32" i="54"/>
  <c r="E96" i="55" s="1"/>
  <c r="D128" i="55" s="1"/>
  <c r="Q32" i="54"/>
  <c r="F96" i="55" s="1"/>
  <c r="E128" i="55" s="1"/>
  <c r="P22" i="54"/>
  <c r="E86" i="55" s="1"/>
  <c r="D118" i="55" s="1"/>
  <c r="Q22" i="54"/>
  <c r="F86" i="55" s="1"/>
  <c r="E118" i="55" s="1"/>
  <c r="P5" i="54"/>
  <c r="E69" i="55" s="1"/>
  <c r="D101" i="55" s="1"/>
  <c r="Q5" i="54"/>
  <c r="E22" i="55"/>
  <c r="E54" i="55" s="1"/>
  <c r="F22" i="55"/>
  <c r="F54" i="55" s="1"/>
  <c r="P30" i="54"/>
  <c r="E94" i="55" s="1"/>
  <c r="D126" i="55" s="1"/>
  <c r="Q30" i="54"/>
  <c r="F94" i="55" s="1"/>
  <c r="E126" i="55" s="1"/>
  <c r="P7" i="54"/>
  <c r="E71" i="55" s="1"/>
  <c r="D103" i="55" s="1"/>
  <c r="Q7" i="54"/>
  <c r="F71" i="55" s="1"/>
  <c r="E103" i="55" s="1"/>
  <c r="Q17" i="54"/>
  <c r="F81" i="55" s="1"/>
  <c r="E113" i="55" s="1"/>
  <c r="P17" i="54"/>
  <c r="E81" i="55" s="1"/>
  <c r="D113" i="55" s="1"/>
  <c r="Q16" i="54"/>
  <c r="F80" i="55" s="1"/>
  <c r="E112" i="55" s="1"/>
  <c r="P16" i="54"/>
  <c r="E80" i="55" s="1"/>
  <c r="D112" i="55" s="1"/>
  <c r="BN40" i="52"/>
  <c r="L60" i="53"/>
  <c r="BL40" i="52"/>
  <c r="F69" i="55" l="1"/>
  <c r="E101" i="55" s="1"/>
  <c r="F21" i="56"/>
  <c r="F18" i="56"/>
  <c r="F50" i="56" s="1"/>
  <c r="F23" i="56"/>
  <c r="F24" i="56" s="1"/>
  <c r="F25" i="56" s="1"/>
  <c r="F26" i="56" s="1"/>
  <c r="F27" i="56" s="1"/>
  <c r="F28" i="56" s="1"/>
  <c r="F29" i="56" s="1"/>
  <c r="F30" i="56" s="1"/>
  <c r="F31" i="56" s="1"/>
  <c r="F32" i="56" s="1"/>
  <c r="F33" i="56" s="1"/>
  <c r="F34" i="56" s="1"/>
  <c r="F35" i="56" s="1"/>
  <c r="F36" i="56" s="1"/>
  <c r="F37" i="56" s="1"/>
  <c r="F38" i="56" s="1"/>
  <c r="F39" i="56" s="1"/>
  <c r="F40" i="56" s="1"/>
  <c r="F41" i="56" s="1"/>
  <c r="F42" i="56" s="1"/>
  <c r="F43" i="56" s="1"/>
  <c r="D23" i="56"/>
  <c r="D24" i="56" s="1"/>
  <c r="D25" i="56" s="1"/>
  <c r="D26" i="56" s="1"/>
  <c r="D27" i="56" s="1"/>
  <c r="D28" i="56" s="1"/>
  <c r="D29" i="56" s="1"/>
  <c r="D30" i="56" s="1"/>
  <c r="D31" i="56" s="1"/>
  <c r="D32" i="56" s="1"/>
  <c r="D33" i="56" s="1"/>
  <c r="D34" i="56" s="1"/>
  <c r="D35" i="56" s="1"/>
  <c r="D36" i="56" s="1"/>
  <c r="D37" i="56" s="1"/>
  <c r="D38" i="56" s="1"/>
  <c r="D39" i="56" s="1"/>
  <c r="D40" i="56" s="1"/>
  <c r="D41" i="56" s="1"/>
  <c r="D42" i="56" s="1"/>
  <c r="D43" i="56" s="1"/>
  <c r="D21" i="56"/>
  <c r="D20" i="56"/>
  <c r="E22" i="56"/>
  <c r="E20" i="56"/>
  <c r="E18" i="56"/>
  <c r="E50" i="56" s="1"/>
  <c r="D19" i="56"/>
  <c r="F20" i="56"/>
  <c r="F19" i="56"/>
  <c r="E21" i="56"/>
  <c r="D22" i="56"/>
  <c r="E19" i="56"/>
  <c r="D18" i="56"/>
  <c r="D50" i="56" s="1"/>
  <c r="E23" i="56"/>
  <c r="E24" i="56" s="1"/>
  <c r="E25" i="56" s="1"/>
  <c r="E26" i="56" s="1"/>
  <c r="E27" i="56" s="1"/>
  <c r="E28" i="56" s="1"/>
  <c r="E29" i="56" s="1"/>
  <c r="E30" i="56" s="1"/>
  <c r="E31" i="56" s="1"/>
  <c r="E32" i="56" s="1"/>
  <c r="E33" i="56" s="1"/>
  <c r="E34" i="56" s="1"/>
  <c r="E35" i="56" s="1"/>
  <c r="E36" i="56" s="1"/>
  <c r="E37" i="56" s="1"/>
  <c r="E38" i="56" s="1"/>
  <c r="E39" i="56" s="1"/>
  <c r="E40" i="56" s="1"/>
  <c r="E41" i="56" s="1"/>
  <c r="E42" i="56" s="1"/>
  <c r="E43" i="56" s="1"/>
  <c r="E44" i="56" s="1"/>
  <c r="E45" i="56" s="1"/>
  <c r="E46" i="56" s="1"/>
  <c r="F22" i="56"/>
  <c r="G22" i="56"/>
  <c r="I23" i="56"/>
  <c r="I24" i="56" s="1"/>
  <c r="I25" i="56" s="1"/>
  <c r="I26" i="56" s="1"/>
  <c r="I27" i="56" s="1"/>
  <c r="I28" i="56" s="1"/>
  <c r="I29" i="56" s="1"/>
  <c r="I30" i="56" s="1"/>
  <c r="I31" i="56" s="1"/>
  <c r="I32" i="56" s="1"/>
  <c r="I33" i="56" s="1"/>
  <c r="I34" i="56" s="1"/>
  <c r="I35" i="56" s="1"/>
  <c r="I36" i="56" s="1"/>
  <c r="I37" i="56" s="1"/>
  <c r="I38" i="56" s="1"/>
  <c r="I39" i="56" s="1"/>
  <c r="I40" i="56" s="1"/>
  <c r="I41" i="56" s="1"/>
  <c r="I42" i="56" s="1"/>
  <c r="I43" i="56" s="1"/>
  <c r="I44" i="56" s="1"/>
  <c r="I45" i="56" s="1"/>
  <c r="I46" i="56" s="1"/>
  <c r="I19" i="56"/>
  <c r="G21" i="56"/>
  <c r="H18" i="56"/>
  <c r="H50" i="56" s="1"/>
  <c r="I22" i="56"/>
  <c r="H21" i="56"/>
  <c r="H22" i="56"/>
  <c r="G23" i="56"/>
  <c r="G24" i="56" s="1"/>
  <c r="G25" i="56" s="1"/>
  <c r="G26" i="56" s="1"/>
  <c r="G27" i="56" s="1"/>
  <c r="G28" i="56" s="1"/>
  <c r="G29" i="56" s="1"/>
  <c r="G30" i="56" s="1"/>
  <c r="G31" i="56" s="1"/>
  <c r="G32" i="56" s="1"/>
  <c r="G33" i="56" s="1"/>
  <c r="G34" i="56" s="1"/>
  <c r="G35" i="56" s="1"/>
  <c r="G36" i="56" s="1"/>
  <c r="G37" i="56" s="1"/>
  <c r="G38" i="56" s="1"/>
  <c r="G39" i="56" s="1"/>
  <c r="G40" i="56" s="1"/>
  <c r="G41" i="56" s="1"/>
  <c r="G42" i="56" s="1"/>
  <c r="G43" i="56" s="1"/>
  <c r="I21" i="56"/>
  <c r="G20" i="56"/>
  <c r="H20" i="56"/>
  <c r="H23" i="56"/>
  <c r="H24" i="56" s="1"/>
  <c r="H25" i="56" s="1"/>
  <c r="H26" i="56" s="1"/>
  <c r="H27" i="56" s="1"/>
  <c r="H28" i="56" s="1"/>
  <c r="H29" i="56" s="1"/>
  <c r="H30" i="56" s="1"/>
  <c r="H31" i="56" s="1"/>
  <c r="H32" i="56" s="1"/>
  <c r="H33" i="56" s="1"/>
  <c r="H34" i="56" s="1"/>
  <c r="H35" i="56" s="1"/>
  <c r="H36" i="56" s="1"/>
  <c r="H37" i="56" s="1"/>
  <c r="H38" i="56" s="1"/>
  <c r="H39" i="56" s="1"/>
  <c r="H40" i="56" s="1"/>
  <c r="H41" i="56" s="1"/>
  <c r="H42" i="56" s="1"/>
  <c r="H43" i="56" s="1"/>
  <c r="I18" i="56"/>
  <c r="I50" i="56" s="1"/>
  <c r="H19" i="56"/>
  <c r="G18" i="56"/>
  <c r="G50" i="56" s="1"/>
  <c r="G19" i="56"/>
  <c r="I20" i="56"/>
  <c r="Q23" i="54"/>
  <c r="F87" i="55" s="1"/>
  <c r="E119" i="55" s="1"/>
  <c r="P23" i="54"/>
  <c r="E87" i="55" s="1"/>
  <c r="D119" i="55" s="1"/>
  <c r="P27" i="54"/>
  <c r="E91" i="55" s="1"/>
  <c r="D123" i="55" s="1"/>
  <c r="Q27" i="54"/>
  <c r="F91" i="55" s="1"/>
  <c r="E123" i="55" s="1"/>
  <c r="BG40" i="52"/>
  <c r="BM40" i="52" s="1"/>
  <c r="A60" i="53"/>
  <c r="D60" i="53" s="1"/>
  <c r="C44" i="56"/>
  <c r="C45" i="56" s="1"/>
  <c r="C46" i="56" s="1"/>
  <c r="C51" i="56"/>
  <c r="P20" i="54"/>
  <c r="E84" i="55" s="1"/>
  <c r="D116" i="55" s="1"/>
  <c r="Q20" i="54"/>
  <c r="F84" i="55" s="1"/>
  <c r="E116" i="55" s="1"/>
  <c r="G51" i="56" l="1"/>
  <c r="D51" i="56"/>
  <c r="F51" i="56"/>
  <c r="D44" i="56"/>
  <c r="D45" i="56" s="1"/>
  <c r="D46" i="56" s="1"/>
  <c r="F44" i="56"/>
  <c r="F45" i="56" s="1"/>
  <c r="F46" i="56" s="1"/>
  <c r="E51" i="56"/>
  <c r="H51" i="56"/>
  <c r="I51" i="56"/>
  <c r="H44" i="56"/>
  <c r="H45" i="56" s="1"/>
  <c r="H46" i="56" s="1"/>
  <c r="G44" i="56"/>
  <c r="G45" i="56" s="1"/>
  <c r="G46" i="56" s="1"/>
</calcChain>
</file>

<file path=xl/comments1.xml><?xml version="1.0" encoding="utf-8"?>
<comments xmlns="http://schemas.openxmlformats.org/spreadsheetml/2006/main">
  <authors>
    <author>DW</author>
  </authors>
  <commentList>
    <comment ref="E4" authorId="0" shapeId="0">
      <text>
        <r>
          <rPr>
            <b/>
            <sz val="9"/>
            <color indexed="81"/>
            <rFont val="Tahoma"/>
            <family val="2"/>
          </rPr>
          <t>DW:</t>
        </r>
        <r>
          <rPr>
            <sz val="9"/>
            <color indexed="81"/>
            <rFont val="Tahoma"/>
            <family val="2"/>
          </rPr>
          <t xml:space="preserve">
Where does this table come from DR?</t>
        </r>
      </text>
    </comment>
  </commentList>
</comments>
</file>

<file path=xl/comments10.xml><?xml version="1.0" encoding="utf-8"?>
<comments xmlns="http://schemas.openxmlformats.org/spreadsheetml/2006/main">
  <authors>
    <author>David Rohan</author>
  </authors>
  <commentList>
    <comment ref="E19" authorId="0" shapeId="0">
      <text>
        <r>
          <rPr>
            <b/>
            <sz val="9"/>
            <color indexed="81"/>
            <rFont val="Tahoma"/>
            <family val="2"/>
          </rPr>
          <t>David Rohan:</t>
        </r>
        <r>
          <rPr>
            <sz val="9"/>
            <color indexed="81"/>
            <rFont val="Tahoma"/>
            <family val="2"/>
          </rPr>
          <t xml:space="preserve">
Note that the Refinery's charges are included here, but are split out seperately in the end results section.</t>
        </r>
      </text>
    </comment>
    <comment ref="E22" authorId="0" shapeId="0">
      <text>
        <r>
          <rPr>
            <b/>
            <sz val="9"/>
            <color indexed="81"/>
            <rFont val="Tahoma"/>
            <family val="2"/>
          </rPr>
          <t>David Rohan:</t>
        </r>
        <r>
          <rPr>
            <sz val="9"/>
            <color indexed="81"/>
            <rFont val="Tahoma"/>
            <family val="2"/>
          </rPr>
          <t xml:space="preserve">
Note that CHH/Oji'scharges are included here, but are split out seperately in the end results section.</t>
        </r>
      </text>
    </comment>
    <comment ref="E26" authorId="0" shapeId="0">
      <text>
        <r>
          <rPr>
            <b/>
            <sz val="9"/>
            <color indexed="81"/>
            <rFont val="Tahoma"/>
            <family val="2"/>
          </rPr>
          <t>David Rohan:</t>
        </r>
        <r>
          <rPr>
            <sz val="9"/>
            <color indexed="81"/>
            <rFont val="Tahoma"/>
            <family val="2"/>
          </rPr>
          <t xml:space="preserve">
note that Jukens charges are included here, but are split out seperately in the end results section</t>
        </r>
      </text>
    </comment>
  </commentList>
</comments>
</file>

<file path=xl/comments11.xml><?xml version="1.0" encoding="utf-8"?>
<comments xmlns="http://schemas.openxmlformats.org/spreadsheetml/2006/main">
  <authors>
    <author>David Rohan</author>
  </authors>
  <commentList>
    <comment ref="J1" authorId="0" shapeId="0">
      <text>
        <r>
          <rPr>
            <b/>
            <sz val="9"/>
            <color indexed="81"/>
            <rFont val="Tahoma"/>
            <family val="2"/>
          </rPr>
          <t>David Rohan:</t>
        </r>
        <r>
          <rPr>
            <sz val="9"/>
            <color indexed="81"/>
            <rFont val="Tahoma"/>
            <family val="2"/>
          </rPr>
          <t xml:space="preserve">
This is a key adjuestment of GWh/year to account for demand growth 2014-1019
</t>
        </r>
      </text>
    </comment>
    <comment ref="K2" authorId="0" shapeId="0">
      <text>
        <r>
          <rPr>
            <b/>
            <sz val="9"/>
            <color indexed="81"/>
            <rFont val="Tahoma"/>
            <family val="2"/>
          </rPr>
          <t>David Rohan:</t>
        </r>
        <r>
          <rPr>
            <sz val="9"/>
            <color indexed="81"/>
            <rFont val="Tahoma"/>
            <family val="2"/>
          </rPr>
          <t xml:space="preserve">
NB this is total reported ACOT, and includes allowances for issues other than DG (eg transmission line prchases etc)</t>
        </r>
      </text>
    </comment>
  </commentList>
</comments>
</file>

<file path=xl/comments12.xml><?xml version="1.0" encoding="utf-8"?>
<comments xmlns="http://schemas.openxmlformats.org/spreadsheetml/2006/main">
  <authors>
    <author>David Rohan</author>
    <author>DW</author>
    <author>Whywontyouchange</author>
    <author>davidrohan</author>
  </authors>
  <commentList>
    <comment ref="AZ2" authorId="0" shapeId="0">
      <text>
        <r>
          <rPr>
            <b/>
            <sz val="9"/>
            <color indexed="81"/>
            <rFont val="Tahoma"/>
            <family val="2"/>
          </rPr>
          <t>David Rohan:</t>
        </r>
        <r>
          <rPr>
            <sz val="9"/>
            <color indexed="81"/>
            <rFont val="Tahoma"/>
            <family val="2"/>
          </rPr>
          <t xml:space="preserve">
Add back Refining NZ status Quo charge ($m/year tab). This doesn't apply to Powerco and Top Energy as Oji/Juken were not previously split out.
</t>
        </r>
      </text>
    </comment>
    <comment ref="Y3" authorId="0" shapeId="0">
      <text>
        <r>
          <rPr>
            <b/>
            <sz val="9"/>
            <color indexed="81"/>
            <rFont val="Tahoma"/>
            <family val="2"/>
          </rPr>
          <t>David Rohan:</t>
        </r>
        <r>
          <rPr>
            <sz val="9"/>
            <color indexed="81"/>
            <rFont val="Tahoma"/>
            <family val="2"/>
          </rPr>
          <t xml:space="preserve">
This is an adjustment factor such that the tariffs aer scaled to equal the average EDB tariff including commercial customers etc (not just the residential tariff).</t>
        </r>
      </text>
    </comment>
    <comment ref="AL4" authorId="0" shapeId="0">
      <text>
        <r>
          <rPr>
            <b/>
            <sz val="9"/>
            <color indexed="81"/>
            <rFont val="Tahoma"/>
            <family val="2"/>
          </rPr>
          <t>David Rohan:</t>
        </r>
        <r>
          <rPr>
            <sz val="9"/>
            <color indexed="81"/>
            <rFont val="Tahoma"/>
            <family val="2"/>
          </rPr>
          <t xml:space="preserve">
It doesn't necessarily matter if this reads ;'FALSE' - it's just signalling that some parties have net-negative residual charges (though overall posi</t>
        </r>
      </text>
    </comment>
    <comment ref="AA6" authorId="0" shapeId="0">
      <text>
        <r>
          <rPr>
            <b/>
            <sz val="9"/>
            <color indexed="81"/>
            <rFont val="Tahoma"/>
            <family val="2"/>
          </rPr>
          <t>David Rohan:</t>
        </r>
        <r>
          <rPr>
            <sz val="9"/>
            <color indexed="81"/>
            <rFont val="Tahoma"/>
            <family val="2"/>
          </rPr>
          <t xml:space="preserve">
This is the expected reducion in EDB MAR (i.e. lines component of end user tariff) - it's ben calculated seperately.</t>
        </r>
      </text>
    </comment>
    <comment ref="B7" authorId="1" shapeId="0">
      <text>
        <r>
          <rPr>
            <b/>
            <sz val="9"/>
            <color indexed="81"/>
            <rFont val="Tahoma"/>
            <family val="2"/>
          </rPr>
          <t>DW:</t>
        </r>
        <r>
          <rPr>
            <sz val="9"/>
            <color indexed="81"/>
            <rFont val="Tahoma"/>
            <family val="2"/>
          </rPr>
          <t xml:space="preserve">
Industrial load, which is not increased by load growth</t>
        </r>
      </text>
    </comment>
    <comment ref="S7" authorId="2" shapeId="0">
      <text>
        <r>
          <rPr>
            <b/>
            <sz val="9"/>
            <color indexed="81"/>
            <rFont val="Tahoma"/>
            <family val="2"/>
          </rPr>
          <t>DW:</t>
        </r>
        <r>
          <rPr>
            <sz val="9"/>
            <color indexed="81"/>
            <rFont val="Tahoma"/>
            <family val="2"/>
          </rPr>
          <t xml:space="preserve">
Includes 5% increase to account for demand growth</t>
        </r>
      </text>
    </comment>
    <comment ref="S23" authorId="0" shapeId="0">
      <text>
        <r>
          <rPr>
            <b/>
            <sz val="9"/>
            <color indexed="81"/>
            <rFont val="Tahoma"/>
            <family val="2"/>
          </rPr>
          <t>David Rohan:</t>
        </r>
        <r>
          <rPr>
            <sz val="9"/>
            <color indexed="81"/>
            <rFont val="Tahoma"/>
            <family val="2"/>
          </rPr>
          <t xml:space="preserve">
Northpower and refinery need to be added here prior to capping as they are aggregated</t>
        </r>
      </text>
    </comment>
    <comment ref="BF23" authorId="0" shapeId="0">
      <text>
        <r>
          <rPr>
            <b/>
            <sz val="9"/>
            <color indexed="81"/>
            <rFont val="Tahoma"/>
            <family val="2"/>
          </rPr>
          <t>David Rohan:</t>
        </r>
        <r>
          <rPr>
            <sz val="9"/>
            <color indexed="81"/>
            <rFont val="Tahoma"/>
            <family val="2"/>
          </rPr>
          <t xml:space="preserve">
Cell S22 has Refinery included, so subtract it here as they are devolved</t>
        </r>
      </text>
    </comment>
    <comment ref="S30" authorId="0" shapeId="0">
      <text>
        <r>
          <rPr>
            <b/>
            <sz val="9"/>
            <color indexed="81"/>
            <rFont val="Tahoma"/>
            <family val="2"/>
          </rPr>
          <t>David Rohan:</t>
        </r>
        <r>
          <rPr>
            <sz val="9"/>
            <color indexed="81"/>
            <rFont val="Tahoma"/>
            <family val="2"/>
          </rPr>
          <t xml:space="preserve">
Juken &amp; Top are agergated here prior to capping.
</t>
        </r>
      </text>
    </comment>
    <comment ref="BF30" authorId="0" shapeId="0">
      <text>
        <r>
          <rPr>
            <b/>
            <sz val="9"/>
            <color indexed="81"/>
            <rFont val="Tahoma"/>
            <family val="2"/>
          </rPr>
          <t>David Rohan:</t>
        </r>
        <r>
          <rPr>
            <sz val="9"/>
            <color indexed="81"/>
            <rFont val="Tahoma"/>
            <family val="2"/>
          </rPr>
          <t xml:space="preserve">
Suntract of Juken's demand as they are disaggregated here</t>
        </r>
      </text>
    </comment>
    <comment ref="AW38" authorId="0" shapeId="0">
      <text>
        <r>
          <rPr>
            <b/>
            <sz val="9"/>
            <color indexed="81"/>
            <rFont val="Tahoma"/>
            <family val="2"/>
          </rPr>
          <t>David Rohan:</t>
        </r>
        <r>
          <rPr>
            <sz val="9"/>
            <color indexed="81"/>
            <rFont val="Tahoma"/>
            <family val="2"/>
          </rPr>
          <t xml:space="preserve">
We don't have SQ data for OJI/Juken/Ref so use the parent EDB value.</t>
        </r>
      </text>
    </comment>
    <comment ref="L39" authorId="0" shapeId="0">
      <text>
        <r>
          <rPr>
            <b/>
            <sz val="9"/>
            <color indexed="81"/>
            <rFont val="Tahoma"/>
            <family val="2"/>
          </rPr>
          <t>David Rohan:</t>
        </r>
        <r>
          <rPr>
            <sz val="9"/>
            <color indexed="81"/>
            <rFont val="Tahoma"/>
            <family val="2"/>
          </rPr>
          <t xml:space="preserve">
Generation Overhead is allocated in the connection charges - it's excluded here to avoid double counting</t>
        </r>
      </text>
    </comment>
    <comment ref="W39" authorId="3" shapeId="0">
      <text>
        <r>
          <rPr>
            <b/>
            <sz val="9"/>
            <color indexed="81"/>
            <rFont val="Tahoma"/>
            <family val="2"/>
          </rPr>
          <t>davidrohan:</t>
        </r>
        <r>
          <rPr>
            <sz val="9"/>
            <color indexed="81"/>
            <rFont val="Tahoma"/>
            <family val="2"/>
          </rPr>
          <t xml:space="preserve">
energy cost component estimated
</t>
        </r>
      </text>
    </comment>
    <comment ref="S51" authorId="1" shapeId="0">
      <text>
        <r>
          <rPr>
            <b/>
            <sz val="9"/>
            <color indexed="81"/>
            <rFont val="Tahoma"/>
            <family val="2"/>
          </rPr>
          <t>DW:</t>
        </r>
        <r>
          <rPr>
            <sz val="9"/>
            <color indexed="81"/>
            <rFont val="Tahoma"/>
            <family val="2"/>
          </rPr>
          <t xml:space="preserve">
Industrials not scaled by load growth</t>
        </r>
      </text>
    </comment>
  </commentList>
</comments>
</file>

<file path=xl/comments13.xml><?xml version="1.0" encoding="utf-8"?>
<comments xmlns="http://schemas.openxmlformats.org/spreadsheetml/2006/main">
  <authors>
    <author>David Rohan</author>
  </authors>
  <commentList>
    <comment ref="G7" authorId="0" shapeId="0">
      <text>
        <r>
          <rPr>
            <b/>
            <sz val="9"/>
            <color indexed="81"/>
            <rFont val="Tahoma"/>
            <family val="2"/>
          </rPr>
          <t>David Rohan:</t>
        </r>
        <r>
          <rPr>
            <sz val="9"/>
            <color indexed="81"/>
            <rFont val="Tahoma"/>
            <family val="2"/>
          </rPr>
          <t xml:space="preserve">
This is the original Status quo GWh/yr number - this has been subsequently reduced (along with Bulkler's AMD) - it's used here for consistency with the status quo $?MWh number
</t>
        </r>
      </text>
    </comment>
    <comment ref="B20" authorId="0" shapeId="0">
      <text>
        <r>
          <rPr>
            <b/>
            <sz val="9"/>
            <color indexed="81"/>
            <rFont val="Tahoma"/>
            <family val="2"/>
          </rPr>
          <t>David Rohan:</t>
        </r>
        <r>
          <rPr>
            <sz val="9"/>
            <color indexed="81"/>
            <rFont val="Tahoma"/>
            <family val="2"/>
          </rPr>
          <t xml:space="preserve">
Excluding Refinery </t>
        </r>
      </text>
    </comment>
    <comment ref="G27" authorId="0" shapeId="0">
      <text>
        <r>
          <rPr>
            <b/>
            <sz val="9"/>
            <color indexed="81"/>
            <rFont val="Tahoma"/>
            <family val="2"/>
          </rPr>
          <t>David Rohan:</t>
        </r>
        <r>
          <rPr>
            <sz val="9"/>
            <color indexed="81"/>
            <rFont val="Tahoma"/>
            <family val="2"/>
          </rPr>
          <t xml:space="preserve">
Add back Juken's demand to ensure the status quo is properly represented</t>
        </r>
      </text>
    </comment>
    <comment ref="G33" authorId="0" shapeId="0">
      <text>
        <r>
          <rPr>
            <b/>
            <sz val="9"/>
            <color indexed="81"/>
            <rFont val="Tahoma"/>
            <family val="2"/>
          </rPr>
          <t>David Rohan:</t>
        </r>
        <r>
          <rPr>
            <sz val="9"/>
            <color indexed="81"/>
            <rFont val="Tahoma"/>
            <family val="2"/>
          </rPr>
          <t xml:space="preserve">
Use original GWh/yr to ensure status quo is represented consistently (i.e. prior to Oceania load reduction).</t>
        </r>
      </text>
    </comment>
  </commentList>
</comments>
</file>

<file path=xl/comments14.xml><?xml version="1.0" encoding="utf-8"?>
<comments xmlns="http://schemas.openxmlformats.org/spreadsheetml/2006/main">
  <authors>
    <author>David Rohan</author>
  </authors>
  <commentList>
    <comment ref="Y45" authorId="0" shapeId="0">
      <text>
        <r>
          <rPr>
            <b/>
            <sz val="9"/>
            <color indexed="81"/>
            <rFont val="Tahoma"/>
            <family val="2"/>
          </rPr>
          <t>David Rohan:</t>
        </r>
        <r>
          <rPr>
            <sz val="9"/>
            <color indexed="81"/>
            <rFont val="Tahoma"/>
            <family val="2"/>
          </rPr>
          <t xml:space="preserve">
Assume same as Aurora (no Lakeland data)</t>
        </r>
      </text>
    </comment>
  </commentList>
</comments>
</file>

<file path=xl/comments15.xml><?xml version="1.0" encoding="utf-8"?>
<comments xmlns="http://schemas.openxmlformats.org/spreadsheetml/2006/main">
  <authors>
    <author>David Rohan</author>
  </authors>
  <commentList>
    <comment ref="O9" authorId="0" shapeId="0">
      <text>
        <r>
          <rPr>
            <b/>
            <sz val="9"/>
            <color indexed="81"/>
            <rFont val="Tahoma"/>
            <family val="2"/>
          </rPr>
          <t>David Rohan:</t>
        </r>
        <r>
          <rPr>
            <sz val="9"/>
            <color indexed="81"/>
            <rFont val="Tahoma"/>
            <family val="2"/>
          </rPr>
          <t xml:space="preserve">
This is from the second isues paper</t>
        </r>
      </text>
    </comment>
  </commentList>
</comments>
</file>

<file path=xl/comments16.xml><?xml version="1.0" encoding="utf-8"?>
<comments xmlns="http://schemas.openxmlformats.org/spreadsheetml/2006/main">
  <authors>
    <author>Whywontyouchange</author>
    <author>David Rohan</author>
  </authors>
  <commentList>
    <comment ref="G2" authorId="0" shapeId="0">
      <text>
        <r>
          <rPr>
            <b/>
            <sz val="9"/>
            <color indexed="81"/>
            <rFont val="Tahoma"/>
            <family val="2"/>
          </rPr>
          <t xml:space="preserve">Need to do a floating point comparison like comparison here. A simple = doesn't work.
</t>
        </r>
      </text>
    </comment>
    <comment ref="B5" authorId="1" shapeId="0">
      <text>
        <r>
          <rPr>
            <b/>
            <sz val="9"/>
            <color indexed="81"/>
            <rFont val="Tahoma"/>
            <family val="2"/>
          </rPr>
          <t>David Rohan:</t>
        </r>
        <r>
          <rPr>
            <sz val="9"/>
            <color indexed="81"/>
            <rFont val="Tahoma"/>
            <family val="2"/>
          </rPr>
          <t xml:space="preserve">
This is not actually a direct connect, just seperated out from the parent EDB.</t>
        </r>
      </text>
    </comment>
    <comment ref="B13" authorId="1" shapeId="0">
      <text>
        <r>
          <rPr>
            <b/>
            <sz val="9"/>
            <color indexed="81"/>
            <rFont val="Tahoma"/>
            <family val="2"/>
          </rPr>
          <t>David Rohan:</t>
        </r>
        <r>
          <rPr>
            <sz val="9"/>
            <color indexed="81"/>
            <rFont val="Tahoma"/>
            <family val="2"/>
          </rPr>
          <t xml:space="preserve">
This is not actually a direct connect, just seperated out from the parent EDB.</t>
        </r>
      </text>
    </comment>
  </commentList>
</comments>
</file>

<file path=xl/comments2.xml><?xml version="1.0" encoding="utf-8"?>
<comments xmlns="http://schemas.openxmlformats.org/spreadsheetml/2006/main">
  <authors>
    <author>DW</author>
    <author>David Rohan</author>
  </authors>
  <commentList>
    <comment ref="C4" authorId="0" shapeId="0">
      <text>
        <r>
          <rPr>
            <b/>
            <sz val="9"/>
            <color indexed="81"/>
            <rFont val="Tahoma"/>
            <family val="2"/>
          </rPr>
          <t>DW:</t>
        </r>
        <r>
          <rPr>
            <sz val="9"/>
            <color indexed="81"/>
            <rFont val="Tahoma"/>
            <family val="2"/>
          </rPr>
          <t xml:space="preserve">
Source -&gt;</t>
        </r>
      </text>
    </comment>
    <comment ref="F4" authorId="1" shapeId="0">
      <text>
        <r>
          <rPr>
            <b/>
            <sz val="9"/>
            <color indexed="81"/>
            <rFont val="Tahoma"/>
            <family val="2"/>
          </rPr>
          <t>David Rohan:</t>
        </r>
        <r>
          <rPr>
            <sz val="9"/>
            <color indexed="81"/>
            <rFont val="Tahoma"/>
            <family val="2"/>
          </rPr>
          <t xml:space="preserve">
Estimated proprtions</t>
        </r>
      </text>
    </comment>
    <comment ref="J15" authorId="1" shapeId="0">
      <text>
        <r>
          <rPr>
            <b/>
            <sz val="9"/>
            <color indexed="81"/>
            <rFont val="Tahoma"/>
            <family val="2"/>
          </rPr>
          <t>David Rohan:</t>
        </r>
        <r>
          <rPr>
            <sz val="9"/>
            <color indexed="81"/>
            <rFont val="Tahoma"/>
            <family val="2"/>
          </rPr>
          <t xml:space="preserve">
From Transpower website, RCP3 forecast</t>
        </r>
      </text>
    </comment>
    <comment ref="J16" authorId="1" shapeId="0">
      <text>
        <r>
          <rPr>
            <b/>
            <sz val="9"/>
            <color indexed="81"/>
            <rFont val="Tahoma"/>
            <family val="2"/>
          </rPr>
          <t>David Rohan:</t>
        </r>
        <r>
          <rPr>
            <sz val="9"/>
            <color indexed="81"/>
            <rFont val="Tahoma"/>
            <family val="2"/>
          </rPr>
          <t xml:space="preserve">
Adjusted TP rev req due to lower WACC (lower risk free rate) is input here</t>
        </r>
      </text>
    </comment>
    <comment ref="B22" authorId="0" shapeId="0">
      <text>
        <r>
          <rPr>
            <b/>
            <sz val="9"/>
            <color indexed="81"/>
            <rFont val="Tahoma"/>
            <family val="2"/>
          </rPr>
          <t>DW:</t>
        </r>
        <r>
          <rPr>
            <sz val="9"/>
            <color indexed="81"/>
            <rFont val="Tahoma"/>
            <family val="2"/>
          </rPr>
          <t xml:space="preserve">
Source as stated</t>
        </r>
      </text>
    </comment>
    <comment ref="E24" authorId="1" shapeId="0">
      <text>
        <r>
          <rPr>
            <b/>
            <sz val="9"/>
            <color indexed="81"/>
            <rFont val="Tahoma"/>
            <family val="2"/>
          </rPr>
          <t>David Rohan:</t>
        </r>
        <r>
          <rPr>
            <sz val="9"/>
            <color indexed="81"/>
            <rFont val="Tahoma"/>
            <family val="2"/>
          </rPr>
          <t xml:space="preserve">
The modelling assumes that the change in WACC will affect the connection, residual, and AoB charge components, but not the 'overhead and unallocated' component. The calc below scales the AoB revenue requirement as per the new overall revenue requirement.
</t>
        </r>
      </text>
    </comment>
  </commentList>
</comments>
</file>

<file path=xl/comments3.xml><?xml version="1.0" encoding="utf-8"?>
<comments xmlns="http://schemas.openxmlformats.org/spreadsheetml/2006/main">
  <authors>
    <author>DW</author>
    <author>Whywontyouchange</author>
    <author>David Rohan</author>
  </authors>
  <commentList>
    <comment ref="B1" authorId="0" shapeId="0">
      <text>
        <r>
          <rPr>
            <b/>
            <sz val="9"/>
            <color indexed="81"/>
            <rFont val="Tahoma"/>
            <family val="2"/>
          </rPr>
          <t>DW:</t>
        </r>
        <r>
          <rPr>
            <sz val="9"/>
            <color indexed="81"/>
            <rFont val="Tahoma"/>
            <family val="2"/>
          </rPr>
          <t xml:space="preserve">
Aggregated 2014 reconciliation manager data</t>
        </r>
      </text>
    </comment>
    <comment ref="F1" authorId="0" shapeId="0">
      <text>
        <r>
          <rPr>
            <b/>
            <sz val="9"/>
            <color indexed="81"/>
            <rFont val="Tahoma"/>
            <family val="2"/>
          </rPr>
          <t>DW:</t>
        </r>
        <r>
          <rPr>
            <sz val="9"/>
            <color indexed="81"/>
            <rFont val="Tahoma"/>
            <family val="2"/>
          </rPr>
          <t xml:space="preserve">
From 2019 modelled vSPD run.</t>
        </r>
      </text>
    </comment>
    <comment ref="J2" authorId="0" shapeId="0">
      <text>
        <r>
          <rPr>
            <b/>
            <sz val="9"/>
            <color indexed="81"/>
            <rFont val="Tahoma"/>
            <family val="2"/>
          </rPr>
          <t>DW:</t>
        </r>
        <r>
          <rPr>
            <sz val="9"/>
            <color indexed="81"/>
            <rFont val="Tahoma"/>
            <family val="2"/>
          </rPr>
          <t xml:space="preserve">
From 2019 vSPD run</t>
        </r>
      </text>
    </comment>
    <comment ref="C4" authorId="1" shapeId="0">
      <text>
        <r>
          <rPr>
            <b/>
            <sz val="9"/>
            <color indexed="81"/>
            <rFont val="Tahoma"/>
            <family val="2"/>
          </rPr>
          <t>DW:</t>
        </r>
        <r>
          <rPr>
            <sz val="9"/>
            <color indexed="81"/>
            <rFont val="Tahoma"/>
            <family val="2"/>
          </rPr>
          <t xml:space="preserve">
Reflecting exit of Holcim</t>
        </r>
      </text>
    </comment>
    <comment ref="M12" authorId="2" shapeId="0">
      <text>
        <r>
          <rPr>
            <b/>
            <sz val="9"/>
            <color indexed="81"/>
            <rFont val="Tahoma"/>
            <family val="2"/>
          </rPr>
          <t>David Rohan:</t>
        </r>
        <r>
          <rPr>
            <sz val="9"/>
            <color indexed="81"/>
            <rFont val="Tahoma"/>
            <family val="2"/>
          </rPr>
          <t xml:space="preserve">
Aurora;s Queenstown data is used as a proxy for Lakeland's typical demand</t>
        </r>
      </text>
    </comment>
    <comment ref="C29" authorId="1" shapeId="0">
      <text>
        <r>
          <rPr>
            <b/>
            <sz val="9"/>
            <color indexed="81"/>
            <rFont val="Tahoma"/>
            <family val="2"/>
          </rPr>
          <t>DW:</t>
        </r>
        <r>
          <rPr>
            <sz val="9"/>
            <color indexed="81"/>
            <rFont val="Tahoma"/>
            <family val="2"/>
          </rPr>
          <t xml:space="preserve">
Reflects reduced load at Mangere Steel Mill. Pacidic Steel load is attributed to NZ Steel later</t>
        </r>
      </text>
    </comment>
    <comment ref="C42" authorId="1" shapeId="0">
      <text>
        <r>
          <rPr>
            <b/>
            <sz val="9"/>
            <color indexed="81"/>
            <rFont val="Tahoma"/>
            <family val="2"/>
          </rPr>
          <t>DW:</t>
        </r>
        <r>
          <rPr>
            <sz val="9"/>
            <color indexed="81"/>
            <rFont val="Tahoma"/>
            <family val="2"/>
          </rPr>
          <t xml:space="preserve">
Reflects load reduction due to Oceania t RFN1101 and RFN1102</t>
        </r>
      </text>
    </comment>
    <comment ref="A44" authorId="1" shapeId="0">
      <text>
        <r>
          <rPr>
            <b/>
            <sz val="9"/>
            <color indexed="81"/>
            <rFont val="Tahoma"/>
            <family val="2"/>
          </rPr>
          <t>DW:</t>
        </r>
        <r>
          <rPr>
            <sz val="9"/>
            <color indexed="81"/>
            <rFont val="Tahoma"/>
            <family val="2"/>
          </rPr>
          <t xml:space="preserve">
Previously aggregated Powernet results were shown. Now spearated into consituent parties.</t>
        </r>
      </text>
    </comment>
    <comment ref="B46" authorId="2" shapeId="0">
      <text>
        <r>
          <rPr>
            <b/>
            <sz val="9"/>
            <color indexed="81"/>
            <rFont val="Tahoma"/>
            <family val="2"/>
          </rPr>
          <t>David Rohan:</t>
        </r>
        <r>
          <rPr>
            <sz val="9"/>
            <color indexed="81"/>
            <rFont val="Tahoma"/>
            <family val="2"/>
          </rPr>
          <t xml:space="preserve">
Normally industrial demand isn't scaled for demand growth, but because Juken is actually within an EDB, it would have been scaled if it wasn' seperated out. Thus it's scaled here for consistency.</t>
        </r>
      </text>
    </comment>
  </commentList>
</comments>
</file>

<file path=xl/comments4.xml><?xml version="1.0" encoding="utf-8"?>
<comments xmlns="http://schemas.openxmlformats.org/spreadsheetml/2006/main">
  <authors>
    <author>DW</author>
    <author>Whywontyouchange</author>
  </authors>
  <commentList>
    <comment ref="A2" authorId="0" shapeId="0">
      <text>
        <r>
          <rPr>
            <b/>
            <sz val="9"/>
            <color indexed="81"/>
            <rFont val="Tahoma"/>
            <family val="2"/>
          </rPr>
          <t>DW:</t>
        </r>
        <r>
          <rPr>
            <sz val="9"/>
            <color indexed="81"/>
            <rFont val="Tahoma"/>
            <family val="2"/>
          </rPr>
          <t xml:space="preserve">
From vSPD modelling</t>
        </r>
      </text>
    </comment>
    <comment ref="F2" authorId="1" shapeId="0">
      <text>
        <r>
          <rPr>
            <b/>
            <sz val="9"/>
            <color indexed="81"/>
            <rFont val="Tahoma"/>
            <family val="2"/>
          </rPr>
          <t xml:space="preserve">DW:
</t>
        </r>
        <r>
          <rPr>
            <sz val="9"/>
            <color indexed="81"/>
            <rFont val="Tahoma"/>
            <family val="2"/>
          </rPr>
          <t>This is also net benefit, as benefit == charge with no capping</t>
        </r>
      </text>
    </comment>
  </commentList>
</comments>
</file>

<file path=xl/comments5.xml><?xml version="1.0" encoding="utf-8"?>
<comments xmlns="http://schemas.openxmlformats.org/spreadsheetml/2006/main">
  <authors>
    <author>DW</author>
    <author>David Rohan</author>
    <author>Whywontyouchange</author>
  </authors>
  <commentList>
    <comment ref="A2" authorId="0" shapeId="0">
      <text>
        <r>
          <rPr>
            <b/>
            <sz val="9"/>
            <color indexed="81"/>
            <rFont val="Tahoma"/>
            <family val="2"/>
          </rPr>
          <t>DW:</t>
        </r>
        <r>
          <rPr>
            <sz val="9"/>
            <color indexed="81"/>
            <rFont val="Tahoma"/>
            <family val="2"/>
          </rPr>
          <t xml:space="preserve">
From 2014 reconciliation manager data</t>
        </r>
      </text>
    </comment>
    <comment ref="E27" authorId="0" shapeId="0">
      <text>
        <r>
          <rPr>
            <b/>
            <sz val="9"/>
            <color indexed="81"/>
            <rFont val="Tahoma"/>
            <family val="2"/>
          </rPr>
          <t>DW:</t>
        </r>
        <r>
          <rPr>
            <sz val="9"/>
            <color indexed="81"/>
            <rFont val="Tahoma"/>
            <family val="2"/>
          </rPr>
          <t xml:space="preserve">
Not the sum of original, due to non-coincident peaks</t>
        </r>
      </text>
    </comment>
    <comment ref="C94" authorId="0" shapeId="0">
      <text>
        <r>
          <rPr>
            <b/>
            <sz val="9"/>
            <color indexed="81"/>
            <rFont val="Tahoma"/>
            <family val="2"/>
          </rPr>
          <t>DW:</t>
        </r>
        <r>
          <rPr>
            <sz val="9"/>
            <color indexed="81"/>
            <rFont val="Tahoma"/>
            <family val="2"/>
          </rPr>
          <t xml:space="preserve">
originally CHH</t>
        </r>
      </text>
    </comment>
    <comment ref="E94" authorId="1" shapeId="0">
      <text>
        <r>
          <rPr>
            <b/>
            <sz val="9"/>
            <color indexed="81"/>
            <rFont val="Tahoma"/>
            <family val="2"/>
          </rPr>
          <t>David Rohan:</t>
        </r>
        <r>
          <rPr>
            <sz val="9"/>
            <color indexed="81"/>
            <rFont val="Tahoma"/>
            <family val="2"/>
          </rPr>
          <t xml:space="preserve">
Oji at KIN is included at KIN0331 below - it's zero here to avoid double counitng the demand.
</t>
        </r>
      </text>
    </comment>
    <comment ref="E95" authorId="1" shapeId="0">
      <text>
        <r>
          <rPr>
            <b/>
            <sz val="9"/>
            <color indexed="81"/>
            <rFont val="Tahoma"/>
            <family val="2"/>
          </rPr>
          <t>David Rohan:</t>
        </r>
        <r>
          <rPr>
            <sz val="9"/>
            <color indexed="81"/>
            <rFont val="Tahoma"/>
            <family val="2"/>
          </rPr>
          <t xml:space="preserve">
Note that this includes Oji Fibre's gross AMD at KIN</t>
        </r>
      </text>
    </comment>
    <comment ref="E98" authorId="1" shapeId="0">
      <text>
        <r>
          <rPr>
            <b/>
            <sz val="9"/>
            <color indexed="81"/>
            <rFont val="Tahoma"/>
            <family val="2"/>
          </rPr>
          <t>David Rohan:</t>
        </r>
        <r>
          <rPr>
            <sz val="9"/>
            <color indexed="81"/>
            <rFont val="Tahoma"/>
            <family val="2"/>
          </rPr>
          <t xml:space="preserve">
This is Top Energy's full AMD plus Juken's AMD (these non-coincident peaks are added ariithmetically because Juken's charges need to be split out in the results section of thie modelling). The additional 25MW of Ngawha generation included in this modelling (but not in the second issues paper) also reduces Top Energy's residual, see cell 'AW 117' in the 'AMD Calculations' tab.</t>
        </r>
      </text>
    </comment>
    <comment ref="E218" authorId="2" shapeId="0">
      <text>
        <r>
          <rPr>
            <sz val="9"/>
            <color indexed="81"/>
            <rFont val="Tahoma"/>
            <family val="2"/>
          </rPr>
          <t>Holcim comes off here. 80%</t>
        </r>
      </text>
    </comment>
  </commentList>
</comments>
</file>

<file path=xl/comments6.xml><?xml version="1.0" encoding="utf-8"?>
<comments xmlns="http://schemas.openxmlformats.org/spreadsheetml/2006/main">
  <authors>
    <author>David Rohan</author>
  </authors>
  <commentList>
    <comment ref="B2" authorId="0" shapeId="0">
      <text>
        <r>
          <rPr>
            <b/>
            <sz val="9"/>
            <color indexed="81"/>
            <rFont val="Tahoma"/>
            <family val="2"/>
          </rPr>
          <t>David Rohan:</t>
        </r>
        <r>
          <rPr>
            <sz val="9"/>
            <color indexed="81"/>
            <rFont val="Tahoma"/>
            <family val="2"/>
          </rPr>
          <t xml:space="preserve">
This data has not been updated - it is the same as for the Second Issues Paper modelling. </t>
        </r>
      </text>
    </comment>
    <comment ref="A19" authorId="0" shapeId="0">
      <text>
        <r>
          <rPr>
            <b/>
            <sz val="9"/>
            <color indexed="81"/>
            <rFont val="Tahoma"/>
            <family val="2"/>
          </rPr>
          <t>David Rohan:</t>
        </r>
        <r>
          <rPr>
            <sz val="9"/>
            <color indexed="81"/>
            <rFont val="Tahoma"/>
            <family val="2"/>
          </rPr>
          <t xml:space="preserve">
Excluding Refinery </t>
        </r>
      </text>
    </comment>
    <comment ref="A26" authorId="0" shapeId="0">
      <text>
        <r>
          <rPr>
            <b/>
            <sz val="9"/>
            <color indexed="81"/>
            <rFont val="Tahoma"/>
            <family val="2"/>
          </rPr>
          <t>David Rohan:</t>
        </r>
        <r>
          <rPr>
            <sz val="9"/>
            <color indexed="81"/>
            <rFont val="Tahoma"/>
            <family val="2"/>
          </rPr>
          <t xml:space="preserve">
Excluding Juken</t>
        </r>
      </text>
    </comment>
  </commentList>
</comments>
</file>

<file path=xl/comments7.xml><?xml version="1.0" encoding="utf-8"?>
<comments xmlns="http://schemas.openxmlformats.org/spreadsheetml/2006/main">
  <authors>
    <author>DW</author>
  </authors>
  <commentList>
    <comment ref="F2" authorId="0" shapeId="0">
      <text>
        <r>
          <rPr>
            <b/>
            <sz val="9"/>
            <color indexed="81"/>
            <rFont val="Tahoma"/>
            <family val="2"/>
          </rPr>
          <t>DW:</t>
        </r>
        <r>
          <rPr>
            <sz val="9"/>
            <color indexed="81"/>
            <rFont val="Tahoma"/>
            <family val="2"/>
          </rPr>
          <t xml:space="preserve">
These are hard-coded rather than derived from the $m using GWh because the GWh values used for second issues paper are very slightly different from those used in this paper</t>
        </r>
      </text>
    </comment>
  </commentList>
</comments>
</file>

<file path=xl/comments8.xml><?xml version="1.0" encoding="utf-8"?>
<comments xmlns="http://schemas.openxmlformats.org/spreadsheetml/2006/main">
  <authors>
    <author>DW</author>
    <author>David Rohan</author>
  </authors>
  <commentList>
    <comment ref="AW8" authorId="0" shapeId="0">
      <text>
        <r>
          <rPr>
            <b/>
            <sz val="9"/>
            <color indexed="81"/>
            <rFont val="Tahoma"/>
            <family val="2"/>
          </rPr>
          <t>DW:</t>
        </r>
        <r>
          <rPr>
            <sz val="9"/>
            <color indexed="81"/>
            <rFont val="Tahoma"/>
            <family val="2"/>
          </rPr>
          <t xml:space="preserve">
The current overhead allocation (as provided by Transpower) is assumed to be representative. This includes both overhead, and 'unallocated' costs. </t>
        </r>
      </text>
    </comment>
    <comment ref="AW12" authorId="1" shapeId="0">
      <text>
        <r>
          <rPr>
            <b/>
            <sz val="9"/>
            <color indexed="81"/>
            <rFont val="Tahoma"/>
            <family val="2"/>
          </rPr>
          <t>David Rohan:</t>
        </r>
        <r>
          <rPr>
            <sz val="9"/>
            <color indexed="81"/>
            <rFont val="Tahoma"/>
            <family val="2"/>
          </rPr>
          <t xml:space="preserve">
Total revenue less Connection , AoB, and Post-FTR LCE
</t>
        </r>
      </text>
    </comment>
    <comment ref="AW117" authorId="1" shapeId="0">
      <text>
        <r>
          <rPr>
            <b/>
            <sz val="9"/>
            <color indexed="81"/>
            <rFont val="Tahoma"/>
            <family val="2"/>
          </rPr>
          <t>David Rohan:</t>
        </r>
        <r>
          <rPr>
            <sz val="9"/>
            <color indexed="81"/>
            <rFont val="Tahoma"/>
            <family val="2"/>
          </rPr>
          <t xml:space="preserve">
The 25MW additional generation is modelled as reduciung the Gross AMD allocater</t>
        </r>
      </text>
    </comment>
  </commentList>
</comments>
</file>

<file path=xl/comments9.xml><?xml version="1.0" encoding="utf-8"?>
<comments xmlns="http://schemas.openxmlformats.org/spreadsheetml/2006/main">
  <authors>
    <author>David Rohan</author>
  </authors>
  <commentList>
    <comment ref="U1" authorId="0" shapeId="0">
      <text>
        <r>
          <rPr>
            <b/>
            <sz val="9"/>
            <color indexed="81"/>
            <rFont val="Tahoma"/>
            <family val="2"/>
          </rPr>
          <t>David Rohan:</t>
        </r>
        <r>
          <rPr>
            <sz val="9"/>
            <color indexed="81"/>
            <rFont val="Tahoma"/>
            <family val="2"/>
          </rPr>
          <t xml:space="preserve">
The charges for Fonterra are not modelled </t>
        </r>
      </text>
    </comment>
    <comment ref="AL1" authorId="0" shapeId="0">
      <text>
        <r>
          <rPr>
            <b/>
            <sz val="9"/>
            <color indexed="81"/>
            <rFont val="Tahoma"/>
            <family val="2"/>
          </rPr>
          <t>David Rohan:</t>
        </r>
        <r>
          <rPr>
            <sz val="9"/>
            <color indexed="81"/>
            <rFont val="Tahoma"/>
            <family val="2"/>
          </rPr>
          <t xml:space="preserve">
Adjustment of charge to diasggregate Top Energy and Juken </t>
        </r>
      </text>
    </comment>
    <comment ref="Y4" authorId="0" shapeId="0">
      <text>
        <r>
          <rPr>
            <b/>
            <sz val="9"/>
            <color indexed="81"/>
            <rFont val="Tahoma"/>
            <family val="2"/>
          </rPr>
          <t>David Rohan:</t>
        </r>
        <r>
          <rPr>
            <sz val="9"/>
            <color indexed="81"/>
            <rFont val="Tahoma"/>
            <family val="2"/>
          </rPr>
          <t xml:space="preserve">
This asset has 'makeup' revenue from old AoB allocation, as well as benefits from new allocation</t>
        </r>
      </text>
    </comment>
    <comment ref="Q5" authorId="0" shapeId="0">
      <text>
        <r>
          <rPr>
            <b/>
            <sz val="9"/>
            <color indexed="81"/>
            <rFont val="Tahoma"/>
            <family val="2"/>
          </rPr>
          <t>David Rohan:</t>
        </r>
        <r>
          <rPr>
            <sz val="9"/>
            <color indexed="81"/>
            <rFont val="Tahoma"/>
            <family val="2"/>
          </rPr>
          <t xml:space="preserve">
removed on EA advice that these were outside the investment criteria</t>
        </r>
      </text>
    </comment>
    <comment ref="R5" authorId="0" shapeId="0">
      <text>
        <r>
          <rPr>
            <b/>
            <sz val="9"/>
            <color indexed="81"/>
            <rFont val="Tahoma"/>
            <family val="2"/>
          </rPr>
          <t>David Rohan:</t>
        </r>
        <r>
          <rPr>
            <sz val="9"/>
            <color indexed="81"/>
            <rFont val="Tahoma"/>
            <family val="2"/>
          </rPr>
          <t xml:space="preserve">
removed on EA advice that these were outside the investment criteria</t>
        </r>
      </text>
    </comment>
    <comment ref="AM24" authorId="0" shapeId="0">
      <text>
        <r>
          <rPr>
            <b/>
            <sz val="9"/>
            <color indexed="81"/>
            <rFont val="Tahoma"/>
            <family val="2"/>
          </rPr>
          <t>David Rohan:</t>
        </r>
        <r>
          <rPr>
            <sz val="9"/>
            <color indexed="81"/>
            <rFont val="Tahoma"/>
            <family val="2"/>
          </rPr>
          <t xml:space="preserve">
Refinery's AMD included</t>
        </r>
      </text>
    </comment>
    <comment ref="AM27" authorId="0" shapeId="0">
      <text>
        <r>
          <rPr>
            <b/>
            <sz val="9"/>
            <color indexed="81"/>
            <rFont val="Tahoma"/>
            <family val="2"/>
          </rPr>
          <t>David Rohan:</t>
        </r>
        <r>
          <rPr>
            <sz val="9"/>
            <color indexed="81"/>
            <rFont val="Tahoma"/>
            <family val="2"/>
          </rPr>
          <t xml:space="preserve">
CHH/Oji's AMD included
</t>
        </r>
      </text>
    </comment>
    <comment ref="AM31" authorId="0" shapeId="0">
      <text>
        <r>
          <rPr>
            <b/>
            <sz val="9"/>
            <color indexed="81"/>
            <rFont val="Tahoma"/>
            <family val="2"/>
          </rPr>
          <t>David Rohan:</t>
        </r>
        <r>
          <rPr>
            <sz val="9"/>
            <color indexed="81"/>
            <rFont val="Tahoma"/>
            <family val="2"/>
          </rPr>
          <t xml:space="preserve">
Juken's AMD included</t>
        </r>
      </text>
    </comment>
    <comment ref="AR40" authorId="0" shapeId="0">
      <text>
        <r>
          <rPr>
            <b/>
            <sz val="9"/>
            <color indexed="81"/>
            <rFont val="Tahoma"/>
            <family val="2"/>
          </rPr>
          <t>David Rohan:</t>
        </r>
        <r>
          <rPr>
            <sz val="9"/>
            <color indexed="81"/>
            <rFont val="Tahoma"/>
            <family val="2"/>
          </rPr>
          <t xml:space="preserve">
Gneretaion Overhead is alocated in the connection charges - it's excluded here to avoid double counting</t>
        </r>
      </text>
    </comment>
  </commentList>
</comments>
</file>

<file path=xl/sharedStrings.xml><?xml version="1.0" encoding="utf-8"?>
<sst xmlns="http://schemas.openxmlformats.org/spreadsheetml/2006/main" count="13516" uniqueCount="845">
  <si>
    <t>Alpine Energy</t>
  </si>
  <si>
    <t>Aurora Energy</t>
  </si>
  <si>
    <t>Buller Electricity</t>
  </si>
  <si>
    <t>CHH</t>
  </si>
  <si>
    <t>Contact</t>
  </si>
  <si>
    <t>Counties Power</t>
  </si>
  <si>
    <t>Daiken MDF</t>
  </si>
  <si>
    <t>Eastland Network</t>
  </si>
  <si>
    <t>Electra</t>
  </si>
  <si>
    <t>Electricity Ashburton</t>
  </si>
  <si>
    <t>Genesis</t>
  </si>
  <si>
    <t>Horizon</t>
  </si>
  <si>
    <t>Mainpower</t>
  </si>
  <si>
    <t>Marlborough Lines</t>
  </si>
  <si>
    <t>Meridian</t>
  </si>
  <si>
    <t>Methanex</t>
  </si>
  <si>
    <t>Mokai JV</t>
  </si>
  <si>
    <t>MRP</t>
  </si>
  <si>
    <t>NAP JV</t>
  </si>
  <si>
    <t>Network Tasman</t>
  </si>
  <si>
    <t>Network Waitaki</t>
  </si>
  <si>
    <t>Ngatamariki</t>
  </si>
  <si>
    <t>Norske Skog</t>
  </si>
  <si>
    <t>Northpower</t>
  </si>
  <si>
    <t>NZ Steel</t>
  </si>
  <si>
    <t>Orion</t>
  </si>
  <si>
    <t>PanPac</t>
  </si>
  <si>
    <t>Pioneer</t>
  </si>
  <si>
    <t>Powerco</t>
  </si>
  <si>
    <t>Powernet</t>
  </si>
  <si>
    <t>Rayonier</t>
  </si>
  <si>
    <t>Scanpower</t>
  </si>
  <si>
    <t>The Lines Company</t>
  </si>
  <si>
    <t>Todd</t>
  </si>
  <si>
    <t>Top Energy</t>
  </si>
  <si>
    <t>Trustpower</t>
  </si>
  <si>
    <t>Unison</t>
  </si>
  <si>
    <t>Vector</t>
  </si>
  <si>
    <t>Waipa Power</t>
  </si>
  <si>
    <t>WEL</t>
  </si>
  <si>
    <t>Wellington Electricity</t>
  </si>
  <si>
    <t>Westpower</t>
  </si>
  <si>
    <t>Winstones</t>
  </si>
  <si>
    <t>NZAS</t>
  </si>
  <si>
    <t>Generators</t>
  </si>
  <si>
    <t>HVDC</t>
  </si>
  <si>
    <t>RCPD</t>
  </si>
  <si>
    <t>Fonterra</t>
  </si>
  <si>
    <t>Pacific Steel</t>
  </si>
  <si>
    <t>Kiwirail</t>
  </si>
  <si>
    <t>customer</t>
  </si>
  <si>
    <t>Other</t>
  </si>
  <si>
    <t>Pacific Aluminium</t>
  </si>
  <si>
    <t>AoB</t>
  </si>
  <si>
    <t>Residual</t>
  </si>
  <si>
    <t>key</t>
  </si>
  <si>
    <t>Connection</t>
  </si>
  <si>
    <t>LCE</t>
  </si>
  <si>
    <t>Deltas vs status quo, in c/kWh terms</t>
  </si>
  <si>
    <t>Household consumption (kWh per year)</t>
  </si>
  <si>
    <t>Deltas vs status quo, as charges in $ per year terms, for a specified level of household consumption</t>
  </si>
  <si>
    <t>Note, these figures do not include pass-through of charges on generators.</t>
  </si>
  <si>
    <t>EDBs</t>
  </si>
  <si>
    <t>Major industrials</t>
  </si>
  <si>
    <t>Area-of-benefit</t>
  </si>
  <si>
    <t>generator</t>
  </si>
  <si>
    <t>N</t>
  </si>
  <si>
    <t>S</t>
  </si>
  <si>
    <t>Centralines</t>
  </si>
  <si>
    <t>Electricity Invercargill</t>
  </si>
  <si>
    <t>Lakeland Network</t>
  </si>
  <si>
    <t>OtagoNet JV</t>
  </si>
  <si>
    <t>Southern Generation</t>
  </si>
  <si>
    <t>The Power Company</t>
  </si>
  <si>
    <t>New AoB</t>
  </si>
  <si>
    <t>Investment</t>
  </si>
  <si>
    <t>NIGU</t>
  </si>
  <si>
    <t>Pole 3</t>
  </si>
  <si>
    <t>Pole 2</t>
  </si>
  <si>
    <t>NAaN</t>
  </si>
  <si>
    <t>LSI Renewables</t>
  </si>
  <si>
    <t>Wairakei Ring</t>
  </si>
  <si>
    <t>Otahuhu GIS</t>
  </si>
  <si>
    <t>BPE-HAY reconductoring</t>
  </si>
  <si>
    <t>USI reactive support (IGE 4)</t>
  </si>
  <si>
    <t>UNI dynamic reactive support</t>
  </si>
  <si>
    <t>LSI Reliability</t>
  </si>
  <si>
    <t>Wanganui-Stratford</t>
  </si>
  <si>
    <t>ISL-KIK new 220kV circuit</t>
  </si>
  <si>
    <t>Totals</t>
  </si>
  <si>
    <t>investment</t>
  </si>
  <si>
    <t>record_year</t>
  </si>
  <si>
    <t>network</t>
  </si>
  <si>
    <t>category</t>
  </si>
  <si>
    <t>net_charge_uncapped</t>
  </si>
  <si>
    <t>ABY0111</t>
  </si>
  <si>
    <t>load_offtake</t>
  </si>
  <si>
    <t>ALB0331</t>
  </si>
  <si>
    <t>ALB1101</t>
  </si>
  <si>
    <t>APS0111</t>
  </si>
  <si>
    <t>ARA2201 ARA0</t>
  </si>
  <si>
    <t>generation</t>
  </si>
  <si>
    <t>ARG1101</t>
  </si>
  <si>
    <t>TrustPower</t>
  </si>
  <si>
    <t>ARG1101 BRR0</t>
  </si>
  <si>
    <t>ARI1101 ARI0</t>
  </si>
  <si>
    <t>ARI1102 ARI0</t>
  </si>
  <si>
    <t>ASB0331</t>
  </si>
  <si>
    <t>ASB0661</t>
  </si>
  <si>
    <t>ASB0661 HBK0</t>
  </si>
  <si>
    <t>load_injection</t>
  </si>
  <si>
    <t>ASY0111</t>
  </si>
  <si>
    <t>ATI2201 ATI0</t>
  </si>
  <si>
    <t>ATU1101</t>
  </si>
  <si>
    <t>AVI2201 AVI0</t>
  </si>
  <si>
    <t>BAL0331</t>
  </si>
  <si>
    <t>BDE0111</t>
  </si>
  <si>
    <t>BEN2202 BEN0</t>
  </si>
  <si>
    <t>BLN0331</t>
  </si>
  <si>
    <t>BOB0331</t>
  </si>
  <si>
    <t>BOB1101</t>
  </si>
  <si>
    <t>BPD1101</t>
  </si>
  <si>
    <t>BPE0331</t>
  </si>
  <si>
    <t>BPE0331e</t>
  </si>
  <si>
    <t>BPE0551</t>
  </si>
  <si>
    <t>BPT1101</t>
  </si>
  <si>
    <t>BRB0331</t>
  </si>
  <si>
    <t>BRK0331</t>
  </si>
  <si>
    <t>BRY0661</t>
  </si>
  <si>
    <t>BWK1101</t>
  </si>
  <si>
    <t>BWK1101 WPI0</t>
  </si>
  <si>
    <t>CBG0111</t>
  </si>
  <si>
    <t>CLH0111</t>
  </si>
  <si>
    <t>CML0331</t>
  </si>
  <si>
    <t>COL0111</t>
  </si>
  <si>
    <t>COL0661</t>
  </si>
  <si>
    <t>COL0661 COL0</t>
  </si>
  <si>
    <t>CPK0111</t>
  </si>
  <si>
    <t>CPK0331</t>
  </si>
  <si>
    <t>CST0331</t>
  </si>
  <si>
    <t>CUL0331</t>
  </si>
  <si>
    <t>CUL0661</t>
  </si>
  <si>
    <t>CYD0331</t>
  </si>
  <si>
    <t>CYD2201</t>
  </si>
  <si>
    <t>CYD2201 CYD0</t>
  </si>
  <si>
    <t>DOB0331</t>
  </si>
  <si>
    <t>DVK0111</t>
  </si>
  <si>
    <t>EDG0331</t>
  </si>
  <si>
    <t>EDN0331</t>
  </si>
  <si>
    <t>FHL0331</t>
  </si>
  <si>
    <t>FKN0331</t>
  </si>
  <si>
    <t>GFD0331</t>
  </si>
  <si>
    <t>GLN</t>
  </si>
  <si>
    <t>GOR0331</t>
  </si>
  <si>
    <t>GYM0661</t>
  </si>
  <si>
    <t>GYT0331</t>
  </si>
  <si>
    <t>HAM0111</t>
  </si>
  <si>
    <t>HAM0331</t>
  </si>
  <si>
    <t>HAM0551</t>
  </si>
  <si>
    <t>HAY0111</t>
  </si>
  <si>
    <t>HAY0331</t>
  </si>
  <si>
    <t>HEN0331</t>
  </si>
  <si>
    <t>HEP0331</t>
  </si>
  <si>
    <t>HIN0331</t>
  </si>
  <si>
    <t>HKK0661</t>
  </si>
  <si>
    <t>HLY0331</t>
  </si>
  <si>
    <t>HLY2201 HLY1</t>
  </si>
  <si>
    <t>HLY2201 HLY2</t>
  </si>
  <si>
    <t>HLY2201 HLY5</t>
  </si>
  <si>
    <t>HLY2201 HLY6</t>
  </si>
  <si>
    <t>HOB1101</t>
  </si>
  <si>
    <t>HOR0331</t>
  </si>
  <si>
    <t>HOR0661</t>
  </si>
  <si>
    <t>HTI0331</t>
  </si>
  <si>
    <t>HUI0331</t>
  </si>
  <si>
    <t>HWA0331</t>
  </si>
  <si>
    <t>HWA0332</t>
  </si>
  <si>
    <t>HWA1101</t>
  </si>
  <si>
    <t>HWA1101 PTA1</t>
  </si>
  <si>
    <t>HWA1101 PTA2</t>
  </si>
  <si>
    <t>HWA1101 PTA3</t>
  </si>
  <si>
    <t>HWA1102</t>
  </si>
  <si>
    <t>HWA1102 WAA0</t>
  </si>
  <si>
    <t>HWA1102 WAA1</t>
  </si>
  <si>
    <t>HWB0331</t>
  </si>
  <si>
    <t>HWB0331 WPI0</t>
  </si>
  <si>
    <t>HWB0332</t>
  </si>
  <si>
    <t>HWB1101</t>
  </si>
  <si>
    <t>INV0331</t>
  </si>
  <si>
    <t>ISL0331</t>
  </si>
  <si>
    <t>ISL0661</t>
  </si>
  <si>
    <t>KAI0111</t>
  </si>
  <si>
    <t>KAW</t>
  </si>
  <si>
    <t>KAW0111</t>
  </si>
  <si>
    <t>KBY0661</t>
  </si>
  <si>
    <t>KBY0662</t>
  </si>
  <si>
    <t>KIK0111</t>
  </si>
  <si>
    <t>KIN</t>
  </si>
  <si>
    <t>KIN0331</t>
  </si>
  <si>
    <t>KMO0331</t>
  </si>
  <si>
    <t>KOE1101</t>
  </si>
  <si>
    <t>KOE1101e</t>
  </si>
  <si>
    <t>KPA1101 KPI1</t>
  </si>
  <si>
    <t>KPO1101 KPO0</t>
  </si>
  <si>
    <t>KPU0661</t>
  </si>
  <si>
    <t>KUM0661</t>
  </si>
  <si>
    <t>KUM0661 KUM0</t>
  </si>
  <si>
    <t>KWA0111</t>
  </si>
  <si>
    <t>LFD1101</t>
  </si>
  <si>
    <t>LFD1102</t>
  </si>
  <si>
    <t>LTN0331</t>
  </si>
  <si>
    <t>LTN0331e</t>
  </si>
  <si>
    <t>MAN2201 MAN0</t>
  </si>
  <si>
    <t>MAT1101</t>
  </si>
  <si>
    <t>MAT1101 ANI0</t>
  </si>
  <si>
    <t>MAT1101 MAT0</t>
  </si>
  <si>
    <t>MAT1102 MAT0</t>
  </si>
  <si>
    <t>MCH0111</t>
  </si>
  <si>
    <t>MER0331</t>
  </si>
  <si>
    <t>MGM0331</t>
  </si>
  <si>
    <t>MHO0331</t>
  </si>
  <si>
    <t>MHO0331 MHO0</t>
  </si>
  <si>
    <t>MKE1101</t>
  </si>
  <si>
    <t>MKE1101 MKE1</t>
  </si>
  <si>
    <t>MLG0111</t>
  </si>
  <si>
    <t>MLG0331</t>
  </si>
  <si>
    <t>MNG0331</t>
  </si>
  <si>
    <t>MNG1101</t>
  </si>
  <si>
    <t>MNI0111</t>
  </si>
  <si>
    <t>MPE1101</t>
  </si>
  <si>
    <t>MST0331</t>
  </si>
  <si>
    <t>MTI2201 MTI0</t>
  </si>
  <si>
    <t>MTM0331</t>
  </si>
  <si>
    <t>MTN0331</t>
  </si>
  <si>
    <t>MTO0331</t>
  </si>
  <si>
    <t>MTR0331</t>
  </si>
  <si>
    <t>NAP2201</t>
  </si>
  <si>
    <t>NAP2201 NAP0</t>
  </si>
  <si>
    <t>NAP2202</t>
  </si>
  <si>
    <t>NAP2202 NTM0</t>
  </si>
  <si>
    <t>NMA0331</t>
  </si>
  <si>
    <t>NMA0331e</t>
  </si>
  <si>
    <t>NPK0331</t>
  </si>
  <si>
    <t>NPL0331</t>
  </si>
  <si>
    <t>NSY0331</t>
  </si>
  <si>
    <t>NSY0331 PAE0</t>
  </si>
  <si>
    <t>OAM0331</t>
  </si>
  <si>
    <t>OHA2201 OHA0</t>
  </si>
  <si>
    <t>OHB2201 OHB0</t>
  </si>
  <si>
    <t>OHC2201 OHC0</t>
  </si>
  <si>
    <t>OHK2201 OHK0</t>
  </si>
  <si>
    <t>OKI2201 OKI0</t>
  </si>
  <si>
    <t>OKN0111</t>
  </si>
  <si>
    <t>ONG0331</t>
  </si>
  <si>
    <t>OPK0331</t>
  </si>
  <si>
    <t>ORO1101</t>
  </si>
  <si>
    <t>ORO1102</t>
  </si>
  <si>
    <t>OTA0221</t>
  </si>
  <si>
    <t>OTI0111</t>
  </si>
  <si>
    <t>OWH0111</t>
  </si>
  <si>
    <t>PAK0331</t>
  </si>
  <si>
    <t>PAO1101</t>
  </si>
  <si>
    <t>PEN0221</t>
  </si>
  <si>
    <t>PEN0251</t>
  </si>
  <si>
    <t>PEN0331</t>
  </si>
  <si>
    <t>PEN1101</t>
  </si>
  <si>
    <t>PNI0331</t>
  </si>
  <si>
    <t>PPI2201</t>
  </si>
  <si>
    <t>PPI2201 PPI0</t>
  </si>
  <si>
    <t>PRM0331</t>
  </si>
  <si>
    <t>RDF0331</t>
  </si>
  <si>
    <t>RFN1101</t>
  </si>
  <si>
    <t>RFN1102</t>
  </si>
  <si>
    <t>ROS0221</t>
  </si>
  <si>
    <t>ROS1101</t>
  </si>
  <si>
    <t>ROT0111</t>
  </si>
  <si>
    <t>ROT0331</t>
  </si>
  <si>
    <t>ROT1101</t>
  </si>
  <si>
    <t>ROT1101 WHE0</t>
  </si>
  <si>
    <t>ROX1101 ROX0</t>
  </si>
  <si>
    <t>ROX2201 ROX0</t>
  </si>
  <si>
    <t>RPO2201 RPO0</t>
  </si>
  <si>
    <t>SBK0331</t>
  </si>
  <si>
    <t>SDN0331</t>
  </si>
  <si>
    <t>SFD0331</t>
  </si>
  <si>
    <t>SFD2201</t>
  </si>
  <si>
    <t>SFD2201 SFD21</t>
  </si>
  <si>
    <t>SFD2201 SFD22</t>
  </si>
  <si>
    <t>SFD2201 SPL0</t>
  </si>
  <si>
    <t>STK0331</t>
  </si>
  <si>
    <t>STK0661 COB0</t>
  </si>
  <si>
    <t>STU0111</t>
  </si>
  <si>
    <t>SVL0331</t>
  </si>
  <si>
    <t>SWN0251</t>
  </si>
  <si>
    <t>SWN2201</t>
  </si>
  <si>
    <t>SWN2201 SWN5</t>
  </si>
  <si>
    <t>TAK0331</t>
  </si>
  <si>
    <t>TGA0111</t>
  </si>
  <si>
    <t>TGA0331</t>
  </si>
  <si>
    <t>TGA0331 KMI0</t>
  </si>
  <si>
    <t>THI2201</t>
  </si>
  <si>
    <t>THI2201 THI1</t>
  </si>
  <si>
    <t>THI2201 THI2</t>
  </si>
  <si>
    <t>TIM0111</t>
  </si>
  <si>
    <t>TKA0111 TKA1</t>
  </si>
  <si>
    <t>TKB2201 TKB1</t>
  </si>
  <si>
    <t>TKH0111</t>
  </si>
  <si>
    <t>TKR0331</t>
  </si>
  <si>
    <t>TKU0331</t>
  </si>
  <si>
    <t>TKU2201 TKU0</t>
  </si>
  <si>
    <t>TMI0331</t>
  </si>
  <si>
    <t>TMK0331</t>
  </si>
  <si>
    <t>TMN0551</t>
  </si>
  <si>
    <t>TMU0111</t>
  </si>
  <si>
    <t>TNG0111</t>
  </si>
  <si>
    <t>TNG0551</t>
  </si>
  <si>
    <t>TRK0111</t>
  </si>
  <si>
    <t>TUI1101</t>
  </si>
  <si>
    <t>TUI1101 KTW0</t>
  </si>
  <si>
    <t>TUI1101 PRI0</t>
  </si>
  <si>
    <t>TUI1101 TUI0</t>
  </si>
  <si>
    <t>TWC2201</t>
  </si>
  <si>
    <t>TWH0331</t>
  </si>
  <si>
    <t>TWH0331 TRC1</t>
  </si>
  <si>
    <t>TWH0331e</t>
  </si>
  <si>
    <t>TWI2201</t>
  </si>
  <si>
    <t>TWZ0331</t>
  </si>
  <si>
    <t>UHT0331</t>
  </si>
  <si>
    <t>WAI0111</t>
  </si>
  <si>
    <t>WDV0111</t>
  </si>
  <si>
    <t>WDV1101</t>
  </si>
  <si>
    <t>WEL0331</t>
  </si>
  <si>
    <t>WGN0331</t>
  </si>
  <si>
    <t>WHI0111</t>
  </si>
  <si>
    <t>WHI2201</t>
  </si>
  <si>
    <t>WHI2201 WHI0</t>
  </si>
  <si>
    <t>WHU0331</t>
  </si>
  <si>
    <t>WIL0331</t>
  </si>
  <si>
    <t>WIR0331</t>
  </si>
  <si>
    <t>WKM2201</t>
  </si>
  <si>
    <t>WKM2201 MOK0</t>
  </si>
  <si>
    <t>WKM2201 WKM0</t>
  </si>
  <si>
    <t>WKO0331</t>
  </si>
  <si>
    <t>WPA2201 WPA0</t>
  </si>
  <si>
    <t>WPR0331</t>
  </si>
  <si>
    <t>WPR0661</t>
  </si>
  <si>
    <t>WPT0111</t>
  </si>
  <si>
    <t>WPW0331</t>
  </si>
  <si>
    <t>WRD0331</t>
  </si>
  <si>
    <t>WRK0331</t>
  </si>
  <si>
    <t>WRK0331 RKA0</t>
  </si>
  <si>
    <t>WRK0331 TAA0</t>
  </si>
  <si>
    <t>WRK2201 WRK0</t>
  </si>
  <si>
    <t>WTK0111</t>
  </si>
  <si>
    <t>WTK0111 WTK0</t>
  </si>
  <si>
    <t>WTU0331</t>
  </si>
  <si>
    <t>WVY0111</t>
  </si>
  <si>
    <t>WWD1102</t>
  </si>
  <si>
    <t>WWD1103</t>
  </si>
  <si>
    <t>Reveue requirement</t>
  </si>
  <si>
    <t>To be allocated by old AoB</t>
  </si>
  <si>
    <t>node</t>
  </si>
  <si>
    <t>ADD0111</t>
  </si>
  <si>
    <t>ADD0661</t>
  </si>
  <si>
    <t>BRY0111</t>
  </si>
  <si>
    <t>GIS0501</t>
  </si>
  <si>
    <t>GLN0331</t>
  </si>
  <si>
    <t>GLN0332</t>
  </si>
  <si>
    <t>KAW0112</t>
  </si>
  <si>
    <t>KAW0113</t>
  </si>
  <si>
    <t>KAW1101</t>
  </si>
  <si>
    <t>KEN0331</t>
  </si>
  <si>
    <t>KIN0111</t>
  </si>
  <si>
    <t>KIN0112</t>
  </si>
  <si>
    <t>KIN0113</t>
  </si>
  <si>
    <t>KPA1101</t>
  </si>
  <si>
    <t>MAN2201</t>
  </si>
  <si>
    <t>MLN0661</t>
  </si>
  <si>
    <t>MLN0664</t>
  </si>
  <si>
    <t>MOT0111</t>
  </si>
  <si>
    <t>MPI0661</t>
  </si>
  <si>
    <t>OTA1101</t>
  </si>
  <si>
    <t>OTA1102</t>
  </si>
  <si>
    <t>PAL0331</t>
  </si>
  <si>
    <t>SPN0331</t>
  </si>
  <si>
    <t>SPN0661</t>
  </si>
  <si>
    <t>TKA0331</t>
  </si>
  <si>
    <t>WRA0111</t>
  </si>
  <si>
    <t>gross_amd_mw</t>
  </si>
  <si>
    <t>offer_code</t>
  </si>
  <si>
    <t>BEN0162 BEN0</t>
  </si>
  <si>
    <t>BEN0163 BEN0</t>
  </si>
  <si>
    <t>COB0661 COB0</t>
  </si>
  <si>
    <t>GLN0332 GLN0</t>
  </si>
  <si>
    <t>KAW0112 ONU0</t>
  </si>
  <si>
    <t>KAW1101 KAG0</t>
  </si>
  <si>
    <t>KIN0112 KIN0</t>
  </si>
  <si>
    <t>OTA2202 OTC0</t>
  </si>
  <si>
    <t>SWN2201 SWN0</t>
  </si>
  <si>
    <t>TKA0111 TKA0</t>
  </si>
  <si>
    <t>TKB2201 TKB0</t>
  </si>
  <si>
    <t>charge_group</t>
  </si>
  <si>
    <t>All consumers</t>
  </si>
  <si>
    <t>All LSI generators</t>
  </si>
  <si>
    <t>All NI consumers</t>
  </si>
  <si>
    <t>All NI generators</t>
  </si>
  <si>
    <t>All SI consumers</t>
  </si>
  <si>
    <t>All SI generators</t>
  </si>
  <si>
    <t>CNI geothermals + Waikato hydro from Atiamuri + BOP generators</t>
  </si>
  <si>
    <t>Loads north of WKM</t>
  </si>
  <si>
    <t>Taranaki loads</t>
  </si>
  <si>
    <t>Wellington loads</t>
  </si>
  <si>
    <t>SI loads Christchurch and north</t>
  </si>
  <si>
    <t>SI loads Studholme and north</t>
  </si>
  <si>
    <t>Naseby</t>
  </si>
  <si>
    <t>Manapouri</t>
  </si>
  <si>
    <t>Tekapo B</t>
  </si>
  <si>
    <t>TCC</t>
  </si>
  <si>
    <t>Huntly</t>
  </si>
  <si>
    <t>Load at Woodville</t>
  </si>
  <si>
    <t>Blenheim load</t>
  </si>
  <si>
    <t>Culverden</t>
  </si>
  <si>
    <t>Otira and Arthurs Pass</t>
  </si>
  <si>
    <t>Load at Bunnythorpe</t>
  </si>
  <si>
    <t>Load at Haywards Melling Gracefield</t>
  </si>
  <si>
    <t>Paraparaumu</t>
  </si>
  <si>
    <t>Loads at Wiri Bombay</t>
  </si>
  <si>
    <t>Loads at Tauranga Mt Maunganui Kaitemako</t>
  </si>
  <si>
    <t>Loads at Takanini Drury Glenbrook</t>
  </si>
  <si>
    <t>Loads Wilton Central Park Kaiwharawhara</t>
  </si>
  <si>
    <t>West Coast load</t>
  </si>
  <si>
    <t>Loads in Nelson-Marlborough and West Coast</t>
  </si>
  <si>
    <t>Loads at Balclutha Berwick Waipori</t>
  </si>
  <si>
    <t>Load at Waverley Hawera and Whareroa</t>
  </si>
  <si>
    <t>Load at Redclyffe Whakatu</t>
  </si>
  <si>
    <t>Bay of Plenty load</t>
  </si>
  <si>
    <t>Load at Tiwai and Invercargill and in the Southland 110kV network</t>
  </si>
  <si>
    <t>Loads Bombay and north</t>
  </si>
  <si>
    <t>Loads Pakuranga and north</t>
  </si>
  <si>
    <t>Loads Penrose and north</t>
  </si>
  <si>
    <t>Loads Henderson and north</t>
  </si>
  <si>
    <t>Loads Hepburn and north</t>
  </si>
  <si>
    <t>Loads Albany and north</t>
  </si>
  <si>
    <t>Loads Marsden and north</t>
  </si>
  <si>
    <t>Taranaki generation</t>
  </si>
  <si>
    <t>Te Apiti</t>
  </si>
  <si>
    <t>West Wind</t>
  </si>
  <si>
    <t>Waipori</t>
  </si>
  <si>
    <t>Generation at Waverley Hawera and Whareroa</t>
  </si>
  <si>
    <t>Generation at Atiamuri Ohakuri and in the Bay of Plenty</t>
  </si>
  <si>
    <t>Rangipo</t>
  </si>
  <si>
    <t>Tokaanu</t>
  </si>
  <si>
    <t>Gore</t>
  </si>
  <si>
    <t>Tangiwai</t>
  </si>
  <si>
    <t>Load at Tarukenga Rotorua Mt Maunganui Tauranga</t>
  </si>
  <si>
    <t>Dunedin loads</t>
  </si>
  <si>
    <t>Southland loads</t>
  </si>
  <si>
    <t>Loads in Ongarue National Park Ohakune Mataroa</t>
  </si>
  <si>
    <t>aob_charge_group_definitions</t>
  </si>
  <si>
    <t>offer_node_to_participant</t>
  </si>
  <si>
    <t>.</t>
  </si>
  <si>
    <t>GWh/yr</t>
  </si>
  <si>
    <t>PROPORTIONS ALLOCATION</t>
  </si>
  <si>
    <t>Demand allocation 1</t>
  </si>
  <si>
    <t>Demand allocation 2</t>
  </si>
  <si>
    <t>Generation allocation 1</t>
  </si>
  <si>
    <t>Generation allocation 2</t>
  </si>
  <si>
    <t>Charges to party by investment</t>
  </si>
  <si>
    <t>MAKE-UP CHARGES FROM OLD AOB ALLOCATION</t>
  </si>
  <si>
    <t>Rev req</t>
  </si>
  <si>
    <t>vSPD ALLOCATION CHARGES</t>
  </si>
  <si>
    <t>noLSIren</t>
  </si>
  <si>
    <t>noNAaN</t>
  </si>
  <si>
    <t>noNIGU</t>
  </si>
  <si>
    <t>noWRK</t>
  </si>
  <si>
    <t>check</t>
  </si>
  <si>
    <t>FINAL OUTPUTS ($M/year)</t>
  </si>
  <si>
    <t>PART 1 - Calculate AMDs and GWH/yr allocaters for each investment and customer group (BY NODE BY CUSTOMER)</t>
  </si>
  <si>
    <t>Total reveue requirement</t>
  </si>
  <si>
    <t>AoB Charge</t>
  </si>
  <si>
    <t>noNIGU21</t>
  </si>
  <si>
    <t>Net Uncapped benefit ($m)</t>
  </si>
  <si>
    <t>Total AMD</t>
  </si>
  <si>
    <t>PART 2 - Allocate AoB Charges BY NODE BY CUSTOMER</t>
  </si>
  <si>
    <t xml:space="preserve">PART 3 - Residual Allocation </t>
  </si>
  <si>
    <t>EDB ave $/MWh</t>
  </si>
  <si>
    <t>status quo</t>
  </si>
  <si>
    <t>graphing</t>
  </si>
  <si>
    <t>Electra Limited</t>
  </si>
  <si>
    <t>Horizon Energy Distribution</t>
  </si>
  <si>
    <t>Mainpower New Zealand</t>
  </si>
  <si>
    <t>Marlborough Lines Limited</t>
  </si>
  <si>
    <t>Network Tasman Limited</t>
  </si>
  <si>
    <t>Network Waitaki Limited</t>
  </si>
  <si>
    <t>Northpower Limited</t>
  </si>
  <si>
    <t>Orion New Zealand</t>
  </si>
  <si>
    <t>OtagoNet Joint Venture</t>
  </si>
  <si>
    <t>Powerco Limited</t>
  </si>
  <si>
    <t>Scanpower Limited</t>
  </si>
  <si>
    <t>Top Energy Limited</t>
  </si>
  <si>
    <t>Unison Networks</t>
  </si>
  <si>
    <t>Vector Lines Limited</t>
  </si>
  <si>
    <t>Waipa Networks Limited</t>
  </si>
  <si>
    <t>WEL Networks</t>
  </si>
  <si>
    <t>Wellington Electricity Limited</t>
  </si>
  <si>
    <t>Westpower Limited</t>
  </si>
  <si>
    <t>Total</t>
  </si>
  <si>
    <t xml:space="preserve">Centralines </t>
  </si>
  <si>
    <t>ACOT allowance  ($m/yr)</t>
  </si>
  <si>
    <t>Vector (Northern)</t>
  </si>
  <si>
    <t>Vector (Auckland)</t>
  </si>
  <si>
    <t>Powerco (Tauranga)</t>
  </si>
  <si>
    <t>Powerco (Thames Valley)</t>
  </si>
  <si>
    <t>Waipa Networks</t>
  </si>
  <si>
    <t>Horizon Energy (Urban)</t>
  </si>
  <si>
    <t>Unison (Rotorua)</t>
  </si>
  <si>
    <t>Unison (Taupo)</t>
  </si>
  <si>
    <t>Eastland (High Density)</t>
  </si>
  <si>
    <t>Powerco (Western A - Nth Taranaki)</t>
  </si>
  <si>
    <t>The Lines Company (Hangatiki GXP - LV High Density)</t>
  </si>
  <si>
    <t>The Lines Company (Ongarue GXP - LV High Density)</t>
  </si>
  <si>
    <t>Unison (Hawke's Bay)</t>
  </si>
  <si>
    <t>Powerco (Western B - Sth Taranaki)</t>
  </si>
  <si>
    <t>Powerco (Western A - Whanganui)</t>
  </si>
  <si>
    <t>Powerco (Western B - Wairarapa)</t>
  </si>
  <si>
    <t>Powerco (Western A - Manawatu)</t>
  </si>
  <si>
    <t xml:space="preserve">Wellington Electricity Lines </t>
  </si>
  <si>
    <t>Nelson Electricity</t>
  </si>
  <si>
    <t>Marlborough Lines (Non-remote)</t>
  </si>
  <si>
    <t>Mainpower (North Canterbury)</t>
  </si>
  <si>
    <t>Mainpower (Kaiapoi)</t>
  </si>
  <si>
    <t>Orion NZ</t>
  </si>
  <si>
    <t>EA Networks</t>
  </si>
  <si>
    <t>Aurora Energy (Dunedin)</t>
  </si>
  <si>
    <t>Aurora Energy (Queenstown)</t>
  </si>
  <si>
    <t>Aurora Energy (Clyde/Cromwell)</t>
  </si>
  <si>
    <t>The Power Company (Urban)</t>
  </si>
  <si>
    <t>MBIE Quarterly electricity price survey</t>
  </si>
  <si>
    <t xml:space="preserve">ACOT + Status quo </t>
  </si>
  <si>
    <t>Deltas vs status quo, as % of EDB's retail tariff</t>
  </si>
  <si>
    <t>$/MWh</t>
  </si>
  <si>
    <t>ACOT only</t>
  </si>
  <si>
    <t>$/yr</t>
  </si>
  <si>
    <t>AoB + Residual</t>
  </si>
  <si>
    <t>Status quo (Post 2017, Interconnection + HVDC)</t>
  </si>
  <si>
    <t>ASB</t>
  </si>
  <si>
    <t>AoB component</t>
  </si>
  <si>
    <t>All in $/MWh</t>
  </si>
  <si>
    <t>Retail</t>
  </si>
  <si>
    <t>Lines Comp</t>
  </si>
  <si>
    <t>c/kWh</t>
  </si>
  <si>
    <t>Retail excl GST</t>
  </si>
  <si>
    <t>Energy/Other</t>
  </si>
  <si>
    <t>MBIE DATA c/kWh</t>
  </si>
  <si>
    <t>Network Lines Cost excl GST</t>
  </si>
  <si>
    <t>TPM Proposal</t>
  </si>
  <si>
    <t>Refinery</t>
  </si>
  <si>
    <t>`</t>
  </si>
  <si>
    <t>Proposal</t>
  </si>
  <si>
    <t>GRAPHING</t>
  </si>
  <si>
    <t>poc</t>
  </si>
  <si>
    <t>OKI2201</t>
  </si>
  <si>
    <t>WRK2201</t>
  </si>
  <si>
    <t>HLY2201</t>
  </si>
  <si>
    <t>TKA0111</t>
  </si>
  <si>
    <t>TKB2201</t>
  </si>
  <si>
    <t>TKU2201</t>
  </si>
  <si>
    <t>AVI2201</t>
  </si>
  <si>
    <t>BEN2202</t>
  </si>
  <si>
    <t>OHA2201</t>
  </si>
  <si>
    <t>OHB2201</t>
  </si>
  <si>
    <t>OHC2201</t>
  </si>
  <si>
    <t>ARA2201</t>
  </si>
  <si>
    <t>ARI1101</t>
  </si>
  <si>
    <t>ARI1102</t>
  </si>
  <si>
    <t>ATI2201</t>
  </si>
  <si>
    <t>MTI2201</t>
  </si>
  <si>
    <t>OHK2201</t>
  </si>
  <si>
    <t>WPA2201</t>
  </si>
  <si>
    <t>COB0661</t>
  </si>
  <si>
    <t>MAT1102</t>
  </si>
  <si>
    <t>Gross MW</t>
  </si>
  <si>
    <t>Average of Proposed Lines Co. charges (volume weighted)</t>
  </si>
  <si>
    <t>Old</t>
  </si>
  <si>
    <t>$m/year</t>
  </si>
  <si>
    <t>HVAC</t>
  </si>
  <si>
    <t>total charge</t>
  </si>
  <si>
    <t>O/H to load</t>
  </si>
  <si>
    <t>O/H</t>
  </si>
  <si>
    <t>Gen share</t>
  </si>
  <si>
    <t>Load share</t>
  </si>
  <si>
    <t>O/H Load</t>
  </si>
  <si>
    <t>O/H Gen</t>
  </si>
  <si>
    <t xml:space="preserve">O/H </t>
  </si>
  <si>
    <t>Residual Component + Overhead</t>
  </si>
  <si>
    <t>AoB Component</t>
  </si>
  <si>
    <t xml:space="preserve">Residual component </t>
  </si>
  <si>
    <t>AoB as % of (AoB + Res +OH)</t>
  </si>
  <si>
    <t>Load or Gen share of OH</t>
  </si>
  <si>
    <t>Status quo (Post 2017 TPM)</t>
  </si>
  <si>
    <t>Residual Charge +O/H</t>
  </si>
  <si>
    <t>O/H allocated as share of TOTAL CHARGES</t>
  </si>
  <si>
    <t>O/H allocated as share of RESIDUAL</t>
  </si>
  <si>
    <t>_Top Energy</t>
  </si>
  <si>
    <t>OVERHEAD OPTIONS</t>
  </si>
  <si>
    <t>O/H Option</t>
  </si>
  <si>
    <t>Charges as $m/year by charge component</t>
  </si>
  <si>
    <t>&gt; $5m projectAoB</t>
  </si>
  <si>
    <t>Interconn.</t>
  </si>
  <si>
    <t>Conn.</t>
  </si>
  <si>
    <t>Update Rev Req (May 2016)</t>
  </si>
  <si>
    <t>Proposal (May 2016)</t>
  </si>
  <si>
    <t xml:space="preserve">Status quo </t>
  </si>
  <si>
    <t>Status quo (May 2016 update)</t>
  </si>
  <si>
    <t>Graphing</t>
  </si>
  <si>
    <t>Data Lookup</t>
  </si>
  <si>
    <t>Mercury</t>
  </si>
  <si>
    <t>Nga Awa Purua JV</t>
  </si>
  <si>
    <t>Pan Pac</t>
  </si>
  <si>
    <t>Refining NZ</t>
  </si>
  <si>
    <t>NZ Aluminium Smelter</t>
  </si>
  <si>
    <t>Tuaropaki</t>
  </si>
  <si>
    <t>DATA SORTED GEOGRAPHICALLY</t>
  </si>
  <si>
    <t xml:space="preserve"> GWh/yr</t>
  </si>
  <si>
    <t>Proposal assuming ACOT discontinued</t>
  </si>
  <si>
    <t>Proposal assuming continuation of ACOT</t>
  </si>
  <si>
    <t>Average tx cost across EDBs</t>
  </si>
  <si>
    <t>New</t>
  </si>
  <si>
    <t xml:space="preserve"> Information from Transpower regarding investment revenue requirements</t>
  </si>
  <si>
    <t>Allocation as per vSPD</t>
  </si>
  <si>
    <t>Allocation based on regional beneficiary approach</t>
  </si>
  <si>
    <t>Total ($m)</t>
  </si>
  <si>
    <t>Residual charge</t>
  </si>
  <si>
    <t xml:space="preserve">Total Residual Revenue </t>
  </si>
  <si>
    <t xml:space="preserve"> Rev Req ($m)</t>
  </si>
  <si>
    <t>Modelling approach</t>
  </si>
  <si>
    <t xml:space="preserve">Amount recovered  $m per year) </t>
  </si>
  <si>
    <t>index</t>
  </si>
  <si>
    <t>To be allocated by vSPD</t>
  </si>
  <si>
    <t>Residual component + Overhead</t>
  </si>
  <si>
    <t>Residual + O/H</t>
  </si>
  <si>
    <t>This table maps GXPs/GIPs to regions for the 'make up' allocation (i.e. where vSPD isn't used for AoB charge)</t>
  </si>
  <si>
    <t>GRAPHING Names</t>
  </si>
  <si>
    <t>Working names</t>
  </si>
  <si>
    <t>Carter Holt Harvey</t>
  </si>
  <si>
    <t>sq</t>
  </si>
  <si>
    <t>prop</t>
  </si>
  <si>
    <t>SQ</t>
  </si>
  <si>
    <t>Prop</t>
  </si>
  <si>
    <t>GWh</t>
  </si>
  <si>
    <t>Recovery Amounts</t>
  </si>
  <si>
    <t>Tab</t>
  </si>
  <si>
    <t>Description</t>
  </si>
  <si>
    <t>Mapping A</t>
  </si>
  <si>
    <t>Mapping B</t>
  </si>
  <si>
    <t>Rev Adequacy</t>
  </si>
  <si>
    <t xml:space="preserve">Charges to party by investment </t>
  </si>
  <si>
    <t>Charges as $M/year</t>
  </si>
  <si>
    <t>Charges as $/MWh</t>
  </si>
  <si>
    <t>ACOT</t>
  </si>
  <si>
    <t>Commerce Commission disclosure data</t>
  </si>
  <si>
    <t>Charges as residential impact</t>
  </si>
  <si>
    <t>Deltas</t>
  </si>
  <si>
    <t>This shet stores the indicative network-specific average residential offtake data</t>
  </si>
  <si>
    <t>This sheet charts the differences between the status quo and the proposal for various comparison metrics (eg c/kWh, proportion of retail charge, and estimated $/year household impact)</t>
  </si>
  <si>
    <t>Volumes</t>
  </si>
  <si>
    <t>Summary volume data (GWh.year) used in the analysis</t>
  </si>
  <si>
    <t>Charts the output as the tab describes</t>
  </si>
  <si>
    <t>Additional AoB charge for &gt;$5m projects (totals 5.51m)</t>
  </si>
  <si>
    <t>Minor investments (&gt;$5m)</t>
  </si>
  <si>
    <t>Large investments</t>
  </si>
  <si>
    <t>This sheet has three key parts; PART 1 Calculate AMDs and GWH/yr allocators for each investment and customer group (by node and by customer); PART 2 Allocates AoB Charges for the regional method (i.e. not the vSPD method) by node and by customer; PART 3, the Residual allocation to offtake. Note that the results of vSPD modelling and SQL post-processing are an input to this process, and are 'pasted' into cells B5:G1988of this tab.</t>
  </si>
  <si>
    <t xml:space="preserve">It should be noted that the 'Area of Benefit' charge has been modelled using two methods. The six largest investments use the 'vSPD method'  to identify the net benefits to offtake and injection at each node. For the smaller investments, and where the vSPD benefits are less than the total investment revenue requirement, the prescriptive 'regional area of benefit' method is used. The 'regional area of benefit' method allocates the investment's revenue requirement to nodes in specific regions where they are subsequently shared by capacity (for offtake) or GWh/year (for generation). </t>
  </si>
  <si>
    <t>This sheet summarises the overall TPM revenue requirements for the analysis, and also the investment specific revenue requirements usefd in the Area of Benefit Charge allocation</t>
  </si>
  <si>
    <t xml:space="preserve">This sheet summarises all of the charge components by customer (it first also collates area of benefit charges, from the two methods used, by investment). Note that cell AQ7 allows the method of overhead allocation for offtake to be chosen (i.e in proportion to the residual charge only, or as a surcharge). </t>
  </si>
  <si>
    <t>This table is used to map groups of parties to nodes. It is used in the Are of Benefit calculation when the vSPD method is not used (i.e. when vSPD net benefits are less than the investment's revenue requiremnet, or for the smaller investments where vSPD wasn't used at all).</t>
  </si>
  <si>
    <t>Residual Charge (excl. O/H)</t>
  </si>
  <si>
    <t>Juken</t>
  </si>
  <si>
    <t>ORO110</t>
  </si>
  <si>
    <t>RFN110</t>
  </si>
  <si>
    <t>Tuorapaki</t>
  </si>
  <si>
    <t>KAW0112 DLS0</t>
  </si>
  <si>
    <t>KAW0113 DLS1</t>
  </si>
  <si>
    <t>Loads in Wellsford Maungaturoto Maungatapere</t>
  </si>
  <si>
    <t>TUI0111</t>
  </si>
  <si>
    <t>WTK0331</t>
  </si>
  <si>
    <t>network_name</t>
  </si>
  <si>
    <t>pooled_new</t>
  </si>
  <si>
    <t>Gross AMD</t>
  </si>
  <si>
    <t>&gt; $5m projectAoB (total)</t>
  </si>
  <si>
    <t>connection</t>
  </si>
  <si>
    <t>2014 Gross AMD data (from SQL) scaled to 2019</t>
  </si>
  <si>
    <t>years</t>
  </si>
  <si>
    <t>Offered generation</t>
  </si>
  <si>
    <t>AMD</t>
  </si>
  <si>
    <t>2nd issues paper</t>
  </si>
  <si>
    <t>newNIGU</t>
  </si>
  <si>
    <t>http://www.mbie.govt.nz/info-services/sectors-industries/energy/energy-data-modelling/statistics/prices/electricity-prices/QSDEP_Report_15Aug2016.xlsx</t>
  </si>
  <si>
    <t>MBIE data by  our customer list  -  Excl GST</t>
  </si>
  <si>
    <t>Alpine Energy (Low Cost Area)</t>
  </si>
  <si>
    <t>Residual Reallocation 1</t>
  </si>
  <si>
    <t>Residual Reallocation 2</t>
  </si>
  <si>
    <t>$m residual reallocated</t>
  </si>
  <si>
    <t xml:space="preserve">Issues Paper </t>
  </si>
  <si>
    <t>Refined Residual Charge (excl. O/H)</t>
  </si>
  <si>
    <t>&gt; $5m project AoB</t>
  </si>
  <si>
    <t>Customer aggregated AMD</t>
  </si>
  <si>
    <t>Refined TPM charge</t>
  </si>
  <si>
    <t>DEMAND GWh/yr</t>
  </si>
  <si>
    <t>SQ tx $/MWh</t>
  </si>
  <si>
    <t>Proposal tx $/MWh</t>
  </si>
  <si>
    <t>Retail tariff (c/kW) old</t>
  </si>
  <si>
    <t>Max residual allowed by cap %</t>
  </si>
  <si>
    <t>Residual over cap for reallocation</t>
  </si>
  <si>
    <t>TRANSITION Residual Charge (excl. O/H)</t>
  </si>
  <si>
    <t>First realllocation % change</t>
  </si>
  <si>
    <t>Second realllocation % change</t>
  </si>
  <si>
    <t>Issues Paper %</t>
  </si>
  <si>
    <t>Incease in residual charge for uncapped parties</t>
  </si>
  <si>
    <t>Second Issues Paper</t>
  </si>
  <si>
    <t xml:space="preserve">Refined Proposal </t>
  </si>
  <si>
    <t>All $m/year</t>
  </si>
  <si>
    <t xml:space="preserve"> Residual (ex O/H)</t>
  </si>
  <si>
    <t>Residual +O/H</t>
  </si>
  <si>
    <t>AoB (no cap)</t>
  </si>
  <si>
    <t>Second Issues Paper Proposal</t>
  </si>
  <si>
    <t>Refined Proposal (no capping)</t>
  </si>
  <si>
    <t>ACOT ($m/yr)</t>
  </si>
  <si>
    <t>ACOT ($/MWh</t>
  </si>
  <si>
    <t>ACOT + Status quo ($/MWh)</t>
  </si>
  <si>
    <t>(Proposal - SQ) ACOT Cont.</t>
  </si>
  <si>
    <t>(Proposal - SQ) ACOT Discont.</t>
  </si>
  <si>
    <t>Second Issues paper</t>
  </si>
  <si>
    <t>Notes</t>
  </si>
  <si>
    <t>Decrease is due to anomalies ORO</t>
  </si>
  <si>
    <t>Decrease is due to anomalies ASB</t>
  </si>
  <si>
    <t>Decrease is due to anomalies RFN</t>
  </si>
  <si>
    <t>Proposal assuming continuation of ACOT,</t>
  </si>
  <si>
    <t>Proposal assuming ACOT discontinued,</t>
  </si>
  <si>
    <t>NB With Anomalies reduced, EA now below 5% increase</t>
  </si>
  <si>
    <t>Revised proposal (uncapped)</t>
  </si>
  <si>
    <t>RCP3 Forecast 2020/21</t>
  </si>
  <si>
    <t>ORIGINAL  '&gt; $5m projectAoB</t>
  </si>
  <si>
    <t>Scaled Rev Req</t>
  </si>
  <si>
    <t>SCALED Rev Req ($m)</t>
  </si>
  <si>
    <t>Modelled REV REQ</t>
  </si>
  <si>
    <t>ish?</t>
  </si>
  <si>
    <t>ADJUSTED Retail tariff excl GST(c/kWh) 2020</t>
  </si>
  <si>
    <t>Indust. Energy c/kWh</t>
  </si>
  <si>
    <t>Lines % of Tariff</t>
  </si>
  <si>
    <t>Retail tariff MBIE excl GST(c/kWh) Aug 2016</t>
  </si>
  <si>
    <t>% increase (due to proposal, TP Rev, &amp; EDB Rev)</t>
  </si>
  <si>
    <t>EDB WACC adjustment</t>
  </si>
  <si>
    <t>Inflation adjustment</t>
  </si>
  <si>
    <t>Revenue Requirement scenarios are used (with Pro Rata of AoB and O/H etc).</t>
  </si>
  <si>
    <t>pooled_node</t>
  </si>
  <si>
    <t>DC</t>
  </si>
  <si>
    <t>Indicative Charges (% change in end-user tariff)</t>
  </si>
  <si>
    <t>Anomalies impact only (no capping or change to WACC)</t>
  </si>
  <si>
    <t>Total Benefit</t>
  </si>
  <si>
    <t>WACC adjustment applied</t>
  </si>
  <si>
    <t>Allowed Increase</t>
  </si>
  <si>
    <t>Current Bill</t>
  </si>
  <si>
    <t>Lookup</t>
  </si>
  <si>
    <t>Capped?</t>
  </si>
  <si>
    <t>Increase on SQ</t>
  </si>
  <si>
    <t>Capped Charge ($m/yr)</t>
  </si>
  <si>
    <t>Uncapped charge ($m/yr)</t>
  </si>
  <si>
    <t>Total Bill ($m.yr)</t>
  </si>
  <si>
    <t>Indicative Transmission Charges ($m/year) excluding connection</t>
  </si>
  <si>
    <t>Transmission Charges as %age of total bill</t>
  </si>
  <si>
    <t>Second issues paper</t>
  </si>
  <si>
    <t>Customer</t>
  </si>
  <si>
    <t>Year that transition ends</t>
  </si>
  <si>
    <t>Second Issues Paper $m/year</t>
  </si>
  <si>
    <t>Second Issues Paper $/MWh</t>
  </si>
  <si>
    <t>low GWh</t>
  </si>
  <si>
    <t>high GWh</t>
  </si>
  <si>
    <t>Actuals (not pro-rata)</t>
  </si>
  <si>
    <t xml:space="preserve">Refinery </t>
  </si>
  <si>
    <t>Indicative Charges ($/MWh) excluding connection</t>
  </si>
  <si>
    <t>This ACOT data is from the ISSUES PAPER RESULTS SHEET (more recent ACOT data is available, but this is used for consistency)</t>
  </si>
  <si>
    <t>no WACC adjustment</t>
  </si>
  <si>
    <t>Status quo</t>
  </si>
  <si>
    <t>Pacific Steel demand is non-zero (~16MW), and allocated to NZ Steel from 'Charges by party by investment' sheet onwards.</t>
  </si>
  <si>
    <t>with ACOT discontinued</t>
  </si>
  <si>
    <t xml:space="preserve">Refined issues paper, capped, all changes </t>
  </si>
  <si>
    <t xml:space="preserve"> with ACOT continuing</t>
  </si>
  <si>
    <t>Oji Fibre</t>
  </si>
  <si>
    <t xml:space="preserve">Allocators for specifc loads (actually EDB-connected) that are to be sepoerated out). </t>
  </si>
  <si>
    <t>Average c/kWh across all EDB's customers (from MBIE data)</t>
  </si>
  <si>
    <t>Retail tariff INFLATED to 2019, excl GST(c/kWh)</t>
  </si>
  <si>
    <t>Second Issues Values</t>
  </si>
  <si>
    <t>Refined Issues paper changes</t>
  </si>
  <si>
    <t>Non offered/embedded generation</t>
  </si>
  <si>
    <t>Differences from standard output as follows:</t>
  </si>
  <si>
    <t>Reduced by 80% due to exit of Holcim</t>
  </si>
  <si>
    <t>Reduced by 2/3 to account for exit of industrial demand</t>
  </si>
  <si>
    <t>25MW reduced for Top Energy to account for new Ngawha development</t>
  </si>
  <si>
    <t>Reduced to account for Oceania mine exit. Exact value from rm data.</t>
  </si>
  <si>
    <t>Modified?</t>
  </si>
  <si>
    <t>This is the sole source of 'Second Issues Paper $/MWh' data</t>
  </si>
  <si>
    <t>Checksum</t>
  </si>
  <si>
    <t>Additional party</t>
  </si>
  <si>
    <t>Colour coding:</t>
  </si>
  <si>
    <t>Hard coded data. Data source is supplied in a comment</t>
  </si>
  <si>
    <t>User controllable input</t>
  </si>
  <si>
    <t>Original output</t>
  </si>
  <si>
    <t>Modified output</t>
  </si>
  <si>
    <t>Party</t>
  </si>
  <si>
    <t>Node</t>
  </si>
  <si>
    <t>Dealing with 'anomalies' that require specific changes</t>
  </si>
  <si>
    <t>Otherwise a cell of interest</t>
  </si>
  <si>
    <t>Generation</t>
  </si>
  <si>
    <t>Load</t>
  </si>
  <si>
    <t>Table Num</t>
  </si>
  <si>
    <t>Assumed load growth 2014-&gt;2019</t>
  </si>
  <si>
    <t>Residual + Overhead (no cap)</t>
  </si>
  <si>
    <t>$m/yr</t>
  </si>
  <si>
    <t>Generation By node and Party</t>
  </si>
  <si>
    <t>MBIE QSDEP data Aug 2016</t>
  </si>
  <si>
    <t>MBIE DATA c/kWh (data used in second isues paper - no longer on MBIE's website)</t>
  </si>
  <si>
    <t>Choose Rev Req Scenario (enter 1, 2 or 3)</t>
  </si>
  <si>
    <t xml:space="preserve">SEE BELOW FOR RESULTS - THIS DATA IS NOT USED (the same sheet layout as for the second issues paper results has been used) </t>
  </si>
  <si>
    <t>NZ Steel demand-bids have proxied in vSPD.</t>
  </si>
  <si>
    <t xml:space="preserve">Using this spreadsheet </t>
  </si>
  <si>
    <t>Calculations for the splitting of major users from EDBs</t>
  </si>
  <si>
    <t>This is a  mapping table for parties where alternate names are used</t>
  </si>
  <si>
    <t>Brief descriptions of each tab in the worksheet are outlined below (copied from the Second Issues Paper results sheet - new tabs have not been described except as noted above) :</t>
  </si>
  <si>
    <t xml:space="preserve">This spreadsheet models the indicative charges for the supplementaryTPM consultation paper (December 2016). </t>
  </si>
  <si>
    <t xml:space="preserve">It is essential to note that the TPM modelling in this spreadsheet provides  indicative transmission charges only - other methods could be employed under the guidelines, and many assumptions are necessarily made.  </t>
  </si>
  <si>
    <t>To model other scenarios than shown in the paper, set various parameters (level of capping, EDB WACC reduction if other than 10.7%, etc) in the 'Residential cap' tab.</t>
  </si>
  <si>
    <t>Results are shown across three tabs:  'Residential cap' tab (columns 'AY' to 'BH' and the charts below); 'Delta_trans' tab in cells 'A100' to 'E129'; and 'Geographic sort_trans' tab (see chart).</t>
  </si>
  <si>
    <t>Main changes from earlier modelling (second issues paper)</t>
  </si>
  <si>
    <t>This spreadsheet takes the results of vSPD and SQL post-processing (see 'vSPD Benefits'  tab for vSPD/SQL output), and allocates these amongst parties to provide indcative TPM charges (see 'AMD calculations' and 'Charges to party by investment' tabs).</t>
  </si>
  <si>
    <t>MODEL SHOULD BE UNCAPPED AND HAVE FULL REV REQ.</t>
  </si>
  <si>
    <t xml:space="preserve">Note that, as with the earlier modelling, these modelled charges are indicative only - other methods could be employed under the guidelines, and many assumptions and simplifications are necessarily made.  </t>
  </si>
  <si>
    <t xml:space="preserve">We are now effectively modelling 2020 whereas the Second Issues Paper modelled 2019 (however, the scenario using the same revenue requirement provides comparability back to the Second Issues Paper).  </t>
  </si>
  <si>
    <t xml:space="preserve">Juken and Refining NZ are now modelled as being EDB-connected (as is the case in reality), but their charges have been seperated out from their respective parent EDBs. In the second issues paper these parties were modelled as directly connected parties. </t>
  </si>
  <si>
    <t>A capping mechanism is applied such that a customer's residual charge is reduced (potentially below zero) if required to ensure the customer's charge does not exceed the cap.</t>
  </si>
  <si>
    <t>Choose the revenue requirement scenario you want to model ( cell 'K17' in 'Recovery amounts' tab)  - this is setup to model either the same revenue as in the second issues paper, or the reveue requirement arising  from an estimated WACC based on the latest Comcom information disclosure (Cost of capital determination for customised price-quality path proposals made by electricity distribution businesses [2016] NZCC 20, 30 September 2016).</t>
  </si>
  <si>
    <t>Gross AMD anomalies at RFN/ORO/ASB (and one more for Westpower relating to mining) have been made.</t>
  </si>
  <si>
    <t xml:space="preserve">The modelling in this workbook builds on the Second Issues Paper modelling by adding additional revenue requirement scenarios, and the capping of charges. This modelling has some minor changes only (e.g. see 'anomalies' below) and is broadly comparable to the second issues paper modelling as it does not include updated underlying data (e.g. ACOT etc). </t>
  </si>
  <si>
    <t>Two separate revenue requirement scenarios are now modelled (one with a lower WACC to model RCP3, and the other with the same revenue requirement as for the second issues paper).</t>
  </si>
  <si>
    <t>Top Energy's demand is lowered by 25MW (all hh's) to proxy additional 25MW of Ngawha generation being added; this affects their residual charges and also the AoB charge for NIGU (only the NIGU investment was re-modelled in vSPD, other investments are as per the Second Issues Paper).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</si>
</sst>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0;[Red]\-&quot;$&quot;#,##0"/>
    <numFmt numFmtId="44" formatCode="_-&quot;$&quot;* #,##0.00_-;\-&quot;$&quot;* #,##0.00_-;_-&quot;$&quot;* &quot;-&quot;??_-;_-@_-"/>
    <numFmt numFmtId="43" formatCode="_-* #,##0.00_-;\-* #,##0.00_-;_-* &quot;-&quot;??_-;_-@_-"/>
    <numFmt numFmtId="164" formatCode="0.0"/>
    <numFmt numFmtId="165" formatCode="0.000"/>
    <numFmt numFmtId="166" formatCode="0.0%"/>
    <numFmt numFmtId="167" formatCode="_-* #,##0_-;\-* #,##0_-;_-* &quot;-&quot;??_-;_-@_-"/>
    <numFmt numFmtId="168" formatCode="_-* #,##0.0_-;\-* #,##0.0_-;_-* &quot;-&quot;??_-;_-@_-"/>
    <numFmt numFmtId="169" formatCode="0.0000"/>
    <numFmt numFmtId="170" formatCode="_-* #,##0.000_-;\-* #,##0.000_-;_-* &quot;-&quot;??_-;_-@_-"/>
    <numFmt numFmtId="171" formatCode="mmm\-yyyy"/>
    <numFmt numFmtId="172" formatCode="&quot;$&quot;#,##0.0"/>
    <numFmt numFmtId="173" formatCode="0.00000000%"/>
    <numFmt numFmtId="174" formatCode="0.00000000"/>
    <numFmt numFmtId="175" formatCode="_-&quot;$&quot;\ #,##0_-;\-&quot;$&quot;\ #,##0_-;_-&quot;$&quot;* &quot;-&quot;??_-;_-@_-"/>
    <numFmt numFmtId="176" formatCode="0.000000000000000%"/>
    <numFmt numFmtId="177" formatCode="&quot;$&quot;#,##0.0;[Red]\-&quot;$&quot;#,##0.0"/>
    <numFmt numFmtId="178" formatCode="0.000000"/>
  </numFmts>
  <fonts count="81"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1"/>
      <color rgb="FFFF0000"/>
      <name val="Calibri"/>
      <family val="2"/>
      <scheme val="minor"/>
    </font>
    <font>
      <sz val="8"/>
      <color theme="1"/>
      <name val="Calibri"/>
      <family val="2"/>
      <scheme val="minor"/>
    </font>
    <font>
      <sz val="11"/>
      <name val="Calibri"/>
      <family val="2"/>
      <scheme val="minor"/>
    </font>
    <font>
      <b/>
      <sz val="11"/>
      <name val="Calibri"/>
      <family val="2"/>
      <scheme val="minor"/>
    </font>
    <font>
      <sz val="8"/>
      <color theme="0" tint="-0.249977111117893"/>
      <name val="Calibri"/>
      <family val="2"/>
      <scheme val="minor"/>
    </font>
    <font>
      <i/>
      <sz val="11"/>
      <color theme="0" tint="-0.14999847407452621"/>
      <name val="Calibri"/>
      <family val="2"/>
      <scheme val="minor"/>
    </font>
    <font>
      <i/>
      <sz val="11"/>
      <color rgb="FFFF0000"/>
      <name val="Calibri"/>
      <family val="2"/>
      <scheme val="minor"/>
    </font>
    <font>
      <sz val="9"/>
      <color indexed="81"/>
      <name val="Tahoma"/>
      <family val="2"/>
    </font>
    <font>
      <b/>
      <sz val="9"/>
      <color indexed="81"/>
      <name val="Tahoma"/>
      <family val="2"/>
    </font>
    <font>
      <sz val="11"/>
      <color theme="0" tint="-0.249977111117893"/>
      <name val="Calibri"/>
      <family val="2"/>
      <scheme val="minor"/>
    </font>
    <font>
      <sz val="11"/>
      <color theme="3" tint="0.39997558519241921"/>
      <name val="Calibri"/>
      <family val="2"/>
      <scheme val="minor"/>
    </font>
    <font>
      <sz val="11"/>
      <color theme="0" tint="-0.34998626667073579"/>
      <name val="Calibri"/>
      <family val="2"/>
      <scheme val="minor"/>
    </font>
    <font>
      <i/>
      <sz val="11"/>
      <color theme="0" tint="-0.499984740745262"/>
      <name val="Calibri"/>
      <family val="2"/>
      <scheme val="minor"/>
    </font>
    <font>
      <i/>
      <sz val="11"/>
      <color theme="0" tint="-0.249977111117893"/>
      <name val="Calibri"/>
      <family val="2"/>
      <scheme val="minor"/>
    </font>
    <font>
      <b/>
      <sz val="11"/>
      <color theme="3" tint="0.39997558519241921"/>
      <name val="Calibri"/>
      <family val="2"/>
      <scheme val="minor"/>
    </font>
    <font>
      <b/>
      <sz val="11"/>
      <color rgb="FFC00000"/>
      <name val="Calibri"/>
      <family val="2"/>
      <scheme val="minor"/>
    </font>
    <font>
      <sz val="11"/>
      <color theme="4" tint="-0.249977111117893"/>
      <name val="Calibri"/>
      <family val="2"/>
      <scheme val="minor"/>
    </font>
    <font>
      <sz val="11"/>
      <color rgb="FFC00000"/>
      <name val="Calibri"/>
      <family val="2"/>
      <scheme val="minor"/>
    </font>
    <font>
      <sz val="18"/>
      <color theme="1"/>
      <name val="Calibri"/>
      <family val="2"/>
      <scheme val="minor"/>
    </font>
    <font>
      <sz val="11"/>
      <color theme="9" tint="-0.249977111117893"/>
      <name val="Calibri"/>
      <family val="2"/>
      <scheme val="minor"/>
    </font>
    <font>
      <sz val="16"/>
      <color rgb="FFFF0000"/>
      <name val="Calibri"/>
      <family val="2"/>
      <scheme val="minor"/>
    </font>
    <font>
      <sz val="11"/>
      <color theme="6" tint="-0.499984740745262"/>
      <name val="Calibri"/>
      <family val="2"/>
      <scheme val="minor"/>
    </font>
    <font>
      <sz val="11"/>
      <color theme="6" tint="-0.249977111117893"/>
      <name val="Calibri"/>
      <family val="2"/>
      <scheme val="minor"/>
    </font>
    <font>
      <b/>
      <sz val="11"/>
      <color theme="6" tint="-0.249977111117893"/>
      <name val="Calibri"/>
      <family val="2"/>
      <scheme val="minor"/>
    </font>
    <font>
      <b/>
      <sz val="14"/>
      <color theme="1"/>
      <name val="Calibri"/>
      <family val="2"/>
      <scheme val="minor"/>
    </font>
    <font>
      <sz val="12"/>
      <color theme="1"/>
      <name val="Calibri"/>
      <family val="2"/>
    </font>
    <font>
      <sz val="12"/>
      <name val="Calibri"/>
      <family val="2"/>
    </font>
    <font>
      <b/>
      <i/>
      <sz val="11"/>
      <color theme="1"/>
      <name val="Calibri"/>
      <family val="2"/>
      <scheme val="minor"/>
    </font>
    <font>
      <sz val="11"/>
      <color theme="1"/>
      <name val="Arial"/>
      <family val="2"/>
    </font>
    <font>
      <sz val="10"/>
      <name val="Arial"/>
      <family val="2"/>
    </font>
    <font>
      <sz val="12"/>
      <color theme="1"/>
      <name val="Calibri"/>
      <family val="2"/>
      <scheme val="minor"/>
    </font>
    <font>
      <i/>
      <sz val="8"/>
      <color theme="1"/>
      <name val="Calibri"/>
      <family val="2"/>
      <scheme val="minor"/>
    </font>
    <font>
      <u/>
      <sz val="10"/>
      <color indexed="12"/>
      <name val="Arial"/>
      <family val="2"/>
    </font>
    <font>
      <u/>
      <sz val="11"/>
      <color theme="10"/>
      <name val="Calibri"/>
      <family val="2"/>
      <scheme val="minor"/>
    </font>
    <font>
      <sz val="16"/>
      <color theme="1"/>
      <name val="Calibri"/>
      <family val="2"/>
      <scheme val="minor"/>
    </font>
    <font>
      <sz val="10"/>
      <name val="MS Sans Serif"/>
    </font>
    <font>
      <b/>
      <sz val="10"/>
      <name val="MS Sans Serif"/>
    </font>
    <font>
      <sz val="10"/>
      <name val="MS Sans Serif"/>
      <family val="2"/>
    </font>
    <font>
      <b/>
      <sz val="10"/>
      <name val="MS Sans Serif"/>
      <family val="2"/>
    </font>
    <font>
      <sz val="10"/>
      <color indexed="8"/>
      <name val="Arial"/>
      <family val="2"/>
    </font>
    <font>
      <sz val="12"/>
      <color indexed="8"/>
      <name val="Calibri"/>
      <family val="2"/>
    </font>
    <font>
      <sz val="11"/>
      <color theme="8" tint="-0.249977111117893"/>
      <name val="Calibri"/>
      <family val="2"/>
      <scheme val="minor"/>
    </font>
    <font>
      <sz val="11"/>
      <color theme="1" tint="0.499984740745262"/>
      <name val="Calibri"/>
      <family val="2"/>
      <scheme val="minor"/>
    </font>
    <font>
      <sz val="10"/>
      <color theme="1"/>
      <name val="Times New Roman"/>
      <family val="1"/>
    </font>
    <font>
      <sz val="11"/>
      <color rgb="FF000000"/>
      <name val="Calibri"/>
      <family val="2"/>
    </font>
    <font>
      <b/>
      <sz val="11"/>
      <color rgb="FFFF0000"/>
      <name val="Calibri"/>
      <family val="2"/>
      <scheme val="minor"/>
    </font>
    <font>
      <b/>
      <sz val="11"/>
      <color theme="4" tint="-0.249977111117893"/>
      <name val="Calibri"/>
      <family val="2"/>
      <scheme val="minor"/>
    </font>
    <font>
      <sz val="11"/>
      <color theme="3"/>
      <name val="Calibri"/>
      <family val="2"/>
      <scheme val="minor"/>
    </font>
    <font>
      <b/>
      <sz val="11"/>
      <color rgb="FF0070C0"/>
      <name val="Calibri"/>
      <family val="2"/>
      <scheme val="minor"/>
    </font>
    <font>
      <b/>
      <sz val="11"/>
      <color theme="0" tint="-0.499984740745262"/>
      <name val="Calibri"/>
      <family val="2"/>
      <scheme val="minor"/>
    </font>
    <font>
      <sz val="11"/>
      <color theme="0" tint="-0.499984740745262"/>
      <name val="Calibri"/>
      <family val="2"/>
      <scheme val="minor"/>
    </font>
    <font>
      <sz val="8"/>
      <color theme="0" tint="-0.499984740745262"/>
      <name val="Calibri"/>
      <family val="2"/>
      <scheme val="minor"/>
    </font>
    <font>
      <sz val="10"/>
      <color theme="0" tint="-0.249977111117893"/>
      <name val="Calibri"/>
      <family val="2"/>
      <scheme val="minor"/>
    </font>
    <font>
      <i/>
      <sz val="11"/>
      <color theme="0" tint="-0.34998626667073579"/>
      <name val="Calibri"/>
      <family val="2"/>
      <scheme val="minor"/>
    </font>
    <font>
      <sz val="11"/>
      <name val="Calibri"/>
      <family val="2"/>
    </font>
    <font>
      <sz val="16"/>
      <name val="Calibri"/>
      <family val="2"/>
      <scheme val="minor"/>
    </font>
    <font>
      <sz val="11"/>
      <color rgb="FF00B050"/>
      <name val="Calibri"/>
      <family val="2"/>
      <scheme val="minor"/>
    </font>
    <font>
      <b/>
      <i/>
      <sz val="11"/>
      <name val="Calibri"/>
      <family val="2"/>
      <scheme val="minor"/>
    </font>
    <font>
      <u/>
      <sz val="11"/>
      <color theme="1"/>
      <name val="Calibri"/>
      <family val="2"/>
      <scheme val="minor"/>
    </font>
    <font>
      <sz val="11"/>
      <color theme="2" tint="-9.9978637043366805E-2"/>
      <name val="Calibri"/>
      <family val="2"/>
      <scheme val="minor"/>
    </font>
    <font>
      <sz val="12"/>
      <color theme="2" tint="-0.249977111117893"/>
      <name val="Calibri"/>
      <family val="2"/>
      <scheme val="minor"/>
    </font>
    <font>
      <sz val="11"/>
      <color theme="2" tint="-0.249977111117893"/>
      <name val="Calibri"/>
      <family val="2"/>
      <scheme val="minor"/>
    </font>
    <font>
      <b/>
      <i/>
      <sz val="11"/>
      <color rgb="FFFF0000"/>
      <name val="Calibri"/>
      <family val="2"/>
      <scheme val="minor"/>
    </font>
    <font>
      <b/>
      <i/>
      <sz val="11"/>
      <color theme="0" tint="-0.14999847407452621"/>
      <name val="Calibri"/>
      <family val="2"/>
      <scheme val="minor"/>
    </font>
    <font>
      <i/>
      <sz val="11"/>
      <color rgb="FFC00000"/>
      <name val="Calibri"/>
      <family val="2"/>
      <scheme val="minor"/>
    </font>
    <font>
      <b/>
      <i/>
      <sz val="11"/>
      <color theme="3" tint="0.39997558519241921"/>
      <name val="Calibri"/>
      <family val="2"/>
      <scheme val="minor"/>
    </font>
    <font>
      <sz val="11"/>
      <color theme="6"/>
      <name val="Calibri"/>
      <family val="2"/>
      <scheme val="minor"/>
    </font>
    <font>
      <i/>
      <sz val="11"/>
      <name val="Calibri"/>
      <family val="2"/>
      <scheme val="minor"/>
    </font>
    <font>
      <sz val="12"/>
      <name val="Calibri"/>
      <family val="2"/>
      <scheme val="minor"/>
    </font>
    <font>
      <sz val="18"/>
      <name val="Calibri"/>
      <family val="2"/>
      <scheme val="minor"/>
    </font>
    <font>
      <b/>
      <sz val="11"/>
      <color theme="6"/>
      <name val="Calibri"/>
      <family val="2"/>
      <scheme val="minor"/>
    </font>
    <font>
      <b/>
      <i/>
      <sz val="11"/>
      <color theme="0" tint="-0.249977111117893"/>
      <name val="Calibri"/>
      <family val="2"/>
      <scheme val="minor"/>
    </font>
    <font>
      <b/>
      <sz val="11"/>
      <color theme="0" tint="-0.34998626667073579"/>
      <name val="Calibri"/>
      <family val="2"/>
      <scheme val="minor"/>
    </font>
    <font>
      <b/>
      <sz val="16"/>
      <color theme="0" tint="-0.34998626667073579"/>
      <name val="Calibri"/>
      <family val="2"/>
      <scheme val="minor"/>
    </font>
    <font>
      <b/>
      <sz val="14"/>
      <color theme="0" tint="-0.34998626667073579"/>
      <name val="Calibri"/>
      <family val="2"/>
      <scheme val="minor"/>
    </font>
    <font>
      <sz val="18"/>
      <color rgb="FFC00000"/>
      <name val="Calibri"/>
      <family val="2"/>
      <scheme val="minor"/>
    </font>
    <font>
      <sz val="14"/>
      <color rgb="FFC00000"/>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mediumGray">
        <fgColor indexed="22"/>
      </patternFill>
    </fill>
    <fill>
      <patternFill patternType="solid">
        <fgColor theme="0" tint="-0.249977111117893"/>
        <bgColor indexed="64"/>
      </patternFill>
    </fill>
    <fill>
      <patternFill patternType="solid">
        <fgColor theme="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rgb="FF000000"/>
      </patternFill>
    </fill>
    <fill>
      <patternFill patternType="solid">
        <fgColor theme="1" tint="0.499984740745262"/>
        <bgColor indexed="64"/>
      </patternFill>
    </fill>
    <fill>
      <patternFill patternType="solid">
        <fgColor theme="9"/>
        <bgColor indexed="64"/>
      </patternFill>
    </fill>
    <fill>
      <patternFill patternType="solid">
        <fgColor rgb="FF92D050"/>
        <bgColor indexed="64"/>
      </patternFill>
    </fill>
    <fill>
      <patternFill patternType="solid">
        <fgColor theme="6"/>
        <bgColor indexed="64"/>
      </patternFill>
    </fill>
  </fills>
  <borders count="3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5">
    <xf numFmtId="0" fontId="0"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2" fillId="0" borderId="0"/>
    <xf numFmtId="0" fontId="33" fillId="0" borderId="0"/>
    <xf numFmtId="0" fontId="33" fillId="0" borderId="0"/>
    <xf numFmtId="0" fontId="32"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0" fontId="37" fillId="0" borderId="0" applyNumberFormat="0" applyFill="0" applyBorder="0" applyAlignment="0" applyProtection="0"/>
    <xf numFmtId="44" fontId="2" fillId="0" borderId="0" applyFont="0" applyFill="0" applyBorder="0" applyAlignment="0" applyProtection="0"/>
    <xf numFmtId="0" fontId="39" fillId="0" borderId="0"/>
    <xf numFmtId="0" fontId="39" fillId="0" borderId="0" applyNumberFormat="0" applyFont="0" applyFill="0" applyBorder="0" applyAlignment="0" applyProtection="0">
      <alignment horizontal="left"/>
    </xf>
    <xf numFmtId="15" fontId="39" fillId="0" borderId="0" applyFont="0" applyFill="0" applyBorder="0" applyAlignment="0" applyProtection="0"/>
    <xf numFmtId="4" fontId="39" fillId="0" borderId="0" applyFont="0" applyFill="0" applyBorder="0" applyAlignment="0" applyProtection="0"/>
    <xf numFmtId="0" fontId="40" fillId="0" borderId="6">
      <alignment horizontal="center"/>
    </xf>
    <xf numFmtId="3" fontId="39" fillId="0" borderId="0" applyFont="0" applyFill="0" applyBorder="0" applyAlignment="0" applyProtection="0"/>
    <xf numFmtId="0" fontId="39" fillId="10" borderId="0" applyNumberFormat="0" applyFont="0" applyBorder="0" applyAlignment="0" applyProtection="0"/>
    <xf numFmtId="44" fontId="39"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41" fillId="0" borderId="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2" fillId="0" borderId="6">
      <alignment horizontal="center"/>
    </xf>
    <xf numFmtId="3" fontId="41" fillId="0" borderId="0" applyFont="0" applyFill="0" applyBorder="0" applyAlignment="0" applyProtection="0"/>
    <xf numFmtId="0" fontId="41" fillId="10" borderId="0" applyNumberFormat="0" applyFont="0" applyBorder="0" applyAlignment="0" applyProtection="0"/>
    <xf numFmtId="44" fontId="41" fillId="0" borderId="0" applyFont="0" applyFill="0" applyBorder="0" applyAlignment="0" applyProtection="0"/>
    <xf numFmtId="0" fontId="43" fillId="0" borderId="0"/>
    <xf numFmtId="44" fontId="2" fillId="0" borderId="0" applyFont="0" applyFill="0" applyBorder="0" applyAlignment="0" applyProtection="0"/>
  </cellStyleXfs>
  <cellXfs count="762">
    <xf numFmtId="0" fontId="0" fillId="0" borderId="0" xfId="0"/>
    <xf numFmtId="9" fontId="1" fillId="0" borderId="0" xfId="1" applyFont="1" applyAlignment="1">
      <alignment horizontal="right"/>
    </xf>
    <xf numFmtId="0" fontId="7" fillId="0" borderId="0" xfId="0" applyFont="1"/>
    <xf numFmtId="0" fontId="6" fillId="0" borderId="0" xfId="0" applyFont="1"/>
    <xf numFmtId="0" fontId="6" fillId="0" borderId="0" xfId="0" applyFont="1" applyFill="1" applyBorder="1"/>
    <xf numFmtId="2" fontId="0" fillId="0" borderId="0" xfId="0" applyNumberFormat="1" applyFont="1" applyBorder="1" applyAlignment="1">
      <alignment horizontal="right"/>
    </xf>
    <xf numFmtId="0" fontId="0" fillId="0" borderId="0" xfId="0" applyFont="1"/>
    <xf numFmtId="165" fontId="0" fillId="0" borderId="0" xfId="0" applyNumberFormat="1" applyFont="1" applyBorder="1" applyAlignment="1">
      <alignment horizontal="right"/>
    </xf>
    <xf numFmtId="164" fontId="0" fillId="0" borderId="0" xfId="0" applyNumberFormat="1" applyFont="1" applyBorder="1" applyAlignment="1">
      <alignment horizontal="right"/>
    </xf>
    <xf numFmtId="9" fontId="1" fillId="0" borderId="0" xfId="1" applyFont="1" applyBorder="1" applyAlignment="1">
      <alignment horizontal="right"/>
    </xf>
    <xf numFmtId="164" fontId="1" fillId="0" borderId="0" xfId="0" applyNumberFormat="1" applyFont="1" applyBorder="1" applyAlignment="1">
      <alignment horizontal="right"/>
    </xf>
    <xf numFmtId="2" fontId="5" fillId="0" borderId="0" xfId="0" applyNumberFormat="1" applyFont="1" applyBorder="1" applyAlignment="1">
      <alignment horizontal="right"/>
    </xf>
    <xf numFmtId="0" fontId="0" fillId="0" borderId="0" xfId="0" applyFont="1" applyBorder="1"/>
    <xf numFmtId="0" fontId="5" fillId="0" borderId="0" xfId="0" applyFont="1" applyBorder="1"/>
    <xf numFmtId="0" fontId="0" fillId="0" borderId="0" xfId="0"/>
    <xf numFmtId="0" fontId="1" fillId="0" borderId="0" xfId="0" applyFont="1"/>
    <xf numFmtId="0" fontId="3" fillId="0" borderId="0" xfId="0" applyFont="1"/>
    <xf numFmtId="0" fontId="0" fillId="0" borderId="0" xfId="0" applyBorder="1"/>
    <xf numFmtId="0" fontId="0" fillId="0" borderId="0" xfId="0" applyFill="1"/>
    <xf numFmtId="0" fontId="1" fillId="0" borderId="0" xfId="0" applyFont="1" applyFill="1"/>
    <xf numFmtId="2" fontId="8" fillId="0" borderId="0" xfId="0" applyNumberFormat="1" applyFont="1" applyBorder="1" applyAlignment="1">
      <alignment horizontal="right"/>
    </xf>
    <xf numFmtId="0" fontId="9" fillId="0" borderId="0" xfId="0" applyFont="1"/>
    <xf numFmtId="0" fontId="0" fillId="0" borderId="0" xfId="0" applyFill="1" applyBorder="1"/>
    <xf numFmtId="0" fontId="0" fillId="0" borderId="0" xfId="0" applyAlignment="1">
      <alignment horizontal="right"/>
    </xf>
    <xf numFmtId="1" fontId="0" fillId="0" borderId="0" xfId="0" applyNumberFormat="1"/>
    <xf numFmtId="1" fontId="0" fillId="0" borderId="0" xfId="0" applyNumberFormat="1" applyFill="1" applyBorder="1"/>
    <xf numFmtId="1" fontId="0" fillId="0" borderId="0" xfId="0" applyNumberFormat="1" applyBorder="1"/>
    <xf numFmtId="0" fontId="13" fillId="0" borderId="0" xfId="0" applyFont="1" applyFill="1"/>
    <xf numFmtId="0" fontId="0" fillId="0" borderId="0" xfId="0" applyBorder="1" applyAlignment="1">
      <alignment horizontal="right"/>
    </xf>
    <xf numFmtId="2" fontId="0" fillId="0" borderId="0" xfId="0" applyNumberFormat="1" applyFill="1" applyBorder="1"/>
    <xf numFmtId="1" fontId="0" fillId="0" borderId="0" xfId="1" applyNumberFormat="1" applyFont="1" applyFill="1" applyBorder="1"/>
    <xf numFmtId="0" fontId="6" fillId="0" borderId="0" xfId="0" applyFont="1" applyFill="1"/>
    <xf numFmtId="2" fontId="14" fillId="0" borderId="0" xfId="0" applyNumberFormat="1" applyFont="1" applyBorder="1" applyAlignment="1">
      <alignment horizontal="right"/>
    </xf>
    <xf numFmtId="2" fontId="0" fillId="0" borderId="0" xfId="0" applyNumberFormat="1" applyFont="1" applyBorder="1" applyAlignment="1">
      <alignment horizontal="right" wrapText="1"/>
    </xf>
    <xf numFmtId="0" fontId="0" fillId="0" borderId="0" xfId="0" applyBorder="1" applyAlignment="1">
      <alignment horizontal="right" wrapText="1"/>
    </xf>
    <xf numFmtId="0" fontId="0" fillId="0" borderId="0" xfId="0" applyFont="1" applyFill="1"/>
    <xf numFmtId="2" fontId="0" fillId="0" borderId="0" xfId="0" applyNumberFormat="1" applyFont="1" applyFill="1" applyBorder="1" applyAlignment="1">
      <alignment horizontal="right"/>
    </xf>
    <xf numFmtId="9" fontId="0" fillId="0" borderId="0" xfId="1" applyFont="1"/>
    <xf numFmtId="166" fontId="0" fillId="0" borderId="0" xfId="1" applyNumberFormat="1" applyFont="1"/>
    <xf numFmtId="0" fontId="1" fillId="0" borderId="0" xfId="0" applyFont="1" applyBorder="1" applyAlignment="1"/>
    <xf numFmtId="165" fontId="0" fillId="0" borderId="0" xfId="0" applyNumberFormat="1" applyFont="1" applyBorder="1" applyAlignment="1">
      <alignment horizontal="right" wrapText="1"/>
    </xf>
    <xf numFmtId="0" fontId="0" fillId="0" borderId="0" xfId="0" applyFont="1" applyFill="1" applyBorder="1"/>
    <xf numFmtId="0" fontId="1" fillId="0" borderId="0" xfId="0" applyFont="1" applyBorder="1"/>
    <xf numFmtId="165" fontId="0" fillId="0" borderId="0" xfId="0" applyNumberFormat="1" applyFont="1" applyBorder="1" applyAlignment="1">
      <alignment horizontal="right" vertical="center" wrapText="1"/>
    </xf>
    <xf numFmtId="164" fontId="8" fillId="0" borderId="0" xfId="0" applyNumberFormat="1" applyFont="1" applyBorder="1" applyAlignment="1">
      <alignment horizontal="right"/>
    </xf>
    <xf numFmtId="2" fontId="1" fillId="0" borderId="0" xfId="0" applyNumberFormat="1" applyFont="1" applyBorder="1" applyAlignment="1">
      <alignment horizontal="right" wrapText="1"/>
    </xf>
    <xf numFmtId="2" fontId="18" fillId="0" borderId="0" xfId="0" applyNumberFormat="1" applyFont="1" applyBorder="1" applyAlignment="1">
      <alignment horizontal="right"/>
    </xf>
    <xf numFmtId="2" fontId="1" fillId="0" borderId="0" xfId="0" applyNumberFormat="1" applyFont="1" applyBorder="1" applyAlignment="1"/>
    <xf numFmtId="0" fontId="0" fillId="0" borderId="0" xfId="0" applyBorder="1" applyAlignment="1"/>
    <xf numFmtId="0" fontId="0" fillId="0" borderId="0" xfId="0" applyBorder="1" applyAlignment="1">
      <alignment wrapText="1"/>
    </xf>
    <xf numFmtId="2" fontId="1" fillId="0" borderId="0" xfId="0" applyNumberFormat="1" applyFont="1" applyBorder="1" applyAlignment="1">
      <alignment horizontal="right"/>
    </xf>
    <xf numFmtId="0" fontId="13" fillId="0" borderId="0" xfId="0" applyFont="1" applyBorder="1"/>
    <xf numFmtId="0" fontId="0" fillId="0" borderId="0" xfId="0" applyBorder="1" applyAlignment="1">
      <alignment horizontal="center" vertical="center"/>
    </xf>
    <xf numFmtId="0" fontId="0" fillId="0" borderId="0" xfId="0" applyFill="1" applyAlignment="1">
      <alignment horizontal="right"/>
    </xf>
    <xf numFmtId="1" fontId="0" fillId="0" borderId="0" xfId="0" applyNumberFormat="1" applyFill="1"/>
    <xf numFmtId="0" fontId="0" fillId="0" borderId="0" xfId="0" applyBorder="1" applyAlignment="1">
      <alignment horizontal="center" wrapText="1"/>
    </xf>
    <xf numFmtId="0" fontId="0" fillId="0" borderId="0" xfId="0" applyAlignment="1">
      <alignment wrapText="1"/>
    </xf>
    <xf numFmtId="2" fontId="20" fillId="0" borderId="0" xfId="0" applyNumberFormat="1" applyFont="1"/>
    <xf numFmtId="164" fontId="21" fillId="0" borderId="0" xfId="0" applyNumberFormat="1" applyFont="1"/>
    <xf numFmtId="9" fontId="0" fillId="0" borderId="0" xfId="0" applyNumberFormat="1" applyFill="1"/>
    <xf numFmtId="0" fontId="15" fillId="0" borderId="0" xfId="0" applyFont="1"/>
    <xf numFmtId="164" fontId="0" fillId="0" borderId="0" xfId="0" applyNumberFormat="1" applyFill="1"/>
    <xf numFmtId="2" fontId="0" fillId="0" borderId="0" xfId="0" applyNumberFormat="1" applyFill="1"/>
    <xf numFmtId="0" fontId="21" fillId="0" borderId="0" xfId="0" applyFont="1" applyFill="1"/>
    <xf numFmtId="2" fontId="1" fillId="0" borderId="0" xfId="0" applyNumberFormat="1" applyFont="1"/>
    <xf numFmtId="0" fontId="3" fillId="0" borderId="0" xfId="0" applyFont="1" applyFill="1" applyBorder="1"/>
    <xf numFmtId="2" fontId="15" fillId="0" borderId="0" xfId="0" applyNumberFormat="1" applyFont="1"/>
    <xf numFmtId="0" fontId="4" fillId="0" borderId="0" xfId="0" applyFont="1"/>
    <xf numFmtId="0" fontId="1" fillId="0" borderId="5" xfId="0" applyFont="1" applyBorder="1"/>
    <xf numFmtId="0" fontId="0" fillId="0" borderId="5" xfId="0" applyFont="1" applyBorder="1"/>
    <xf numFmtId="0" fontId="0" fillId="0" borderId="5" xfId="0" applyBorder="1"/>
    <xf numFmtId="0" fontId="0" fillId="0" borderId="5" xfId="0" applyFill="1" applyBorder="1"/>
    <xf numFmtId="0" fontId="0" fillId="0" borderId="5" xfId="0" applyFill="1" applyBorder="1" applyAlignment="1">
      <alignment wrapText="1"/>
    </xf>
    <xf numFmtId="2" fontId="0" fillId="0" borderId="5" xfId="0" applyNumberFormat="1" applyFont="1" applyBorder="1" applyAlignment="1">
      <alignment horizontal="right"/>
    </xf>
    <xf numFmtId="2" fontId="0" fillId="0" borderId="5" xfId="0" applyNumberFormat="1" applyFill="1" applyBorder="1"/>
    <xf numFmtId="166" fontId="0" fillId="0" borderId="5" xfId="1" applyNumberFormat="1" applyFont="1" applyFill="1" applyBorder="1"/>
    <xf numFmtId="0" fontId="6" fillId="0" borderId="5" xfId="0" applyFont="1" applyBorder="1"/>
    <xf numFmtId="0" fontId="6" fillId="0" borderId="5" xfId="0" applyFont="1" applyFill="1" applyBorder="1"/>
    <xf numFmtId="0" fontId="18" fillId="0" borderId="5" xfId="0" applyFont="1" applyBorder="1"/>
    <xf numFmtId="2" fontId="0" fillId="0" borderId="0" xfId="0" applyNumberFormat="1"/>
    <xf numFmtId="164" fontId="0" fillId="0" borderId="0" xfId="0" applyNumberFormat="1"/>
    <xf numFmtId="0" fontId="1" fillId="0" borderId="0" xfId="0" applyFont="1" applyAlignment="1">
      <alignment horizontal="right"/>
    </xf>
    <xf numFmtId="0" fontId="1" fillId="0" borderId="0" xfId="0" applyFont="1" applyFill="1" applyAlignment="1">
      <alignment horizontal="right"/>
    </xf>
    <xf numFmtId="9" fontId="0" fillId="0" borderId="0" xfId="1" applyFont="1" applyFill="1"/>
    <xf numFmtId="0" fontId="4" fillId="0" borderId="0" xfId="0" applyFont="1" applyFill="1"/>
    <xf numFmtId="0" fontId="23" fillId="0" borderId="0" xfId="0" applyFont="1" applyFill="1"/>
    <xf numFmtId="0" fontId="23" fillId="0" borderId="0" xfId="0" applyFont="1"/>
    <xf numFmtId="2" fontId="21" fillId="0" borderId="0" xfId="0" applyNumberFormat="1" applyFont="1" applyBorder="1" applyAlignment="1">
      <alignment horizontal="right"/>
    </xf>
    <xf numFmtId="165" fontId="25" fillId="0" borderId="0" xfId="0" applyNumberFormat="1" applyFont="1" applyFill="1" applyAlignment="1">
      <alignment horizontal="right"/>
    </xf>
    <xf numFmtId="2" fontId="26" fillId="0" borderId="0" xfId="0" applyNumberFormat="1" applyFont="1" applyBorder="1" applyAlignment="1">
      <alignment horizontal="right" wrapText="1"/>
    </xf>
    <xf numFmtId="2" fontId="26" fillId="0" borderId="0" xfId="0" applyNumberFormat="1" applyFont="1" applyBorder="1" applyAlignment="1">
      <alignment horizontal="right"/>
    </xf>
    <xf numFmtId="2" fontId="26" fillId="0" borderId="0" xfId="0" applyNumberFormat="1" applyFont="1" applyFill="1" applyBorder="1" applyAlignment="1">
      <alignment horizontal="right"/>
    </xf>
    <xf numFmtId="164" fontId="26" fillId="0" borderId="0" xfId="0" applyNumberFormat="1" applyFont="1" applyBorder="1" applyAlignment="1">
      <alignment horizontal="right"/>
    </xf>
    <xf numFmtId="164" fontId="27" fillId="0" borderId="0" xfId="0" applyNumberFormat="1" applyFont="1" applyBorder="1" applyAlignment="1">
      <alignment horizontal="right"/>
    </xf>
    <xf numFmtId="0" fontId="13" fillId="0" borderId="0" xfId="0" applyFont="1"/>
    <xf numFmtId="0" fontId="28" fillId="0" borderId="0" xfId="0" applyFont="1" applyFill="1" applyAlignment="1">
      <alignment vertical="center"/>
    </xf>
    <xf numFmtId="0" fontId="0" fillId="0" borderId="0" xfId="0" applyFont="1" applyFill="1" applyAlignment="1">
      <alignment horizontal="right"/>
    </xf>
    <xf numFmtId="9" fontId="0" fillId="0" borderId="0" xfId="1" applyNumberFormat="1" applyFont="1" applyFill="1"/>
    <xf numFmtId="167" fontId="0" fillId="0" borderId="0" xfId="0" applyNumberFormat="1"/>
    <xf numFmtId="0" fontId="29" fillId="0" borderId="0" xfId="0" applyFont="1" applyFill="1" applyBorder="1"/>
    <xf numFmtId="43" fontId="0" fillId="0" borderId="0" xfId="0" applyNumberFormat="1"/>
    <xf numFmtId="2" fontId="19" fillId="0" borderId="0" xfId="0" applyNumberFormat="1" applyFont="1" applyFill="1" applyBorder="1" applyAlignment="1">
      <alignment horizontal="right" wrapText="1"/>
    </xf>
    <xf numFmtId="166" fontId="21" fillId="0" borderId="0" xfId="1" applyNumberFormat="1" applyFont="1" applyFill="1" applyBorder="1"/>
    <xf numFmtId="0" fontId="0" fillId="7" borderId="0" xfId="0" applyFill="1" applyBorder="1" applyAlignment="1">
      <alignment horizontal="center"/>
    </xf>
    <xf numFmtId="0" fontId="34" fillId="7" borderId="0" xfId="0" applyFont="1" applyFill="1" applyBorder="1"/>
    <xf numFmtId="0" fontId="35" fillId="7" borderId="0" xfId="0" applyFont="1" applyFill="1" applyBorder="1" applyAlignment="1">
      <alignment horizontal="left"/>
    </xf>
    <xf numFmtId="168" fontId="34" fillId="5" borderId="0" xfId="3" applyNumberFormat="1" applyFont="1" applyFill="1" applyBorder="1"/>
    <xf numFmtId="0" fontId="34" fillId="7" borderId="0" xfId="0" applyFont="1" applyFill="1" applyBorder="1" applyAlignment="1">
      <alignment horizontal="right"/>
    </xf>
    <xf numFmtId="0" fontId="37" fillId="0" borderId="0" xfId="32" applyBorder="1"/>
    <xf numFmtId="164" fontId="0" fillId="6" borderId="0" xfId="0" applyNumberFormat="1" applyFont="1" applyFill="1" applyBorder="1" applyAlignment="1">
      <alignment horizontal="right"/>
    </xf>
    <xf numFmtId="164" fontId="13" fillId="0" borderId="0" xfId="0" applyNumberFormat="1" applyFont="1" applyBorder="1" applyAlignment="1">
      <alignment horizontal="right" wrapText="1"/>
    </xf>
    <xf numFmtId="164" fontId="13" fillId="0" borderId="0" xfId="0" applyNumberFormat="1" applyFont="1" applyFill="1" applyAlignment="1">
      <alignment horizontal="right"/>
    </xf>
    <xf numFmtId="165" fontId="0" fillId="0" borderId="0" xfId="0" applyNumberFormat="1" applyBorder="1"/>
    <xf numFmtId="2" fontId="0" fillId="9" borderId="0" xfId="0" applyNumberFormat="1" applyFill="1" applyBorder="1"/>
    <xf numFmtId="2" fontId="38" fillId="0" borderId="0" xfId="0" applyNumberFormat="1" applyFont="1" applyBorder="1" applyAlignment="1">
      <alignment horizontal="right" vertical="center" wrapText="1"/>
    </xf>
    <xf numFmtId="2" fontId="0" fillId="0" borderId="5" xfId="0" applyNumberFormat="1" applyFont="1" applyBorder="1" applyAlignment="1">
      <alignment horizontal="center" vertical="center" wrapText="1"/>
    </xf>
    <xf numFmtId="0" fontId="0" fillId="0" borderId="0" xfId="0"/>
    <xf numFmtId="164" fontId="0" fillId="0" borderId="5" xfId="0" applyNumberFormat="1" applyFont="1" applyBorder="1" applyAlignment="1">
      <alignment horizontal="right"/>
    </xf>
    <xf numFmtId="2" fontId="0" fillId="0" borderId="0" xfId="0" applyNumberFormat="1" applyBorder="1"/>
    <xf numFmtId="167" fontId="0" fillId="0" borderId="0" xfId="2" applyNumberFormat="1" applyFont="1"/>
    <xf numFmtId="0" fontId="21" fillId="0" borderId="0" xfId="0" applyFont="1"/>
    <xf numFmtId="2" fontId="0" fillId="0" borderId="0" xfId="0" applyNumberFormat="1" applyFont="1" applyBorder="1" applyAlignment="1">
      <alignment horizontal="left"/>
    </xf>
    <xf numFmtId="0" fontId="3" fillId="0" borderId="5" xfId="0" applyFont="1" applyBorder="1"/>
    <xf numFmtId="2" fontId="0" fillId="0" borderId="5" xfId="0" applyNumberFormat="1" applyFont="1" applyBorder="1" applyAlignment="1">
      <alignment horizontal="center"/>
    </xf>
    <xf numFmtId="2" fontId="5" fillId="0" borderId="0" xfId="0" applyNumberFormat="1" applyFont="1" applyBorder="1" applyAlignment="1">
      <alignment horizontal="center"/>
    </xf>
    <xf numFmtId="0" fontId="5" fillId="0" borderId="0" xfId="0" applyFont="1" applyBorder="1" applyAlignment="1">
      <alignment horizontal="center"/>
    </xf>
    <xf numFmtId="2" fontId="0" fillId="0" borderId="0" xfId="0" applyNumberFormat="1" applyFont="1" applyBorder="1"/>
    <xf numFmtId="164" fontId="0" fillId="0" borderId="0" xfId="0" applyNumberFormat="1" applyFont="1" applyBorder="1"/>
    <xf numFmtId="0" fontId="0" fillId="0" borderId="7" xfId="0" applyBorder="1"/>
    <xf numFmtId="2" fontId="0" fillId="0" borderId="7" xfId="0" applyNumberFormat="1" applyBorder="1"/>
    <xf numFmtId="9" fontId="0" fillId="0" borderId="7" xfId="1" applyFont="1" applyBorder="1"/>
    <xf numFmtId="0" fontId="21" fillId="0" borderId="7" xfId="0" applyFont="1" applyBorder="1"/>
    <xf numFmtId="165" fontId="0" fillId="0" borderId="7" xfId="0" applyNumberFormat="1" applyBorder="1"/>
    <xf numFmtId="1" fontId="0" fillId="0" borderId="7" xfId="0" applyNumberFormat="1" applyBorder="1"/>
    <xf numFmtId="43" fontId="0" fillId="0" borderId="7" xfId="2" applyFont="1" applyBorder="1"/>
    <xf numFmtId="168" fontId="34" fillId="3" borderId="1" xfId="2" applyNumberFormat="1" applyFont="1" applyFill="1" applyBorder="1"/>
    <xf numFmtId="171" fontId="44" fillId="11" borderId="5" xfId="53" applyNumberFormat="1" applyFont="1" applyFill="1" applyBorder="1" applyAlignment="1">
      <alignment horizontal="center" vertical="center" wrapText="1"/>
    </xf>
    <xf numFmtId="168" fontId="34" fillId="3" borderId="2" xfId="2" applyNumberFormat="1" applyFont="1" applyFill="1" applyBorder="1"/>
    <xf numFmtId="168" fontId="34" fillId="3" borderId="0" xfId="2" applyNumberFormat="1" applyFont="1" applyFill="1" applyBorder="1"/>
    <xf numFmtId="171" fontId="44" fillId="0" borderId="0" xfId="53" applyNumberFormat="1" applyFont="1" applyFill="1" applyBorder="1" applyAlignment="1">
      <alignment horizontal="center" vertical="center" wrapText="1"/>
    </xf>
    <xf numFmtId="0" fontId="0" fillId="0" borderId="0" xfId="0" applyFill="1" applyBorder="1" applyAlignment="1">
      <alignment horizontal="center"/>
    </xf>
    <xf numFmtId="0" fontId="0" fillId="0" borderId="0" xfId="0" applyFill="1" applyBorder="1" applyAlignment="1">
      <alignment horizontal="right"/>
    </xf>
    <xf numFmtId="168" fontId="34" fillId="0" borderId="0" xfId="2" applyNumberFormat="1" applyFont="1" applyFill="1" applyBorder="1"/>
    <xf numFmtId="0" fontId="34" fillId="0" borderId="0" xfId="0" applyFont="1" applyFill="1" applyBorder="1"/>
    <xf numFmtId="0" fontId="35" fillId="0" borderId="0" xfId="0" applyFont="1" applyFill="1" applyBorder="1" applyAlignment="1">
      <alignment horizontal="left"/>
    </xf>
    <xf numFmtId="0" fontId="34" fillId="0" borderId="0" xfId="0" applyFont="1" applyFill="1" applyBorder="1" applyAlignment="1">
      <alignment horizontal="right"/>
    </xf>
    <xf numFmtId="0" fontId="0" fillId="0" borderId="0" xfId="0" applyFill="1" applyBorder="1" applyAlignment="1">
      <alignment horizontal="center" wrapText="1"/>
    </xf>
    <xf numFmtId="167" fontId="0" fillId="0" borderId="0" xfId="2" applyNumberFormat="1" applyFont="1" applyFill="1" applyBorder="1"/>
    <xf numFmtId="167" fontId="34" fillId="0" borderId="0" xfId="2" applyNumberFormat="1" applyFont="1" applyFill="1" applyBorder="1"/>
    <xf numFmtId="0" fontId="0" fillId="12" borderId="0" xfId="0" applyFill="1" applyBorder="1"/>
    <xf numFmtId="0" fontId="0" fillId="12" borderId="0" xfId="0" applyFill="1" applyBorder="1" applyAlignment="1">
      <alignment horizontal="center" wrapText="1"/>
    </xf>
    <xf numFmtId="168" fontId="0" fillId="12" borderId="0" xfId="0" applyNumberFormat="1" applyFill="1" applyBorder="1"/>
    <xf numFmtId="168" fontId="34" fillId="12" borderId="0" xfId="2" applyNumberFormat="1" applyFont="1" applyFill="1" applyBorder="1"/>
    <xf numFmtId="165" fontId="0" fillId="0" borderId="0" xfId="0" applyNumberFormat="1"/>
    <xf numFmtId="0" fontId="1" fillId="0" borderId="0" xfId="0" applyFont="1" applyFill="1" applyBorder="1"/>
    <xf numFmtId="0" fontId="5" fillId="0" borderId="0" xfId="0" applyFont="1" applyFill="1" applyBorder="1"/>
    <xf numFmtId="10" fontId="0" fillId="0" borderId="0" xfId="1" applyNumberFormat="1" applyFont="1" applyBorder="1"/>
    <xf numFmtId="0" fontId="13" fillId="0" borderId="0" xfId="0" applyFont="1" applyFill="1" applyBorder="1"/>
    <xf numFmtId="10" fontId="13" fillId="0" borderId="0" xfId="1" applyNumberFormat="1" applyFont="1" applyFill="1" applyBorder="1"/>
    <xf numFmtId="2" fontId="13" fillId="0" borderId="0" xfId="0" applyNumberFormat="1" applyFont="1" applyFill="1" applyBorder="1"/>
    <xf numFmtId="1" fontId="13" fillId="0" borderId="0" xfId="0" applyNumberFormat="1" applyFont="1" applyBorder="1" applyAlignment="1">
      <alignment horizontal="center"/>
    </xf>
    <xf numFmtId="0" fontId="1" fillId="0" borderId="0" xfId="0" applyFont="1" applyFill="1" applyBorder="1" applyAlignment="1"/>
    <xf numFmtId="2" fontId="0" fillId="0" borderId="7" xfId="1" applyNumberFormat="1" applyFont="1" applyBorder="1"/>
    <xf numFmtId="2" fontId="0" fillId="0" borderId="0" xfId="0" applyNumberFormat="1" applyBorder="1" applyAlignment="1">
      <alignment wrapText="1"/>
    </xf>
    <xf numFmtId="0" fontId="21" fillId="0" borderId="0" xfId="0" applyFont="1" applyFill="1" applyAlignment="1">
      <alignment vertical="center"/>
    </xf>
    <xf numFmtId="2" fontId="34" fillId="0" borderId="5" xfId="0" applyNumberFormat="1" applyFont="1" applyBorder="1" applyAlignment="1">
      <alignment horizontal="center" vertical="center" wrapText="1"/>
    </xf>
    <xf numFmtId="164" fontId="0" fillId="0" borderId="5" xfId="0" applyNumberFormat="1" applyBorder="1"/>
    <xf numFmtId="0" fontId="1" fillId="0" borderId="5" xfId="0" applyFont="1" applyBorder="1" applyAlignment="1">
      <alignment horizontal="center" vertical="center" wrapText="1"/>
    </xf>
    <xf numFmtId="2" fontId="1" fillId="0" borderId="5" xfId="0" applyNumberFormat="1" applyFont="1" applyBorder="1" applyAlignment="1">
      <alignment horizontal="center" vertical="center" wrapText="1"/>
    </xf>
    <xf numFmtId="2" fontId="0" fillId="0" borderId="5" xfId="0" applyNumberFormat="1" applyBorder="1"/>
    <xf numFmtId="0" fontId="20" fillId="0" borderId="0" xfId="0" applyFont="1" applyAlignment="1">
      <alignment horizontal="center"/>
    </xf>
    <xf numFmtId="0" fontId="45" fillId="0" borderId="0" xfId="0" applyFont="1" applyFill="1"/>
    <xf numFmtId="43" fontId="45" fillId="0" borderId="0" xfId="2" applyFont="1" applyFill="1" applyBorder="1"/>
    <xf numFmtId="165" fontId="0" fillId="0" borderId="0" xfId="0" applyNumberFormat="1" applyFill="1" applyBorder="1"/>
    <xf numFmtId="0" fontId="50" fillId="0" borderId="0" xfId="0" applyFont="1" applyAlignment="1">
      <alignment horizontal="center"/>
    </xf>
    <xf numFmtId="0" fontId="49" fillId="0" borderId="0" xfId="0" applyFont="1" applyFill="1"/>
    <xf numFmtId="0" fontId="3" fillId="0" borderId="0" xfId="0" applyFont="1" applyAlignment="1">
      <alignment horizontal="right"/>
    </xf>
    <xf numFmtId="0" fontId="0" fillId="0" borderId="0" xfId="0" applyBorder="1" applyAlignment="1">
      <alignment horizontal="left"/>
    </xf>
    <xf numFmtId="164" fontId="0" fillId="0" borderId="0" xfId="0" applyNumberFormat="1" applyBorder="1" applyAlignment="1">
      <alignment horizontal="left" vertical="center"/>
    </xf>
    <xf numFmtId="164" fontId="0" fillId="0" borderId="0" xfId="0" applyNumberFormat="1" applyBorder="1" applyAlignment="1">
      <alignment horizontal="left"/>
    </xf>
    <xf numFmtId="1" fontId="0" fillId="0" borderId="0" xfId="0" applyNumberFormat="1" applyFont="1"/>
    <xf numFmtId="1" fontId="0" fillId="0" borderId="0" xfId="0" applyNumberFormat="1" applyFont="1" applyFill="1"/>
    <xf numFmtId="1" fontId="1" fillId="0" borderId="0" xfId="0" applyNumberFormat="1" applyFont="1" applyFill="1"/>
    <xf numFmtId="0" fontId="54" fillId="0" borderId="0" xfId="0" applyFont="1" applyBorder="1"/>
    <xf numFmtId="0" fontId="54" fillId="0" borderId="0" xfId="0" applyFont="1" applyFill="1" applyBorder="1"/>
    <xf numFmtId="0" fontId="53" fillId="0" borderId="0" xfId="0" applyFont="1" applyBorder="1"/>
    <xf numFmtId="0" fontId="55" fillId="0" borderId="0" xfId="0" applyFont="1" applyBorder="1"/>
    <xf numFmtId="0" fontId="0" fillId="4" borderId="0" xfId="0" applyFont="1" applyFill="1" applyBorder="1"/>
    <xf numFmtId="0" fontId="21" fillId="4" borderId="0" xfId="0" applyFont="1" applyFill="1" applyBorder="1"/>
    <xf numFmtId="2" fontId="0" fillId="0" borderId="0" xfId="0" applyNumberFormat="1" applyAlignment="1">
      <alignment horizontal="right"/>
    </xf>
    <xf numFmtId="0" fontId="0" fillId="13" borderId="0" xfId="0" applyFill="1" applyAlignment="1">
      <alignment horizontal="right"/>
    </xf>
    <xf numFmtId="164" fontId="38" fillId="0" borderId="0" xfId="0" applyNumberFormat="1" applyFont="1" applyBorder="1" applyAlignment="1">
      <alignment horizontal="center" vertical="center" wrapText="1"/>
    </xf>
    <xf numFmtId="2" fontId="6" fillId="0" borderId="0" xfId="0" applyNumberFormat="1" applyFont="1" applyBorder="1" applyAlignment="1">
      <alignment horizontal="right"/>
    </xf>
    <xf numFmtId="9" fontId="0" fillId="0" borderId="0" xfId="1" applyFont="1" applyBorder="1" applyAlignment="1">
      <alignment horizontal="right"/>
    </xf>
    <xf numFmtId="2" fontId="38" fillId="0" borderId="0" xfId="0" applyNumberFormat="1" applyFont="1" applyFill="1" applyBorder="1" applyAlignment="1">
      <alignment vertical="center" wrapText="1"/>
    </xf>
    <xf numFmtId="166" fontId="0" fillId="0" borderId="0" xfId="1" applyNumberFormat="1" applyFont="1" applyFill="1" applyBorder="1" applyAlignment="1">
      <alignment horizontal="right"/>
    </xf>
    <xf numFmtId="164" fontId="0" fillId="0" borderId="0" xfId="0" applyNumberFormat="1" applyFont="1" applyFill="1" applyBorder="1" applyAlignment="1">
      <alignment horizontal="right"/>
    </xf>
    <xf numFmtId="2" fontId="56" fillId="0" borderId="0" xfId="0" applyNumberFormat="1" applyFont="1" applyFill="1" applyBorder="1" applyAlignment="1">
      <alignment vertical="center" wrapText="1"/>
    </xf>
    <xf numFmtId="2" fontId="0" fillId="0" borderId="0" xfId="0" applyNumberFormat="1" applyFont="1" applyBorder="1" applyAlignment="1">
      <alignment horizontal="right" vertical="center" wrapText="1"/>
    </xf>
    <xf numFmtId="0" fontId="0" fillId="6" borderId="0" xfId="0" applyFill="1" applyBorder="1" applyAlignment="1"/>
    <xf numFmtId="0" fontId="0" fillId="0" borderId="0" xfId="0" applyAlignment="1">
      <alignment horizontal="center" vertical="center" wrapText="1"/>
    </xf>
    <xf numFmtId="164" fontId="0" fillId="0" borderId="0" xfId="0" applyNumberFormat="1" applyFill="1" applyBorder="1"/>
    <xf numFmtId="2" fontId="38" fillId="0" borderId="0" xfId="0" applyNumberFormat="1" applyFont="1" applyBorder="1" applyAlignment="1">
      <alignment horizontal="center" vertical="center" wrapText="1"/>
    </xf>
    <xf numFmtId="0" fontId="0" fillId="0" borderId="0" xfId="0" applyFill="1" applyBorder="1" applyAlignment="1">
      <alignment horizontal="center" vertical="center"/>
    </xf>
    <xf numFmtId="1" fontId="1" fillId="0" borderId="0" xfId="0" applyNumberFormat="1" applyFont="1" applyFill="1" applyBorder="1"/>
    <xf numFmtId="9" fontId="0" fillId="0" borderId="0" xfId="1" applyFont="1" applyFill="1" applyBorder="1"/>
    <xf numFmtId="1" fontId="0" fillId="0" borderId="0" xfId="0" applyNumberFormat="1" applyFont="1" applyFill="1" applyBorder="1"/>
    <xf numFmtId="1" fontId="3" fillId="0" borderId="0" xfId="0" applyNumberFormat="1" applyFont="1" applyFill="1" applyBorder="1"/>
    <xf numFmtId="0" fontId="16" fillId="0" borderId="0" xfId="0" applyFont="1" applyFill="1" applyBorder="1" applyAlignment="1">
      <alignment horizontal="center" wrapText="1"/>
    </xf>
    <xf numFmtId="1" fontId="13" fillId="0" borderId="0" xfId="0" applyNumberFormat="1" applyFont="1" applyFill="1" applyBorder="1"/>
    <xf numFmtId="9" fontId="17" fillId="0" borderId="0" xfId="1" applyFont="1" applyFill="1" applyBorder="1"/>
    <xf numFmtId="0" fontId="16" fillId="0" borderId="0" xfId="0" applyFont="1" applyFill="1" applyBorder="1"/>
    <xf numFmtId="164" fontId="17" fillId="0" borderId="0" xfId="0" applyNumberFormat="1" applyFont="1" applyFill="1" applyBorder="1"/>
    <xf numFmtId="164" fontId="16" fillId="0" borderId="0" xfId="0" applyNumberFormat="1" applyFont="1" applyFill="1" applyBorder="1"/>
    <xf numFmtId="9" fontId="16" fillId="0" borderId="0" xfId="1" applyFont="1" applyFill="1" applyBorder="1"/>
    <xf numFmtId="0" fontId="17" fillId="0" borderId="0" xfId="0" applyFont="1" applyFill="1" applyBorder="1"/>
    <xf numFmtId="0" fontId="0" fillId="0" borderId="0" xfId="0" applyFont="1" applyFill="1" applyBorder="1" applyAlignment="1">
      <alignment vertical="center" textRotation="90"/>
    </xf>
    <xf numFmtId="0" fontId="0" fillId="0" borderId="0" xfId="0" applyFill="1" applyBorder="1" applyAlignment="1">
      <alignment vertical="center" textRotation="90"/>
    </xf>
    <xf numFmtId="0" fontId="57" fillId="0" borderId="0" xfId="0" applyFont="1" applyFill="1" applyAlignment="1">
      <alignment horizontal="right"/>
    </xf>
    <xf numFmtId="10" fontId="0" fillId="0" borderId="0" xfId="1" applyNumberFormat="1" applyFont="1"/>
    <xf numFmtId="43" fontId="2" fillId="0" borderId="7" xfId="2" applyFont="1" applyFill="1" applyBorder="1"/>
    <xf numFmtId="170" fontId="2" fillId="0" borderId="7" xfId="2" applyNumberFormat="1" applyFont="1" applyFill="1" applyBorder="1"/>
    <xf numFmtId="43" fontId="0" fillId="0" borderId="0" xfId="0" applyNumberFormat="1" applyFill="1"/>
    <xf numFmtId="166" fontId="0" fillId="0" borderId="0" xfId="1" applyNumberFormat="1" applyFont="1" applyFill="1"/>
    <xf numFmtId="173" fontId="0" fillId="0" borderId="0" xfId="1" applyNumberFormat="1" applyFont="1" applyFill="1"/>
    <xf numFmtId="0" fontId="0" fillId="0" borderId="0" xfId="0" applyFill="1" applyAlignment="1">
      <alignment vertical="center"/>
    </xf>
    <xf numFmtId="0" fontId="48" fillId="0" borderId="0" xfId="0" applyFont="1" applyFill="1" applyAlignment="1">
      <alignment vertical="center"/>
    </xf>
    <xf numFmtId="0" fontId="48" fillId="0" borderId="0" xfId="0" applyFont="1" applyFill="1" applyAlignment="1">
      <alignment horizontal="right" vertical="center"/>
    </xf>
    <xf numFmtId="0" fontId="58" fillId="0" borderId="0" xfId="0" applyFont="1" applyFill="1" applyAlignment="1">
      <alignment vertical="center"/>
    </xf>
    <xf numFmtId="0" fontId="58" fillId="0" borderId="0" xfId="0" applyFont="1" applyFill="1" applyAlignment="1">
      <alignment horizontal="right" vertical="center"/>
    </xf>
    <xf numFmtId="0" fontId="47" fillId="0" borderId="0" xfId="0" applyFont="1" applyFill="1"/>
    <xf numFmtId="2" fontId="38" fillId="6" borderId="0" xfId="0" applyNumberFormat="1" applyFont="1" applyFill="1" applyBorder="1" applyAlignment="1">
      <alignment horizontal="center" vertical="center" wrapText="1"/>
    </xf>
    <xf numFmtId="2" fontId="38" fillId="6" borderId="0" xfId="0" applyNumberFormat="1" applyFont="1" applyFill="1" applyBorder="1" applyAlignment="1">
      <alignment vertical="center" wrapText="1"/>
    </xf>
    <xf numFmtId="2" fontId="31" fillId="6" borderId="0" xfId="0" applyNumberFormat="1" applyFont="1" applyFill="1" applyBorder="1" applyAlignment="1">
      <alignment horizontal="center"/>
    </xf>
    <xf numFmtId="2" fontId="0" fillId="6" borderId="0" xfId="0" applyNumberFormat="1" applyFont="1" applyFill="1" applyBorder="1" applyAlignment="1">
      <alignment horizontal="right"/>
    </xf>
    <xf numFmtId="2" fontId="0" fillId="6" borderId="0" xfId="0" applyNumberFormat="1" applyFont="1" applyFill="1" applyBorder="1" applyAlignment="1">
      <alignment horizontal="right" wrapText="1"/>
    </xf>
    <xf numFmtId="164" fontId="0" fillId="6" borderId="0" xfId="0" applyNumberFormat="1" applyFont="1" applyFill="1" applyBorder="1" applyAlignment="1">
      <alignment horizontal="center"/>
    </xf>
    <xf numFmtId="0" fontId="29" fillId="6" borderId="0" xfId="0" applyFont="1" applyFill="1" applyBorder="1"/>
    <xf numFmtId="165" fontId="0" fillId="6" borderId="0" xfId="0" applyNumberFormat="1" applyFont="1" applyFill="1" applyBorder="1" applyAlignment="1">
      <alignment horizontal="right"/>
    </xf>
    <xf numFmtId="0" fontId="30" fillId="15" borderId="0" xfId="0" applyFont="1" applyFill="1" applyBorder="1"/>
    <xf numFmtId="0" fontId="29" fillId="15" borderId="0" xfId="0" applyFont="1" applyFill="1" applyBorder="1"/>
    <xf numFmtId="2" fontId="0" fillId="6" borderId="0" xfId="0" applyNumberFormat="1" applyFont="1" applyFill="1" applyBorder="1" applyAlignment="1">
      <alignment horizontal="center"/>
    </xf>
    <xf numFmtId="2" fontId="0" fillId="6" borderId="0" xfId="0" applyNumberFormat="1" applyFont="1" applyFill="1" applyBorder="1" applyAlignment="1">
      <alignment horizontal="left"/>
    </xf>
    <xf numFmtId="6" fontId="0" fillId="6" borderId="0" xfId="0" applyNumberFormat="1" applyFill="1" applyBorder="1"/>
    <xf numFmtId="6" fontId="13" fillId="6" borderId="0" xfId="0" applyNumberFormat="1" applyFont="1" applyFill="1" applyBorder="1"/>
    <xf numFmtId="2" fontId="0" fillId="6" borderId="0" xfId="0" applyNumberFormat="1" applyFill="1" applyBorder="1"/>
    <xf numFmtId="164" fontId="0" fillId="0" borderId="0" xfId="0" applyNumberFormat="1" applyFont="1" applyFill="1" applyBorder="1" applyAlignment="1">
      <alignment horizontal="center"/>
    </xf>
    <xf numFmtId="165" fontId="0" fillId="0" borderId="0" xfId="0" applyNumberFormat="1" applyFont="1" applyFill="1" applyBorder="1" applyAlignment="1">
      <alignment horizontal="right"/>
    </xf>
    <xf numFmtId="2" fontId="6" fillId="6" borderId="0" xfId="0" applyNumberFormat="1" applyFont="1" applyFill="1" applyBorder="1" applyAlignment="1">
      <alignment horizontal="right"/>
    </xf>
    <xf numFmtId="164" fontId="7" fillId="6" borderId="0" xfId="0" applyNumberFormat="1" applyFont="1" applyFill="1" applyBorder="1" applyAlignment="1">
      <alignment horizontal="right"/>
    </xf>
    <xf numFmtId="2" fontId="59" fillId="0" borderId="0" xfId="0" applyNumberFormat="1" applyFont="1" applyBorder="1" applyAlignment="1">
      <alignment horizontal="right" vertical="center" wrapText="1"/>
    </xf>
    <xf numFmtId="2" fontId="6" fillId="0" borderId="0" xfId="0" applyNumberFormat="1" applyFont="1" applyBorder="1" applyAlignment="1">
      <alignment horizontal="right" wrapText="1"/>
    </xf>
    <xf numFmtId="0" fontId="0" fillId="0" borderId="0" xfId="0" applyFill="1" applyBorder="1" applyAlignment="1">
      <alignment horizontal="right" wrapText="1"/>
    </xf>
    <xf numFmtId="1" fontId="0" fillId="0" borderId="0" xfId="0" applyNumberFormat="1" applyFont="1" applyFill="1" applyBorder="1" applyAlignment="1">
      <alignment horizontal="right"/>
    </xf>
    <xf numFmtId="2" fontId="6" fillId="0" borderId="0" xfId="0" applyNumberFormat="1" applyFont="1" applyFill="1" applyBorder="1" applyAlignment="1">
      <alignment horizontal="right"/>
    </xf>
    <xf numFmtId="169" fontId="19" fillId="0" borderId="0" xfId="0" applyNumberFormat="1" applyFont="1" applyFill="1" applyBorder="1" applyAlignment="1">
      <alignment horizontal="right"/>
    </xf>
    <xf numFmtId="2" fontId="18" fillId="0" borderId="0" xfId="0" applyNumberFormat="1" applyFont="1" applyFill="1" applyBorder="1" applyAlignment="1">
      <alignment horizontal="right"/>
    </xf>
    <xf numFmtId="2" fontId="14" fillId="0" borderId="0" xfId="0" applyNumberFormat="1" applyFont="1" applyFill="1" applyBorder="1" applyAlignment="1">
      <alignment horizontal="right"/>
    </xf>
    <xf numFmtId="9" fontId="1" fillId="0" borderId="0" xfId="1" applyFont="1" applyFill="1" applyBorder="1" applyAlignment="1">
      <alignment horizontal="right"/>
    </xf>
    <xf numFmtId="164" fontId="1" fillId="0" borderId="0" xfId="0" applyNumberFormat="1" applyFont="1" applyFill="1" applyBorder="1" applyAlignment="1">
      <alignment horizontal="right"/>
    </xf>
    <xf numFmtId="2" fontId="8" fillId="0" borderId="0" xfId="0" applyNumberFormat="1" applyFont="1" applyFill="1" applyBorder="1" applyAlignment="1">
      <alignment horizontal="right"/>
    </xf>
    <xf numFmtId="0" fontId="52" fillId="0" borderId="0" xfId="0" applyFont="1" applyFill="1"/>
    <xf numFmtId="165" fontId="13" fillId="0" borderId="0" xfId="0" applyNumberFormat="1" applyFont="1" applyFill="1" applyBorder="1"/>
    <xf numFmtId="164" fontId="0" fillId="0" borderId="0" xfId="0" applyNumberFormat="1" applyFont="1" applyFill="1" applyBorder="1"/>
    <xf numFmtId="9" fontId="0" fillId="0" borderId="0" xfId="1" applyFont="1" applyBorder="1"/>
    <xf numFmtId="0" fontId="34" fillId="0" borderId="0" xfId="0" applyFont="1" applyFill="1" applyBorder="1" applyAlignment="1">
      <alignment horizontal="right" vertical="center"/>
    </xf>
    <xf numFmtId="2" fontId="60" fillId="0" borderId="0" xfId="0" applyNumberFormat="1" applyFont="1" applyFill="1" applyBorder="1"/>
    <xf numFmtId="2" fontId="60" fillId="0" borderId="0" xfId="0" applyNumberFormat="1" applyFont="1" applyBorder="1"/>
    <xf numFmtId="0" fontId="6" fillId="0" borderId="0" xfId="0"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Font="1" applyAlignment="1">
      <alignment horizontal="left" vertical="center"/>
    </xf>
    <xf numFmtId="0" fontId="61" fillId="0" borderId="0" xfId="0" applyFont="1" applyFill="1" applyBorder="1" applyAlignment="1">
      <alignment horizontal="left" vertical="center"/>
    </xf>
    <xf numFmtId="0" fontId="61" fillId="0" borderId="0" xfId="0" applyFont="1" applyAlignment="1">
      <alignment horizontal="left" vertical="center"/>
    </xf>
    <xf numFmtId="0" fontId="31" fillId="0" borderId="0" xfId="0" applyFont="1" applyAlignment="1">
      <alignment horizontal="left" vertical="center"/>
    </xf>
    <xf numFmtId="0" fontId="6" fillId="0" borderId="0" xfId="0" applyFont="1" applyAlignment="1">
      <alignment horizontal="left" vertical="center" wrapText="1"/>
    </xf>
    <xf numFmtId="0" fontId="61" fillId="0" borderId="0" xfId="0" applyFont="1"/>
    <xf numFmtId="0" fontId="6" fillId="0" borderId="0" xfId="0" applyFont="1" applyAlignment="1">
      <alignment wrapText="1"/>
    </xf>
    <xf numFmtId="0" fontId="51" fillId="0" borderId="5" xfId="0" applyFont="1" applyBorder="1"/>
    <xf numFmtId="0" fontId="21" fillId="0" borderId="5" xfId="0" applyFont="1" applyBorder="1"/>
    <xf numFmtId="1" fontId="21" fillId="0" borderId="5" xfId="0" applyNumberFormat="1" applyFont="1" applyBorder="1"/>
    <xf numFmtId="0" fontId="0" fillId="16" borderId="5" xfId="0" applyFill="1" applyBorder="1"/>
    <xf numFmtId="0" fontId="51" fillId="16" borderId="5" xfId="0" applyFont="1" applyFill="1" applyBorder="1"/>
    <xf numFmtId="0" fontId="0" fillId="0" borderId="5" xfId="0" applyBorder="1" applyAlignment="1">
      <alignment wrapText="1"/>
    </xf>
    <xf numFmtId="0" fontId="0" fillId="0" borderId="5" xfId="0" applyFill="1" applyBorder="1" applyAlignment="1">
      <alignment horizontal="center" wrapText="1"/>
    </xf>
    <xf numFmtId="0" fontId="0" fillId="0" borderId="5" xfId="0" applyFont="1" applyBorder="1" applyAlignment="1">
      <alignment horizontal="right"/>
    </xf>
    <xf numFmtId="1" fontId="0" fillId="0" borderId="5" xfId="0" applyNumberFormat="1" applyFont="1" applyBorder="1"/>
    <xf numFmtId="1" fontId="0" fillId="0" borderId="5" xfId="0" applyNumberFormat="1" applyFont="1" applyFill="1" applyBorder="1"/>
    <xf numFmtId="1" fontId="0" fillId="16" borderId="5" xfId="0" applyNumberFormat="1" applyFont="1" applyFill="1" applyBorder="1"/>
    <xf numFmtId="0" fontId="0" fillId="0" borderId="13" xfId="0" applyFont="1"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3" xfId="0" applyFont="1" applyBorder="1"/>
    <xf numFmtId="0" fontId="0" fillId="0" borderId="14" xfId="0" applyBorder="1"/>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xf numFmtId="0" fontId="0" fillId="0" borderId="14" xfId="0" applyFont="1" applyBorder="1"/>
    <xf numFmtId="0" fontId="0" fillId="0" borderId="16" xfId="0" applyFont="1" applyFill="1" applyBorder="1"/>
    <xf numFmtId="2" fontId="0" fillId="0" borderId="6" xfId="0" applyNumberFormat="1" applyBorder="1"/>
    <xf numFmtId="2" fontId="1" fillId="0" borderId="17" xfId="0" applyNumberFormat="1" applyFont="1" applyBorder="1"/>
    <xf numFmtId="0" fontId="0" fillId="0" borderId="13" xfId="0" applyFill="1" applyBorder="1" applyAlignment="1">
      <alignment vertical="center"/>
    </xf>
    <xf numFmtId="0" fontId="0" fillId="0" borderId="14" xfId="0" applyFill="1" applyBorder="1" applyAlignment="1">
      <alignment horizontal="center" vertical="center" wrapText="1"/>
    </xf>
    <xf numFmtId="0" fontId="0" fillId="8" borderId="13" xfId="0" applyFont="1" applyFill="1" applyBorder="1"/>
    <xf numFmtId="0" fontId="0" fillId="14" borderId="13" xfId="0" applyFill="1" applyBorder="1"/>
    <xf numFmtId="0" fontId="0" fillId="0" borderId="13" xfId="0" applyFill="1" applyBorder="1"/>
    <xf numFmtId="0" fontId="0" fillId="0" borderId="14" xfId="0" applyFill="1" applyBorder="1"/>
    <xf numFmtId="0" fontId="0" fillId="0" borderId="13" xfId="0" applyFill="1" applyBorder="1" applyAlignment="1">
      <alignment horizontal="right"/>
    </xf>
    <xf numFmtId="0" fontId="0" fillId="0" borderId="16" xfId="0" applyBorder="1"/>
    <xf numFmtId="0" fontId="0" fillId="0" borderId="6" xfId="0" applyBorder="1"/>
    <xf numFmtId="0" fontId="0" fillId="0" borderId="17" xfId="0" applyFill="1" applyBorder="1"/>
    <xf numFmtId="0" fontId="0" fillId="0" borderId="3" xfId="0" applyBorder="1" applyAlignment="1"/>
    <xf numFmtId="0" fontId="0" fillId="0" borderId="4" xfId="0" applyBorder="1" applyAlignment="1"/>
    <xf numFmtId="0" fontId="0" fillId="2" borderId="0" xfId="0" applyFill="1"/>
    <xf numFmtId="165" fontId="0" fillId="0" borderId="5" xfId="0" applyNumberFormat="1" applyFont="1" applyBorder="1" applyAlignment="1">
      <alignment horizontal="right"/>
    </xf>
    <xf numFmtId="0" fontId="1" fillId="13" borderId="0" xfId="0" applyFont="1" applyFill="1" applyAlignment="1"/>
    <xf numFmtId="9" fontId="0" fillId="11" borderId="7" xfId="1" applyFont="1" applyFill="1" applyBorder="1"/>
    <xf numFmtId="2" fontId="0" fillId="11" borderId="7" xfId="1" applyNumberFormat="1" applyFont="1" applyFill="1" applyBorder="1"/>
    <xf numFmtId="0" fontId="21" fillId="0" borderId="0" xfId="0" applyFont="1" applyAlignment="1">
      <alignment horizontal="center"/>
    </xf>
    <xf numFmtId="2" fontId="4" fillId="0" borderId="0" xfId="0" applyNumberFormat="1" applyFont="1" applyBorder="1" applyAlignment="1">
      <alignment horizontal="right"/>
    </xf>
    <xf numFmtId="170" fontId="0" fillId="0" borderId="7" xfId="2" applyNumberFormat="1" applyFont="1" applyBorder="1"/>
    <xf numFmtId="1" fontId="3" fillId="0" borderId="0" xfId="0" applyNumberFormat="1" applyFont="1" applyFill="1" applyAlignment="1"/>
    <xf numFmtId="2" fontId="20" fillId="0" borderId="0" xfId="0" applyNumberFormat="1" applyFont="1" applyAlignment="1">
      <alignment horizontal="center"/>
    </xf>
    <xf numFmtId="0" fontId="54" fillId="0" borderId="0" xfId="0" applyFont="1"/>
    <xf numFmtId="164" fontId="0" fillId="0" borderId="7" xfId="0" applyNumberFormat="1" applyBorder="1"/>
    <xf numFmtId="0" fontId="50" fillId="0" borderId="0" xfId="0" applyFont="1" applyFill="1" applyAlignment="1">
      <alignment horizontal="center"/>
    </xf>
    <xf numFmtId="0" fontId="19" fillId="0" borderId="0" xfId="0" applyFont="1" applyFill="1"/>
    <xf numFmtId="43" fontId="0" fillId="18" borderId="7" xfId="2" applyFont="1" applyFill="1" applyBorder="1"/>
    <xf numFmtId="0" fontId="0" fillId="18" borderId="0" xfId="0" applyFill="1"/>
    <xf numFmtId="0" fontId="0" fillId="18" borderId="7" xfId="0" applyFill="1" applyBorder="1"/>
    <xf numFmtId="2" fontId="0" fillId="18" borderId="7" xfId="0" applyNumberFormat="1" applyFill="1" applyBorder="1"/>
    <xf numFmtId="0" fontId="0" fillId="0" borderId="0" xfId="0" applyBorder="1" applyAlignment="1">
      <alignment horizontal="center"/>
    </xf>
    <xf numFmtId="0" fontId="62" fillId="0" borderId="0" xfId="0" applyFont="1" applyFill="1" applyBorder="1" applyAlignment="1">
      <alignment horizontal="center"/>
    </xf>
    <xf numFmtId="0" fontId="62" fillId="0" borderId="0" xfId="0" applyFont="1" applyFill="1" applyBorder="1"/>
    <xf numFmtId="0" fontId="0" fillId="0" borderId="0" xfId="0" applyFill="1" applyBorder="1" applyAlignment="1">
      <alignment horizontal="left"/>
    </xf>
    <xf numFmtId="168" fontId="0" fillId="0" borderId="0" xfId="2" applyNumberFormat="1" applyFont="1" applyFill="1" applyBorder="1" applyAlignment="1">
      <alignment horizontal="left"/>
    </xf>
    <xf numFmtId="175" fontId="0" fillId="0" borderId="0" xfId="54" applyNumberFormat="1" applyFont="1" applyFill="1" applyBorder="1"/>
    <xf numFmtId="0" fontId="0" fillId="0" borderId="0" xfId="0" applyFill="1" applyAlignment="1">
      <alignment horizontal="center"/>
    </xf>
    <xf numFmtId="0" fontId="0" fillId="0" borderId="0" xfId="0" applyAlignment="1">
      <alignment horizontal="center" vertical="center"/>
    </xf>
    <xf numFmtId="0" fontId="63" fillId="0" borderId="0" xfId="0" applyFont="1" applyAlignment="1">
      <alignment horizontal="center" vertical="center"/>
    </xf>
    <xf numFmtId="9" fontId="63" fillId="0" borderId="0" xfId="0" applyNumberFormat="1" applyFont="1" applyAlignment="1">
      <alignment horizontal="center" vertical="center"/>
    </xf>
    <xf numFmtId="0" fontId="63" fillId="0" borderId="0" xfId="0" applyFont="1"/>
    <xf numFmtId="10" fontId="21" fillId="0" borderId="0" xfId="1" applyNumberFormat="1" applyFont="1" applyAlignment="1">
      <alignment horizontal="left"/>
    </xf>
    <xf numFmtId="9" fontId="21" fillId="0" borderId="0" xfId="1" applyFont="1"/>
    <xf numFmtId="10" fontId="21" fillId="0" borderId="0" xfId="1" applyNumberFormat="1" applyFont="1"/>
    <xf numFmtId="10" fontId="15" fillId="0" borderId="0" xfId="0" applyNumberFormat="1" applyFont="1"/>
    <xf numFmtId="0" fontId="15" fillId="0" borderId="0" xfId="0" applyFont="1" applyAlignment="1">
      <alignment horizontal="left" vertical="center" readingOrder="1"/>
    </xf>
    <xf numFmtId="0" fontId="64" fillId="0" borderId="0" xfId="0" applyFont="1" applyAlignment="1">
      <alignment horizontal="left" vertical="center" readingOrder="1"/>
    </xf>
    <xf numFmtId="0" fontId="65" fillId="0" borderId="0" xfId="0" applyFont="1"/>
    <xf numFmtId="0" fontId="0" fillId="8" borderId="0" xfId="0" applyFill="1"/>
    <xf numFmtId="2" fontId="1" fillId="8" borderId="0" xfId="0" applyNumberFormat="1" applyFont="1" applyFill="1" applyAlignment="1">
      <alignment horizontal="center" vertical="center"/>
    </xf>
    <xf numFmtId="9" fontId="0" fillId="8" borderId="0" xfId="1" applyFont="1" applyFill="1"/>
    <xf numFmtId="176" fontId="0" fillId="0" borderId="0" xfId="0" applyNumberFormat="1"/>
    <xf numFmtId="0" fontId="1" fillId="8" borderId="0" xfId="0" applyFont="1" applyFill="1"/>
    <xf numFmtId="0" fontId="0" fillId="8" borderId="0" xfId="0" applyFill="1" applyAlignment="1">
      <alignment horizontal="center" vertical="center" wrapText="1"/>
    </xf>
    <xf numFmtId="0" fontId="0" fillId="8" borderId="0" xfId="0" applyFill="1" applyBorder="1" applyAlignment="1">
      <alignment horizontal="center" vertical="center" wrapText="1"/>
    </xf>
    <xf numFmtId="0" fontId="0" fillId="8" borderId="0" xfId="0" applyFill="1" applyAlignment="1">
      <alignment horizontal="center" vertical="center"/>
    </xf>
    <xf numFmtId="0" fontId="21" fillId="8" borderId="0" xfId="0" applyFont="1" applyFill="1" applyAlignment="1">
      <alignment horizontal="center" vertical="center" wrapText="1"/>
    </xf>
    <xf numFmtId="0" fontId="0" fillId="8" borderId="0" xfId="0" applyFill="1" applyAlignment="1">
      <alignment wrapText="1"/>
    </xf>
    <xf numFmtId="0" fontId="0" fillId="8" borderId="0" xfId="0" applyFont="1" applyFill="1" applyAlignment="1">
      <alignment horizontal="center" vertical="center" wrapText="1"/>
    </xf>
    <xf numFmtId="0" fontId="21" fillId="0" borderId="0" xfId="0" applyFont="1" applyFill="1" applyAlignment="1">
      <alignment horizontal="center" vertical="center" wrapText="1"/>
    </xf>
    <xf numFmtId="0" fontId="13" fillId="0" borderId="0" xfId="0" applyFont="1" applyAlignment="1">
      <alignment horizontal="center" vertical="center" wrapText="1"/>
    </xf>
    <xf numFmtId="10" fontId="0" fillId="0" borderId="0" xfId="1" applyNumberFormat="1" applyFont="1" applyAlignment="1">
      <alignment wrapText="1"/>
    </xf>
    <xf numFmtId="0" fontId="1" fillId="8" borderId="0" xfId="0" applyFont="1" applyFill="1" applyAlignment="1">
      <alignment horizontal="center" vertical="center" wrapText="1"/>
    </xf>
    <xf numFmtId="0" fontId="0" fillId="8" borderId="0" xfId="0" applyFill="1" applyAlignment="1">
      <alignment vertical="center" wrapText="1"/>
    </xf>
    <xf numFmtId="9" fontId="0" fillId="8" borderId="0" xfId="1" applyFont="1" applyFill="1" applyAlignment="1">
      <alignment vertical="center" wrapText="1"/>
    </xf>
    <xf numFmtId="165" fontId="0" fillId="0" borderId="0" xfId="0" applyNumberFormat="1" applyAlignment="1">
      <alignment horizontal="center" vertical="center" wrapText="1"/>
    </xf>
    <xf numFmtId="0" fontId="0" fillId="4" borderId="5" xfId="0" applyFill="1" applyBorder="1" applyAlignment="1">
      <alignment wrapText="1"/>
    </xf>
    <xf numFmtId="2" fontId="65" fillId="0" borderId="0" xfId="0" applyNumberFormat="1" applyFont="1"/>
    <xf numFmtId="165" fontId="4" fillId="0" borderId="7" xfId="0" applyNumberFormat="1" applyFont="1" applyBorder="1"/>
    <xf numFmtId="2" fontId="0" fillId="0" borderId="0" xfId="1" applyNumberFormat="1" applyFont="1"/>
    <xf numFmtId="164" fontId="0" fillId="0" borderId="0" xfId="0" applyNumberFormat="1" applyBorder="1"/>
    <xf numFmtId="164" fontId="0" fillId="4" borderId="5" xfId="0" applyNumberFormat="1" applyFill="1" applyBorder="1"/>
    <xf numFmtId="2" fontId="0" fillId="0" borderId="0" xfId="1" applyNumberFormat="1" applyFont="1" applyBorder="1"/>
    <xf numFmtId="0" fontId="0" fillId="8" borderId="7" xfId="0" applyFill="1" applyBorder="1"/>
    <xf numFmtId="2" fontId="0" fillId="8" borderId="7" xfId="0" applyNumberFormat="1" applyFill="1" applyBorder="1"/>
    <xf numFmtId="9" fontId="0" fillId="8" borderId="7" xfId="1" applyFont="1" applyFill="1" applyBorder="1"/>
    <xf numFmtId="9" fontId="0" fillId="8" borderId="22" xfId="1" applyFont="1" applyFill="1" applyBorder="1"/>
    <xf numFmtId="9" fontId="0" fillId="8" borderId="0" xfId="1" applyFont="1" applyFill="1" applyBorder="1"/>
    <xf numFmtId="2" fontId="0" fillId="8" borderId="0" xfId="0" applyNumberFormat="1" applyFill="1"/>
    <xf numFmtId="0" fontId="21" fillId="8" borderId="0" xfId="0" applyFont="1" applyFill="1"/>
    <xf numFmtId="0" fontId="0" fillId="8" borderId="0" xfId="0" applyFont="1" applyFill="1"/>
    <xf numFmtId="2" fontId="4" fillId="8" borderId="7" xfId="0" applyNumberFormat="1" applyFont="1" applyFill="1" applyBorder="1"/>
    <xf numFmtId="2" fontId="0" fillId="11" borderId="22" xfId="1" applyNumberFormat="1" applyFont="1" applyFill="1" applyBorder="1"/>
    <xf numFmtId="2" fontId="0" fillId="18" borderId="0" xfId="0" applyNumberFormat="1" applyFill="1"/>
    <xf numFmtId="2" fontId="66" fillId="0" borderId="23" xfId="0" applyNumberFormat="1" applyFont="1" applyBorder="1"/>
    <xf numFmtId="2" fontId="10" fillId="0" borderId="0" xfId="0" applyNumberFormat="1" applyFont="1"/>
    <xf numFmtId="10" fontId="0" fillId="0" borderId="0" xfId="0" applyNumberFormat="1"/>
    <xf numFmtId="0" fontId="13" fillId="0" borderId="0" xfId="0" applyFont="1" applyAlignment="1">
      <alignment vertical="center"/>
    </xf>
    <xf numFmtId="0" fontId="0" fillId="0" borderId="0" xfId="0" applyAlignment="1">
      <alignment vertical="center"/>
    </xf>
    <xf numFmtId="0" fontId="0" fillId="0" borderId="0" xfId="0" applyAlignment="1">
      <alignment vertical="center" wrapText="1"/>
    </xf>
    <xf numFmtId="2" fontId="0" fillId="0" borderId="0" xfId="0" applyNumberFormat="1" applyFont="1" applyFill="1" applyBorder="1" applyAlignment="1">
      <alignment horizontal="right" vertical="center" wrapText="1"/>
    </xf>
    <xf numFmtId="2" fontId="0" fillId="0" borderId="0" xfId="0" applyNumberFormat="1" applyAlignment="1">
      <alignment vertical="center" wrapText="1"/>
    </xf>
    <xf numFmtId="2" fontId="1" fillId="0" borderId="24" xfId="0" applyNumberFormat="1" applyFont="1" applyBorder="1"/>
    <xf numFmtId="2" fontId="0" fillId="8" borderId="5" xfId="0" applyNumberFormat="1" applyFont="1" applyFill="1" applyBorder="1" applyAlignment="1">
      <alignment horizontal="right" wrapText="1"/>
    </xf>
    <xf numFmtId="2" fontId="19" fillId="8" borderId="5" xfId="0" applyNumberFormat="1" applyFont="1" applyFill="1" applyBorder="1" applyAlignment="1">
      <alignment horizontal="right" wrapText="1"/>
    </xf>
    <xf numFmtId="2" fontId="0" fillId="0" borderId="5" xfId="0" applyNumberFormat="1" applyFont="1" applyBorder="1" applyAlignment="1">
      <alignment horizontal="right" wrapText="1"/>
    </xf>
    <xf numFmtId="43" fontId="0" fillId="0" borderId="0" xfId="0" applyNumberFormat="1" applyFill="1" applyBorder="1"/>
    <xf numFmtId="43" fontId="0" fillId="0" borderId="0" xfId="2" applyNumberFormat="1" applyFont="1" applyFill="1" applyBorder="1"/>
    <xf numFmtId="168" fontId="0" fillId="0" borderId="0" xfId="2" applyNumberFormat="1" applyFont="1" applyFill="1" applyBorder="1"/>
    <xf numFmtId="166" fontId="0" fillId="0" borderId="25" xfId="1" applyNumberFormat="1" applyFont="1" applyFill="1" applyBorder="1"/>
    <xf numFmtId="166" fontId="21" fillId="0" borderId="25" xfId="1" applyNumberFormat="1" applyFont="1" applyFill="1" applyBorder="1"/>
    <xf numFmtId="0" fontId="0" fillId="0" borderId="26" xfId="0" applyFill="1" applyBorder="1"/>
    <xf numFmtId="0" fontId="21" fillId="0" borderId="26" xfId="0" applyFont="1" applyFill="1" applyBorder="1"/>
    <xf numFmtId="2" fontId="1" fillId="8" borderId="5" xfId="0" applyNumberFormat="1" applyFont="1" applyFill="1" applyBorder="1" applyAlignment="1">
      <alignment horizontal="right" wrapText="1"/>
    </xf>
    <xf numFmtId="1" fontId="0" fillId="8" borderId="5" xfId="1" applyNumberFormat="1" applyFont="1" applyFill="1" applyBorder="1"/>
    <xf numFmtId="1" fontId="21" fillId="8" borderId="5" xfId="1" applyNumberFormat="1" applyFont="1" applyFill="1" applyBorder="1"/>
    <xf numFmtId="1" fontId="2" fillId="0" borderId="5" xfId="1" applyNumberFormat="1" applyFont="1" applyFill="1" applyBorder="1"/>
    <xf numFmtId="1" fontId="21" fillId="0" borderId="5" xfId="1" applyNumberFormat="1" applyFont="1" applyFill="1" applyBorder="1"/>
    <xf numFmtId="1" fontId="0" fillId="8" borderId="5" xfId="0" applyNumberFormat="1" applyFill="1" applyBorder="1"/>
    <xf numFmtId="0" fontId="1" fillId="2" borderId="0" xfId="0" applyFont="1" applyFill="1" applyBorder="1" applyAlignment="1"/>
    <xf numFmtId="0" fontId="15" fillId="4" borderId="5" xfId="0" applyFont="1" applyFill="1" applyBorder="1" applyAlignment="1">
      <alignment wrapText="1"/>
    </xf>
    <xf numFmtId="2" fontId="15" fillId="0" borderId="5" xfId="0" applyNumberFormat="1" applyFont="1" applyBorder="1"/>
    <xf numFmtId="164" fontId="0" fillId="0" borderId="5" xfId="0" applyNumberFormat="1" applyFont="1" applyBorder="1"/>
    <xf numFmtId="1" fontId="18" fillId="0" borderId="5" xfId="0" applyNumberFormat="1" applyFont="1" applyBorder="1"/>
    <xf numFmtId="164" fontId="3" fillId="0" borderId="0" xfId="0" applyNumberFormat="1" applyFont="1"/>
    <xf numFmtId="0" fontId="0" fillId="0" borderId="3" xfId="0" applyBorder="1"/>
    <xf numFmtId="0" fontId="0" fillId="0" borderId="4" xfId="0" applyBorder="1" applyAlignment="1">
      <alignment horizontal="right"/>
    </xf>
    <xf numFmtId="0" fontId="0" fillId="0" borderId="4" xfId="0" applyBorder="1"/>
    <xf numFmtId="0" fontId="1" fillId="2" borderId="0" xfId="0" applyFont="1" applyFill="1" applyAlignment="1">
      <alignment horizontal="center"/>
    </xf>
    <xf numFmtId="1" fontId="0" fillId="0" borderId="0" xfId="0" applyNumberFormat="1" applyFill="1" applyBorder="1" applyAlignment="1">
      <alignment horizontal="center"/>
    </xf>
    <xf numFmtId="0" fontId="0" fillId="0" borderId="0" xfId="0" applyFill="1" applyBorder="1" applyAlignment="1">
      <alignment horizontal="center" vertical="center" wrapText="1"/>
    </xf>
    <xf numFmtId="164" fontId="0" fillId="0" borderId="0" xfId="0" applyNumberFormat="1" applyFill="1" applyBorder="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2" fontId="0" fillId="0" borderId="0" xfId="0" applyNumberFormat="1" applyAlignment="1">
      <alignment wrapText="1"/>
    </xf>
    <xf numFmtId="0" fontId="67" fillId="0" borderId="0" xfId="0" applyFont="1"/>
    <xf numFmtId="164" fontId="0" fillId="0" borderId="5" xfId="0" applyNumberFormat="1" applyFont="1" applyFill="1" applyBorder="1"/>
    <xf numFmtId="0" fontId="1" fillId="0" borderId="0" xfId="0" applyFont="1" applyFill="1" applyAlignment="1">
      <alignment horizontal="center"/>
    </xf>
    <xf numFmtId="0" fontId="68" fillId="0" borderId="0" xfId="0" applyFont="1"/>
    <xf numFmtId="1" fontId="1" fillId="0" borderId="0" xfId="0" applyNumberFormat="1" applyFont="1" applyFill="1" applyBorder="1" applyAlignment="1">
      <alignment horizontal="center"/>
    </xf>
    <xf numFmtId="177" fontId="0" fillId="0" borderId="0" xfId="0" applyNumberFormat="1"/>
    <xf numFmtId="0" fontId="46" fillId="8" borderId="0" xfId="0" applyFont="1" applyFill="1" applyAlignment="1">
      <alignment horizontal="right" wrapText="1"/>
    </xf>
    <xf numFmtId="164" fontId="46" fillId="0" borderId="0" xfId="0" applyNumberFormat="1" applyFont="1"/>
    <xf numFmtId="2" fontId="46" fillId="0" borderId="0" xfId="0" applyNumberFormat="1" applyFont="1"/>
    <xf numFmtId="2" fontId="7" fillId="0" borderId="0" xfId="0" applyNumberFormat="1" applyFont="1" applyFill="1" applyBorder="1" applyAlignment="1">
      <alignment horizontal="center" wrapText="1"/>
    </xf>
    <xf numFmtId="1" fontId="21" fillId="0" borderId="0" xfId="1" applyNumberFormat="1" applyFont="1" applyFill="1" applyBorder="1"/>
    <xf numFmtId="164" fontId="0" fillId="18" borderId="0" xfId="0" applyNumberFormat="1" applyFont="1" applyFill="1" applyBorder="1" applyAlignment="1">
      <alignment horizontal="right"/>
    </xf>
    <xf numFmtId="10" fontId="54" fillId="0" borderId="0" xfId="1" applyNumberFormat="1" applyFont="1"/>
    <xf numFmtId="164" fontId="0" fillId="17" borderId="0" xfId="0" applyNumberFormat="1" applyFont="1" applyFill="1" applyBorder="1"/>
    <xf numFmtId="0" fontId="14" fillId="0" borderId="0" xfId="0" applyFont="1"/>
    <xf numFmtId="0" fontId="69" fillId="0" borderId="0" xfId="0" applyFont="1"/>
    <xf numFmtId="165" fontId="68" fillId="0" borderId="0" xfId="0" applyNumberFormat="1" applyFont="1" applyAlignment="1">
      <alignment horizontal="right"/>
    </xf>
    <xf numFmtId="172" fontId="0" fillId="0" borderId="7" xfId="2" applyNumberFormat="1" applyFont="1" applyBorder="1"/>
    <xf numFmtId="0" fontId="0" fillId="0" borderId="5" xfId="0" applyFont="1" applyFill="1" applyBorder="1" applyAlignment="1">
      <alignment wrapText="1"/>
    </xf>
    <xf numFmtId="166" fontId="4" fillId="0" borderId="0" xfId="1" applyNumberFormat="1" applyFont="1"/>
    <xf numFmtId="178" fontId="0" fillId="0" borderId="0" xfId="0" applyNumberFormat="1"/>
    <xf numFmtId="177" fontId="0" fillId="0" borderId="5" xfId="0" applyNumberFormat="1" applyBorder="1" applyAlignment="1">
      <alignment wrapText="1"/>
    </xf>
    <xf numFmtId="2" fontId="0" fillId="4" borderId="5" xfId="0" applyNumberFormat="1" applyFill="1" applyBorder="1"/>
    <xf numFmtId="2" fontId="15" fillId="4" borderId="5" xfId="0" applyNumberFormat="1" applyFont="1" applyFill="1" applyBorder="1"/>
    <xf numFmtId="0" fontId="1" fillId="0" borderId="5" xfId="0" applyFont="1" applyBorder="1" applyAlignment="1">
      <alignment horizontal="right"/>
    </xf>
    <xf numFmtId="166" fontId="0" fillId="0" borderId="5" xfId="1" applyNumberFormat="1" applyFont="1" applyBorder="1"/>
    <xf numFmtId="166" fontId="0" fillId="0" borderId="5" xfId="0" applyNumberFormat="1" applyBorder="1"/>
    <xf numFmtId="10" fontId="13" fillId="0" borderId="0" xfId="1" applyNumberFormat="1" applyFont="1"/>
    <xf numFmtId="0" fontId="3" fillId="0" borderId="0" xfId="0" applyFont="1" applyAlignment="1">
      <alignment horizontal="center" vertical="center" wrapText="1"/>
    </xf>
    <xf numFmtId="2" fontId="0" fillId="18" borderId="5" xfId="0" applyNumberFormat="1" applyFill="1" applyBorder="1"/>
    <xf numFmtId="1" fontId="0" fillId="0" borderId="5" xfId="0" applyNumberFormat="1" applyBorder="1"/>
    <xf numFmtId="2" fontId="0" fillId="0" borderId="7" xfId="0" applyNumberFormat="1" applyFill="1" applyBorder="1"/>
    <xf numFmtId="170" fontId="0" fillId="18" borderId="7" xfId="2" applyNumberFormat="1" applyFont="1" applyFill="1" applyBorder="1"/>
    <xf numFmtId="2" fontId="0" fillId="0" borderId="7" xfId="0" applyNumberFormat="1" applyFont="1" applyFill="1" applyBorder="1"/>
    <xf numFmtId="2" fontId="0" fillId="0" borderId="7" xfId="0" applyNumberFormat="1" applyFont="1" applyBorder="1"/>
    <xf numFmtId="0" fontId="0" fillId="18" borderId="5" xfId="0" applyFill="1" applyBorder="1"/>
    <xf numFmtId="164" fontId="0" fillId="18" borderId="5" xfId="0" applyNumberFormat="1" applyFill="1" applyBorder="1"/>
    <xf numFmtId="2" fontId="15" fillId="18" borderId="5" xfId="0" applyNumberFormat="1" applyFont="1" applyFill="1" applyBorder="1"/>
    <xf numFmtId="166" fontId="0" fillId="18" borderId="5" xfId="1" applyNumberFormat="1" applyFont="1" applyFill="1" applyBorder="1"/>
    <xf numFmtId="0" fontId="50" fillId="0" borderId="0" xfId="0" applyFont="1" applyAlignment="1">
      <alignment horizontal="center" wrapText="1"/>
    </xf>
    <xf numFmtId="2" fontId="0" fillId="0" borderId="7" xfId="1" applyNumberFormat="1" applyFont="1" applyFill="1" applyBorder="1"/>
    <xf numFmtId="0" fontId="48" fillId="0" borderId="0" xfId="0" applyFont="1" applyAlignment="1">
      <alignment vertical="center"/>
    </xf>
    <xf numFmtId="0" fontId="48" fillId="0" borderId="0" xfId="0" applyFont="1" applyAlignment="1">
      <alignment horizontal="right" vertical="center"/>
    </xf>
    <xf numFmtId="0" fontId="47" fillId="0" borderId="0" xfId="0" applyFont="1"/>
    <xf numFmtId="2" fontId="0" fillId="0" borderId="9" xfId="0" applyNumberFormat="1" applyBorder="1"/>
    <xf numFmtId="9" fontId="0" fillId="0" borderId="9" xfId="1" applyFont="1" applyBorder="1"/>
    <xf numFmtId="2" fontId="0" fillId="0" borderId="9" xfId="1" applyNumberFormat="1" applyFont="1" applyBorder="1"/>
    <xf numFmtId="0" fontId="4" fillId="0" borderId="0" xfId="0" applyFont="1" applyFill="1" applyBorder="1"/>
    <xf numFmtId="0" fontId="4" fillId="0" borderId="0" xfId="0" applyFont="1" applyFill="1" applyBorder="1" applyAlignment="1">
      <alignment horizontal="center" vertical="center"/>
    </xf>
    <xf numFmtId="10" fontId="0" fillId="0" borderId="0" xfId="1" applyNumberFormat="1" applyFont="1" applyFill="1"/>
    <xf numFmtId="0" fontId="49" fillId="0" borderId="0" xfId="0" applyFont="1" applyFill="1" applyBorder="1"/>
    <xf numFmtId="2" fontId="13" fillId="0" borderId="0" xfId="0" applyNumberFormat="1" applyFont="1" applyBorder="1" applyAlignment="1">
      <alignment horizontal="left"/>
    </xf>
    <xf numFmtId="1" fontId="0" fillId="0" borderId="3" xfId="0" applyNumberFormat="1" applyBorder="1"/>
    <xf numFmtId="2" fontId="21" fillId="0" borderId="5" xfId="0" applyNumberFormat="1" applyFont="1" applyFill="1" applyBorder="1" applyAlignment="1">
      <alignment horizontal="right" wrapText="1"/>
    </xf>
    <xf numFmtId="2" fontId="21" fillId="8" borderId="5" xfId="0" applyNumberFormat="1" applyFont="1" applyFill="1" applyBorder="1" applyAlignment="1">
      <alignment horizontal="right" wrapText="1"/>
    </xf>
    <xf numFmtId="2" fontId="0" fillId="0" borderId="5" xfId="0" applyNumberFormat="1" applyBorder="1" applyAlignment="1">
      <alignment wrapText="1"/>
    </xf>
    <xf numFmtId="0" fontId="1" fillId="0" borderId="0" xfId="0" applyFont="1" applyBorder="1" applyAlignment="1">
      <alignment vertical="center"/>
    </xf>
    <xf numFmtId="0" fontId="0" fillId="0" borderId="0" xfId="0" applyBorder="1" applyAlignment="1">
      <alignment vertical="center" wrapText="1"/>
    </xf>
    <xf numFmtId="0" fontId="0" fillId="0" borderId="0" xfId="0" applyBorder="1" applyAlignment="1">
      <alignment vertical="top"/>
    </xf>
    <xf numFmtId="166" fontId="0" fillId="0" borderId="0" xfId="0" applyNumberFormat="1"/>
    <xf numFmtId="2" fontId="15" fillId="0" borderId="5" xfId="0" applyNumberFormat="1" applyFont="1" applyFill="1" applyBorder="1"/>
    <xf numFmtId="164" fontId="0" fillId="18" borderId="0" xfId="0" applyNumberFormat="1" applyFill="1" applyBorder="1"/>
    <xf numFmtId="0" fontId="0" fillId="0" borderId="10" xfId="0" applyBorder="1"/>
    <xf numFmtId="0" fontId="0" fillId="0" borderId="12" xfId="0" applyBorder="1"/>
    <xf numFmtId="164" fontId="0" fillId="0" borderId="13" xfId="0" applyNumberFormat="1" applyBorder="1"/>
    <xf numFmtId="164" fontId="0" fillId="0" borderId="14" xfId="0" applyNumberFormat="1" applyBorder="1"/>
    <xf numFmtId="2" fontId="0" fillId="0" borderId="16" xfId="0" applyNumberFormat="1" applyBorder="1"/>
    <xf numFmtId="2" fontId="0" fillId="0" borderId="17" xfId="0" applyNumberFormat="1" applyBorder="1"/>
    <xf numFmtId="0" fontId="0" fillId="0" borderId="13" xfId="0" applyBorder="1"/>
    <xf numFmtId="2" fontId="0" fillId="18" borderId="0" xfId="0" applyNumberFormat="1" applyFont="1" applyFill="1"/>
    <xf numFmtId="165" fontId="0" fillId="0" borderId="7" xfId="1" applyNumberFormat="1" applyFont="1" applyBorder="1"/>
    <xf numFmtId="0" fontId="0" fillId="0" borderId="16" xfId="0" applyFill="1" applyBorder="1"/>
    <xf numFmtId="2" fontId="21" fillId="0" borderId="0" xfId="0" applyNumberFormat="1" applyFont="1"/>
    <xf numFmtId="0" fontId="1" fillId="0" borderId="0" xfId="0" applyFont="1" applyFill="1" applyAlignment="1">
      <alignment horizontal="right" wrapText="1"/>
    </xf>
    <xf numFmtId="166" fontId="1" fillId="0" borderId="0" xfId="0" applyNumberFormat="1" applyFont="1" applyFill="1"/>
    <xf numFmtId="2" fontId="57" fillId="0" borderId="0" xfId="0" applyNumberFormat="1" applyFont="1"/>
    <xf numFmtId="0" fontId="57" fillId="0" borderId="0" xfId="0" applyFont="1"/>
    <xf numFmtId="0" fontId="0" fillId="18" borderId="22" xfId="0" applyFill="1" applyBorder="1"/>
    <xf numFmtId="0" fontId="0" fillId="0" borderId="22" xfId="0" applyBorder="1"/>
    <xf numFmtId="2" fontId="0" fillId="0" borderId="8" xfId="0" applyNumberFormat="1" applyBorder="1"/>
    <xf numFmtId="2" fontId="0" fillId="18" borderId="0" xfId="0" applyNumberFormat="1" applyFill="1" applyBorder="1"/>
    <xf numFmtId="2" fontId="0" fillId="0" borderId="22" xfId="0" applyNumberFormat="1" applyFont="1" applyFill="1" applyBorder="1"/>
    <xf numFmtId="2" fontId="0" fillId="0" borderId="22" xfId="0" applyNumberFormat="1" applyBorder="1"/>
    <xf numFmtId="2" fontId="0" fillId="0" borderId="22" xfId="0" applyNumberFormat="1" applyFill="1" applyBorder="1"/>
    <xf numFmtId="9" fontId="0" fillId="0" borderId="8" xfId="1" applyFont="1" applyBorder="1"/>
    <xf numFmtId="166" fontId="15" fillId="0" borderId="0" xfId="1" applyNumberFormat="1" applyFont="1" applyBorder="1"/>
    <xf numFmtId="1" fontId="0" fillId="0" borderId="0" xfId="1" applyNumberFormat="1" applyFont="1" applyBorder="1"/>
    <xf numFmtId="2" fontId="54" fillId="0" borderId="0" xfId="1" applyNumberFormat="1" applyFont="1"/>
    <xf numFmtId="0" fontId="1" fillId="0" borderId="0" xfId="0" applyFont="1" applyFill="1" applyAlignment="1">
      <alignment vertical="center"/>
    </xf>
    <xf numFmtId="0" fontId="50" fillId="0" borderId="0" xfId="0" applyFont="1" applyAlignment="1">
      <alignment horizontal="left"/>
    </xf>
    <xf numFmtId="0" fontId="22" fillId="0" borderId="0" xfId="0" applyFont="1" applyAlignment="1"/>
    <xf numFmtId="0" fontId="0" fillId="0" borderId="0" xfId="0" applyAlignment="1"/>
    <xf numFmtId="0" fontId="0" fillId="0" borderId="0" xfId="0" applyFill="1" applyAlignment="1"/>
    <xf numFmtId="0" fontId="15" fillId="0" borderId="0" xfId="0" applyFont="1" applyAlignment="1"/>
    <xf numFmtId="164" fontId="6" fillId="0" borderId="0" xfId="0" applyNumberFormat="1" applyFont="1" applyFill="1" applyAlignment="1"/>
    <xf numFmtId="1" fontId="0" fillId="0" borderId="0" xfId="0" applyNumberFormat="1" applyAlignment="1"/>
    <xf numFmtId="9" fontId="0" fillId="0" borderId="0" xfId="0" applyNumberFormat="1" applyFill="1" applyAlignment="1"/>
    <xf numFmtId="0" fontId="21" fillId="0" borderId="0" xfId="0" applyFont="1" applyFill="1" applyAlignment="1"/>
    <xf numFmtId="167" fontId="21" fillId="0" borderId="0" xfId="2" applyNumberFormat="1" applyFont="1" applyFill="1" applyAlignment="1"/>
    <xf numFmtId="165" fontId="15" fillId="0" borderId="0" xfId="0" applyNumberFormat="1" applyFont="1" applyFill="1" applyAlignment="1"/>
    <xf numFmtId="0" fontId="20" fillId="0" borderId="0" xfId="0" applyFont="1" applyAlignment="1"/>
    <xf numFmtId="164" fontId="0" fillId="0" borderId="0" xfId="0" applyNumberFormat="1" applyFill="1" applyAlignment="1"/>
    <xf numFmtId="9" fontId="0" fillId="0" borderId="0" xfId="1" applyFont="1" applyFill="1" applyAlignment="1"/>
    <xf numFmtId="0" fontId="0" fillId="13" borderId="0" xfId="0" applyFill="1" applyAlignment="1"/>
    <xf numFmtId="0" fontId="1" fillId="0" borderId="0" xfId="0" applyFont="1" applyAlignment="1"/>
    <xf numFmtId="0" fontId="4" fillId="0" borderId="0" xfId="0" applyFont="1" applyFill="1" applyAlignment="1"/>
    <xf numFmtId="0" fontId="13" fillId="0" borderId="0" xfId="0" applyFont="1" applyAlignment="1"/>
    <xf numFmtId="0" fontId="0" fillId="0" borderId="0" xfId="0" applyFont="1" applyAlignment="1"/>
    <xf numFmtId="0" fontId="14" fillId="0" borderId="0" xfId="0" applyFont="1" applyFill="1" applyAlignment="1"/>
    <xf numFmtId="0" fontId="54" fillId="13" borderId="0" xfId="0" applyFont="1" applyFill="1" applyAlignment="1"/>
    <xf numFmtId="0" fontId="54" fillId="0" borderId="0" xfId="0" applyFont="1" applyAlignment="1"/>
    <xf numFmtId="165" fontId="0" fillId="0" borderId="0" xfId="0" applyNumberFormat="1" applyAlignment="1"/>
    <xf numFmtId="0" fontId="15" fillId="0" borderId="0" xfId="0" applyFont="1" applyFill="1" applyAlignment="1"/>
    <xf numFmtId="164" fontId="1" fillId="0" borderId="0" xfId="0" applyNumberFormat="1" applyFont="1" applyAlignment="1"/>
    <xf numFmtId="0" fontId="0" fillId="4" borderId="0" xfId="0" applyFill="1" applyAlignment="1"/>
    <xf numFmtId="2" fontId="1" fillId="0" borderId="0" xfId="0" applyNumberFormat="1" applyFont="1" applyAlignment="1"/>
    <xf numFmtId="2" fontId="0" fillId="0" borderId="0" xfId="0" applyNumberFormat="1" applyFill="1" applyAlignment="1"/>
    <xf numFmtId="0" fontId="3" fillId="0" borderId="0" xfId="0" applyFont="1" applyFill="1" applyBorder="1" applyAlignment="1"/>
    <xf numFmtId="0" fontId="0" fillId="0" borderId="0" xfId="0" applyFont="1" applyFill="1" applyBorder="1" applyAlignment="1"/>
    <xf numFmtId="10" fontId="0" fillId="0" borderId="0" xfId="1" applyNumberFormat="1" applyFont="1" applyAlignment="1"/>
    <xf numFmtId="0" fontId="6" fillId="0" borderId="0" xfId="0" applyFont="1" applyFill="1" applyBorder="1" applyAlignment="1"/>
    <xf numFmtId="0" fontId="18" fillId="0" borderId="0" xfId="0" applyFont="1" applyFill="1" applyBorder="1" applyAlignment="1"/>
    <xf numFmtId="0" fontId="14" fillId="0" borderId="0" xfId="0" applyFont="1" applyFill="1" applyBorder="1" applyAlignment="1"/>
    <xf numFmtId="0" fontId="20" fillId="0" borderId="0" xfId="0" applyFont="1" applyFill="1" applyAlignment="1"/>
    <xf numFmtId="2" fontId="1" fillId="0" borderId="0" xfId="0" applyNumberFormat="1" applyFon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0" fontId="1" fillId="0" borderId="0" xfId="0" applyFont="1" applyFill="1" applyBorder="1" applyAlignment="1">
      <alignment horizontal="center"/>
    </xf>
    <xf numFmtId="0" fontId="13" fillId="0" borderId="0" xfId="0" applyFont="1" applyAlignment="1">
      <alignment horizontal="center"/>
    </xf>
    <xf numFmtId="0" fontId="0" fillId="0" borderId="0" xfId="0" applyAlignment="1">
      <alignment horizontal="center" vertical="center" wrapText="1"/>
    </xf>
    <xf numFmtId="0" fontId="70" fillId="0" borderId="0" xfId="0" applyFont="1" applyFill="1"/>
    <xf numFmtId="0" fontId="26" fillId="0" borderId="0" xfId="0" applyFont="1" applyFill="1"/>
    <xf numFmtId="0" fontId="26" fillId="0" borderId="0" xfId="0" applyFont="1"/>
    <xf numFmtId="0" fontId="27" fillId="0" borderId="5" xfId="0" applyFont="1" applyBorder="1"/>
    <xf numFmtId="0" fontId="26" fillId="0" borderId="5" xfId="0" applyFont="1" applyBorder="1"/>
    <xf numFmtId="164" fontId="71" fillId="0" borderId="5" xfId="0" applyNumberFormat="1" applyFont="1" applyFill="1" applyBorder="1"/>
    <xf numFmtId="0" fontId="7" fillId="2" borderId="0" xfId="0" applyFont="1" applyFill="1" applyBorder="1"/>
    <xf numFmtId="164" fontId="26" fillId="8" borderId="0" xfId="0" applyNumberFormat="1" applyFont="1" applyFill="1" applyBorder="1"/>
    <xf numFmtId="164" fontId="26" fillId="14" borderId="0" xfId="0" applyNumberFormat="1" applyFont="1" applyFill="1" applyBorder="1"/>
    <xf numFmtId="2" fontId="26" fillId="0" borderId="0" xfId="0" applyNumberFormat="1" applyFont="1" applyBorder="1"/>
    <xf numFmtId="2" fontId="26" fillId="0" borderId="14" xfId="0" applyNumberFormat="1" applyFont="1" applyBorder="1" applyAlignment="1">
      <alignment vertical="center" wrapText="1"/>
    </xf>
    <xf numFmtId="164" fontId="26" fillId="0" borderId="0" xfId="0" applyNumberFormat="1" applyFont="1" applyFill="1" applyBorder="1"/>
    <xf numFmtId="1" fontId="26" fillId="0" borderId="0" xfId="0" applyNumberFormat="1" applyFont="1" applyFill="1" applyBorder="1"/>
    <xf numFmtId="0" fontId="26" fillId="0" borderId="0" xfId="0" applyFont="1" applyFill="1" applyBorder="1"/>
    <xf numFmtId="167" fontId="26" fillId="0" borderId="0" xfId="2" applyNumberFormat="1" applyFont="1" applyFill="1"/>
    <xf numFmtId="167" fontId="26" fillId="0" borderId="0" xfId="0" applyNumberFormat="1" applyFont="1" applyFill="1"/>
    <xf numFmtId="0" fontId="27" fillId="0" borderId="0" xfId="0" applyFont="1" applyAlignment="1">
      <alignment horizontal="center"/>
    </xf>
    <xf numFmtId="0" fontId="27" fillId="18" borderId="0" xfId="0" applyFont="1" applyFill="1" applyAlignment="1">
      <alignment horizontal="center"/>
    </xf>
    <xf numFmtId="2" fontId="27" fillId="0" borderId="0" xfId="0" applyNumberFormat="1" applyFont="1" applyBorder="1" applyAlignment="1">
      <alignment horizontal="right"/>
    </xf>
    <xf numFmtId="0" fontId="26" fillId="0" borderId="0" xfId="0" applyFont="1" applyFill="1" applyAlignment="1"/>
    <xf numFmtId="0" fontId="6" fillId="19" borderId="0" xfId="0" applyFont="1" applyFill="1" applyBorder="1"/>
    <xf numFmtId="0" fontId="6" fillId="17" borderId="0" xfId="0" applyFont="1" applyFill="1" applyBorder="1"/>
    <xf numFmtId="0" fontId="27" fillId="19" borderId="0" xfId="0" applyFont="1" applyFill="1" applyAlignment="1">
      <alignment horizontal="center"/>
    </xf>
    <xf numFmtId="0" fontId="27" fillId="17" borderId="0" xfId="0" applyFont="1" applyFill="1" applyAlignment="1">
      <alignment horizontal="center"/>
    </xf>
    <xf numFmtId="0" fontId="37" fillId="0" borderId="0" xfId="32" applyFill="1"/>
    <xf numFmtId="0" fontId="31" fillId="0" borderId="0" xfId="0" applyFont="1" applyFill="1"/>
    <xf numFmtId="0" fontId="31" fillId="0" borderId="0" xfId="0" applyFont="1" applyFill="1" applyAlignment="1"/>
    <xf numFmtId="0" fontId="31" fillId="0" borderId="0" xfId="0" applyFont="1" applyFill="1" applyAlignment="1">
      <alignment horizontal="center" wrapText="1"/>
    </xf>
    <xf numFmtId="165" fontId="0" fillId="0" borderId="0" xfId="0" applyNumberFormat="1" applyFill="1"/>
    <xf numFmtId="0" fontId="6" fillId="0" borderId="0" xfId="0" applyFont="1" applyAlignment="1">
      <alignment horizontal="right"/>
    </xf>
    <xf numFmtId="0" fontId="6" fillId="0" borderId="0" xfId="0" applyFont="1" applyAlignment="1"/>
    <xf numFmtId="2" fontId="6" fillId="0" borderId="0" xfId="0" applyNumberFormat="1" applyFont="1" applyAlignment="1"/>
    <xf numFmtId="0" fontId="6" fillId="0" borderId="0" xfId="0" applyFont="1" applyFill="1" applyAlignment="1">
      <alignment horizontal="center" vertical="center"/>
    </xf>
    <xf numFmtId="0" fontId="71" fillId="0" borderId="0" xfId="0" applyFont="1" applyAlignment="1"/>
    <xf numFmtId="0" fontId="72" fillId="0" borderId="0" xfId="0" applyFont="1" applyAlignment="1"/>
    <xf numFmtId="0" fontId="6" fillId="0" borderId="0" xfId="0" applyFont="1" applyFill="1" applyAlignment="1">
      <alignment horizontal="right" vertical="center"/>
    </xf>
    <xf numFmtId="0" fontId="6" fillId="0" borderId="0" xfId="0" applyFont="1" applyFill="1" applyAlignment="1"/>
    <xf numFmtId="0" fontId="6" fillId="0" borderId="0" xfId="0" applyFont="1" applyFill="1" applyAlignment="1">
      <alignment horizontal="right"/>
    </xf>
    <xf numFmtId="0" fontId="7" fillId="0" borderId="0" xfId="0" applyFont="1" applyFill="1" applyBorder="1" applyAlignment="1">
      <alignment horizontal="right" wrapText="1"/>
    </xf>
    <xf numFmtId="0" fontId="6" fillId="0" borderId="0" xfId="0" applyFont="1" applyBorder="1" applyAlignment="1">
      <alignment horizontal="right" wrapText="1"/>
    </xf>
    <xf numFmtId="0" fontId="6" fillId="0" borderId="0" xfId="0" applyFont="1" applyBorder="1" applyAlignment="1">
      <alignment wrapText="1"/>
    </xf>
    <xf numFmtId="2" fontId="6" fillId="0" borderId="0" xfId="0" applyNumberFormat="1" applyFont="1" applyFill="1" applyAlignment="1"/>
    <xf numFmtId="167" fontId="6" fillId="0" borderId="0" xfId="2" applyNumberFormat="1" applyFont="1" applyFill="1" applyAlignment="1"/>
    <xf numFmtId="168" fontId="6" fillId="0" borderId="0" xfId="2" applyNumberFormat="1" applyFont="1" applyFill="1" applyAlignment="1"/>
    <xf numFmtId="164" fontId="6" fillId="0" borderId="0" xfId="0" applyNumberFormat="1" applyFont="1" applyFill="1" applyAlignment="1">
      <alignment horizontal="right"/>
    </xf>
    <xf numFmtId="2" fontId="6" fillId="0" borderId="0" xfId="0" applyNumberFormat="1" applyFont="1" applyFill="1" applyAlignment="1">
      <alignment horizontal="right"/>
    </xf>
    <xf numFmtId="0" fontId="7" fillId="0" borderId="0" xfId="0" applyFont="1" applyAlignment="1">
      <alignment horizontal="right"/>
    </xf>
    <xf numFmtId="9" fontId="6" fillId="0" borderId="0" xfId="0" applyNumberFormat="1" applyFont="1" applyAlignment="1"/>
    <xf numFmtId="164" fontId="6" fillId="0" borderId="0" xfId="0" applyNumberFormat="1" applyFont="1" applyAlignment="1"/>
    <xf numFmtId="1" fontId="7" fillId="0" borderId="0" xfId="0" applyNumberFormat="1" applyFont="1" applyAlignment="1"/>
    <xf numFmtId="0" fontId="3" fillId="0" borderId="0" xfId="0" applyFont="1" applyFill="1" applyAlignment="1">
      <alignment horizontal="right"/>
    </xf>
    <xf numFmtId="0" fontId="70" fillId="0" borderId="0" xfId="0" applyFont="1" applyAlignment="1"/>
    <xf numFmtId="9" fontId="70" fillId="0" borderId="0" xfId="0" applyNumberFormat="1" applyFont="1" applyAlignment="1"/>
    <xf numFmtId="0" fontId="6" fillId="0" borderId="0" xfId="0" applyFont="1" applyAlignment="1">
      <alignment horizontal="center"/>
    </xf>
    <xf numFmtId="174" fontId="13" fillId="0" borderId="0" xfId="0" applyNumberFormat="1" applyFont="1" applyAlignment="1"/>
    <xf numFmtId="0" fontId="13" fillId="0" borderId="0" xfId="0" applyFont="1" applyFill="1" applyAlignment="1"/>
    <xf numFmtId="0" fontId="13" fillId="0" borderId="0" xfId="0" applyFont="1" applyFill="1" applyAlignment="1">
      <alignment horizontal="center"/>
    </xf>
    <xf numFmtId="0" fontId="73" fillId="0" borderId="0" xfId="0" applyFont="1" applyAlignment="1"/>
    <xf numFmtId="2" fontId="0" fillId="0" borderId="0" xfId="0" applyNumberFormat="1" applyAlignment="1"/>
    <xf numFmtId="2" fontId="6" fillId="0" borderId="0" xfId="0" applyNumberFormat="1" applyFont="1" applyFill="1" applyBorder="1" applyAlignment="1">
      <alignment wrapText="1"/>
    </xf>
    <xf numFmtId="0" fontId="6" fillId="0" borderId="0" xfId="0" applyFont="1" applyFill="1" applyBorder="1" applyAlignment="1">
      <alignment wrapText="1"/>
    </xf>
    <xf numFmtId="0" fontId="7" fillId="0" borderId="0" xfId="0" applyFont="1" applyFill="1" applyBorder="1" applyAlignment="1">
      <alignment wrapText="1"/>
    </xf>
    <xf numFmtId="2" fontId="6" fillId="0" borderId="0" xfId="0" applyNumberFormat="1" applyFont="1" applyFill="1"/>
    <xf numFmtId="43" fontId="6" fillId="0" borderId="0" xfId="0" applyNumberFormat="1" applyFont="1" applyFill="1"/>
    <xf numFmtId="0" fontId="0" fillId="0" borderId="0" xfId="0" applyFill="1" applyAlignment="1">
      <alignment horizontal="center" vertical="top"/>
    </xf>
    <xf numFmtId="43" fontId="0" fillId="0" borderId="0" xfId="0" applyNumberFormat="1" applyFill="1" applyAlignment="1">
      <alignment horizontal="center" vertical="top"/>
    </xf>
    <xf numFmtId="0" fontId="0" fillId="0" borderId="0" xfId="0" applyFill="1" applyAlignment="1">
      <alignment horizontal="center" vertical="top" wrapText="1"/>
    </xf>
    <xf numFmtId="165" fontId="4" fillId="0" borderId="0" xfId="0" applyNumberFormat="1" applyFont="1" applyFill="1"/>
    <xf numFmtId="166" fontId="4" fillId="0" borderId="0" xfId="1" applyNumberFormat="1" applyFont="1" applyFill="1"/>
    <xf numFmtId="2" fontId="4" fillId="0" borderId="0" xfId="0" applyNumberFormat="1" applyFont="1" applyFill="1"/>
    <xf numFmtId="0" fontId="45" fillId="0" borderId="0" xfId="0" applyFont="1" applyFill="1" applyBorder="1"/>
    <xf numFmtId="2" fontId="45" fillId="0" borderId="0" xfId="0" applyNumberFormat="1" applyFont="1" applyFill="1" applyBorder="1"/>
    <xf numFmtId="0" fontId="0" fillId="0" borderId="0" xfId="0" applyFill="1" applyAlignment="1">
      <alignment horizontal="center"/>
    </xf>
    <xf numFmtId="9" fontId="0" fillId="0" borderId="7" xfId="1" applyFont="1" applyFill="1" applyBorder="1"/>
    <xf numFmtId="0" fontId="0" fillId="19" borderId="7" xfId="0" applyFill="1" applyBorder="1"/>
    <xf numFmtId="43" fontId="0" fillId="0" borderId="7" xfId="2" applyFont="1" applyFill="1" applyBorder="1"/>
    <xf numFmtId="0" fontId="6" fillId="0" borderId="0" xfId="0" applyFont="1" applyFill="1" applyAlignment="1">
      <alignment wrapText="1"/>
    </xf>
    <xf numFmtId="0" fontId="3" fillId="0" borderId="5" xfId="0" applyFont="1" applyFill="1" applyBorder="1"/>
    <xf numFmtId="2" fontId="0" fillId="0" borderId="5" xfId="0" applyNumberFormat="1" applyFont="1" applyFill="1" applyBorder="1" applyAlignment="1">
      <alignment horizontal="right"/>
    </xf>
    <xf numFmtId="164" fontId="70" fillId="0" borderId="5" xfId="0" applyNumberFormat="1" applyFont="1" applyBorder="1" applyAlignment="1">
      <alignment horizontal="right"/>
    </xf>
    <xf numFmtId="164" fontId="74" fillId="0" borderId="5" xfId="0" applyNumberFormat="1" applyFont="1" applyBorder="1" applyAlignment="1">
      <alignment horizontal="right"/>
    </xf>
    <xf numFmtId="164" fontId="70" fillId="0" borderId="5" xfId="0" applyNumberFormat="1" applyFont="1" applyFill="1" applyBorder="1" applyAlignment="1">
      <alignment horizontal="right"/>
    </xf>
    <xf numFmtId="165" fontId="70" fillId="0" borderId="5" xfId="0" applyNumberFormat="1" applyFont="1" applyBorder="1" applyAlignment="1">
      <alignment horizontal="right"/>
    </xf>
    <xf numFmtId="165" fontId="70" fillId="0" borderId="5" xfId="0" applyNumberFormat="1" applyFont="1" applyFill="1" applyBorder="1" applyAlignment="1">
      <alignment horizontal="right"/>
    </xf>
    <xf numFmtId="169" fontId="70" fillId="0" borderId="5" xfId="0" applyNumberFormat="1" applyFont="1" applyBorder="1" applyAlignment="1">
      <alignment horizontal="right"/>
    </xf>
    <xf numFmtId="2" fontId="70" fillId="0" borderId="5" xfId="0" applyNumberFormat="1" applyFont="1" applyBorder="1" applyAlignment="1">
      <alignment horizontal="right"/>
    </xf>
    <xf numFmtId="2" fontId="74" fillId="0" borderId="5" xfId="0" applyNumberFormat="1" applyFont="1" applyBorder="1" applyAlignment="1">
      <alignment horizontal="right"/>
    </xf>
    <xf numFmtId="0" fontId="0" fillId="0" borderId="5" xfId="0" applyFont="1" applyBorder="1" applyAlignment="1"/>
    <xf numFmtId="0" fontId="0" fillId="0" borderId="0" xfId="0" applyFont="1" applyBorder="1" applyAlignment="1"/>
    <xf numFmtId="0" fontId="53" fillId="0" borderId="0" xfId="0" applyFont="1" applyFill="1" applyAlignment="1"/>
    <xf numFmtId="0" fontId="3" fillId="0" borderId="5" xfId="0" applyFont="1" applyFill="1" applyBorder="1" applyAlignment="1"/>
    <xf numFmtId="0" fontId="54" fillId="0" borderId="5" xfId="0" applyFont="1" applyFill="1" applyBorder="1" applyAlignment="1"/>
    <xf numFmtId="0" fontId="6" fillId="0" borderId="5" xfId="0" applyFont="1" applyBorder="1" applyAlignment="1"/>
    <xf numFmtId="0" fontId="6" fillId="0" borderId="5" xfId="0" applyFont="1" applyFill="1" applyBorder="1" applyAlignment="1"/>
    <xf numFmtId="0" fontId="0" fillId="0" borderId="0" xfId="0" applyFont="1" applyFill="1" applyAlignment="1"/>
    <xf numFmtId="0" fontId="24" fillId="0" borderId="0" xfId="0" applyFont="1" applyFill="1" applyAlignment="1"/>
    <xf numFmtId="0" fontId="53" fillId="0" borderId="5" xfId="0" applyFont="1" applyFill="1" applyBorder="1" applyAlignment="1"/>
    <xf numFmtId="0" fontId="18" fillId="0" borderId="0" xfId="0" applyFont="1" applyBorder="1" applyAlignment="1"/>
    <xf numFmtId="0" fontId="18" fillId="0" borderId="0" xfId="0" applyFont="1" applyAlignment="1"/>
    <xf numFmtId="0" fontId="16" fillId="0" borderId="5" xfId="0" applyFont="1" applyFill="1" applyBorder="1" applyAlignment="1"/>
    <xf numFmtId="0" fontId="54" fillId="0" borderId="0" xfId="0" applyFont="1" applyFill="1" applyBorder="1" applyAlignment="1"/>
    <xf numFmtId="0" fontId="14" fillId="0" borderId="0" xfId="0" applyFont="1" applyBorder="1" applyAlignment="1"/>
    <xf numFmtId="0" fontId="8" fillId="0" borderId="0" xfId="0" applyFont="1" applyAlignment="1"/>
    <xf numFmtId="0" fontId="8" fillId="0" borderId="0" xfId="0" applyFont="1" applyBorder="1" applyAlignment="1"/>
    <xf numFmtId="164" fontId="0" fillId="0" borderId="29" xfId="0" applyNumberFormat="1" applyFont="1" applyBorder="1" applyAlignment="1">
      <alignment horizontal="right"/>
    </xf>
    <xf numFmtId="2" fontId="0" fillId="0" borderId="29" xfId="0" applyNumberFormat="1" applyFont="1" applyBorder="1" applyAlignment="1">
      <alignment horizontal="right"/>
    </xf>
    <xf numFmtId="0" fontId="18" fillId="0" borderId="3" xfId="0" applyFont="1" applyBorder="1" applyAlignment="1"/>
    <xf numFmtId="164" fontId="18" fillId="0" borderId="0" xfId="0" applyNumberFormat="1" applyFont="1" applyBorder="1" applyAlignment="1">
      <alignment horizontal="right"/>
    </xf>
    <xf numFmtId="0" fontId="0" fillId="0" borderId="29" xfId="0" applyFont="1" applyBorder="1" applyAlignment="1"/>
    <xf numFmtId="0" fontId="0" fillId="0" borderId="0" xfId="0" applyFill="1" applyAlignment="1">
      <alignment horizontal="center" vertical="center" wrapText="1"/>
    </xf>
    <xf numFmtId="2" fontId="70" fillId="0" borderId="0" xfId="0" applyNumberFormat="1" applyFont="1" applyFill="1" applyBorder="1" applyAlignment="1">
      <alignment horizontal="right"/>
    </xf>
    <xf numFmtId="1" fontId="70" fillId="0" borderId="0" xfId="0" applyNumberFormat="1" applyFont="1" applyFill="1"/>
    <xf numFmtId="10" fontId="6" fillId="0" borderId="0" xfId="0" applyNumberFormat="1" applyFont="1" applyFill="1"/>
    <xf numFmtId="0" fontId="6" fillId="0" borderId="0" xfId="0" applyFont="1" applyFill="1" applyAlignment="1">
      <alignment horizontal="center" vertical="center" wrapText="1"/>
    </xf>
    <xf numFmtId="0" fontId="6" fillId="0" borderId="0" xfId="0" applyFont="1" applyFill="1" applyAlignment="1">
      <alignment horizontal="left"/>
    </xf>
    <xf numFmtId="164" fontId="6" fillId="18" borderId="0" xfId="0" applyNumberFormat="1" applyFont="1" applyFill="1" applyBorder="1" applyAlignment="1">
      <alignment horizontal="right"/>
    </xf>
    <xf numFmtId="0" fontId="3" fillId="18" borderId="0" xfId="0" applyFont="1" applyFill="1"/>
    <xf numFmtId="0" fontId="13" fillId="18" borderId="0" xfId="0" applyFont="1" applyFill="1"/>
    <xf numFmtId="2" fontId="4" fillId="0" borderId="0" xfId="0" applyNumberFormat="1" applyFont="1" applyFill="1" applyBorder="1"/>
    <xf numFmtId="0" fontId="75" fillId="0" borderId="0" xfId="0" applyFont="1" applyFill="1"/>
    <xf numFmtId="0" fontId="0" fillId="18" borderId="0" xfId="0" applyFill="1" applyAlignment="1"/>
    <xf numFmtId="2" fontId="6" fillId="0" borderId="0" xfId="0" applyNumberFormat="1" applyFont="1"/>
    <xf numFmtId="2" fontId="21" fillId="0" borderId="0" xfId="0" applyNumberFormat="1" applyFont="1" applyFill="1"/>
    <xf numFmtId="0" fontId="1" fillId="2" borderId="30" xfId="0" applyFont="1" applyFill="1" applyBorder="1" applyAlignment="1">
      <alignment horizontal="right" wrapText="1"/>
    </xf>
    <xf numFmtId="0" fontId="1" fillId="2" borderId="30" xfId="0" applyFont="1" applyFill="1" applyBorder="1" applyAlignment="1">
      <alignment horizontal="right" vertical="center" wrapText="1"/>
    </xf>
    <xf numFmtId="10" fontId="1" fillId="2" borderId="30" xfId="1" applyNumberFormat="1" applyFont="1" applyFill="1" applyBorder="1" applyAlignment="1">
      <alignment horizontal="center" vertical="center"/>
    </xf>
    <xf numFmtId="0" fontId="1" fillId="2" borderId="30" xfId="0" applyFont="1" applyFill="1" applyBorder="1" applyAlignment="1">
      <alignment wrapText="1"/>
    </xf>
    <xf numFmtId="0" fontId="1" fillId="2" borderId="31" xfId="0" applyFont="1" applyFill="1" applyBorder="1" applyAlignment="1">
      <alignment horizontal="center" vertical="center"/>
    </xf>
    <xf numFmtId="0" fontId="21" fillId="0" borderId="0" xfId="0" applyFont="1" applyAlignment="1">
      <alignment horizontal="center" vertical="center"/>
    </xf>
    <xf numFmtId="166" fontId="1" fillId="2" borderId="31" xfId="0" applyNumberFormat="1" applyFont="1" applyFill="1" applyBorder="1" applyAlignment="1">
      <alignment horizontal="center" vertical="center"/>
    </xf>
    <xf numFmtId="10" fontId="1" fillId="2" borderId="31" xfId="0" applyNumberFormat="1" applyFont="1" applyFill="1" applyBorder="1" applyAlignment="1">
      <alignment horizontal="center" vertical="center"/>
    </xf>
    <xf numFmtId="166" fontId="54" fillId="0" borderId="0" xfId="1" applyNumberFormat="1" applyFont="1" applyFill="1" applyBorder="1"/>
    <xf numFmtId="0" fontId="53" fillId="0" borderId="0" xfId="0" applyFont="1" applyFill="1" applyBorder="1" applyAlignment="1">
      <alignment horizontal="right" wrapText="1"/>
    </xf>
    <xf numFmtId="1" fontId="54" fillId="0" borderId="0" xfId="1" applyNumberFormat="1" applyFont="1" applyFill="1" applyBorder="1"/>
    <xf numFmtId="1" fontId="54" fillId="0" borderId="0" xfId="0" applyNumberFormat="1" applyFont="1" applyBorder="1"/>
    <xf numFmtId="0" fontId="54" fillId="0" borderId="0" xfId="0" applyFont="1" applyBorder="1" applyAlignment="1">
      <alignment wrapText="1"/>
    </xf>
    <xf numFmtId="2" fontId="54" fillId="0" borderId="0" xfId="0" applyNumberFormat="1" applyFont="1" applyBorder="1"/>
    <xf numFmtId="0" fontId="15" fillId="4" borderId="0" xfId="0" applyFont="1" applyFill="1" applyBorder="1"/>
    <xf numFmtId="0" fontId="76" fillId="4" borderId="5" xfId="0" applyFont="1" applyFill="1" applyBorder="1"/>
    <xf numFmtId="0" fontId="15" fillId="4" borderId="5" xfId="0" applyFont="1" applyFill="1" applyBorder="1"/>
    <xf numFmtId="0" fontId="15" fillId="4" borderId="0" xfId="0" applyFont="1" applyFill="1" applyBorder="1" applyAlignment="1">
      <alignment horizontal="left"/>
    </xf>
    <xf numFmtId="0" fontId="57" fillId="4" borderId="0" xfId="0" applyFont="1" applyFill="1" applyBorder="1"/>
    <xf numFmtId="2" fontId="15" fillId="4" borderId="5" xfId="0" applyNumberFormat="1" applyFont="1" applyFill="1" applyBorder="1" applyAlignment="1">
      <alignment horizontal="right" wrapText="1"/>
    </xf>
    <xf numFmtId="2" fontId="76" fillId="4" borderId="5" xfId="0" applyNumberFormat="1" applyFont="1" applyFill="1" applyBorder="1" applyAlignment="1">
      <alignment horizontal="right" wrapText="1"/>
    </xf>
    <xf numFmtId="2" fontId="76" fillId="4" borderId="0" xfId="0" applyNumberFormat="1" applyFont="1" applyFill="1" applyBorder="1" applyAlignment="1">
      <alignment horizontal="right" wrapText="1"/>
    </xf>
    <xf numFmtId="0" fontId="76" fillId="4" borderId="0" xfId="0" applyFont="1" applyFill="1" applyBorder="1" applyAlignment="1">
      <alignment horizontal="right" wrapText="1"/>
    </xf>
    <xf numFmtId="2" fontId="78" fillId="4" borderId="0" xfId="0" applyNumberFormat="1" applyFont="1" applyFill="1" applyBorder="1" applyAlignment="1">
      <alignment horizontal="center" vertical="center" wrapText="1"/>
    </xf>
    <xf numFmtId="2" fontId="15" fillId="4" borderId="0" xfId="0" applyNumberFormat="1" applyFont="1" applyFill="1" applyBorder="1" applyAlignment="1">
      <alignment horizontal="left" wrapText="1"/>
    </xf>
    <xf numFmtId="2" fontId="15" fillId="4" borderId="5" xfId="0" applyNumberFormat="1" applyFont="1" applyFill="1" applyBorder="1" applyAlignment="1">
      <alignment horizontal="center" vertical="center"/>
    </xf>
    <xf numFmtId="2" fontId="15" fillId="4" borderId="0" xfId="0" applyNumberFormat="1" applyFont="1" applyFill="1" applyBorder="1" applyAlignment="1">
      <alignment horizontal="center" vertical="center"/>
    </xf>
    <xf numFmtId="2" fontId="15" fillId="4" borderId="0" xfId="0" applyNumberFormat="1" applyFont="1" applyFill="1" applyBorder="1"/>
    <xf numFmtId="2" fontId="15" fillId="4" borderId="0" xfId="0" applyNumberFormat="1" applyFont="1" applyFill="1" applyBorder="1" applyAlignment="1">
      <alignment horizontal="left"/>
    </xf>
    <xf numFmtId="2" fontId="76" fillId="4" borderId="3" xfId="0" applyNumberFormat="1" applyFont="1" applyFill="1" applyBorder="1" applyAlignment="1">
      <alignment horizontal="center" wrapText="1"/>
    </xf>
    <xf numFmtId="2" fontId="76" fillId="4" borderId="0" xfId="0" applyNumberFormat="1" applyFont="1" applyFill="1" applyBorder="1" applyAlignment="1">
      <alignment horizontal="center" wrapText="1"/>
    </xf>
    <xf numFmtId="166" fontId="15" fillId="4" borderId="5" xfId="1" applyNumberFormat="1" applyFont="1" applyFill="1" applyBorder="1"/>
    <xf numFmtId="166" fontId="15" fillId="4" borderId="0" xfId="1" applyNumberFormat="1" applyFont="1" applyFill="1" applyBorder="1"/>
    <xf numFmtId="2" fontId="15" fillId="4" borderId="0" xfId="1" applyNumberFormat="1" applyFont="1" applyFill="1" applyBorder="1"/>
    <xf numFmtId="10" fontId="15" fillId="4" borderId="0" xfId="1" applyNumberFormat="1" applyFont="1" applyFill="1" applyBorder="1"/>
    <xf numFmtId="10" fontId="15" fillId="4" borderId="5" xfId="1" applyNumberFormat="1" applyFont="1" applyFill="1" applyBorder="1"/>
    <xf numFmtId="164" fontId="15" fillId="0" borderId="0" xfId="0" applyNumberFormat="1" applyFont="1"/>
    <xf numFmtId="0" fontId="0" fillId="0" borderId="7" xfId="0" applyFont="1" applyBorder="1"/>
    <xf numFmtId="0" fontId="4" fillId="0" borderId="5" xfId="0" applyFont="1" applyBorder="1"/>
    <xf numFmtId="0" fontId="80" fillId="0" borderId="0" xfId="0" applyFont="1" applyFill="1" applyBorder="1" applyAlignment="1"/>
    <xf numFmtId="165" fontId="4" fillId="0" borderId="5" xfId="0" applyNumberFormat="1" applyFont="1" applyBorder="1" applyAlignment="1">
      <alignment horizontal="right"/>
    </xf>
    <xf numFmtId="2" fontId="4" fillId="0" borderId="5" xfId="0" applyNumberFormat="1" applyFont="1" applyBorder="1" applyAlignment="1">
      <alignment horizontal="right"/>
    </xf>
    <xf numFmtId="169" fontId="4" fillId="0" borderId="5" xfId="0" applyNumberFormat="1" applyFont="1" applyBorder="1" applyAlignment="1">
      <alignment horizontal="right"/>
    </xf>
    <xf numFmtId="164" fontId="4" fillId="0" borderId="5" xfId="0" applyNumberFormat="1" applyFont="1" applyBorder="1" applyAlignment="1">
      <alignment horizontal="right"/>
    </xf>
    <xf numFmtId="0" fontId="6" fillId="0" borderId="0" xfId="0" applyFont="1" applyFill="1" applyBorder="1" applyAlignment="1">
      <alignment horizontal="left" wrapText="1"/>
    </xf>
    <xf numFmtId="0" fontId="6" fillId="0" borderId="0" xfId="0" applyFont="1" applyFill="1" applyBorder="1" applyAlignment="1">
      <alignment horizontal="left" vertical="center" wrapText="1"/>
    </xf>
    <xf numFmtId="0" fontId="0" fillId="8" borderId="14" xfId="0" applyFont="1" applyFill="1" applyBorder="1" applyAlignment="1">
      <alignment horizontal="center" vertical="center" wrapText="1"/>
    </xf>
    <xf numFmtId="0" fontId="0" fillId="14" borderId="14" xfId="0" applyFill="1" applyBorder="1" applyAlignment="1">
      <alignment horizontal="center" vertical="center" wrapText="1"/>
    </xf>
    <xf numFmtId="0" fontId="0" fillId="4" borderId="18" xfId="0"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9" fontId="0" fillId="4" borderId="13" xfId="0" applyNumberFormat="1" applyFill="1" applyBorder="1" applyAlignment="1">
      <alignment horizontal="center"/>
    </xf>
    <xf numFmtId="9" fontId="0" fillId="4" borderId="0" xfId="0" applyNumberFormat="1" applyFill="1" applyBorder="1" applyAlignment="1">
      <alignment horizontal="center"/>
    </xf>
    <xf numFmtId="9" fontId="0" fillId="4" borderId="14" xfId="0" applyNumberFormat="1" applyFill="1" applyBorder="1" applyAlignment="1">
      <alignment horizontal="center"/>
    </xf>
    <xf numFmtId="0" fontId="31" fillId="0" borderId="0" xfId="0" applyFont="1" applyFill="1" applyAlignment="1">
      <alignment horizontal="center" wrapText="1"/>
    </xf>
    <xf numFmtId="0" fontId="7" fillId="0" borderId="0" xfId="0" applyFont="1" applyFill="1" applyAlignment="1">
      <alignment horizontal="center"/>
    </xf>
    <xf numFmtId="0" fontId="0" fillId="0" borderId="0" xfId="0" applyFill="1" applyAlignment="1">
      <alignment horizontal="center"/>
    </xf>
    <xf numFmtId="0" fontId="28" fillId="0" borderId="0" xfId="0" applyFont="1" applyAlignment="1">
      <alignment horizontal="center"/>
    </xf>
    <xf numFmtId="2" fontId="0" fillId="4" borderId="0" xfId="0" applyNumberFormat="1" applyFont="1" applyFill="1" applyBorder="1" applyAlignment="1">
      <alignment horizontal="center"/>
    </xf>
    <xf numFmtId="0" fontId="0" fillId="0" borderId="5" xfId="0" applyBorder="1" applyAlignment="1">
      <alignment horizontal="center"/>
    </xf>
    <xf numFmtId="0" fontId="4" fillId="8" borderId="0" xfId="0" applyFont="1" applyFill="1" applyAlignment="1">
      <alignment horizontal="center"/>
    </xf>
    <xf numFmtId="0" fontId="1" fillId="0" borderId="0" xfId="0" applyFont="1" applyBorder="1" applyAlignment="1">
      <alignment horizontal="center" vertical="center" wrapText="1"/>
    </xf>
    <xf numFmtId="0" fontId="0" fillId="0" borderId="3" xfId="0" applyBorder="1" applyAlignment="1">
      <alignment horizontal="center" wrapText="1"/>
    </xf>
    <xf numFmtId="0" fontId="0" fillId="0" borderId="21"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left" wrapText="1"/>
    </xf>
    <xf numFmtId="0" fontId="1" fillId="8" borderId="27" xfId="0" applyFont="1" applyFill="1" applyBorder="1" applyAlignment="1">
      <alignment horizontal="center" wrapText="1"/>
    </xf>
    <xf numFmtId="0" fontId="1" fillId="8" borderId="28" xfId="0" applyFont="1" applyFill="1" applyBorder="1" applyAlignment="1">
      <alignment horizontal="center" wrapText="1"/>
    </xf>
    <xf numFmtId="0" fontId="79" fillId="4" borderId="0" xfId="0" applyFont="1" applyFill="1" applyBorder="1" applyAlignment="1">
      <alignment horizontal="center" vertical="center" textRotation="90" wrapText="1"/>
    </xf>
    <xf numFmtId="2" fontId="77" fillId="4" borderId="3" xfId="0" applyNumberFormat="1" applyFont="1" applyFill="1" applyBorder="1" applyAlignment="1">
      <alignment horizontal="center" vertical="center"/>
    </xf>
    <xf numFmtId="2" fontId="77" fillId="4" borderId="4" xfId="0" applyNumberFormat="1" applyFont="1" applyFill="1" applyBorder="1" applyAlignment="1">
      <alignment horizontal="center" vertical="center"/>
    </xf>
    <xf numFmtId="2" fontId="78" fillId="4" borderId="5" xfId="0" applyNumberFormat="1" applyFont="1" applyFill="1" applyBorder="1" applyAlignment="1">
      <alignment horizontal="center" vertical="center" wrapText="1"/>
    </xf>
    <xf numFmtId="0" fontId="0" fillId="12" borderId="0" xfId="0" applyFill="1" applyBorder="1" applyAlignment="1">
      <alignment horizontal="center"/>
    </xf>
    <xf numFmtId="2" fontId="76" fillId="4" borderId="5" xfId="0" applyNumberFormat="1" applyFont="1" applyFill="1" applyBorder="1" applyAlignment="1">
      <alignment horizontal="center" wrapText="1"/>
    </xf>
    <xf numFmtId="0" fontId="6" fillId="0" borderId="0" xfId="0" applyFont="1" applyFill="1" applyAlignment="1">
      <alignment horizontal="center"/>
    </xf>
    <xf numFmtId="0" fontId="13" fillId="0" borderId="0" xfId="0" applyFont="1" applyAlignment="1">
      <alignment horizontal="center"/>
    </xf>
    <xf numFmtId="0" fontId="0" fillId="11" borderId="0" xfId="0" applyFill="1" applyAlignment="1">
      <alignment horizontal="center"/>
    </xf>
    <xf numFmtId="0" fontId="0" fillId="0" borderId="0" xfId="0" applyAlignment="1">
      <alignment horizontal="center" vertical="center" wrapText="1"/>
    </xf>
  </cellXfs>
  <cellStyles count="55">
    <cellStyle name="Comma" xfId="2" builtinId="3"/>
    <cellStyle name="Comma 10" xfId="3"/>
    <cellStyle name="Comma 2" xfId="6"/>
    <cellStyle name="Comma 2 2" xfId="7"/>
    <cellStyle name="Comma 3" xfId="8"/>
    <cellStyle name="Comma 3 2" xfId="9"/>
    <cellStyle name="Comma 4" xfId="10"/>
    <cellStyle name="Comma 4 2" xfId="11"/>
    <cellStyle name="Comma 5" xfId="12"/>
    <cellStyle name="Comma 5 2" xfId="13"/>
    <cellStyle name="Comma 6" xfId="14"/>
    <cellStyle name="Comma 7" xfId="15"/>
    <cellStyle name="Comma 8" xfId="16"/>
    <cellStyle name="Comma 9" xfId="17"/>
    <cellStyle name="Currency" xfId="54" builtinId="4"/>
    <cellStyle name="Currency 2" xfId="4"/>
    <cellStyle name="Currency 2 2" xfId="43"/>
    <cellStyle name="Currency 3" xfId="41"/>
    <cellStyle name="Currency 4" xfId="52"/>
    <cellStyle name="Currency 5" xfId="33"/>
    <cellStyle name="Hyperlink" xfId="32" builtinId="8"/>
    <cellStyle name="Hyperlink 2" xfId="18"/>
    <cellStyle name="Hyperlink 2 2" xfId="19"/>
    <cellStyle name="Hyperlink 2 3" xfId="20"/>
    <cellStyle name="Normal" xfId="0" builtinId="0"/>
    <cellStyle name="Normal 18" xfId="21"/>
    <cellStyle name="Normal 2" xfId="5"/>
    <cellStyle name="Normal 2 2" xfId="22"/>
    <cellStyle name="Normal 2 3" xfId="42"/>
    <cellStyle name="Normal 3" xfId="23"/>
    <cellStyle name="Normal 3 2" xfId="34"/>
    <cellStyle name="Normal 4" xfId="24"/>
    <cellStyle name="Normal 4 2" xfId="45"/>
    <cellStyle name="Normal 5" xfId="25"/>
    <cellStyle name="Normal_RawData_1" xfId="53"/>
    <cellStyle name="Percent" xfId="1" builtinId="5"/>
    <cellStyle name="Percent 2" xfId="26"/>
    <cellStyle name="Percent 2 2" xfId="27"/>
    <cellStyle name="Percent 2 3" xfId="44"/>
    <cellStyle name="Percent 3" xfId="28"/>
    <cellStyle name="Percent 3 2" xfId="29"/>
    <cellStyle name="Percent 4" xfId="30"/>
    <cellStyle name="Percent 5" xfId="31"/>
    <cellStyle name="PSChar" xfId="35"/>
    <cellStyle name="PSChar 2" xfId="46"/>
    <cellStyle name="PSDate" xfId="36"/>
    <cellStyle name="PSDate 2" xfId="47"/>
    <cellStyle name="PSDec" xfId="37"/>
    <cellStyle name="PSDec 2" xfId="48"/>
    <cellStyle name="PSHeading" xfId="38"/>
    <cellStyle name="PSHeading 2" xfId="49"/>
    <cellStyle name="PSInt" xfId="39"/>
    <cellStyle name="PSInt 2" xfId="50"/>
    <cellStyle name="PSSpacer" xfId="40"/>
    <cellStyle name="PSSpacer 2" xfId="51"/>
  </cellStyles>
  <dxfs count="0"/>
  <tableStyles count="0" defaultTableStyle="TableStyleMedium2" defaultPivotStyle="PivotStyleLight16"/>
  <colors>
    <mruColors>
      <color rgb="FFFFFFFF"/>
      <color rgb="FFD0CD3F"/>
      <color rgb="FFD5D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1">
                    <a:lumMod val="65000"/>
                    <a:lumOff val="35000"/>
                  </a:schemeClr>
                </a:solidFill>
              </a:defRPr>
            </a:pPr>
            <a:r>
              <a:rPr lang="en-US">
                <a:solidFill>
                  <a:schemeClr val="tx1">
                    <a:lumMod val="65000"/>
                    <a:lumOff val="35000"/>
                  </a:schemeClr>
                </a:solidFill>
              </a:rPr>
              <a:t>TPM Revenue </a:t>
            </a:r>
          </a:p>
        </c:rich>
      </c:tx>
      <c:layout>
        <c:manualLayout>
          <c:xMode val="edge"/>
          <c:yMode val="edge"/>
          <c:x val="0.42754506361575489"/>
          <c:y val="2.1904093530134429E-2"/>
        </c:manualLayout>
      </c:layout>
      <c:overlay val="0"/>
    </c:title>
    <c:autoTitleDeleted val="0"/>
    <c:plotArea>
      <c:layout>
        <c:manualLayout>
          <c:layoutTarget val="inner"/>
          <c:xMode val="edge"/>
          <c:yMode val="edge"/>
          <c:x val="0.14918869843451771"/>
          <c:y val="0.14048016327206031"/>
          <c:w val="0.81442446947618008"/>
          <c:h val="0.61378931836672779"/>
        </c:manualLayout>
      </c:layout>
      <c:barChart>
        <c:barDir val="col"/>
        <c:grouping val="stacked"/>
        <c:varyColors val="0"/>
        <c:ser>
          <c:idx val="0"/>
          <c:order val="0"/>
          <c:tx>
            <c:strRef>
              <c:f>'Recovery amounts'!$G$12</c:f>
              <c:strCache>
                <c:ptCount val="1"/>
                <c:pt idx="0">
                  <c:v>RCPD</c:v>
                </c:pt>
              </c:strCache>
            </c:strRef>
          </c:tx>
          <c:spPr>
            <a:solidFill>
              <a:schemeClr val="accent3">
                <a:lumMod val="75000"/>
              </a:schemeClr>
            </a:solidFill>
            <a:ln>
              <a:noFill/>
            </a:ln>
          </c:spPr>
          <c:invertIfNegative val="0"/>
          <c:val>
            <c:numRef>
              <c:f>'Recovery amounts'!$G$13:$G$14</c:f>
              <c:numCache>
                <c:formatCode>0</c:formatCode>
                <c:ptCount val="2"/>
                <c:pt idx="0">
                  <c:v>655.61298767000005</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0-6588-479D-A457-38AAC86A8AF6}"/>
            </c:ext>
          </c:extLst>
        </c:ser>
        <c:ser>
          <c:idx val="11"/>
          <c:order val="1"/>
          <c:tx>
            <c:strRef>
              <c:f>'Recovery amounts'!$E$12</c:f>
              <c:strCache>
                <c:ptCount val="1"/>
                <c:pt idx="0">
                  <c:v>Residual charge</c:v>
                </c:pt>
              </c:strCache>
            </c:strRef>
          </c:tx>
          <c:spPr>
            <a:solidFill>
              <a:srgbClr val="D0CD3F"/>
            </a:solidFill>
          </c:spPr>
          <c:invertIfNegative val="0"/>
          <c:dPt>
            <c:idx val="2"/>
            <c:invertIfNegative val="0"/>
            <c:bubble3D val="0"/>
            <c:extLst>
              <c:ext xmlns:c16="http://schemas.microsoft.com/office/drawing/2014/chart" uri="{C3380CC4-5D6E-409C-BE32-E72D297353CC}">
                <c16:uniqueId val="{00000003-2F83-4CE7-8E6E-0CC055217017}"/>
              </c:ext>
            </c:extLst>
          </c:dPt>
          <c:dPt>
            <c:idx val="3"/>
            <c:invertIfNegative val="0"/>
            <c:bubble3D val="0"/>
            <c:extLst>
              <c:ext xmlns:c16="http://schemas.microsoft.com/office/drawing/2014/chart" uri="{C3380CC4-5D6E-409C-BE32-E72D297353CC}">
                <c16:uniqueId val="{00000004-2F83-4CE7-8E6E-0CC055217017}"/>
              </c:ext>
            </c:extLst>
          </c:dPt>
          <c:dPt>
            <c:idx val="4"/>
            <c:invertIfNegative val="0"/>
            <c:bubble3D val="0"/>
            <c:extLst>
              <c:ext xmlns:c16="http://schemas.microsoft.com/office/drawing/2014/chart" uri="{C3380CC4-5D6E-409C-BE32-E72D297353CC}">
                <c16:uniqueId val="{00000002-2B74-4A98-A95F-7FAA4C19C695}"/>
              </c:ext>
            </c:extLst>
          </c:dPt>
          <c:val>
            <c:numRef>
              <c:f>'Recovery amounts'!$E$13:$E$14</c:f>
              <c:numCache>
                <c:formatCode>0</c:formatCode>
                <c:ptCount val="2"/>
                <c:pt idx="1">
                  <c:v>499.69677013337639</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2-6588-479D-A457-38AAC86A8AF6}"/>
            </c:ext>
          </c:extLst>
        </c:ser>
        <c:ser>
          <c:idx val="7"/>
          <c:order val="2"/>
          <c:tx>
            <c:strRef>
              <c:f>'Recovery amounts'!$F$12</c:f>
              <c:strCache>
                <c:ptCount val="1"/>
                <c:pt idx="0">
                  <c:v>HVDC</c:v>
                </c:pt>
              </c:strCache>
            </c:strRef>
          </c:tx>
          <c:spPr>
            <a:solidFill>
              <a:schemeClr val="accent1"/>
            </a:solidFill>
            <a:ln>
              <a:noFill/>
            </a:ln>
          </c:spPr>
          <c:invertIfNegative val="0"/>
          <c:dPt>
            <c:idx val="3"/>
            <c:invertIfNegative val="0"/>
            <c:bubble3D val="0"/>
            <c:spPr>
              <a:solidFill>
                <a:schemeClr val="accent1">
                  <a:alpha val="35000"/>
                </a:schemeClr>
              </a:solidFill>
              <a:ln>
                <a:noFill/>
              </a:ln>
            </c:spPr>
            <c:extLst>
              <c:ext xmlns:c16="http://schemas.microsoft.com/office/drawing/2014/chart" uri="{C3380CC4-5D6E-409C-BE32-E72D297353CC}">
                <c16:uniqueId val="{00000019-EE7D-42D1-B341-AF74BA845349}"/>
              </c:ext>
            </c:extLst>
          </c:dPt>
          <c:val>
            <c:numRef>
              <c:f>'Recovery amounts'!$F$13:$F$14</c:f>
              <c:numCache>
                <c:formatCode>0</c:formatCode>
                <c:ptCount val="2"/>
                <c:pt idx="0">
                  <c:v>139.69999999999999</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1-6588-479D-A457-38AAC86A8AF6}"/>
            </c:ext>
          </c:extLst>
        </c:ser>
        <c:ser>
          <c:idx val="5"/>
          <c:order val="3"/>
          <c:tx>
            <c:strRef>
              <c:f>'Recovery amounts'!#REF!</c:f>
              <c:strCache>
                <c:ptCount val="1"/>
                <c:pt idx="0">
                  <c:v>#REF!</c:v>
                </c:pt>
              </c:strCache>
            </c:strRef>
          </c:tx>
          <c:spPr>
            <a:solidFill>
              <a:srgbClr val="D0CD3F"/>
            </a:solidFill>
          </c:spPr>
          <c:invertIfNegative val="0"/>
          <c:val>
            <c:numRef>
              <c:f>'Recovery amounts'!#REF!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10-A8F5-4CDC-A214-F252F6303145}"/>
            </c:ext>
          </c:extLst>
        </c:ser>
        <c:ser>
          <c:idx val="2"/>
          <c:order val="4"/>
          <c:tx>
            <c:strRef>
              <c:f>'Recovery amounts'!$D$12</c:f>
              <c:strCache>
                <c:ptCount val="1"/>
                <c:pt idx="0">
                  <c:v>Area-of-benefit</c:v>
                </c:pt>
              </c:strCache>
            </c:strRef>
          </c:tx>
          <c:spPr>
            <a:solidFill>
              <a:schemeClr val="accent2"/>
            </a:solidFill>
            <a:ln>
              <a:noFill/>
            </a:ln>
          </c:spPr>
          <c:invertIfNegative val="0"/>
          <c:dPt>
            <c:idx val="2"/>
            <c:invertIfNegative val="0"/>
            <c:bubble3D val="0"/>
            <c:spPr>
              <a:solidFill>
                <a:schemeClr val="accent2">
                  <a:alpha val="50000"/>
                </a:schemeClr>
              </a:solidFill>
              <a:ln>
                <a:noFill/>
              </a:ln>
            </c:spPr>
            <c:extLst>
              <c:ext xmlns:c16="http://schemas.microsoft.com/office/drawing/2014/chart" uri="{C3380CC4-5D6E-409C-BE32-E72D297353CC}">
                <c16:uniqueId val="{00000000-2F83-4CE7-8E6E-0CC055217017}"/>
              </c:ext>
            </c:extLst>
          </c:dPt>
          <c:dPt>
            <c:idx val="3"/>
            <c:invertIfNegative val="0"/>
            <c:bubble3D val="0"/>
            <c:spPr>
              <a:solidFill>
                <a:schemeClr val="accent2">
                  <a:alpha val="50000"/>
                </a:schemeClr>
              </a:solidFill>
              <a:ln>
                <a:noFill/>
              </a:ln>
            </c:spPr>
            <c:extLst>
              <c:ext xmlns:c16="http://schemas.microsoft.com/office/drawing/2014/chart" uri="{C3380CC4-5D6E-409C-BE32-E72D297353CC}">
                <c16:uniqueId val="{00000001-2F83-4CE7-8E6E-0CC055217017}"/>
              </c:ext>
            </c:extLst>
          </c:dPt>
          <c:val>
            <c:numRef>
              <c:f>'Recovery amounts'!$D$13:$D$14</c:f>
              <c:numCache>
                <c:formatCode>0</c:formatCode>
                <c:ptCount val="2"/>
                <c:pt idx="1">
                  <c:v>295.61621753662359</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3-6588-479D-A457-38AAC86A8AF6}"/>
            </c:ext>
          </c:extLst>
        </c:ser>
        <c:ser>
          <c:idx val="3"/>
          <c:order val="5"/>
          <c:tx>
            <c:strRef>
              <c:f>'Recovery amounts'!$H$12</c:f>
              <c:strCache>
                <c:ptCount val="1"/>
                <c:pt idx="0">
                  <c:v>Connection</c:v>
                </c:pt>
              </c:strCache>
            </c:strRef>
          </c:tx>
          <c:spPr>
            <a:solidFill>
              <a:schemeClr val="bg1">
                <a:lumMod val="75000"/>
              </a:schemeClr>
            </a:solidFill>
          </c:spPr>
          <c:invertIfNegative val="0"/>
          <c:dPt>
            <c:idx val="2"/>
            <c:invertIfNegative val="0"/>
            <c:bubble3D val="0"/>
            <c:spPr>
              <a:solidFill>
                <a:schemeClr val="bg1">
                  <a:lumMod val="75000"/>
                  <a:alpha val="50000"/>
                </a:schemeClr>
              </a:solidFill>
            </c:spPr>
            <c:extLst>
              <c:ext xmlns:c16="http://schemas.microsoft.com/office/drawing/2014/chart" uri="{C3380CC4-5D6E-409C-BE32-E72D297353CC}">
                <c16:uniqueId val="{00000008-2F83-4CE7-8E6E-0CC055217017}"/>
              </c:ext>
            </c:extLst>
          </c:dPt>
          <c:dPt>
            <c:idx val="3"/>
            <c:invertIfNegative val="0"/>
            <c:bubble3D val="0"/>
            <c:spPr>
              <a:solidFill>
                <a:schemeClr val="bg1">
                  <a:lumMod val="75000"/>
                  <a:alpha val="50000"/>
                </a:schemeClr>
              </a:solidFill>
            </c:spPr>
            <c:extLst>
              <c:ext xmlns:c16="http://schemas.microsoft.com/office/drawing/2014/chart" uri="{C3380CC4-5D6E-409C-BE32-E72D297353CC}">
                <c16:uniqueId val="{00000009-2F83-4CE7-8E6E-0CC055217017}"/>
              </c:ext>
            </c:extLst>
          </c:dPt>
          <c:dPt>
            <c:idx val="4"/>
            <c:invertIfNegative val="0"/>
            <c:bubble3D val="0"/>
            <c:spPr>
              <a:solidFill>
                <a:schemeClr val="bg1">
                  <a:lumMod val="75000"/>
                  <a:alpha val="50000"/>
                </a:schemeClr>
              </a:solidFill>
            </c:spPr>
            <c:extLst>
              <c:ext xmlns:c16="http://schemas.microsoft.com/office/drawing/2014/chart" uri="{C3380CC4-5D6E-409C-BE32-E72D297353CC}">
                <c16:uniqueId val="{0000000E-2B74-4A98-A95F-7FAA4C19C695}"/>
              </c:ext>
            </c:extLst>
          </c:dPt>
          <c:val>
            <c:numRef>
              <c:f>'Recovery amounts'!$H$13:$H$14</c:f>
              <c:numCache>
                <c:formatCode>0</c:formatCode>
                <c:ptCount val="2"/>
                <c:pt idx="0">
                  <c:v>125.28701232999994</c:v>
                </c:pt>
                <c:pt idx="1">
                  <c:v>125.28701232999994</c:v>
                </c:pt>
              </c:numCache>
            </c:numRef>
          </c:val>
          <c:extLs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5-6588-479D-A457-38AAC86A8AF6}"/>
            </c:ext>
          </c:extLst>
        </c:ser>
        <c:dLbls>
          <c:showLegendKey val="0"/>
          <c:showVal val="0"/>
          <c:showCatName val="0"/>
          <c:showSerName val="0"/>
          <c:showPercent val="0"/>
          <c:showBubbleSize val="0"/>
        </c:dLbls>
        <c:gapWidth val="150"/>
        <c:overlap val="100"/>
        <c:axId val="429433208"/>
        <c:axId val="429434384"/>
      </c:barChart>
      <c:catAx>
        <c:axId val="429433208"/>
        <c:scaling>
          <c:orientation val="minMax"/>
        </c:scaling>
        <c:delete val="0"/>
        <c:axPos val="b"/>
        <c:numFmt formatCode="General" sourceLinked="1"/>
        <c:majorTickMark val="out"/>
        <c:minorTickMark val="none"/>
        <c:tickLblPos val="nextTo"/>
        <c:txPr>
          <a:bodyPr rot="0" vert="horz"/>
          <a:lstStyle/>
          <a:p>
            <a:pPr>
              <a:defRPr>
                <a:solidFill>
                  <a:schemeClr val="tx1">
                    <a:lumMod val="65000"/>
                    <a:lumOff val="35000"/>
                  </a:schemeClr>
                </a:solidFill>
              </a:defRPr>
            </a:pPr>
            <a:endParaRPr lang="en-US"/>
          </a:p>
        </c:txPr>
        <c:crossAx val="429434384"/>
        <c:crosses val="autoZero"/>
        <c:auto val="1"/>
        <c:lblAlgn val="ctr"/>
        <c:lblOffset val="100"/>
        <c:tickLblSkip val="1"/>
        <c:noMultiLvlLbl val="0"/>
      </c:catAx>
      <c:valAx>
        <c:axId val="429434384"/>
        <c:scaling>
          <c:orientation val="minMax"/>
          <c:max val="1000"/>
          <c:min val="0"/>
        </c:scaling>
        <c:delete val="0"/>
        <c:axPos val="l"/>
        <c:majorGridlines>
          <c:spPr>
            <a:ln>
              <a:solidFill>
                <a:schemeClr val="tx1">
                  <a:lumMod val="65000"/>
                  <a:lumOff val="35000"/>
                  <a:alpha val="57000"/>
                </a:schemeClr>
              </a:solidFill>
            </a:ln>
          </c:spPr>
        </c:majorGridlines>
        <c:title>
          <c:tx>
            <c:rich>
              <a:bodyPr rot="-5400000" vert="horz"/>
              <a:lstStyle/>
              <a:p>
                <a:pPr>
                  <a:defRPr>
                    <a:solidFill>
                      <a:schemeClr val="tx1">
                        <a:lumMod val="65000"/>
                        <a:lumOff val="35000"/>
                      </a:schemeClr>
                    </a:solidFill>
                  </a:defRPr>
                </a:pPr>
                <a:r>
                  <a:rPr lang="en-NZ">
                    <a:solidFill>
                      <a:schemeClr val="tx1">
                        <a:lumMod val="65000"/>
                        <a:lumOff val="35000"/>
                      </a:schemeClr>
                    </a:solidFill>
                  </a:rPr>
                  <a:t>Revenue ($M</a:t>
                </a:r>
                <a:r>
                  <a:rPr lang="en-NZ" baseline="0">
                    <a:solidFill>
                      <a:schemeClr val="tx1">
                        <a:lumMod val="65000"/>
                        <a:lumOff val="35000"/>
                      </a:schemeClr>
                    </a:solidFill>
                  </a:rPr>
                  <a:t> per year)</a:t>
                </a:r>
                <a:endParaRPr lang="en-NZ">
                  <a:solidFill>
                    <a:schemeClr val="tx1">
                      <a:lumMod val="65000"/>
                      <a:lumOff val="35000"/>
                    </a:schemeClr>
                  </a:solidFill>
                </a:endParaRPr>
              </a:p>
            </c:rich>
          </c:tx>
          <c:layout>
            <c:manualLayout>
              <c:xMode val="edge"/>
              <c:yMode val="edge"/>
              <c:x val="7.0343838599122481E-3"/>
              <c:y val="0.30016681248177318"/>
            </c:manualLayout>
          </c:layout>
          <c:overlay val="0"/>
        </c:title>
        <c:numFmt formatCode="0" sourceLinked="1"/>
        <c:majorTickMark val="out"/>
        <c:minorTickMark val="none"/>
        <c:tickLblPos val="nextTo"/>
        <c:txPr>
          <a:bodyPr/>
          <a:lstStyle/>
          <a:p>
            <a:pPr>
              <a:defRPr>
                <a:solidFill>
                  <a:schemeClr val="tx1">
                    <a:lumMod val="65000"/>
                    <a:lumOff val="35000"/>
                  </a:schemeClr>
                </a:solidFill>
              </a:defRPr>
            </a:pPr>
            <a:endParaRPr lang="en-US"/>
          </a:p>
        </c:txPr>
        <c:crossAx val="429433208"/>
        <c:crosses val="autoZero"/>
        <c:crossBetween val="between"/>
        <c:majorUnit val="100"/>
      </c:valAx>
    </c:plotArea>
    <c:legend>
      <c:legendPos val="r"/>
      <c:legendEntry>
        <c:idx val="2"/>
        <c:delete val="1"/>
      </c:legendEntry>
      <c:layout>
        <c:manualLayout>
          <c:xMode val="edge"/>
          <c:yMode val="edge"/>
          <c:x val="0.18514258153683347"/>
          <c:y val="0.85237279111445785"/>
          <c:w val="0.75811000545560214"/>
          <c:h val="0.12232888007104906"/>
        </c:manualLayout>
      </c:layout>
      <c:overlay val="1"/>
      <c:txPr>
        <a:bodyPr/>
        <a:lstStyle/>
        <a:p>
          <a:pPr>
            <a:defRPr>
              <a:solidFill>
                <a:schemeClr val="tx1">
                  <a:lumMod val="65000"/>
                  <a:lumOff val="35000"/>
                </a:schemeClr>
              </a:solidFill>
            </a:defRPr>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Percentage Change in Consumers' Electricity Bills Relative to the Status Quo </a:t>
            </a:r>
            <a:endParaRPr lang="en-US"/>
          </a:p>
        </c:rich>
      </c:tx>
      <c:layout>
        <c:manualLayout>
          <c:xMode val="edge"/>
          <c:yMode val="edge"/>
          <c:x val="0.19492059029261818"/>
          <c:y val="1.2972330667303176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92013823209852E-2"/>
          <c:y val="7.787694130961749E-2"/>
          <c:w val="0.89344921106605646"/>
          <c:h val="0.69560507060084842"/>
        </c:manualLayout>
      </c:layout>
      <c:barChart>
        <c:barDir val="col"/>
        <c:grouping val="clustered"/>
        <c:varyColors val="0"/>
        <c:ser>
          <c:idx val="2"/>
          <c:order val="0"/>
          <c:tx>
            <c:strRef>
              <c:f>'Residential Cap'!$AU$7</c:f>
              <c:strCache>
                <c:ptCount val="1"/>
                <c:pt idx="0">
                  <c:v>Second issues paper</c:v>
                </c:pt>
              </c:strCache>
            </c:strRef>
          </c:tx>
          <c:spPr>
            <a:solidFill>
              <a:schemeClr val="tx1">
                <a:lumMod val="50000"/>
                <a:lumOff val="50000"/>
                <a:alpha val="50000"/>
              </a:schemeClr>
            </a:solidFill>
            <a:ln>
              <a:noFill/>
            </a:ln>
            <a:effectLst/>
          </c:spPr>
          <c:invertIfNegative val="0"/>
          <c:cat>
            <c:strRef>
              <c:f>'Residential Cap'!$AT$8:$AT$49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Cap'!$AU$8:$AU$49</c:f>
              <c:numCache>
                <c:formatCode>0.0%</c:formatCode>
                <c:ptCount val="42"/>
                <c:pt idx="0">
                  <c:v>-3.3436330503635201E-3</c:v>
                </c:pt>
                <c:pt idx="1">
                  <c:v>-6.9167954439450681E-3</c:v>
                </c:pt>
                <c:pt idx="2">
                  <c:v>1.5423297154715505E-2</c:v>
                </c:pt>
                <c:pt idx="3">
                  <c:v>-1.4459218350244125E-2</c:v>
                </c:pt>
                <c:pt idx="4">
                  <c:v>1.6366773343508997E-2</c:v>
                </c:pt>
                <c:pt idx="5">
                  <c:v>-1.3603827010600797E-2</c:v>
                </c:pt>
                <c:pt idx="6">
                  <c:v>9.5742705257116697E-3</c:v>
                </c:pt>
                <c:pt idx="7">
                  <c:v>5.7575460593642561E-2</c:v>
                </c:pt>
                <c:pt idx="8">
                  <c:v>-3.3526577961479169E-2</c:v>
                </c:pt>
                <c:pt idx="9">
                  <c:v>2.8866473961581849E-2</c:v>
                </c:pt>
                <c:pt idx="10">
                  <c:v>-1.4987176010349833E-2</c:v>
                </c:pt>
                <c:pt idx="11">
                  <c:v>-9.0573282240985816E-3</c:v>
                </c:pt>
                <c:pt idx="12">
                  <c:v>-1.4822984274816825E-2</c:v>
                </c:pt>
                <c:pt idx="13">
                  <c:v>-2.4812644853576932E-3</c:v>
                </c:pt>
                <c:pt idx="14">
                  <c:v>1.2460749063249666E-2</c:v>
                </c:pt>
                <c:pt idx="15">
                  <c:v>4.023269242097903E-2</c:v>
                </c:pt>
                <c:pt idx="16">
                  <c:v>-2.1443047484207105E-2</c:v>
                </c:pt>
                <c:pt idx="17">
                  <c:v>5.1940960788627501E-3</c:v>
                </c:pt>
                <c:pt idx="18">
                  <c:v>-1.462322306175524E-3</c:v>
                </c:pt>
                <c:pt idx="19">
                  <c:v>-1.5559290196730169E-2</c:v>
                </c:pt>
                <c:pt idx="20">
                  <c:v>1.9246872002928926E-2</c:v>
                </c:pt>
                <c:pt idx="21">
                  <c:v>1.7937784252501623E-3</c:v>
                </c:pt>
                <c:pt idx="22">
                  <c:v>4.3790654488508066E-2</c:v>
                </c:pt>
                <c:pt idx="23">
                  <c:v>-1.3315700978551019E-2</c:v>
                </c:pt>
                <c:pt idx="24">
                  <c:v>3.8825121530571022E-2</c:v>
                </c:pt>
                <c:pt idx="25">
                  <c:v>-5.6622767425169949E-3</c:v>
                </c:pt>
                <c:pt idx="26">
                  <c:v>7.8155007656281073E-3</c:v>
                </c:pt>
                <c:pt idx="27">
                  <c:v>-2.0879527414256235E-2</c:v>
                </c:pt>
                <c:pt idx="28">
                  <c:v>3.7520621942183321E-2</c:v>
                </c:pt>
              </c:numCache>
            </c:numRef>
          </c:val>
          <c:extLst>
            <c:ext xmlns:c16="http://schemas.microsoft.com/office/drawing/2014/chart" uri="{C3380CC4-5D6E-409C-BE32-E72D297353CC}">
              <c16:uniqueId val="{00000000-AE6A-4D2E-89C6-9E012C183F58}"/>
            </c:ext>
          </c:extLst>
        </c:ser>
        <c:ser>
          <c:idx val="1"/>
          <c:order val="1"/>
          <c:tx>
            <c:strRef>
              <c:f>'Residential Cap'!$AW$7</c:f>
              <c:strCache>
                <c:ptCount val="1"/>
                <c:pt idx="0">
                  <c:v>Refined issues paper, capped, WACC adjustment applied</c:v>
                </c:pt>
              </c:strCache>
            </c:strRef>
          </c:tx>
          <c:spPr>
            <a:solidFill>
              <a:schemeClr val="accent2"/>
            </a:solidFill>
            <a:ln>
              <a:noFill/>
            </a:ln>
            <a:effectLst/>
          </c:spPr>
          <c:invertIfNegative val="0"/>
          <c:cat>
            <c:strRef>
              <c:f>'Residential Cap'!$AT$8:$AT$49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Cap'!$AW$8:$AW$49</c:f>
              <c:numCache>
                <c:formatCode>0.0%</c:formatCode>
                <c:ptCount val="42"/>
                <c:pt idx="0">
                  <c:v>-4.4185970176867276E-2</c:v>
                </c:pt>
                <c:pt idx="1">
                  <c:v>-5.2191510855605472E-2</c:v>
                </c:pt>
                <c:pt idx="2">
                  <c:v>-7.3751798452725476E-2</c:v>
                </c:pt>
                <c:pt idx="3">
                  <c:v>-7.4763328117672168E-2</c:v>
                </c:pt>
                <c:pt idx="4">
                  <c:v>-3.4853641265673016E-2</c:v>
                </c:pt>
                <c:pt idx="5">
                  <c:v>-6.5913605056922661E-2</c:v>
                </c:pt>
                <c:pt idx="6">
                  <c:v>-3.4486452111585533E-2</c:v>
                </c:pt>
                <c:pt idx="7">
                  <c:v>1.9966672295704025E-2</c:v>
                </c:pt>
                <c:pt idx="8">
                  <c:v>-7.3485663225679954E-2</c:v>
                </c:pt>
                <c:pt idx="9">
                  <c:v>-1.3009769398532283E-2</c:v>
                </c:pt>
                <c:pt idx="10">
                  <c:v>-6.1578770025757956E-2</c:v>
                </c:pt>
                <c:pt idx="11">
                  <c:v>-5.1526432880570509E-2</c:v>
                </c:pt>
                <c:pt idx="12">
                  <c:v>-6.224164994581774E-2</c:v>
                </c:pt>
                <c:pt idx="13">
                  <c:v>-3.8436693238150146E-2</c:v>
                </c:pt>
                <c:pt idx="14">
                  <c:v>-2.5773926449016233E-2</c:v>
                </c:pt>
                <c:pt idx="15">
                  <c:v>-1.3150701494405146E-2</c:v>
                </c:pt>
                <c:pt idx="16">
                  <c:v>-6.9647707906254255E-2</c:v>
                </c:pt>
                <c:pt idx="17">
                  <c:v>-4.690496975692162E-2</c:v>
                </c:pt>
                <c:pt idx="18">
                  <c:v>-4.3169227080387791E-2</c:v>
                </c:pt>
                <c:pt idx="19">
                  <c:v>-6.7805790723696177E-2</c:v>
                </c:pt>
                <c:pt idx="20">
                  <c:v>-2.7086501809292816E-2</c:v>
                </c:pt>
                <c:pt idx="21">
                  <c:v>-4.1848767773883293E-2</c:v>
                </c:pt>
                <c:pt idx="22">
                  <c:v>-3.8317610779147908E-2</c:v>
                </c:pt>
                <c:pt idx="23">
                  <c:v>-6.4563967623543314E-2</c:v>
                </c:pt>
                <c:pt idx="24">
                  <c:v>-2.0050342168383826E-2</c:v>
                </c:pt>
                <c:pt idx="25">
                  <c:v>-4.1286692102245524E-2</c:v>
                </c:pt>
                <c:pt idx="26">
                  <c:v>-4.2132082142885476E-2</c:v>
                </c:pt>
                <c:pt idx="27">
                  <c:v>-7.1137770116561846E-2</c:v>
                </c:pt>
                <c:pt idx="28">
                  <c:v>-5.4851140481930799E-3</c:v>
                </c:pt>
                <c:pt idx="30">
                  <c:v>-4.3169227080387791E-2</c:v>
                </c:pt>
                <c:pt idx="31">
                  <c:v>-1.8562740967691432E-2</c:v>
                </c:pt>
                <c:pt idx="32">
                  <c:v>-3.8317610779147908E-2</c:v>
                </c:pt>
                <c:pt idx="33">
                  <c:v>3.4999999999999996E-2</c:v>
                </c:pt>
                <c:pt idx="34">
                  <c:v>9.6212661966621413E-3</c:v>
                </c:pt>
                <c:pt idx="35">
                  <c:v>3.500000000000001E-2</c:v>
                </c:pt>
                <c:pt idx="36">
                  <c:v>3.5000000000000017E-2</c:v>
                </c:pt>
                <c:pt idx="37">
                  <c:v>-4.3481992431398005E-2</c:v>
                </c:pt>
                <c:pt idx="38">
                  <c:v>3.4999999999999976E-2</c:v>
                </c:pt>
                <c:pt idx="39">
                  <c:v>-2.5001458272455906E-2</c:v>
                </c:pt>
                <c:pt idx="40">
                  <c:v>-1.3150701494405146E-2</c:v>
                </c:pt>
                <c:pt idx="41">
                  <c:v>-1.5513827573435442E-2</c:v>
                </c:pt>
              </c:numCache>
            </c:numRef>
          </c:val>
          <c:extLst>
            <c:ext xmlns:c16="http://schemas.microsoft.com/office/drawing/2014/chart" uri="{C3380CC4-5D6E-409C-BE32-E72D297353CC}">
              <c16:uniqueId val="{00000001-AE6A-4D2E-89C6-9E012C183F58}"/>
            </c:ext>
          </c:extLst>
        </c:ser>
        <c:dLbls>
          <c:showLegendKey val="0"/>
          <c:showVal val="0"/>
          <c:showCatName val="0"/>
          <c:showSerName val="0"/>
          <c:showPercent val="0"/>
          <c:showBubbleSize val="0"/>
        </c:dLbls>
        <c:gapWidth val="100"/>
        <c:overlap val="-20"/>
        <c:axId val="420942464"/>
        <c:axId val="420942072"/>
      </c:barChart>
      <c:lineChart>
        <c:grouping val="standard"/>
        <c:varyColors val="0"/>
        <c:ser>
          <c:idx val="3"/>
          <c:order val="2"/>
          <c:tx>
            <c:strRef>
              <c:f>'Residential Cap'!$AR$7</c:f>
              <c:strCache>
                <c:ptCount val="1"/>
                <c:pt idx="0">
                  <c:v>Cap, 3.5%</c:v>
                </c:pt>
              </c:strCache>
            </c:strRef>
          </c:tx>
          <c:spPr>
            <a:ln w="9525" cap="rnd">
              <a:solidFill>
                <a:schemeClr val="accent6"/>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AE6A-4D2E-89C6-9E012C183F58}"/>
                </c:ext>
              </c:extLst>
            </c:dLbl>
            <c:dLbl>
              <c:idx val="1"/>
              <c:delete val="1"/>
              <c:extLst>
                <c:ext xmlns:c15="http://schemas.microsoft.com/office/drawing/2012/chart" uri="{CE6537A1-D6FC-4f65-9D91-7224C49458BB}"/>
                <c:ext xmlns:c16="http://schemas.microsoft.com/office/drawing/2014/chart" uri="{C3380CC4-5D6E-409C-BE32-E72D297353CC}">
                  <c16:uniqueId val="{00000003-AE6A-4D2E-89C6-9E012C183F58}"/>
                </c:ext>
              </c:extLst>
            </c:dLbl>
            <c:dLbl>
              <c:idx val="2"/>
              <c:delete val="1"/>
              <c:extLst>
                <c:ext xmlns:c15="http://schemas.microsoft.com/office/drawing/2012/chart" uri="{CE6537A1-D6FC-4f65-9D91-7224C49458BB}"/>
                <c:ext xmlns:c16="http://schemas.microsoft.com/office/drawing/2014/chart" uri="{C3380CC4-5D6E-409C-BE32-E72D297353CC}">
                  <c16:uniqueId val="{00000004-AE6A-4D2E-89C6-9E012C183F58}"/>
                </c:ext>
              </c:extLst>
            </c:dLbl>
            <c:dLbl>
              <c:idx val="3"/>
              <c:delete val="1"/>
              <c:extLst>
                <c:ext xmlns:c15="http://schemas.microsoft.com/office/drawing/2012/chart" uri="{CE6537A1-D6FC-4f65-9D91-7224C49458BB}"/>
                <c:ext xmlns:c16="http://schemas.microsoft.com/office/drawing/2014/chart" uri="{C3380CC4-5D6E-409C-BE32-E72D297353CC}">
                  <c16:uniqueId val="{00000005-AE6A-4D2E-89C6-9E012C183F58}"/>
                </c:ext>
              </c:extLst>
            </c:dLbl>
            <c:dLbl>
              <c:idx val="4"/>
              <c:delete val="1"/>
              <c:extLst>
                <c:ext xmlns:c15="http://schemas.microsoft.com/office/drawing/2012/chart" uri="{CE6537A1-D6FC-4f65-9D91-7224C49458BB}"/>
                <c:ext xmlns:c16="http://schemas.microsoft.com/office/drawing/2014/chart" uri="{C3380CC4-5D6E-409C-BE32-E72D297353CC}">
                  <c16:uniqueId val="{00000006-AE6A-4D2E-89C6-9E012C183F58}"/>
                </c:ext>
              </c:extLst>
            </c:dLbl>
            <c:dLbl>
              <c:idx val="5"/>
              <c:delete val="1"/>
              <c:extLst>
                <c:ext xmlns:c15="http://schemas.microsoft.com/office/drawing/2012/chart" uri="{CE6537A1-D6FC-4f65-9D91-7224C49458BB}"/>
                <c:ext xmlns:c16="http://schemas.microsoft.com/office/drawing/2014/chart" uri="{C3380CC4-5D6E-409C-BE32-E72D297353CC}">
                  <c16:uniqueId val="{00000007-AE6A-4D2E-89C6-9E012C183F58}"/>
                </c:ext>
              </c:extLst>
            </c:dLbl>
            <c:dLbl>
              <c:idx val="6"/>
              <c:delete val="1"/>
              <c:extLst>
                <c:ext xmlns:c15="http://schemas.microsoft.com/office/drawing/2012/chart" uri="{CE6537A1-D6FC-4f65-9D91-7224C49458BB}"/>
                <c:ext xmlns:c16="http://schemas.microsoft.com/office/drawing/2014/chart" uri="{C3380CC4-5D6E-409C-BE32-E72D297353CC}">
                  <c16:uniqueId val="{00000008-AE6A-4D2E-89C6-9E012C183F58}"/>
                </c:ext>
              </c:extLst>
            </c:dLbl>
            <c:dLbl>
              <c:idx val="7"/>
              <c:delete val="1"/>
              <c:extLst>
                <c:ext xmlns:c15="http://schemas.microsoft.com/office/drawing/2012/chart" uri="{CE6537A1-D6FC-4f65-9D91-7224C49458BB}"/>
                <c:ext xmlns:c16="http://schemas.microsoft.com/office/drawing/2014/chart" uri="{C3380CC4-5D6E-409C-BE32-E72D297353CC}">
                  <c16:uniqueId val="{00000009-AE6A-4D2E-89C6-9E012C183F58}"/>
                </c:ext>
              </c:extLst>
            </c:dLbl>
            <c:dLbl>
              <c:idx val="8"/>
              <c:delete val="1"/>
              <c:extLst>
                <c:ext xmlns:c15="http://schemas.microsoft.com/office/drawing/2012/chart" uri="{CE6537A1-D6FC-4f65-9D91-7224C49458BB}"/>
                <c:ext xmlns:c16="http://schemas.microsoft.com/office/drawing/2014/chart" uri="{C3380CC4-5D6E-409C-BE32-E72D297353CC}">
                  <c16:uniqueId val="{0000000A-AE6A-4D2E-89C6-9E012C183F58}"/>
                </c:ext>
              </c:extLst>
            </c:dLbl>
            <c:dLbl>
              <c:idx val="9"/>
              <c:delete val="1"/>
              <c:extLst>
                <c:ext xmlns:c15="http://schemas.microsoft.com/office/drawing/2012/chart" uri="{CE6537A1-D6FC-4f65-9D91-7224C49458BB}"/>
                <c:ext xmlns:c16="http://schemas.microsoft.com/office/drawing/2014/chart" uri="{C3380CC4-5D6E-409C-BE32-E72D297353CC}">
                  <c16:uniqueId val="{0000000B-AE6A-4D2E-89C6-9E012C183F58}"/>
                </c:ext>
              </c:extLst>
            </c:dLbl>
            <c:dLbl>
              <c:idx val="10"/>
              <c:delete val="1"/>
              <c:extLst>
                <c:ext xmlns:c15="http://schemas.microsoft.com/office/drawing/2012/chart" uri="{CE6537A1-D6FC-4f65-9D91-7224C49458BB}"/>
                <c:ext xmlns:c16="http://schemas.microsoft.com/office/drawing/2014/chart" uri="{C3380CC4-5D6E-409C-BE32-E72D297353CC}">
                  <c16:uniqueId val="{0000000C-AE6A-4D2E-89C6-9E012C183F58}"/>
                </c:ext>
              </c:extLst>
            </c:dLbl>
            <c:dLbl>
              <c:idx val="11"/>
              <c:delete val="1"/>
              <c:extLst>
                <c:ext xmlns:c15="http://schemas.microsoft.com/office/drawing/2012/chart" uri="{CE6537A1-D6FC-4f65-9D91-7224C49458BB}"/>
                <c:ext xmlns:c16="http://schemas.microsoft.com/office/drawing/2014/chart" uri="{C3380CC4-5D6E-409C-BE32-E72D297353CC}">
                  <c16:uniqueId val="{0000000D-AE6A-4D2E-89C6-9E012C183F58}"/>
                </c:ext>
              </c:extLst>
            </c:dLbl>
            <c:dLbl>
              <c:idx val="12"/>
              <c:delete val="1"/>
              <c:extLst>
                <c:ext xmlns:c15="http://schemas.microsoft.com/office/drawing/2012/chart" uri="{CE6537A1-D6FC-4f65-9D91-7224C49458BB}"/>
                <c:ext xmlns:c16="http://schemas.microsoft.com/office/drawing/2014/chart" uri="{C3380CC4-5D6E-409C-BE32-E72D297353CC}">
                  <c16:uniqueId val="{0000000E-AE6A-4D2E-89C6-9E012C183F58}"/>
                </c:ext>
              </c:extLst>
            </c:dLbl>
            <c:dLbl>
              <c:idx val="13"/>
              <c:delete val="1"/>
              <c:extLst>
                <c:ext xmlns:c15="http://schemas.microsoft.com/office/drawing/2012/chart" uri="{CE6537A1-D6FC-4f65-9D91-7224C49458BB}"/>
                <c:ext xmlns:c16="http://schemas.microsoft.com/office/drawing/2014/chart" uri="{C3380CC4-5D6E-409C-BE32-E72D297353CC}">
                  <c16:uniqueId val="{0000000F-AE6A-4D2E-89C6-9E012C183F58}"/>
                </c:ext>
              </c:extLst>
            </c:dLbl>
            <c:dLbl>
              <c:idx val="14"/>
              <c:delete val="1"/>
              <c:extLst>
                <c:ext xmlns:c15="http://schemas.microsoft.com/office/drawing/2012/chart" uri="{CE6537A1-D6FC-4f65-9D91-7224C49458BB}"/>
                <c:ext xmlns:c16="http://schemas.microsoft.com/office/drawing/2014/chart" uri="{C3380CC4-5D6E-409C-BE32-E72D297353CC}">
                  <c16:uniqueId val="{00000010-AE6A-4D2E-89C6-9E012C183F58}"/>
                </c:ext>
              </c:extLst>
            </c:dLbl>
            <c:dLbl>
              <c:idx val="15"/>
              <c:delete val="1"/>
              <c:extLst>
                <c:ext xmlns:c15="http://schemas.microsoft.com/office/drawing/2012/chart" uri="{CE6537A1-D6FC-4f65-9D91-7224C49458BB}"/>
                <c:ext xmlns:c16="http://schemas.microsoft.com/office/drawing/2014/chart" uri="{C3380CC4-5D6E-409C-BE32-E72D297353CC}">
                  <c16:uniqueId val="{00000011-AE6A-4D2E-89C6-9E012C183F58}"/>
                </c:ext>
              </c:extLst>
            </c:dLbl>
            <c:dLbl>
              <c:idx val="16"/>
              <c:delete val="1"/>
              <c:extLst>
                <c:ext xmlns:c15="http://schemas.microsoft.com/office/drawing/2012/chart" uri="{CE6537A1-D6FC-4f65-9D91-7224C49458BB}"/>
                <c:ext xmlns:c16="http://schemas.microsoft.com/office/drawing/2014/chart" uri="{C3380CC4-5D6E-409C-BE32-E72D297353CC}">
                  <c16:uniqueId val="{00000012-AE6A-4D2E-89C6-9E012C183F58}"/>
                </c:ext>
              </c:extLst>
            </c:dLbl>
            <c:dLbl>
              <c:idx val="17"/>
              <c:delete val="1"/>
              <c:extLst>
                <c:ext xmlns:c15="http://schemas.microsoft.com/office/drawing/2012/chart" uri="{CE6537A1-D6FC-4f65-9D91-7224C49458BB}"/>
                <c:ext xmlns:c16="http://schemas.microsoft.com/office/drawing/2014/chart" uri="{C3380CC4-5D6E-409C-BE32-E72D297353CC}">
                  <c16:uniqueId val="{00000013-AE6A-4D2E-89C6-9E012C183F58}"/>
                </c:ext>
              </c:extLst>
            </c:dLbl>
            <c:dLbl>
              <c:idx val="18"/>
              <c:delete val="1"/>
              <c:extLst>
                <c:ext xmlns:c15="http://schemas.microsoft.com/office/drawing/2012/chart" uri="{CE6537A1-D6FC-4f65-9D91-7224C49458BB}"/>
                <c:ext xmlns:c16="http://schemas.microsoft.com/office/drawing/2014/chart" uri="{C3380CC4-5D6E-409C-BE32-E72D297353CC}">
                  <c16:uniqueId val="{00000014-AE6A-4D2E-89C6-9E012C183F58}"/>
                </c:ext>
              </c:extLst>
            </c:dLbl>
            <c:dLbl>
              <c:idx val="19"/>
              <c:delete val="1"/>
              <c:extLst>
                <c:ext xmlns:c15="http://schemas.microsoft.com/office/drawing/2012/chart" uri="{CE6537A1-D6FC-4f65-9D91-7224C49458BB}"/>
                <c:ext xmlns:c16="http://schemas.microsoft.com/office/drawing/2014/chart" uri="{C3380CC4-5D6E-409C-BE32-E72D297353CC}">
                  <c16:uniqueId val="{00000015-AE6A-4D2E-89C6-9E012C183F58}"/>
                </c:ext>
              </c:extLst>
            </c:dLbl>
            <c:dLbl>
              <c:idx val="20"/>
              <c:delete val="1"/>
              <c:extLst>
                <c:ext xmlns:c15="http://schemas.microsoft.com/office/drawing/2012/chart" uri="{CE6537A1-D6FC-4f65-9D91-7224C49458BB}"/>
                <c:ext xmlns:c16="http://schemas.microsoft.com/office/drawing/2014/chart" uri="{C3380CC4-5D6E-409C-BE32-E72D297353CC}">
                  <c16:uniqueId val="{00000016-AE6A-4D2E-89C6-9E012C183F58}"/>
                </c:ext>
              </c:extLst>
            </c:dLbl>
            <c:dLbl>
              <c:idx val="21"/>
              <c:delete val="1"/>
              <c:extLst>
                <c:ext xmlns:c15="http://schemas.microsoft.com/office/drawing/2012/chart" uri="{CE6537A1-D6FC-4f65-9D91-7224C49458BB}"/>
                <c:ext xmlns:c16="http://schemas.microsoft.com/office/drawing/2014/chart" uri="{C3380CC4-5D6E-409C-BE32-E72D297353CC}">
                  <c16:uniqueId val="{00000017-AE6A-4D2E-89C6-9E012C183F58}"/>
                </c:ext>
              </c:extLst>
            </c:dLbl>
            <c:dLbl>
              <c:idx val="22"/>
              <c:delete val="1"/>
              <c:extLst>
                <c:ext xmlns:c15="http://schemas.microsoft.com/office/drawing/2012/chart" uri="{CE6537A1-D6FC-4f65-9D91-7224C49458BB}"/>
                <c:ext xmlns:c16="http://schemas.microsoft.com/office/drawing/2014/chart" uri="{C3380CC4-5D6E-409C-BE32-E72D297353CC}">
                  <c16:uniqueId val="{00000018-AE6A-4D2E-89C6-9E012C183F58}"/>
                </c:ext>
              </c:extLst>
            </c:dLbl>
            <c:dLbl>
              <c:idx val="23"/>
              <c:delete val="1"/>
              <c:extLst>
                <c:ext xmlns:c15="http://schemas.microsoft.com/office/drawing/2012/chart" uri="{CE6537A1-D6FC-4f65-9D91-7224C49458BB}"/>
                <c:ext xmlns:c16="http://schemas.microsoft.com/office/drawing/2014/chart" uri="{C3380CC4-5D6E-409C-BE32-E72D297353CC}">
                  <c16:uniqueId val="{00000019-AE6A-4D2E-89C6-9E012C183F58}"/>
                </c:ext>
              </c:extLst>
            </c:dLbl>
            <c:dLbl>
              <c:idx val="24"/>
              <c:delete val="1"/>
              <c:extLst>
                <c:ext xmlns:c15="http://schemas.microsoft.com/office/drawing/2012/chart" uri="{CE6537A1-D6FC-4f65-9D91-7224C49458BB}"/>
                <c:ext xmlns:c16="http://schemas.microsoft.com/office/drawing/2014/chart" uri="{C3380CC4-5D6E-409C-BE32-E72D297353CC}">
                  <c16:uniqueId val="{0000001A-AE6A-4D2E-89C6-9E012C183F58}"/>
                </c:ext>
              </c:extLst>
            </c:dLbl>
            <c:dLbl>
              <c:idx val="25"/>
              <c:delete val="1"/>
              <c:extLst>
                <c:ext xmlns:c15="http://schemas.microsoft.com/office/drawing/2012/chart" uri="{CE6537A1-D6FC-4f65-9D91-7224C49458BB}"/>
                <c:ext xmlns:c16="http://schemas.microsoft.com/office/drawing/2014/chart" uri="{C3380CC4-5D6E-409C-BE32-E72D297353CC}">
                  <c16:uniqueId val="{0000001B-AE6A-4D2E-89C6-9E012C183F58}"/>
                </c:ext>
              </c:extLst>
            </c:dLbl>
            <c:dLbl>
              <c:idx val="26"/>
              <c:delete val="1"/>
              <c:extLst>
                <c:ext xmlns:c15="http://schemas.microsoft.com/office/drawing/2012/chart" uri="{CE6537A1-D6FC-4f65-9D91-7224C49458BB}"/>
                <c:ext xmlns:c16="http://schemas.microsoft.com/office/drawing/2014/chart" uri="{C3380CC4-5D6E-409C-BE32-E72D297353CC}">
                  <c16:uniqueId val="{0000001C-AE6A-4D2E-89C6-9E012C183F58}"/>
                </c:ext>
              </c:extLst>
            </c:dLbl>
            <c:dLbl>
              <c:idx val="27"/>
              <c:delete val="1"/>
              <c:extLst>
                <c:ext xmlns:c15="http://schemas.microsoft.com/office/drawing/2012/chart" uri="{CE6537A1-D6FC-4f65-9D91-7224C49458BB}"/>
                <c:ext xmlns:c16="http://schemas.microsoft.com/office/drawing/2014/chart" uri="{C3380CC4-5D6E-409C-BE32-E72D297353CC}">
                  <c16:uniqueId val="{0000001D-AE6A-4D2E-89C6-9E012C183F58}"/>
                </c:ext>
              </c:extLst>
            </c:dLbl>
            <c:dLbl>
              <c:idx val="28"/>
              <c:delete val="1"/>
              <c:extLst>
                <c:ext xmlns:c15="http://schemas.microsoft.com/office/drawing/2012/chart" uri="{CE6537A1-D6FC-4f65-9D91-7224C49458BB}"/>
                <c:ext xmlns:c16="http://schemas.microsoft.com/office/drawing/2014/chart" uri="{C3380CC4-5D6E-409C-BE32-E72D297353CC}">
                  <c16:uniqueId val="{0000001E-AE6A-4D2E-89C6-9E012C183F58}"/>
                </c:ext>
              </c:extLst>
            </c:dLbl>
            <c:dLbl>
              <c:idx val="29"/>
              <c:delete val="1"/>
              <c:extLst>
                <c:ext xmlns:c15="http://schemas.microsoft.com/office/drawing/2012/chart" uri="{CE6537A1-D6FC-4f65-9D91-7224C49458BB}"/>
                <c:ext xmlns:c16="http://schemas.microsoft.com/office/drawing/2014/chart" uri="{C3380CC4-5D6E-409C-BE32-E72D297353CC}">
                  <c16:uniqueId val="{0000001F-AE6A-4D2E-89C6-9E012C183F58}"/>
                </c:ext>
              </c:extLst>
            </c:dLbl>
            <c:dLbl>
              <c:idx val="30"/>
              <c:delete val="1"/>
              <c:extLst>
                <c:ext xmlns:c15="http://schemas.microsoft.com/office/drawing/2012/chart" uri="{CE6537A1-D6FC-4f65-9D91-7224C49458BB}"/>
                <c:ext xmlns:c16="http://schemas.microsoft.com/office/drawing/2014/chart" uri="{C3380CC4-5D6E-409C-BE32-E72D297353CC}">
                  <c16:uniqueId val="{00000020-AE6A-4D2E-89C6-9E012C183F58}"/>
                </c:ext>
              </c:extLst>
            </c:dLbl>
            <c:dLbl>
              <c:idx val="31"/>
              <c:delete val="1"/>
              <c:extLst>
                <c:ext xmlns:c15="http://schemas.microsoft.com/office/drawing/2012/chart" uri="{CE6537A1-D6FC-4f65-9D91-7224C49458BB}"/>
                <c:ext xmlns:c16="http://schemas.microsoft.com/office/drawing/2014/chart" uri="{C3380CC4-5D6E-409C-BE32-E72D297353CC}">
                  <c16:uniqueId val="{00000021-AE6A-4D2E-89C6-9E012C183F58}"/>
                </c:ext>
              </c:extLst>
            </c:dLbl>
            <c:dLbl>
              <c:idx val="32"/>
              <c:layout>
                <c:manualLayout>
                  <c:x val="1.3086989551590275E-2"/>
                  <c:y val="-2.78025497545235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AE6A-4D2E-89C6-9E012C183F58}"/>
                </c:ext>
              </c:extLst>
            </c:dLbl>
            <c:dLbl>
              <c:idx val="33"/>
              <c:delete val="1"/>
              <c:extLst>
                <c:ext xmlns:c15="http://schemas.microsoft.com/office/drawing/2012/chart" uri="{CE6537A1-D6FC-4f65-9D91-7224C49458BB}"/>
                <c:ext xmlns:c16="http://schemas.microsoft.com/office/drawing/2014/chart" uri="{C3380CC4-5D6E-409C-BE32-E72D297353CC}">
                  <c16:uniqueId val="{00000023-AE6A-4D2E-89C6-9E012C183F58}"/>
                </c:ext>
              </c:extLst>
            </c:dLbl>
            <c:dLbl>
              <c:idx val="34"/>
              <c:delete val="1"/>
              <c:extLst>
                <c:ext xmlns:c15="http://schemas.microsoft.com/office/drawing/2012/chart" uri="{CE6537A1-D6FC-4f65-9D91-7224C49458BB}"/>
                <c:ext xmlns:c16="http://schemas.microsoft.com/office/drawing/2014/chart" uri="{C3380CC4-5D6E-409C-BE32-E72D297353CC}">
                  <c16:uniqueId val="{00000024-AE6A-4D2E-89C6-9E012C183F58}"/>
                </c:ext>
              </c:extLst>
            </c:dLbl>
            <c:dLbl>
              <c:idx val="35"/>
              <c:delete val="1"/>
              <c:extLst>
                <c:ext xmlns:c15="http://schemas.microsoft.com/office/drawing/2012/chart" uri="{CE6537A1-D6FC-4f65-9D91-7224C49458BB}"/>
                <c:ext xmlns:c16="http://schemas.microsoft.com/office/drawing/2014/chart" uri="{C3380CC4-5D6E-409C-BE32-E72D297353CC}">
                  <c16:uniqueId val="{00000025-AE6A-4D2E-89C6-9E012C183F58}"/>
                </c:ext>
              </c:extLst>
            </c:dLbl>
            <c:dLbl>
              <c:idx val="36"/>
              <c:delete val="1"/>
              <c:extLst>
                <c:ext xmlns:c15="http://schemas.microsoft.com/office/drawing/2012/chart" uri="{CE6537A1-D6FC-4f65-9D91-7224C49458BB}"/>
                <c:ext xmlns:c16="http://schemas.microsoft.com/office/drawing/2014/chart" uri="{C3380CC4-5D6E-409C-BE32-E72D297353CC}">
                  <c16:uniqueId val="{00000026-AE6A-4D2E-89C6-9E012C183F58}"/>
                </c:ext>
              </c:extLst>
            </c:dLbl>
            <c:dLbl>
              <c:idx val="37"/>
              <c:delete val="1"/>
              <c:extLst>
                <c:ext xmlns:c15="http://schemas.microsoft.com/office/drawing/2012/chart" uri="{CE6537A1-D6FC-4f65-9D91-7224C49458BB}"/>
                <c:ext xmlns:c16="http://schemas.microsoft.com/office/drawing/2014/chart" uri="{C3380CC4-5D6E-409C-BE32-E72D297353CC}">
                  <c16:uniqueId val="{00000027-AE6A-4D2E-89C6-9E012C183F58}"/>
                </c:ext>
              </c:extLst>
            </c:dLbl>
            <c:dLbl>
              <c:idx val="38"/>
              <c:delete val="1"/>
              <c:extLst>
                <c:ext xmlns:c15="http://schemas.microsoft.com/office/drawing/2012/chart" uri="{CE6537A1-D6FC-4f65-9D91-7224C49458BB}"/>
                <c:ext xmlns:c16="http://schemas.microsoft.com/office/drawing/2014/chart" uri="{C3380CC4-5D6E-409C-BE32-E72D297353CC}">
                  <c16:uniqueId val="{00000028-AE6A-4D2E-89C6-9E012C183F58}"/>
                </c:ext>
              </c:extLst>
            </c:dLbl>
            <c:dLbl>
              <c:idx val="39"/>
              <c:delete val="1"/>
              <c:extLst>
                <c:ext xmlns:c15="http://schemas.microsoft.com/office/drawing/2012/chart" uri="{CE6537A1-D6FC-4f65-9D91-7224C49458BB}"/>
                <c:ext xmlns:c16="http://schemas.microsoft.com/office/drawing/2014/chart" uri="{C3380CC4-5D6E-409C-BE32-E72D297353CC}">
                  <c16:uniqueId val="{00000029-AE6A-4D2E-89C6-9E012C183F58}"/>
                </c:ext>
              </c:extLst>
            </c:dLbl>
            <c:dLbl>
              <c:idx val="40"/>
              <c:delete val="1"/>
              <c:extLst>
                <c:ext xmlns:c15="http://schemas.microsoft.com/office/drawing/2012/chart" uri="{CE6537A1-D6FC-4f65-9D91-7224C49458BB}"/>
                <c:ext xmlns:c16="http://schemas.microsoft.com/office/drawing/2014/chart" uri="{C3380CC4-5D6E-409C-BE32-E72D297353CC}">
                  <c16:uniqueId val="{0000002A-AE6A-4D2E-89C6-9E012C183F58}"/>
                </c:ext>
              </c:extLst>
            </c:dLbl>
            <c:dLbl>
              <c:idx val="41"/>
              <c:delete val="1"/>
              <c:extLst>
                <c:ext xmlns:c15="http://schemas.microsoft.com/office/drawing/2012/chart" uri="{CE6537A1-D6FC-4f65-9D91-7224C49458BB}"/>
                <c:ext xmlns:c16="http://schemas.microsoft.com/office/drawing/2014/chart" uri="{C3380CC4-5D6E-409C-BE32-E72D297353CC}">
                  <c16:uniqueId val="{0000002B-AE6A-4D2E-89C6-9E012C183F58}"/>
                </c:ext>
              </c:extLst>
            </c:dLbl>
            <c:dLbl>
              <c:idx val="42"/>
              <c:delete val="1"/>
              <c:extLst>
                <c:ext xmlns:c15="http://schemas.microsoft.com/office/drawing/2012/chart" uri="{CE6537A1-D6FC-4f65-9D91-7224C49458BB}"/>
                <c:ext xmlns:c16="http://schemas.microsoft.com/office/drawing/2014/chart" uri="{C3380CC4-5D6E-409C-BE32-E72D297353CC}">
                  <c16:uniqueId val="{0000002C-AE6A-4D2E-89C6-9E012C183F58}"/>
                </c:ext>
              </c:extLst>
            </c:dLbl>
            <c:dLbl>
              <c:idx val="43"/>
              <c:delete val="1"/>
              <c:extLst>
                <c:ext xmlns:c15="http://schemas.microsoft.com/office/drawing/2012/chart" uri="{CE6537A1-D6FC-4f65-9D91-7224C49458BB}"/>
                <c:ext xmlns:c16="http://schemas.microsoft.com/office/drawing/2014/chart" uri="{C3380CC4-5D6E-409C-BE32-E72D297353CC}">
                  <c16:uniqueId val="{0000002D-AE6A-4D2E-89C6-9E012C183F58}"/>
                </c:ext>
              </c:extLst>
            </c:dLbl>
            <c:dLbl>
              <c:idx val="44"/>
              <c:delete val="1"/>
              <c:extLst>
                <c:ext xmlns:c15="http://schemas.microsoft.com/office/drawing/2012/chart" uri="{CE6537A1-D6FC-4f65-9D91-7224C49458BB}"/>
                <c:ext xmlns:c16="http://schemas.microsoft.com/office/drawing/2014/chart" uri="{C3380CC4-5D6E-409C-BE32-E72D297353CC}">
                  <c16:uniqueId val="{0000002E-AE6A-4D2E-89C6-9E012C183F58}"/>
                </c:ext>
              </c:extLst>
            </c:dLbl>
            <c:dLbl>
              <c:idx val="45"/>
              <c:delete val="1"/>
              <c:extLst>
                <c:ext xmlns:c15="http://schemas.microsoft.com/office/drawing/2012/chart" uri="{CE6537A1-D6FC-4f65-9D91-7224C49458BB}"/>
                <c:ext xmlns:c16="http://schemas.microsoft.com/office/drawing/2014/chart" uri="{C3380CC4-5D6E-409C-BE32-E72D297353CC}">
                  <c16:uniqueId val="{0000002F-AE6A-4D2E-89C6-9E012C183F58}"/>
                </c:ext>
              </c:extLst>
            </c:dLbl>
            <c:dLbl>
              <c:idx val="46"/>
              <c:delete val="1"/>
              <c:extLst>
                <c:ext xmlns:c15="http://schemas.microsoft.com/office/drawing/2012/chart" uri="{CE6537A1-D6FC-4f65-9D91-7224C49458BB}"/>
                <c:ext xmlns:c16="http://schemas.microsoft.com/office/drawing/2014/chart" uri="{C3380CC4-5D6E-409C-BE32-E72D297353CC}">
                  <c16:uniqueId val="{00000030-AE6A-4D2E-89C6-9E012C183F58}"/>
                </c:ext>
              </c:extLst>
            </c:dLbl>
            <c:dLbl>
              <c:idx val="47"/>
              <c:delete val="1"/>
              <c:extLst>
                <c:ext xmlns:c15="http://schemas.microsoft.com/office/drawing/2012/chart" uri="{CE6537A1-D6FC-4f65-9D91-7224C49458BB}"/>
                <c:ext xmlns:c16="http://schemas.microsoft.com/office/drawing/2014/chart" uri="{C3380CC4-5D6E-409C-BE32-E72D297353CC}">
                  <c16:uniqueId val="{00000031-AE6A-4D2E-89C6-9E012C183F58}"/>
                </c:ext>
              </c:extLst>
            </c:dLbl>
            <c:dLbl>
              <c:idx val="48"/>
              <c:delete val="1"/>
              <c:extLst>
                <c:ext xmlns:c15="http://schemas.microsoft.com/office/drawing/2012/chart" uri="{CE6537A1-D6FC-4f65-9D91-7224C49458BB}"/>
                <c:ext xmlns:c16="http://schemas.microsoft.com/office/drawing/2014/chart" uri="{C3380CC4-5D6E-409C-BE32-E72D297353CC}">
                  <c16:uniqueId val="{00000032-AE6A-4D2E-89C6-9E012C183F58}"/>
                </c:ext>
              </c:extLst>
            </c:dLbl>
            <c:dLbl>
              <c:idx val="49"/>
              <c:delete val="1"/>
              <c:extLst>
                <c:ext xmlns:c15="http://schemas.microsoft.com/office/drawing/2012/chart" uri="{CE6537A1-D6FC-4f65-9D91-7224C49458BB}"/>
                <c:ext xmlns:c16="http://schemas.microsoft.com/office/drawing/2014/chart" uri="{C3380CC4-5D6E-409C-BE32-E72D297353CC}">
                  <c16:uniqueId val="{00000033-AE6A-4D2E-89C6-9E012C183F58}"/>
                </c:ext>
              </c:extLst>
            </c:dLbl>
            <c:dLbl>
              <c:idx val="50"/>
              <c:delete val="1"/>
              <c:extLst>
                <c:ext xmlns:c15="http://schemas.microsoft.com/office/drawing/2012/chart" uri="{CE6537A1-D6FC-4f65-9D91-7224C49458BB}"/>
                <c:ext xmlns:c16="http://schemas.microsoft.com/office/drawing/2014/chart" uri="{C3380CC4-5D6E-409C-BE32-E72D297353CC}">
                  <c16:uniqueId val="{00000034-AE6A-4D2E-89C6-9E012C183F58}"/>
                </c:ext>
              </c:extLst>
            </c:dLbl>
            <c:dLbl>
              <c:idx val="51"/>
              <c:delete val="1"/>
              <c:extLst>
                <c:ext xmlns:c15="http://schemas.microsoft.com/office/drawing/2012/chart" uri="{CE6537A1-D6FC-4f65-9D91-7224C49458BB}"/>
                <c:ext xmlns:c16="http://schemas.microsoft.com/office/drawing/2014/chart" uri="{C3380CC4-5D6E-409C-BE32-E72D297353CC}">
                  <c16:uniqueId val="{00000035-AE6A-4D2E-89C6-9E012C183F58}"/>
                </c:ext>
              </c:extLst>
            </c:dLbl>
            <c:dLbl>
              <c:idx val="52"/>
              <c:delete val="1"/>
              <c:extLst>
                <c:ext xmlns:c15="http://schemas.microsoft.com/office/drawing/2012/chart" uri="{CE6537A1-D6FC-4f65-9D91-7224C49458BB}"/>
                <c:ext xmlns:c16="http://schemas.microsoft.com/office/drawing/2014/chart" uri="{C3380CC4-5D6E-409C-BE32-E72D297353CC}">
                  <c16:uniqueId val="{00000036-AE6A-4D2E-89C6-9E012C183F58}"/>
                </c:ext>
              </c:extLst>
            </c:dLbl>
            <c:dLbl>
              <c:idx val="53"/>
              <c:delete val="1"/>
              <c:extLst>
                <c:ext xmlns:c15="http://schemas.microsoft.com/office/drawing/2012/chart" uri="{CE6537A1-D6FC-4f65-9D91-7224C49458BB}"/>
                <c:ext xmlns:c16="http://schemas.microsoft.com/office/drawing/2014/chart" uri="{C3380CC4-5D6E-409C-BE32-E72D297353CC}">
                  <c16:uniqueId val="{00000037-AE6A-4D2E-89C6-9E012C183F58}"/>
                </c:ext>
              </c:extLst>
            </c:dLbl>
            <c:dLbl>
              <c:idx val="54"/>
              <c:delete val="1"/>
              <c:extLst>
                <c:ext xmlns:c15="http://schemas.microsoft.com/office/drawing/2012/chart" uri="{CE6537A1-D6FC-4f65-9D91-7224C49458BB}"/>
                <c:ext xmlns:c16="http://schemas.microsoft.com/office/drawing/2014/chart" uri="{C3380CC4-5D6E-409C-BE32-E72D297353CC}">
                  <c16:uniqueId val="{00000038-AE6A-4D2E-89C6-9E012C183F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'Residential Cap'!$C$8:$C$62</c:f>
              <c:strCache>
                <c:ptCount val="55"/>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Oji Fibre</c:v>
                </c:pt>
                <c:pt idx="44">
                  <c:v>Daiken MDF</c:v>
                </c:pt>
                <c:pt idx="45">
                  <c:v>Juken</c:v>
                </c:pt>
                <c:pt idx="46">
                  <c:v>Kiwirail</c:v>
                </c:pt>
                <c:pt idx="47">
                  <c:v>Methanex</c:v>
                </c:pt>
                <c:pt idx="48">
                  <c:v>Norske Skog</c:v>
                </c:pt>
                <c:pt idx="49">
                  <c:v>NZ Steel</c:v>
                </c:pt>
                <c:pt idx="50">
                  <c:v>NZ Aluminium Smelter</c:v>
                </c:pt>
                <c:pt idx="51">
                  <c:v>Pan Pac</c:v>
                </c:pt>
                <c:pt idx="52">
                  <c:v>Rayonier</c:v>
                </c:pt>
                <c:pt idx="53">
                  <c:v>Refining NZ</c:v>
                </c:pt>
                <c:pt idx="54">
                  <c:v>Winstones</c:v>
                </c:pt>
              </c:strCache>
            </c:strRef>
          </c:cat>
          <c:val>
            <c:numRef>
              <c:f>'Residential Cap'!$AR$8:$AR$49</c:f>
              <c:numCache>
                <c:formatCode>0.00%</c:formatCode>
                <c:ptCount val="42"/>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3.5000000000000003E-2</c:v>
                </c:pt>
                <c:pt idx="22">
                  <c:v>3.5000000000000003E-2</c:v>
                </c:pt>
                <c:pt idx="23">
                  <c:v>3.5000000000000003E-2</c:v>
                </c:pt>
                <c:pt idx="24">
                  <c:v>3.5000000000000003E-2</c:v>
                </c:pt>
                <c:pt idx="25">
                  <c:v>3.5000000000000003E-2</c:v>
                </c:pt>
                <c:pt idx="26">
                  <c:v>3.5000000000000003E-2</c:v>
                </c:pt>
                <c:pt idx="27">
                  <c:v>3.5000000000000003E-2</c:v>
                </c:pt>
                <c:pt idx="28">
                  <c:v>3.5000000000000003E-2</c:v>
                </c:pt>
                <c:pt idx="29">
                  <c:v>3.5000000000000003E-2</c:v>
                </c:pt>
                <c:pt idx="30">
                  <c:v>3.5000000000000003E-2</c:v>
                </c:pt>
                <c:pt idx="31">
                  <c:v>3.5000000000000003E-2</c:v>
                </c:pt>
                <c:pt idx="32">
                  <c:v>3.5000000000000003E-2</c:v>
                </c:pt>
                <c:pt idx="33">
                  <c:v>3.5000000000000003E-2</c:v>
                </c:pt>
                <c:pt idx="34">
                  <c:v>3.5000000000000003E-2</c:v>
                </c:pt>
                <c:pt idx="35">
                  <c:v>3.5000000000000003E-2</c:v>
                </c:pt>
                <c:pt idx="36">
                  <c:v>3.5000000000000003E-2</c:v>
                </c:pt>
                <c:pt idx="37">
                  <c:v>3.5000000000000003E-2</c:v>
                </c:pt>
                <c:pt idx="38">
                  <c:v>3.5000000000000003E-2</c:v>
                </c:pt>
                <c:pt idx="39">
                  <c:v>3.5000000000000003E-2</c:v>
                </c:pt>
                <c:pt idx="40">
                  <c:v>3.5000000000000003E-2</c:v>
                </c:pt>
                <c:pt idx="41">
                  <c:v>3.5000000000000003E-2</c:v>
                </c:pt>
              </c:numCache>
            </c:numRef>
          </c:val>
          <c:smooth val="0"/>
          <c:extLst>
            <c:ext xmlns:c16="http://schemas.microsoft.com/office/drawing/2014/chart" uri="{C3380CC4-5D6E-409C-BE32-E72D297353CC}">
              <c16:uniqueId val="{00000039-AE6A-4D2E-89C6-9E012C183F58}"/>
            </c:ext>
          </c:extLst>
        </c:ser>
        <c:dLbls>
          <c:showLegendKey val="0"/>
          <c:showVal val="0"/>
          <c:showCatName val="0"/>
          <c:showSerName val="0"/>
          <c:showPercent val="0"/>
          <c:showBubbleSize val="0"/>
        </c:dLbls>
        <c:marker val="1"/>
        <c:smooth val="0"/>
        <c:axId val="420942464"/>
        <c:axId val="420942072"/>
      </c:lineChart>
      <c:catAx>
        <c:axId val="4209424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42072"/>
        <c:crosses val="autoZero"/>
        <c:auto val="1"/>
        <c:lblAlgn val="ctr"/>
        <c:lblOffset val="100"/>
        <c:noMultiLvlLbl val="0"/>
      </c:catAx>
      <c:valAx>
        <c:axId val="420942072"/>
        <c:scaling>
          <c:orientation val="minMax"/>
          <c:max val="8.0000000000000016E-2"/>
          <c:min val="-8.0000000000000016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Change in End-User Bills Relative to the Status Quo (%)</a:t>
                </a:r>
              </a:p>
            </c:rich>
          </c:tx>
          <c:layout>
            <c:manualLayout>
              <c:xMode val="edge"/>
              <c:yMode val="edge"/>
              <c:x val="1.0096908370556517E-4"/>
              <c:y val="5.2243337479995926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0942464"/>
        <c:crosses val="autoZero"/>
        <c:crossBetween val="between"/>
        <c:majorUnit val="2.0000000000000004E-2"/>
      </c:valAx>
      <c:spPr>
        <a:noFill/>
        <a:ln>
          <a:noFill/>
        </a:ln>
        <a:effectLst/>
      </c:spPr>
    </c:plotArea>
    <c:legend>
      <c:legendPos val="l"/>
      <c:legendEntry>
        <c:idx val="2"/>
        <c:delete val="1"/>
      </c:legendEntry>
      <c:layout>
        <c:manualLayout>
          <c:xMode val="edge"/>
          <c:yMode val="edge"/>
          <c:x val="0.29518891040062517"/>
          <c:y val="7.2822661528577873E-2"/>
          <c:w val="0.40780000859257104"/>
          <c:h val="0.164607763097357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Transmission</a:t>
            </a:r>
            <a:r>
              <a:rPr lang="en-NZ" baseline="0"/>
              <a:t> Charges as a Percentage of Consumers' Electricity Bills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788015523345321E-2"/>
          <c:y val="9.8674488960987544E-2"/>
          <c:w val="0.91372544324542915"/>
          <c:h val="0.65348820366112004"/>
        </c:manualLayout>
      </c:layout>
      <c:barChart>
        <c:barDir val="col"/>
        <c:grouping val="clustered"/>
        <c:varyColors val="0"/>
        <c:ser>
          <c:idx val="0"/>
          <c:order val="0"/>
          <c:tx>
            <c:strRef>
              <c:f>'Residential Cap'!$BL$7</c:f>
              <c:strCache>
                <c:ptCount val="1"/>
                <c:pt idx="0">
                  <c:v>Status quo</c:v>
                </c:pt>
              </c:strCache>
            </c:strRef>
          </c:tx>
          <c:spPr>
            <a:solidFill>
              <a:schemeClr val="accent1"/>
            </a:solidFill>
            <a:ln>
              <a:noFill/>
            </a:ln>
            <a:effectLst/>
          </c:spPr>
          <c:invertIfNegative val="0"/>
          <c:cat>
            <c:strRef>
              <c:f>'Residential Cap'!$BK$8:$BK$49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Cap'!$BL$8:$BL$49</c:f>
              <c:numCache>
                <c:formatCode>0.0%</c:formatCode>
                <c:ptCount val="42"/>
                <c:pt idx="0">
                  <c:v>6.9178043196643169E-2</c:v>
                </c:pt>
                <c:pt idx="1">
                  <c:v>8.1982830377385463E-2</c:v>
                </c:pt>
                <c:pt idx="2">
                  <c:v>7.8424964520517587E-2</c:v>
                </c:pt>
                <c:pt idx="3">
                  <c:v>7.7381097332204524E-2</c:v>
                </c:pt>
                <c:pt idx="4">
                  <c:v>8.838283975452764E-2</c:v>
                </c:pt>
                <c:pt idx="5">
                  <c:v>7.6310802162942476E-2</c:v>
                </c:pt>
                <c:pt idx="6">
                  <c:v>7.7523474569204498E-2</c:v>
                </c:pt>
                <c:pt idx="7">
                  <c:v>3.0649965289870039E-2</c:v>
                </c:pt>
                <c:pt idx="8">
                  <c:v>0.11463944802746497</c:v>
                </c:pt>
                <c:pt idx="9">
                  <c:v>3.2033078187927923E-2</c:v>
                </c:pt>
                <c:pt idx="10">
                  <c:v>9.5244914878518661E-2</c:v>
                </c:pt>
                <c:pt idx="11">
                  <c:v>8.8061285475768858E-2</c:v>
                </c:pt>
                <c:pt idx="12">
                  <c:v>7.2834880948529496E-2</c:v>
                </c:pt>
                <c:pt idx="13">
                  <c:v>7.676947130087694E-2</c:v>
                </c:pt>
                <c:pt idx="14">
                  <c:v>6.5129972392253682E-2</c:v>
                </c:pt>
                <c:pt idx="15">
                  <c:v>8.323000525090779E-2</c:v>
                </c:pt>
                <c:pt idx="16">
                  <c:v>0.10402561588618123</c:v>
                </c:pt>
                <c:pt idx="17">
                  <c:v>3.4241016564707578E-2</c:v>
                </c:pt>
                <c:pt idx="18">
                  <c:v>6.5433919982345906E-2</c:v>
                </c:pt>
                <c:pt idx="19">
                  <c:v>8.6196461224099866E-2</c:v>
                </c:pt>
                <c:pt idx="20">
                  <c:v>5.7850141402542105E-2</c:v>
                </c:pt>
                <c:pt idx="21">
                  <c:v>5.8932444076095165E-2</c:v>
                </c:pt>
                <c:pt idx="22">
                  <c:v>4.7744866231017688E-2</c:v>
                </c:pt>
                <c:pt idx="23">
                  <c:v>8.6631286366855159E-2</c:v>
                </c:pt>
                <c:pt idx="24">
                  <c:v>0.1107244635821084</c:v>
                </c:pt>
                <c:pt idx="25">
                  <c:v>9.3631336609055038E-2</c:v>
                </c:pt>
                <c:pt idx="26">
                  <c:v>7.8508561110322866E-2</c:v>
                </c:pt>
                <c:pt idx="27">
                  <c:v>0.1183153214984704</c:v>
                </c:pt>
                <c:pt idx="28">
                  <c:v>2.7569142505435209E-2</c:v>
                </c:pt>
                <c:pt idx="30">
                  <c:v>0.14146605153085626</c:v>
                </c:pt>
                <c:pt idx="31">
                  <c:v>0.14815758814032717</c:v>
                </c:pt>
                <c:pt idx="32">
                  <c:v>3.2090321092987595E-2</c:v>
                </c:pt>
                <c:pt idx="33">
                  <c:v>8.2489869300695892E-2</c:v>
                </c:pt>
                <c:pt idx="34">
                  <c:v>0.12906853318660985</c:v>
                </c:pt>
                <c:pt idx="35">
                  <c:v>0</c:v>
                </c:pt>
                <c:pt idx="36">
                  <c:v>4.9204857028443939E-2</c:v>
                </c:pt>
                <c:pt idx="37">
                  <c:v>0.13984238174622568</c:v>
                </c:pt>
                <c:pt idx="38">
                  <c:v>9.4386523316940515E-2</c:v>
                </c:pt>
                <c:pt idx="39">
                  <c:v>0.156799532186332</c:v>
                </c:pt>
                <c:pt idx="40">
                  <c:v>6.5250477473702384E-2</c:v>
                </c:pt>
                <c:pt idx="41">
                  <c:v>0.1446680648410624</c:v>
                </c:pt>
              </c:numCache>
            </c:numRef>
          </c:val>
          <c:extLst>
            <c:ext xmlns:c16="http://schemas.microsoft.com/office/drawing/2014/chart" uri="{C3380CC4-5D6E-409C-BE32-E72D297353CC}">
              <c16:uniqueId val="{00000000-CC64-468F-A53D-610F25F290C5}"/>
            </c:ext>
          </c:extLst>
        </c:ser>
        <c:ser>
          <c:idx val="1"/>
          <c:order val="1"/>
          <c:tx>
            <c:strRef>
              <c:f>'Residential Cap'!$BM$7</c:f>
              <c:strCache>
                <c:ptCount val="1"/>
                <c:pt idx="0">
                  <c:v>Second issues paper</c:v>
                </c:pt>
              </c:strCache>
            </c:strRef>
          </c:tx>
          <c:spPr>
            <a:solidFill>
              <a:schemeClr val="bg1">
                <a:lumMod val="50000"/>
                <a:alpha val="75000"/>
              </a:schemeClr>
            </a:solidFill>
            <a:ln>
              <a:noFill/>
            </a:ln>
            <a:effectLst/>
          </c:spPr>
          <c:invertIfNegative val="0"/>
          <c:cat>
            <c:strRef>
              <c:f>'Residential Cap'!$BK$8:$BK$49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Cap'!$BM$8:$BM$49</c:f>
              <c:numCache>
                <c:formatCode>0.0%</c:formatCode>
                <c:ptCount val="42"/>
                <c:pt idx="0">
                  <c:v>6.8571230369244229E-2</c:v>
                </c:pt>
                <c:pt idx="1">
                  <c:v>7.7481126520199436E-2</c:v>
                </c:pt>
                <c:pt idx="2">
                  <c:v>6.9395499664207203E-2</c:v>
                </c:pt>
                <c:pt idx="3">
                  <c:v>6.3724011283656221E-2</c:v>
                </c:pt>
                <c:pt idx="4">
                  <c:v>0.11099164682452654</c:v>
                </c:pt>
                <c:pt idx="5">
                  <c:v>6.3604838524739457E-2</c:v>
                </c:pt>
                <c:pt idx="6">
                  <c:v>9.2208742302996943E-2</c:v>
                </c:pt>
                <c:pt idx="7">
                  <c:v>9.9142817907304906E-2</c:v>
                </c:pt>
                <c:pt idx="8">
                  <c:v>8.1074219332519709E-2</c:v>
                </c:pt>
                <c:pt idx="9">
                  <c:v>6.834402319523844E-2</c:v>
                </c:pt>
                <c:pt idx="10">
                  <c:v>8.1750834790137505E-2</c:v>
                </c:pt>
                <c:pt idx="11">
                  <c:v>8.1516266019836067E-2</c:v>
                </c:pt>
                <c:pt idx="12">
                  <c:v>5.8081070116679165E-2</c:v>
                </c:pt>
                <c:pt idx="13">
                  <c:v>7.7377258238861449E-2</c:v>
                </c:pt>
                <c:pt idx="14">
                  <c:v>8.2911345573233278E-2</c:v>
                </c:pt>
                <c:pt idx="15">
                  <c:v>0.13240642406364</c:v>
                </c:pt>
                <c:pt idx="16">
                  <c:v>8.3212919826203213E-2</c:v>
                </c:pt>
                <c:pt idx="17">
                  <c:v>4.2346274949956166E-2</c:v>
                </c:pt>
                <c:pt idx="18">
                  <c:v>8.1019908108972347E-2</c:v>
                </c:pt>
                <c:pt idx="19">
                  <c:v>7.2062971565445999E-2</c:v>
                </c:pt>
                <c:pt idx="20">
                  <c:v>8.3193125821314981E-2</c:v>
                </c:pt>
                <c:pt idx="21">
                  <c:v>6.3834085354962697E-2</c:v>
                </c:pt>
                <c:pt idx="22">
                  <c:v>9.924200301960584E-2</c:v>
                </c:pt>
                <c:pt idx="23">
                  <c:v>7.4823267302059723E-2</c:v>
                </c:pt>
                <c:pt idx="24">
                  <c:v>0.1581196097520437</c:v>
                </c:pt>
                <c:pt idx="25">
                  <c:v>9.1372285027974801E-2</c:v>
                </c:pt>
                <c:pt idx="26">
                  <c:v>9.1255008821463215E-2</c:v>
                </c:pt>
                <c:pt idx="27">
                  <c:v>9.9217390856199142E-2</c:v>
                </c:pt>
                <c:pt idx="28">
                  <c:v>7.0492492687385999E-2</c:v>
                </c:pt>
                <c:pt idx="30">
                  <c:v>0.14275204438189468</c:v>
                </c:pt>
                <c:pt idx="31">
                  <c:v>0.12870714092495505</c:v>
                </c:pt>
                <c:pt idx="32">
                  <c:v>7.0192961184884287E-2</c:v>
                </c:pt>
                <c:pt idx="33">
                  <c:v>0.27337202617291734</c:v>
                </c:pt>
                <c:pt idx="34">
                  <c:v>0.13629192540127372</c:v>
                </c:pt>
                <c:pt idx="35">
                  <c:v>0.14268257688384098</c:v>
                </c:pt>
                <c:pt idx="36">
                  <c:v>0.15751416776097144</c:v>
                </c:pt>
                <c:pt idx="37">
                  <c:v>9.650685758595752E-2</c:v>
                </c:pt>
                <c:pt idx="38">
                  <c:v>0.13098033973694231</c:v>
                </c:pt>
                <c:pt idx="39">
                  <c:v>0.13367220503515331</c:v>
                </c:pt>
                <c:pt idx="40">
                  <c:v>0.10753147863023847</c:v>
                </c:pt>
                <c:pt idx="41">
                  <c:v>0.12926032056154327</c:v>
                </c:pt>
              </c:numCache>
            </c:numRef>
          </c:val>
          <c:extLst>
            <c:ext xmlns:c16="http://schemas.microsoft.com/office/drawing/2014/chart" uri="{C3380CC4-5D6E-409C-BE32-E72D297353CC}">
              <c16:uniqueId val="{00000001-CC64-468F-A53D-610F25F290C5}"/>
            </c:ext>
          </c:extLst>
        </c:ser>
        <c:ser>
          <c:idx val="2"/>
          <c:order val="2"/>
          <c:tx>
            <c:strRef>
              <c:f>'Residential Cap'!$BN$7</c:f>
              <c:strCache>
                <c:ptCount val="1"/>
                <c:pt idx="0">
                  <c:v>Refined issues paper, capped, WACC adjustment applied</c:v>
                </c:pt>
              </c:strCache>
            </c:strRef>
          </c:tx>
          <c:spPr>
            <a:solidFill>
              <a:schemeClr val="accent2"/>
            </a:solidFill>
            <a:ln>
              <a:noFill/>
            </a:ln>
            <a:effectLst/>
          </c:spPr>
          <c:invertIfNegative val="0"/>
          <c:cat>
            <c:strRef>
              <c:f>'Residential Cap'!$BK$8:$BK$49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Cap'!$BN$8:$BN$49</c:f>
              <c:numCache>
                <c:formatCode>0.0%</c:formatCode>
                <c:ptCount val="42"/>
                <c:pt idx="0">
                  <c:v>6.5722290157303187E-2</c:v>
                </c:pt>
                <c:pt idx="1">
                  <c:v>7.334914715355545E-2</c:v>
                </c:pt>
                <c:pt idx="2">
                  <c:v>5.3072064260461169E-2</c:v>
                </c:pt>
                <c:pt idx="3">
                  <c:v>6.068092473991165E-2</c:v>
                </c:pt>
                <c:pt idx="4">
                  <c:v>9.8259693617832627E-2</c:v>
                </c:pt>
                <c:pt idx="5">
                  <c:v>5.9918884131041523E-2</c:v>
                </c:pt>
                <c:pt idx="6">
                  <c:v>8.7166942678319773E-2</c:v>
                </c:pt>
                <c:pt idx="7">
                  <c:v>7.941417306065407E-2</c:v>
                </c:pt>
                <c:pt idx="8">
                  <c:v>8.3091015461811621E-2</c:v>
                </c:pt>
                <c:pt idx="9">
                  <c:v>6.4177805715570704E-2</c:v>
                </c:pt>
                <c:pt idx="10">
                  <c:v>7.7580676680153365E-2</c:v>
                </c:pt>
                <c:pt idx="11">
                  <c:v>7.7164356281481022E-2</c:v>
                </c:pt>
                <c:pt idx="12">
                  <c:v>5.5831611170157787E-2</c:v>
                </c:pt>
                <c:pt idx="13">
                  <c:v>7.3906632601257252E-2</c:v>
                </c:pt>
                <c:pt idx="14">
                  <c:v>7.7909155368959412E-2</c:v>
                </c:pt>
                <c:pt idx="15">
                  <c:v>0.11450180689363275</c:v>
                </c:pt>
                <c:pt idx="16">
                  <c:v>7.8691582278079611E-2</c:v>
                </c:pt>
                <c:pt idx="17">
                  <c:v>4.1122305520013884E-2</c:v>
                </c:pt>
                <c:pt idx="18">
                  <c:v>6.8491064895959991E-2</c:v>
                </c:pt>
                <c:pt idx="19">
                  <c:v>6.8393674653139336E-2</c:v>
                </c:pt>
                <c:pt idx="20">
                  <c:v>7.7752020660413146E-2</c:v>
                </c:pt>
                <c:pt idx="21">
                  <c:v>6.1459532180448341E-2</c:v>
                </c:pt>
                <c:pt idx="22">
                  <c:v>6.4728970944133574E-2</c:v>
                </c:pt>
                <c:pt idx="23">
                  <c:v>7.0076206066092467E-2</c:v>
                </c:pt>
                <c:pt idx="24">
                  <c:v>0.13301746781508986</c:v>
                </c:pt>
                <c:pt idx="25">
                  <c:v>8.6875550644423163E-2</c:v>
                </c:pt>
                <c:pt idx="26">
                  <c:v>8.5936347391386211E-2</c:v>
                </c:pt>
                <c:pt idx="27">
                  <c:v>9.3206718120907514E-2</c:v>
                </c:pt>
                <c:pt idx="28">
                  <c:v>6.2185538301929154E-2</c:v>
                </c:pt>
                <c:pt idx="30">
                  <c:v>0.16507504485876018</c:v>
                </c:pt>
                <c:pt idx="31">
                  <c:v>0.13199730223533673</c:v>
                </c:pt>
                <c:pt idx="32">
                  <c:v>5.1397037789337241E-2</c:v>
                </c:pt>
                <c:pt idx="33">
                  <c:v>0.1071536470103215</c:v>
                </c:pt>
                <c:pt idx="34">
                  <c:v>0.13739176506392126</c:v>
                </c:pt>
                <c:pt idx="35">
                  <c:v>3.0202284191792633E-2</c:v>
                </c:pt>
                <c:pt idx="36">
                  <c:v>7.9072742889643832E-2</c:v>
                </c:pt>
                <c:pt idx="37">
                  <c:v>0.1006555610981064</c:v>
                </c:pt>
                <c:pt idx="38">
                  <c:v>0.12491020178011047</c:v>
                </c:pt>
                <c:pt idx="39">
                  <c:v>0.13511133268907752</c:v>
                </c:pt>
                <c:pt idx="40">
                  <c:v>7.7264545344680163E-2</c:v>
                </c:pt>
                <c:pt idx="41">
                  <c:v>0.13115141700119273</c:v>
                </c:pt>
              </c:numCache>
            </c:numRef>
          </c:val>
          <c:extLst>
            <c:ext xmlns:c16="http://schemas.microsoft.com/office/drawing/2014/chart" uri="{C3380CC4-5D6E-409C-BE32-E72D297353CC}">
              <c16:uniqueId val="{00000002-CC64-468F-A53D-610F25F290C5}"/>
            </c:ext>
          </c:extLst>
        </c:ser>
        <c:dLbls>
          <c:showLegendKey val="0"/>
          <c:showVal val="0"/>
          <c:showCatName val="0"/>
          <c:showSerName val="0"/>
          <c:showPercent val="0"/>
          <c:showBubbleSize val="0"/>
        </c:dLbls>
        <c:gapWidth val="100"/>
        <c:overlap val="-20"/>
        <c:axId val="918399232"/>
        <c:axId val="809449344"/>
      </c:barChart>
      <c:catAx>
        <c:axId val="9183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9449344"/>
        <c:crosses val="autoZero"/>
        <c:auto val="1"/>
        <c:lblAlgn val="ctr"/>
        <c:lblOffset val="100"/>
        <c:noMultiLvlLbl val="0"/>
      </c:catAx>
      <c:valAx>
        <c:axId val="809449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Transmission Charge as % of Consumer's Bill</a:t>
                </a:r>
              </a:p>
            </c:rich>
          </c:tx>
          <c:layout>
            <c:manualLayout>
              <c:xMode val="edge"/>
              <c:yMode val="edge"/>
              <c:x val="3.7605578968279308E-3"/>
              <c:y val="0.189766587472293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399232"/>
        <c:crosses val="autoZero"/>
        <c:crossBetween val="between"/>
      </c:valAx>
      <c:spPr>
        <a:noFill/>
        <a:ln>
          <a:noFill/>
        </a:ln>
        <a:effectLst/>
      </c:spPr>
    </c:plotArea>
    <c:legend>
      <c:legendPos val="b"/>
      <c:layout>
        <c:manualLayout>
          <c:xMode val="edge"/>
          <c:yMode val="edge"/>
          <c:x val="7.2669888736778418E-2"/>
          <c:y val="0.15180638076790942"/>
          <c:w val="0.43860761106331486"/>
          <c:h val="0.17633083714646428"/>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Indicative Transmission Charges ($m/year)</a:t>
            </a:r>
          </a:p>
        </c:rich>
      </c:tx>
      <c:layout>
        <c:manualLayout>
          <c:xMode val="edge"/>
          <c:yMode val="edge"/>
          <c:x val="0.35167904846966208"/>
          <c:y val="1.397786271991024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355397293615388E-2"/>
          <c:y val="0.10084146797465066"/>
          <c:w val="0.90511061224377087"/>
          <c:h val="0.64420689973255807"/>
        </c:manualLayout>
      </c:layout>
      <c:barChart>
        <c:barDir val="col"/>
        <c:grouping val="clustered"/>
        <c:varyColors val="0"/>
        <c:ser>
          <c:idx val="0"/>
          <c:order val="0"/>
          <c:tx>
            <c:strRef>
              <c:f>'Residential Cap'!$AZ$7</c:f>
              <c:strCache>
                <c:ptCount val="1"/>
                <c:pt idx="0">
                  <c:v>Status quo</c:v>
                </c:pt>
              </c:strCache>
            </c:strRef>
          </c:tx>
          <c:spPr>
            <a:solidFill>
              <a:schemeClr val="accent1"/>
            </a:solidFill>
            <a:ln>
              <a:noFill/>
            </a:ln>
            <a:effectLst/>
          </c:spPr>
          <c:invertIfNegative val="0"/>
          <c:dPt>
            <c:idx val="24"/>
            <c:invertIfNegative val="0"/>
            <c:bubble3D val="0"/>
            <c:spPr>
              <a:solidFill>
                <a:schemeClr val="bg1">
                  <a:lumMod val="50000"/>
                  <a:alpha val="0"/>
                </a:schemeClr>
              </a:solidFill>
              <a:ln>
                <a:noFill/>
              </a:ln>
              <a:effectLst/>
            </c:spPr>
            <c:extLst>
              <c:ext xmlns:c16="http://schemas.microsoft.com/office/drawing/2014/chart" uri="{C3380CC4-5D6E-409C-BE32-E72D297353CC}">
                <c16:uniqueId val="{00000005-C4FD-4156-BE36-6CA75D2CFF67}"/>
              </c:ext>
            </c:extLst>
          </c:dPt>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Cap'!$AZ$8:$AZ$49</c:f>
              <c:numCache>
                <c:formatCode>0.0</c:formatCode>
                <c:ptCount val="42"/>
                <c:pt idx="0">
                  <c:v>10.520382771990599</c:v>
                </c:pt>
                <c:pt idx="1">
                  <c:v>21.554936096804902</c:v>
                </c:pt>
                <c:pt idx="2">
                  <c:v>1.27681536780783</c:v>
                </c:pt>
                <c:pt idx="3">
                  <c:v>2.04903385831319</c:v>
                </c:pt>
                <c:pt idx="4">
                  <c:v>10.1765632169326</c:v>
                </c:pt>
                <c:pt idx="5">
                  <c:v>5.3143687415473497</c:v>
                </c:pt>
                <c:pt idx="6">
                  <c:v>6.3585744350769398</c:v>
                </c:pt>
                <c:pt idx="7">
                  <c:v>3.6332748872742102</c:v>
                </c:pt>
                <c:pt idx="8">
                  <c:v>5.5337714214649196</c:v>
                </c:pt>
                <c:pt idx="9">
                  <c:v>3.2476380401893401</c:v>
                </c:pt>
                <c:pt idx="10">
                  <c:v>0.20640741469308699</c:v>
                </c:pt>
                <c:pt idx="11">
                  <c:v>9.4519035472375297</c:v>
                </c:pt>
                <c:pt idx="12">
                  <c:v>6.6040579369931098</c:v>
                </c:pt>
                <c:pt idx="13">
                  <c:v>10.727643804966</c:v>
                </c:pt>
                <c:pt idx="14">
                  <c:v>3.2029211145830998</c:v>
                </c:pt>
                <c:pt idx="15">
                  <c:v>12.841566649191321</c:v>
                </c:pt>
                <c:pt idx="16">
                  <c:v>63.9112827295871</c:v>
                </c:pt>
                <c:pt idx="17">
                  <c:v>3.9733324683553399</c:v>
                </c:pt>
                <c:pt idx="18">
                  <c:v>68.18491646286229</c:v>
                </c:pt>
                <c:pt idx="19">
                  <c:v>1.5144688012252701</c:v>
                </c:pt>
                <c:pt idx="20">
                  <c:v>3.6831699708093302</c:v>
                </c:pt>
                <c:pt idx="21">
                  <c:v>9.7015014463208793</c:v>
                </c:pt>
                <c:pt idx="22">
                  <c:v>3.8469858008750637</c:v>
                </c:pt>
                <c:pt idx="23">
                  <c:v>30.533498779887701</c:v>
                </c:pt>
                <c:pt idx="24">
                  <c:v>178.79932141221201</c:v>
                </c:pt>
                <c:pt idx="25">
                  <c:v>6.4477400565579899</c:v>
                </c:pt>
                <c:pt idx="26">
                  <c:v>19.7154639366371</c:v>
                </c:pt>
                <c:pt idx="27">
                  <c:v>55.243123664533599</c:v>
                </c:pt>
                <c:pt idx="28">
                  <c:v>1.60316629528984</c:v>
                </c:pt>
                <c:pt idx="30">
                  <c:v>6.0396052161096163</c:v>
                </c:pt>
                <c:pt idx="31">
                  <c:v>0.885456565309233</c:v>
                </c:pt>
                <c:pt idx="32">
                  <c:v>0.44291825952585628</c:v>
                </c:pt>
                <c:pt idx="33">
                  <c:v>0.54555788504299096</c:v>
                </c:pt>
                <c:pt idx="34">
                  <c:v>0.66503186341368803</c:v>
                </c:pt>
                <c:pt idx="35">
                  <c:v>0</c:v>
                </c:pt>
                <c:pt idx="36">
                  <c:v>4.6071233586564801</c:v>
                </c:pt>
                <c:pt idx="37">
                  <c:v>60.844865743536097</c:v>
                </c:pt>
                <c:pt idx="38">
                  <c:v>4.2536832649312801</c:v>
                </c:pt>
                <c:pt idx="39">
                  <c:v>0.74426647291580394</c:v>
                </c:pt>
                <c:pt idx="40">
                  <c:v>3.3868122211395582</c:v>
                </c:pt>
                <c:pt idx="41">
                  <c:v>3.1605549518476299</c:v>
                </c:pt>
              </c:numCache>
            </c:numRef>
          </c:val>
          <c:extLst>
            <c:ext xmlns:c16="http://schemas.microsoft.com/office/drawing/2014/chart" uri="{C3380CC4-5D6E-409C-BE32-E72D297353CC}">
              <c16:uniqueId val="{00000000-C4FD-4156-BE36-6CA75D2CFF67}"/>
            </c:ext>
          </c:extLst>
        </c:ser>
        <c:ser>
          <c:idx val="1"/>
          <c:order val="1"/>
          <c:tx>
            <c:strRef>
              <c:f>'Residential Cap'!$BA$7</c:f>
              <c:strCache>
                <c:ptCount val="1"/>
                <c:pt idx="0">
                  <c:v>Second issues paper</c:v>
                </c:pt>
              </c:strCache>
            </c:strRef>
          </c:tx>
          <c:spPr>
            <a:solidFill>
              <a:schemeClr val="bg1">
                <a:lumMod val="50000"/>
                <a:alpha val="75000"/>
              </a:schemeClr>
            </a:solidFill>
            <a:ln>
              <a:noFill/>
            </a:ln>
            <a:effectLst/>
          </c:spPr>
          <c:invertIfNegative val="0"/>
          <c:dPt>
            <c:idx val="24"/>
            <c:invertIfNegative val="0"/>
            <c:bubble3D val="0"/>
            <c:spPr>
              <a:solidFill>
                <a:schemeClr val="bg1">
                  <a:lumMod val="50000"/>
                  <a:alpha val="0"/>
                </a:schemeClr>
              </a:solidFill>
              <a:ln>
                <a:noFill/>
              </a:ln>
              <a:effectLst/>
            </c:spPr>
            <c:extLst>
              <c:ext xmlns:c16="http://schemas.microsoft.com/office/drawing/2014/chart" uri="{C3380CC4-5D6E-409C-BE32-E72D297353CC}">
                <c16:uniqueId val="{00000004-C4FD-4156-BE36-6CA75D2CFF67}"/>
              </c:ext>
            </c:extLst>
          </c:dPt>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Cap'!$BA$8:$BA$49</c:f>
              <c:numCache>
                <c:formatCode>0.0</c:formatCode>
                <c:ptCount val="42"/>
                <c:pt idx="0">
                  <c:v>9.9250540884727805</c:v>
                </c:pt>
                <c:pt idx="1">
                  <c:v>19.306609078166034</c:v>
                </c:pt>
                <c:pt idx="2">
                  <c:v>1.7941505751254221</c:v>
                </c:pt>
                <c:pt idx="3">
                  <c:v>1.5836037439095052</c:v>
                </c:pt>
                <c:pt idx="4">
                  <c:v>12.480754185376027</c:v>
                </c:pt>
                <c:pt idx="5">
                  <c:v>4.1613402327277855</c:v>
                </c:pt>
                <c:pt idx="6">
                  <c:v>7.3194535136094796</c:v>
                </c:pt>
                <c:pt idx="7">
                  <c:v>12.043838254461853</c:v>
                </c:pt>
                <c:pt idx="8">
                  <c:v>3.591040788591676</c:v>
                </c:pt>
                <c:pt idx="9">
                  <c:v>6.8562260791197884</c:v>
                </c:pt>
                <c:pt idx="10">
                  <c:v>0.16624817395547289</c:v>
                </c:pt>
                <c:pt idx="11">
                  <c:v>8.2733885880137539</c:v>
                </c:pt>
                <c:pt idx="12">
                  <c:v>4.9369682005229674</c:v>
                </c:pt>
                <c:pt idx="13">
                  <c:v>10.304474168155853</c:v>
                </c:pt>
                <c:pt idx="14">
                  <c:v>3.9584934286686919</c:v>
                </c:pt>
                <c:pt idx="15">
                  <c:v>21.605793036632559</c:v>
                </c:pt>
                <c:pt idx="16">
                  <c:v>47.58453277599471</c:v>
                </c:pt>
                <c:pt idx="17">
                  <c:v>4.7194829846218855</c:v>
                </c:pt>
                <c:pt idx="18">
                  <c:v>65.876296187273098</c:v>
                </c:pt>
                <c:pt idx="19">
                  <c:v>1.1874848912420872</c:v>
                </c:pt>
                <c:pt idx="20">
                  <c:v>5.1839118258592398</c:v>
                </c:pt>
                <c:pt idx="21">
                  <c:v>10.060413175597491</c:v>
                </c:pt>
                <c:pt idx="22">
                  <c:v>8.3014321080957014</c:v>
                </c:pt>
                <c:pt idx="23">
                  <c:v>24.79537082073757</c:v>
                </c:pt>
                <c:pt idx="24">
                  <c:v>256.86484353257987</c:v>
                </c:pt>
                <c:pt idx="25">
                  <c:v>5.9776486724398508</c:v>
                </c:pt>
                <c:pt idx="26">
                  <c:v>22.131287011137399</c:v>
                </c:pt>
                <c:pt idx="27">
                  <c:v>43.184614107682812</c:v>
                </c:pt>
                <c:pt idx="28">
                  <c:v>4.6598060865262463</c:v>
                </c:pt>
                <c:pt idx="30">
                  <c:v>6.6670646396223532</c:v>
                </c:pt>
                <c:pt idx="31">
                  <c:v>0.75204029380451254</c:v>
                </c:pt>
                <c:pt idx="32">
                  <c:v>1.1315729114070905</c:v>
                </c:pt>
                <c:pt idx="33">
                  <c:v>2.2829323807711197</c:v>
                </c:pt>
                <c:pt idx="34">
                  <c:v>0.70812382822333286</c:v>
                </c:pt>
                <c:pt idx="35">
                  <c:v>6.7902954119436645</c:v>
                </c:pt>
                <c:pt idx="36">
                  <c:v>16.644311607403363</c:v>
                </c:pt>
                <c:pt idx="37">
                  <c:v>39.975736995246649</c:v>
                </c:pt>
                <c:pt idx="38">
                  <c:v>6.1514081931756097</c:v>
                </c:pt>
                <c:pt idx="39">
                  <c:v>0.61755180536242227</c:v>
                </c:pt>
                <c:pt idx="40">
                  <c:v>4.7990225832939615</c:v>
                </c:pt>
                <c:pt idx="41">
                  <c:v>2.7739731554495881</c:v>
                </c:pt>
              </c:numCache>
            </c:numRef>
          </c:val>
          <c:extLst>
            <c:ext xmlns:c16="http://schemas.microsoft.com/office/drawing/2014/chart" uri="{C3380CC4-5D6E-409C-BE32-E72D297353CC}">
              <c16:uniqueId val="{00000001-C4FD-4156-BE36-6CA75D2CFF67}"/>
            </c:ext>
          </c:extLst>
        </c:ser>
        <c:ser>
          <c:idx val="2"/>
          <c:order val="2"/>
          <c:tx>
            <c:strRef>
              <c:f>'Residential Cap'!$BB$7</c:f>
              <c:strCache>
                <c:ptCount val="1"/>
                <c:pt idx="0">
                  <c:v>Refined issues paper, capped, WACC adjustment applied</c:v>
                </c:pt>
              </c:strCache>
            </c:strRef>
          </c:tx>
          <c:spPr>
            <a:solidFill>
              <a:srgbClr val="C00000"/>
            </a:solidFill>
            <a:ln>
              <a:noFill/>
            </a:ln>
            <a:effectLst/>
          </c:spPr>
          <c:invertIfNegative val="0"/>
          <c:dPt>
            <c:idx val="24"/>
            <c:invertIfNegative val="0"/>
            <c:bubble3D val="0"/>
            <c:spPr>
              <a:solidFill>
                <a:srgbClr val="C00000">
                  <a:alpha val="0"/>
                </a:srgbClr>
              </a:solidFill>
              <a:ln>
                <a:noFill/>
              </a:ln>
              <a:effectLst/>
            </c:spPr>
            <c:extLst>
              <c:ext xmlns:c16="http://schemas.microsoft.com/office/drawing/2014/chart" uri="{C3380CC4-5D6E-409C-BE32-E72D297353CC}">
                <c16:uniqueId val="{00000003-C4FD-4156-BE36-6CA75D2CFF67}"/>
              </c:ext>
            </c:extLst>
          </c:dPt>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Cap'!$BB$8:$BB$49</c:f>
              <c:numCache>
                <c:formatCode>0.0</c:formatCode>
                <c:ptCount val="42"/>
                <c:pt idx="0">
                  <c:v>9.9578731192804142</c:v>
                </c:pt>
                <c:pt idx="1">
                  <c:v>19.105287370407783</c:v>
                </c:pt>
                <c:pt idx="2">
                  <c:v>0.84091775645398914</c:v>
                </c:pt>
                <c:pt idx="3">
                  <c:v>1.578249453189754</c:v>
                </c:pt>
                <c:pt idx="4">
                  <c:v>11.437723626945132</c:v>
                </c:pt>
                <c:pt idx="5">
                  <c:v>4.1000572327426692</c:v>
                </c:pt>
                <c:pt idx="6">
                  <c:v>7.2250741409333656</c:v>
                </c:pt>
                <c:pt idx="7">
                  <c:v>9.9124870704065273</c:v>
                </c:pt>
                <c:pt idx="8">
                  <c:v>3.8728897655685697</c:v>
                </c:pt>
                <c:pt idx="9">
                  <c:v>6.7300917630729895</c:v>
                </c:pt>
                <c:pt idx="10">
                  <c:v>0.16490723124608853</c:v>
                </c:pt>
                <c:pt idx="11">
                  <c:v>8.1845025954235862</c:v>
                </c:pt>
                <c:pt idx="12">
                  <c:v>4.971177261013441</c:v>
                </c:pt>
                <c:pt idx="13">
                  <c:v>10.295669513661871</c:v>
                </c:pt>
                <c:pt idx="14">
                  <c:v>3.8844664142184322</c:v>
                </c:pt>
                <c:pt idx="15">
                  <c:v>18.290397315140368</c:v>
                </c:pt>
                <c:pt idx="16">
                  <c:v>47.017125117929027</c:v>
                </c:pt>
                <c:pt idx="17">
                  <c:v>4.8060828399079494</c:v>
                </c:pt>
                <c:pt idx="18">
                  <c:v>71.604824080936737</c:v>
                </c:pt>
                <c:pt idx="19">
                  <c:v>1.1787107376677552</c:v>
                </c:pt>
                <c:pt idx="20">
                  <c:v>5.0570971378549148</c:v>
                </c:pt>
                <c:pt idx="21">
                  <c:v>10.144754646963069</c:v>
                </c:pt>
                <c:pt idx="22">
                  <c:v>5.3101702586682862</c:v>
                </c:pt>
                <c:pt idx="23">
                  <c:v>24.258903181213327</c:v>
                </c:pt>
                <c:pt idx="24">
                  <c:v>220.32153826525325</c:v>
                </c:pt>
                <c:pt idx="25">
                  <c:v>5.938254111538968</c:v>
                </c:pt>
                <c:pt idx="26">
                  <c:v>21.756134702897562</c:v>
                </c:pt>
                <c:pt idx="27">
                  <c:v>42.314523581805055</c:v>
                </c:pt>
                <c:pt idx="28">
                  <c:v>3.7496136333836674</c:v>
                </c:pt>
                <c:pt idx="30">
                  <c:v>7.2468250081828689</c:v>
                </c:pt>
                <c:pt idx="31">
                  <c:v>0.7741882973044405</c:v>
                </c:pt>
                <c:pt idx="32">
                  <c:v>0.72383231488560695</c:v>
                </c:pt>
                <c:pt idx="33">
                  <c:v>0.72825138256949562</c:v>
                </c:pt>
                <c:pt idx="34">
                  <c:v>0.71474835498793676</c:v>
                </c:pt>
                <c:pt idx="35">
                  <c:v>1.2706267885500004</c:v>
                </c:pt>
                <c:pt idx="36">
                  <c:v>7.6438172968594582</c:v>
                </c:pt>
                <c:pt idx="37">
                  <c:v>41.886578430527692</c:v>
                </c:pt>
                <c:pt idx="38">
                  <c:v>5.8256357276038733</c:v>
                </c:pt>
                <c:pt idx="39">
                  <c:v>0.62523906227209758</c:v>
                </c:pt>
                <c:pt idx="40">
                  <c:v>4.0626155042748895</c:v>
                </c:pt>
                <c:pt idx="41">
                  <c:v>2.8206828045970553</c:v>
                </c:pt>
              </c:numCache>
            </c:numRef>
          </c:val>
          <c:extLst>
            <c:ext xmlns:c16="http://schemas.microsoft.com/office/drawing/2014/chart" uri="{C3380CC4-5D6E-409C-BE32-E72D297353CC}">
              <c16:uniqueId val="{00000002-C4FD-4156-BE36-6CA75D2CFF67}"/>
            </c:ext>
          </c:extLst>
        </c:ser>
        <c:dLbls>
          <c:showLegendKey val="0"/>
          <c:showVal val="0"/>
          <c:showCatName val="0"/>
          <c:showSerName val="0"/>
          <c:showPercent val="0"/>
          <c:showBubbleSize val="0"/>
        </c:dLbls>
        <c:gapWidth val="100"/>
        <c:overlap val="-20"/>
        <c:axId val="429577784"/>
        <c:axId val="429576608"/>
      </c:barChart>
      <c:catAx>
        <c:axId val="42957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576608"/>
        <c:crosses val="autoZero"/>
        <c:auto val="1"/>
        <c:lblAlgn val="ctr"/>
        <c:lblOffset val="100"/>
        <c:noMultiLvlLbl val="0"/>
      </c:catAx>
      <c:valAx>
        <c:axId val="429576608"/>
        <c:scaling>
          <c:orientation val="minMax"/>
          <c:max val="8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Transmission Charges ($m/year)</a:t>
                </a:r>
              </a:p>
            </c:rich>
          </c:tx>
          <c:layout>
            <c:manualLayout>
              <c:xMode val="edge"/>
              <c:yMode val="edge"/>
              <c:x val="4.455128060809989E-3"/>
              <c:y val="0.1425385169752260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577784"/>
        <c:crosses val="autoZero"/>
        <c:crossBetween val="between"/>
        <c:majorUnit val="10"/>
      </c:valAx>
      <c:spPr>
        <a:noFill/>
        <a:ln>
          <a:noFill/>
        </a:ln>
        <a:effectLst/>
      </c:spPr>
    </c:plotArea>
    <c:legend>
      <c:legendPos val="l"/>
      <c:layout>
        <c:manualLayout>
          <c:xMode val="edge"/>
          <c:yMode val="edge"/>
          <c:x val="7.2199510329067018E-2"/>
          <c:y val="0.15929467183910848"/>
          <c:w val="0.35391113899452115"/>
          <c:h val="0.2229608132141338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baseline="0">
                <a:effectLst/>
              </a:rPr>
              <a:t>Difference Between the Proposal and Status Quo as $/year for a Typical Household  (ACOT continues)  </a:t>
            </a:r>
            <a:endParaRPr lang="en-NZ" sz="1400" b="0" i="0" baseline="0">
              <a:solidFill>
                <a:srgbClr val="C00000"/>
              </a:solidFill>
              <a:effectLst/>
            </a:endParaRPr>
          </a:p>
        </c:rich>
      </c:tx>
      <c:layout>
        <c:manualLayout>
          <c:xMode val="edge"/>
          <c:yMode val="edge"/>
          <c:x val="0.16752431163374387"/>
          <c:y val="9.0840549665411661E-5"/>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990762273294306"/>
          <c:y val="0.16773276871174669"/>
          <c:w val="0.82939127135212032"/>
          <c:h val="0.56486792302871047"/>
        </c:manualLayout>
      </c:layout>
      <c:barChart>
        <c:barDir val="col"/>
        <c:grouping val="clustered"/>
        <c:varyColors val="0"/>
        <c:ser>
          <c:idx val="1"/>
          <c:order val="0"/>
          <c:tx>
            <c:strRef>
              <c:f>'Deltas_trans '!$C$66</c:f>
              <c:strCache>
                <c:ptCount val="1"/>
                <c:pt idx="0">
                  <c:v>Second issues paper</c:v>
                </c:pt>
              </c:strCache>
            </c:strRef>
          </c:tx>
          <c:spPr>
            <a:solidFill>
              <a:schemeClr val="bg1">
                <a:lumMod val="50000"/>
                <a:alpha val="78000"/>
              </a:schemeClr>
            </a:solidFill>
            <a:ln>
              <a:noFill/>
            </a:ln>
            <a:effectLst/>
          </c:spPr>
          <c:invertIfNegative val="0"/>
          <c:cat>
            <c:strLit>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Lit>
          </c:cat>
          <c:val>
            <c:numRef>
              <c:f>'Deltas_trans '!$C$69:$C$97</c:f>
              <c:numCache>
                <c:formatCode>0</c:formatCode>
                <c:ptCount val="29"/>
                <c:pt idx="0">
                  <c:v>-6.2546747628170749</c:v>
                </c:pt>
                <c:pt idx="1">
                  <c:v>-13.70844215875718</c:v>
                </c:pt>
                <c:pt idx="2">
                  <c:v>26.476273151033851</c:v>
                </c:pt>
                <c:pt idx="3">
                  <c:v>-28.593188568093254</c:v>
                </c:pt>
                <c:pt idx="4">
                  <c:v>32.53621115351757</c:v>
                </c:pt>
                <c:pt idx="5">
                  <c:v>-24.094247297379198</c:v>
                </c:pt>
                <c:pt idx="6">
                  <c:v>14.339474742147459</c:v>
                </c:pt>
                <c:pt idx="7">
                  <c:v>117.00257637472615</c:v>
                </c:pt>
                <c:pt idx="8">
                  <c:v>-63.859810233606154</c:v>
                </c:pt>
                <c:pt idx="9">
                  <c:v>45.752181911904316</c:v>
                </c:pt>
                <c:pt idx="10">
                  <c:v>-33.370446343332759</c:v>
                </c:pt>
                <c:pt idx="11">
                  <c:v>-19.124925016892405</c:v>
                </c:pt>
                <c:pt idx="12">
                  <c:v>-30.693709181512304</c:v>
                </c:pt>
                <c:pt idx="13">
                  <c:v>-4.0460416967935231</c:v>
                </c:pt>
                <c:pt idx="14">
                  <c:v>21.283914297394574</c:v>
                </c:pt>
                <c:pt idx="15">
                  <c:v>63.215938307107038</c:v>
                </c:pt>
                <c:pt idx="16">
                  <c:v>-44.268786545563643</c:v>
                </c:pt>
                <c:pt idx="17">
                  <c:v>12.267540920817638</c:v>
                </c:pt>
                <c:pt idx="18">
                  <c:v>-2.443485230365809</c:v>
                </c:pt>
                <c:pt idx="19">
                  <c:v>-27.877955804575834</c:v>
                </c:pt>
                <c:pt idx="20">
                  <c:v>41.390358130781692</c:v>
                </c:pt>
                <c:pt idx="21">
                  <c:v>3.9543088511479567</c:v>
                </c:pt>
                <c:pt idx="22">
                  <c:v>87.039499919722886</c:v>
                </c:pt>
                <c:pt idx="23">
                  <c:v>-24.996846619813681</c:v>
                </c:pt>
                <c:pt idx="24">
                  <c:v>66.05118677611415</c:v>
                </c:pt>
                <c:pt idx="25">
                  <c:v>-9.5413194604872729</c:v>
                </c:pt>
                <c:pt idx="26">
                  <c:v>13.636607390084791</c:v>
                </c:pt>
                <c:pt idx="27">
                  <c:v>-35.032043410724214</c:v>
                </c:pt>
                <c:pt idx="28">
                  <c:v>66.335940326925908</c:v>
                </c:pt>
              </c:numCache>
            </c:numRef>
          </c:val>
          <c:extLst>
            <c:ext xmlns:c16="http://schemas.microsoft.com/office/drawing/2014/chart" uri="{C3380CC4-5D6E-409C-BE32-E72D297353CC}">
              <c16:uniqueId val="{00000002-AA60-496C-A041-5CA586BAF01D}"/>
            </c:ext>
          </c:extLst>
        </c:ser>
        <c:ser>
          <c:idx val="0"/>
          <c:order val="1"/>
          <c:tx>
            <c:strRef>
              <c:f>'Deltas_trans '!$E$66</c:f>
              <c:strCache>
                <c:ptCount val="1"/>
                <c:pt idx="0">
                  <c:v>Refined issues paper, capped, all changes  </c:v>
                </c:pt>
              </c:strCache>
            </c:strRef>
          </c:tx>
          <c:spPr>
            <a:solidFill>
              <a:srgbClr val="C00000">
                <a:alpha val="77000"/>
              </a:srgbClr>
            </a:solidFill>
            <a:ln>
              <a:noFill/>
            </a:ln>
            <a:effectLst/>
          </c:spPr>
          <c:invertIfNegative val="0"/>
          <c:cat>
            <c:strLit>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Lit>
          </c:cat>
          <c:val>
            <c:numRef>
              <c:f>'Deltas_trans '!$E$69:$E$97</c:f>
              <c:numCache>
                <c:formatCode>0</c:formatCode>
                <c:ptCount val="29"/>
                <c:pt idx="0">
                  <c:v>-75.462443577244343</c:v>
                </c:pt>
                <c:pt idx="1">
                  <c:v>-89.70360414943211</c:v>
                </c:pt>
                <c:pt idx="2">
                  <c:v>-64.227135739091523</c:v>
                </c:pt>
                <c:pt idx="3">
                  <c:v>-129.10878360344279</c:v>
                </c:pt>
                <c:pt idx="4">
                  <c:v>-63.468999542349863</c:v>
                </c:pt>
                <c:pt idx="5">
                  <c:v>-101.50976777157609</c:v>
                </c:pt>
                <c:pt idx="6">
                  <c:v>-46.673222389657298</c:v>
                </c:pt>
                <c:pt idx="7">
                  <c:v>30.03329986765938</c:v>
                </c:pt>
                <c:pt idx="8">
                  <c:v>-124.63224397138779</c:v>
                </c:pt>
                <c:pt idx="9">
                  <c:v>-18.675121858832245</c:v>
                </c:pt>
                <c:pt idx="10">
                  <c:v>-118.77679217142591</c:v>
                </c:pt>
                <c:pt idx="11">
                  <c:v>-96.525109698359586</c:v>
                </c:pt>
                <c:pt idx="12">
                  <c:v>-109.5547242188247</c:v>
                </c:pt>
                <c:pt idx="13">
                  <c:v>-55.682170841488173</c:v>
                </c:pt>
                <c:pt idx="14">
                  <c:v>-39.754499026493328</c:v>
                </c:pt>
                <c:pt idx="15">
                  <c:v>-17.005300905773964</c:v>
                </c:pt>
                <c:pt idx="16">
                  <c:v>-123.97684537732349</c:v>
                </c:pt>
                <c:pt idx="17">
                  <c:v>-93.260058324872261</c:v>
                </c:pt>
                <c:pt idx="18">
                  <c:v>-78.656612624377132</c:v>
                </c:pt>
                <c:pt idx="19">
                  <c:v>-108.07813237310394</c:v>
                </c:pt>
                <c:pt idx="20">
                  <c:v>-52.487389124120163</c:v>
                </c:pt>
                <c:pt idx="21">
                  <c:v>-80.850233442176531</c:v>
                </c:pt>
                <c:pt idx="22">
                  <c:v>-61.679751638202639</c:v>
                </c:pt>
                <c:pt idx="23">
                  <c:v>-105.6169292841733</c:v>
                </c:pt>
                <c:pt idx="24">
                  <c:v>-34.568725543980619</c:v>
                </c:pt>
                <c:pt idx="25">
                  <c:v>-63.233264523598976</c:v>
                </c:pt>
                <c:pt idx="26">
                  <c:v>-65.269287483787423</c:v>
                </c:pt>
                <c:pt idx="27">
                  <c:v>-104.03678902349765</c:v>
                </c:pt>
                <c:pt idx="28">
                  <c:v>-4.8421791510253094</c:v>
                </c:pt>
              </c:numCache>
            </c:numRef>
          </c:val>
          <c:extLst>
            <c:ext xmlns:c16="http://schemas.microsoft.com/office/drawing/2014/chart" uri="{C3380CC4-5D6E-409C-BE32-E72D297353CC}">
              <c16:uniqueId val="{00000000-AA60-496C-A041-5CA586BAF01D}"/>
            </c:ext>
          </c:extLst>
        </c:ser>
        <c:dLbls>
          <c:showLegendKey val="0"/>
          <c:showVal val="0"/>
          <c:showCatName val="0"/>
          <c:showSerName val="0"/>
          <c:showPercent val="0"/>
          <c:showBubbleSize val="0"/>
        </c:dLbls>
        <c:gapWidth val="219"/>
        <c:overlap val="-27"/>
        <c:axId val="429571904"/>
        <c:axId val="429562888"/>
      </c:barChart>
      <c:catAx>
        <c:axId val="429571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9562888"/>
        <c:crosses val="autoZero"/>
        <c:auto val="1"/>
        <c:lblAlgn val="ctr"/>
        <c:lblOffset val="100"/>
        <c:noMultiLvlLbl val="0"/>
      </c:catAx>
      <c:valAx>
        <c:axId val="429562888"/>
        <c:scaling>
          <c:orientation val="minMax"/>
          <c:max val="175"/>
          <c:min val="-1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0" i="0" baseline="0">
                    <a:effectLst/>
                  </a:rPr>
                  <a:t>Change in typical household's electriicity bill  $/year</a:t>
                </a:r>
                <a:endParaRPr lang="en-NZ" sz="1200">
                  <a:effectLst/>
                </a:endParaRPr>
              </a:p>
            </c:rich>
          </c:tx>
          <c:layout>
            <c:manualLayout>
              <c:xMode val="edge"/>
              <c:yMode val="edge"/>
              <c:x val="1.7237648766277699E-2"/>
              <c:y val="0.1273823446302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9571904"/>
        <c:crosses val="autoZero"/>
        <c:crossBetween val="between"/>
      </c:valAx>
      <c:spPr>
        <a:noFill/>
        <a:ln>
          <a:noFill/>
        </a:ln>
        <a:effectLst/>
      </c:spPr>
    </c:plotArea>
    <c:legend>
      <c:legendPos val="l"/>
      <c:layout>
        <c:manualLayout>
          <c:xMode val="edge"/>
          <c:yMode val="edge"/>
          <c:x val="0.38847476252571761"/>
          <c:y val="0.16215567646498319"/>
          <c:w val="0.59237144380781581"/>
          <c:h val="9.59230570693153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baseline="0">
                <a:effectLst/>
              </a:rPr>
              <a:t>Difference Between the Proposal and Status Quo as $/year for a Typical Household (ACOT discontinued)  </a:t>
            </a:r>
            <a:endParaRPr lang="en-NZ" sz="1400" b="0" i="0" baseline="0">
              <a:solidFill>
                <a:srgbClr val="C00000"/>
              </a:solidFill>
              <a:effectLst/>
            </a:endParaRPr>
          </a:p>
        </c:rich>
      </c:tx>
      <c:layout>
        <c:manualLayout>
          <c:xMode val="edge"/>
          <c:yMode val="edge"/>
          <c:x val="0.17669626344522449"/>
          <c:y val="2.9687038653879402E-3"/>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990762273294306"/>
          <c:y val="0.16773276871174669"/>
          <c:w val="0.82939127135212032"/>
          <c:h val="0.56486792302871047"/>
        </c:manualLayout>
      </c:layout>
      <c:barChart>
        <c:barDir val="col"/>
        <c:grouping val="clustered"/>
        <c:varyColors val="0"/>
        <c:ser>
          <c:idx val="1"/>
          <c:order val="0"/>
          <c:tx>
            <c:strRef>
              <c:f>'Deltas_trans '!$C$66</c:f>
              <c:strCache>
                <c:ptCount val="1"/>
                <c:pt idx="0">
                  <c:v>Second issues paper</c:v>
                </c:pt>
              </c:strCache>
            </c:strRef>
          </c:tx>
          <c:spPr>
            <a:solidFill>
              <a:schemeClr val="bg1">
                <a:lumMod val="50000"/>
                <a:alpha val="78000"/>
              </a:schemeClr>
            </a:solidFill>
            <a:ln>
              <a:noFill/>
            </a:ln>
            <a:effectLst/>
          </c:spPr>
          <c:invertIfNegative val="0"/>
          <c:cat>
            <c:strLit>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Lit>
          </c:cat>
          <c:val>
            <c:numRef>
              <c:f>'Deltas_trans '!$C$69:$C$97</c:f>
              <c:numCache>
                <c:formatCode>0</c:formatCode>
                <c:ptCount val="29"/>
                <c:pt idx="0">
                  <c:v>-6.2546747628170749</c:v>
                </c:pt>
                <c:pt idx="1">
                  <c:v>-13.70844215875718</c:v>
                </c:pt>
                <c:pt idx="2">
                  <c:v>26.476273151033851</c:v>
                </c:pt>
                <c:pt idx="3">
                  <c:v>-28.593188568093254</c:v>
                </c:pt>
                <c:pt idx="4">
                  <c:v>32.53621115351757</c:v>
                </c:pt>
                <c:pt idx="5">
                  <c:v>-24.094247297379198</c:v>
                </c:pt>
                <c:pt idx="6">
                  <c:v>14.339474742147459</c:v>
                </c:pt>
                <c:pt idx="7">
                  <c:v>117.00257637472615</c:v>
                </c:pt>
                <c:pt idx="8">
                  <c:v>-63.859810233606154</c:v>
                </c:pt>
                <c:pt idx="9">
                  <c:v>45.752181911904316</c:v>
                </c:pt>
                <c:pt idx="10">
                  <c:v>-33.370446343332759</c:v>
                </c:pt>
                <c:pt idx="11">
                  <c:v>-19.124925016892405</c:v>
                </c:pt>
                <c:pt idx="12">
                  <c:v>-30.693709181512304</c:v>
                </c:pt>
                <c:pt idx="13">
                  <c:v>-4.0460416967935231</c:v>
                </c:pt>
                <c:pt idx="14">
                  <c:v>21.283914297394574</c:v>
                </c:pt>
                <c:pt idx="15">
                  <c:v>63.215938307107038</c:v>
                </c:pt>
                <c:pt idx="16">
                  <c:v>-44.268786545563643</c:v>
                </c:pt>
                <c:pt idx="17">
                  <c:v>12.267540920817638</c:v>
                </c:pt>
                <c:pt idx="18">
                  <c:v>-2.443485230365809</c:v>
                </c:pt>
                <c:pt idx="19">
                  <c:v>-27.877955804575834</c:v>
                </c:pt>
                <c:pt idx="20">
                  <c:v>41.390358130781692</c:v>
                </c:pt>
                <c:pt idx="21">
                  <c:v>3.9543088511479567</c:v>
                </c:pt>
                <c:pt idx="22">
                  <c:v>87.039499919722886</c:v>
                </c:pt>
                <c:pt idx="23">
                  <c:v>-24.996846619813681</c:v>
                </c:pt>
                <c:pt idx="24">
                  <c:v>66.05118677611415</c:v>
                </c:pt>
                <c:pt idx="25">
                  <c:v>-9.5413194604872729</c:v>
                </c:pt>
                <c:pt idx="26">
                  <c:v>13.636607390084791</c:v>
                </c:pt>
                <c:pt idx="27">
                  <c:v>-35.032043410724214</c:v>
                </c:pt>
                <c:pt idx="28">
                  <c:v>66.335940326925908</c:v>
                </c:pt>
              </c:numCache>
            </c:numRef>
          </c:val>
          <c:extLst>
            <c:ext xmlns:c16="http://schemas.microsoft.com/office/drawing/2014/chart" uri="{C3380CC4-5D6E-409C-BE32-E72D297353CC}">
              <c16:uniqueId val="{00000000-0D89-4A92-A4C6-5B637022CB35}"/>
            </c:ext>
          </c:extLst>
        </c:ser>
        <c:ser>
          <c:idx val="0"/>
          <c:order val="1"/>
          <c:tx>
            <c:strRef>
              <c:f>'Deltas_trans '!$F$66</c:f>
              <c:strCache>
                <c:ptCount val="1"/>
                <c:pt idx="0">
                  <c:v>Refined issues paper, capped, all changes  </c:v>
                </c:pt>
              </c:strCache>
            </c:strRef>
          </c:tx>
          <c:spPr>
            <a:solidFill>
              <a:srgbClr val="C00000">
                <a:alpha val="77000"/>
              </a:srgbClr>
            </a:solidFill>
            <a:ln>
              <a:noFill/>
            </a:ln>
            <a:effectLst/>
          </c:spPr>
          <c:invertIfNegative val="0"/>
          <c:cat>
            <c:strLit>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Lit>
          </c:cat>
          <c:val>
            <c:numRef>
              <c:f>'Deltas_trans '!$F$69:$F$97</c:f>
              <c:numCache>
                <c:formatCode>0</c:formatCode>
                <c:ptCount val="29"/>
                <c:pt idx="0">
                  <c:v>-75.462443577244343</c:v>
                </c:pt>
                <c:pt idx="1">
                  <c:v>-131.27762396907275</c:v>
                </c:pt>
                <c:pt idx="2">
                  <c:v>-64.227135739091523</c:v>
                </c:pt>
                <c:pt idx="3">
                  <c:v>-129.10878360344279</c:v>
                </c:pt>
                <c:pt idx="4">
                  <c:v>-63.468999542349863</c:v>
                </c:pt>
                <c:pt idx="5">
                  <c:v>-154.15907565843438</c:v>
                </c:pt>
                <c:pt idx="6">
                  <c:v>-66.306946101094269</c:v>
                </c:pt>
                <c:pt idx="7">
                  <c:v>15.558836074042915</c:v>
                </c:pt>
                <c:pt idx="8">
                  <c:v>-124.63224397138779</c:v>
                </c:pt>
                <c:pt idx="9">
                  <c:v>-59.669045372202532</c:v>
                </c:pt>
                <c:pt idx="10">
                  <c:v>-118.77679217142591</c:v>
                </c:pt>
                <c:pt idx="11">
                  <c:v>-110.65891330316848</c:v>
                </c:pt>
                <c:pt idx="12">
                  <c:v>-112.28801553775247</c:v>
                </c:pt>
                <c:pt idx="13">
                  <c:v>-56.346907173644865</c:v>
                </c:pt>
                <c:pt idx="14">
                  <c:v>-39.754499026493328</c:v>
                </c:pt>
                <c:pt idx="15">
                  <c:v>-43.367889245418766</c:v>
                </c:pt>
                <c:pt idx="16">
                  <c:v>-127.14228245906205</c:v>
                </c:pt>
                <c:pt idx="17">
                  <c:v>-109.19193784411986</c:v>
                </c:pt>
                <c:pt idx="18">
                  <c:v>-91.398942035517663</c:v>
                </c:pt>
                <c:pt idx="19">
                  <c:v>-108.07813237310394</c:v>
                </c:pt>
                <c:pt idx="20">
                  <c:v>-87.960903962843759</c:v>
                </c:pt>
                <c:pt idx="21">
                  <c:v>-103.31398092681476</c:v>
                </c:pt>
                <c:pt idx="22">
                  <c:v>-136.21551300950492</c:v>
                </c:pt>
                <c:pt idx="23">
                  <c:v>-130.49800199040118</c:v>
                </c:pt>
                <c:pt idx="24">
                  <c:v>-42.203361925764781</c:v>
                </c:pt>
                <c:pt idx="25">
                  <c:v>-63.233264523598976</c:v>
                </c:pt>
                <c:pt idx="26">
                  <c:v>-85.283236363958537</c:v>
                </c:pt>
                <c:pt idx="27">
                  <c:v>-104.52262840863654</c:v>
                </c:pt>
                <c:pt idx="28">
                  <c:v>-24.108132969635097</c:v>
                </c:pt>
              </c:numCache>
            </c:numRef>
          </c:val>
          <c:extLst>
            <c:ext xmlns:c16="http://schemas.microsoft.com/office/drawing/2014/chart" uri="{C3380CC4-5D6E-409C-BE32-E72D297353CC}">
              <c16:uniqueId val="{00000001-0D89-4A92-A4C6-5B637022CB35}"/>
            </c:ext>
          </c:extLst>
        </c:ser>
        <c:dLbls>
          <c:showLegendKey val="0"/>
          <c:showVal val="0"/>
          <c:showCatName val="0"/>
          <c:showSerName val="0"/>
          <c:showPercent val="0"/>
          <c:showBubbleSize val="0"/>
        </c:dLbls>
        <c:gapWidth val="219"/>
        <c:overlap val="-27"/>
        <c:axId val="429571904"/>
        <c:axId val="429562888"/>
      </c:barChart>
      <c:catAx>
        <c:axId val="429571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9562888"/>
        <c:crossesAt val="0"/>
        <c:auto val="1"/>
        <c:lblAlgn val="ctr"/>
        <c:lblOffset val="100"/>
        <c:noMultiLvlLbl val="0"/>
      </c:catAx>
      <c:valAx>
        <c:axId val="429562888"/>
        <c:scaling>
          <c:orientation val="minMax"/>
          <c:max val="175"/>
          <c:min val="-1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0" i="0" baseline="0">
                    <a:effectLst/>
                  </a:rPr>
                  <a:t>Change in typical household's electriicity bill  $/year</a:t>
                </a:r>
                <a:endParaRPr lang="en-NZ" sz="1200">
                  <a:effectLst/>
                </a:endParaRPr>
              </a:p>
            </c:rich>
          </c:tx>
          <c:layout>
            <c:manualLayout>
              <c:xMode val="edge"/>
              <c:yMode val="edge"/>
              <c:x val="1.7237648766277699E-2"/>
              <c:y val="0.1273823446302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9571904"/>
        <c:crosses val="autoZero"/>
        <c:crossBetween val="between"/>
        <c:majorUnit val="50"/>
      </c:valAx>
      <c:spPr>
        <a:noFill/>
        <a:ln>
          <a:noFill/>
        </a:ln>
        <a:effectLst/>
      </c:spPr>
    </c:plotArea>
    <c:legend>
      <c:legendPos val="l"/>
      <c:layout>
        <c:manualLayout>
          <c:xMode val="edge"/>
          <c:yMode val="edge"/>
          <c:x val="0.37930285883487225"/>
          <c:y val="0.17078918667575191"/>
          <c:w val="0.5905369929693679"/>
          <c:h val="0.124701424438544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Indicative Transmission Charges </a:t>
            </a:r>
            <a:r>
              <a:rPr lang="en-NZ" baseline="0"/>
              <a:t>($/MWh)</a:t>
            </a:r>
          </a:p>
          <a:p>
            <a:pPr>
              <a:defRPr/>
            </a:pPr>
            <a:r>
              <a:rPr lang="en-NZ" baseline="0"/>
              <a:t>(load sorted geographically south to north)</a:t>
            </a:r>
            <a:endParaRPr lang="en-NZ"/>
          </a:p>
        </c:rich>
      </c:tx>
      <c:layout>
        <c:manualLayout>
          <c:xMode val="edge"/>
          <c:yMode val="edge"/>
          <c:x val="0.25885819693095236"/>
          <c:y val="1.06677964678373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60235770882422E-2"/>
          <c:y val="0.14202325906112384"/>
          <c:w val="0.90125367786732358"/>
          <c:h val="0.61174272089062898"/>
        </c:manualLayout>
      </c:layout>
      <c:barChart>
        <c:barDir val="col"/>
        <c:grouping val="stacked"/>
        <c:varyColors val="0"/>
        <c:ser>
          <c:idx val="1"/>
          <c:order val="1"/>
          <c:tx>
            <c:strRef>
              <c:f>'Geographic sort_trans'!$L$7</c:f>
              <c:strCache>
                <c:ptCount val="1"/>
                <c:pt idx="0">
                  <c:v>Refined Proposal, capped, WACC adjustment applied</c:v>
                </c:pt>
              </c:strCache>
            </c:strRef>
          </c:tx>
          <c:spPr>
            <a:solidFill>
              <a:schemeClr val="accent6">
                <a:lumMod val="75000"/>
              </a:schemeClr>
            </a:solidFill>
            <a:ln>
              <a:noFill/>
            </a:ln>
            <a:effectLst/>
          </c:spPr>
          <c:invertIfNegative val="0"/>
          <c:cat>
            <c:strRef>
              <c:f>'Geographic sort_trans'!$B$21:$B$61</c:f>
              <c:strCache>
                <c:ptCount val="41"/>
                <c:pt idx="0">
                  <c:v>NZ Aluminium Smelter</c:v>
                </c:pt>
                <c:pt idx="1">
                  <c:v>The Power Company</c:v>
                </c:pt>
                <c:pt idx="2">
                  <c:v>Electricity Invercargill</c:v>
                </c:pt>
                <c:pt idx="3">
                  <c:v>Rayonier</c:v>
                </c:pt>
                <c:pt idx="4">
                  <c:v>Aurora Energy</c:v>
                </c:pt>
                <c:pt idx="5">
                  <c:v>Lakeland Network</c:v>
                </c:pt>
                <c:pt idx="6">
                  <c:v>OtagoNet JV</c:v>
                </c:pt>
                <c:pt idx="7">
                  <c:v>Network Waitaki</c:v>
                </c:pt>
                <c:pt idx="8">
                  <c:v>Alpine Energy</c:v>
                </c:pt>
                <c:pt idx="9">
                  <c:v>Electricity Ashburton</c:v>
                </c:pt>
                <c:pt idx="10">
                  <c:v>Daiken MDF</c:v>
                </c:pt>
                <c:pt idx="11">
                  <c:v>Orion</c:v>
                </c:pt>
                <c:pt idx="12">
                  <c:v>Mainpower</c:v>
                </c:pt>
                <c:pt idx="13">
                  <c:v>Marlborough Lines</c:v>
                </c:pt>
                <c:pt idx="14">
                  <c:v>Network Tasman</c:v>
                </c:pt>
                <c:pt idx="15">
                  <c:v>Buller Electricity</c:v>
                </c:pt>
                <c:pt idx="16">
                  <c:v>Westpower</c:v>
                </c:pt>
                <c:pt idx="17">
                  <c:v>Wellington Electricity</c:v>
                </c:pt>
                <c:pt idx="18">
                  <c:v>Electra</c:v>
                </c:pt>
                <c:pt idx="19">
                  <c:v>Scanpower</c:v>
                </c:pt>
                <c:pt idx="20">
                  <c:v>Winstones</c:v>
                </c:pt>
                <c:pt idx="21">
                  <c:v>Methanex</c:v>
                </c:pt>
                <c:pt idx="22">
                  <c:v>Centralines</c:v>
                </c:pt>
                <c:pt idx="23">
                  <c:v>Unison</c:v>
                </c:pt>
                <c:pt idx="24">
                  <c:v>Pan Pac</c:v>
                </c:pt>
                <c:pt idx="25">
                  <c:v>Eastland Network</c:v>
                </c:pt>
                <c:pt idx="26">
                  <c:v>Horizon</c:v>
                </c:pt>
                <c:pt idx="27">
                  <c:v>Norske Skog</c:v>
                </c:pt>
                <c:pt idx="28">
                  <c:v>Oji Fibre</c:v>
                </c:pt>
                <c:pt idx="29">
                  <c:v>Kiwirail</c:v>
                </c:pt>
                <c:pt idx="30">
                  <c:v>Powerco</c:v>
                </c:pt>
                <c:pt idx="31">
                  <c:v>The Lines Company</c:v>
                </c:pt>
                <c:pt idx="32">
                  <c:v>Waipa Power</c:v>
                </c:pt>
                <c:pt idx="33">
                  <c:v>WEL Networks</c:v>
                </c:pt>
                <c:pt idx="34">
                  <c:v>NZ Steel</c:v>
                </c:pt>
                <c:pt idx="35">
                  <c:v>Counties Power</c:v>
                </c:pt>
                <c:pt idx="36">
                  <c:v>Vector</c:v>
                </c:pt>
                <c:pt idx="37">
                  <c:v>Refining NZ</c:v>
                </c:pt>
                <c:pt idx="38">
                  <c:v>Northpower</c:v>
                </c:pt>
                <c:pt idx="39">
                  <c:v>Juken</c:v>
                </c:pt>
                <c:pt idx="40">
                  <c:v>Top Energy</c:v>
                </c:pt>
              </c:strCache>
            </c:strRef>
          </c:cat>
          <c:val>
            <c:numRef>
              <c:f>'Geographic sort_trans'!$L$21:$L$61</c:f>
              <c:numCache>
                <c:formatCode>General</c:formatCode>
                <c:ptCount val="41"/>
                <c:pt idx="0">
                  <c:v>8.4019198682477132</c:v>
                </c:pt>
                <c:pt idx="1">
                  <c:v>12.498626931287008</c:v>
                </c:pt>
                <c:pt idx="2">
                  <c:v>14.298454285228313</c:v>
                </c:pt>
                <c:pt idx="3">
                  <c:v>11.67492086537834</c:v>
                </c:pt>
                <c:pt idx="4">
                  <c:v>13.474962809808597</c:v>
                </c:pt>
                <c:pt idx="5">
                  <c:v>14.109205617347021</c:v>
                </c:pt>
                <c:pt idx="6">
                  <c:v>10.777909187606557</c:v>
                </c:pt>
                <c:pt idx="7">
                  <c:v>13.754030849194493</c:v>
                </c:pt>
                <c:pt idx="8">
                  <c:v>11.947824798407179</c:v>
                </c:pt>
                <c:pt idx="9">
                  <c:v>15.052674399668803</c:v>
                </c:pt>
                <c:pt idx="10">
                  <c:v>11.365698374945413</c:v>
                </c:pt>
                <c:pt idx="11">
                  <c:v>13.812626440243555</c:v>
                </c:pt>
                <c:pt idx="12">
                  <c:v>14.233396367414034</c:v>
                </c:pt>
                <c:pt idx="13">
                  <c:v>12.082224054737162</c:v>
                </c:pt>
                <c:pt idx="14">
                  <c:v>13.433837363919714</c:v>
                </c:pt>
                <c:pt idx="15">
                  <c:v>12.591052717260537</c:v>
                </c:pt>
                <c:pt idx="16">
                  <c:v>14.375093000654296</c:v>
                </c:pt>
                <c:pt idx="17">
                  <c:v>16.35228255617286</c:v>
                </c:pt>
                <c:pt idx="18">
                  <c:v>15.882668056266859</c:v>
                </c:pt>
                <c:pt idx="19">
                  <c:v>13.460623255527254</c:v>
                </c:pt>
                <c:pt idx="20">
                  <c:v>11.970783101163667</c:v>
                </c:pt>
                <c:pt idx="21">
                  <c:v>13.311485281866796</c:v>
                </c:pt>
                <c:pt idx="22">
                  <c:v>13.274610064784275</c:v>
                </c:pt>
                <c:pt idx="23">
                  <c:v>14.172729379046791</c:v>
                </c:pt>
                <c:pt idx="24">
                  <c:v>11.014249139146255</c:v>
                </c:pt>
                <c:pt idx="25">
                  <c:v>12.912667284395855</c:v>
                </c:pt>
                <c:pt idx="26">
                  <c:v>12.855088101656936</c:v>
                </c:pt>
                <c:pt idx="27">
                  <c:v>2.6673677933150537</c:v>
                </c:pt>
                <c:pt idx="28">
                  <c:v>12.380628364407011</c:v>
                </c:pt>
                <c:pt idx="29">
                  <c:v>18.23118836754746</c:v>
                </c:pt>
                <c:pt idx="30">
                  <c:v>13.802854918730274</c:v>
                </c:pt>
                <c:pt idx="31">
                  <c:v>16.536707508491908</c:v>
                </c:pt>
                <c:pt idx="32">
                  <c:v>15.008311872059865</c:v>
                </c:pt>
                <c:pt idx="33">
                  <c:v>16.64707242996251</c:v>
                </c:pt>
                <c:pt idx="34">
                  <c:v>7.174638956911207</c:v>
                </c:pt>
                <c:pt idx="35">
                  <c:v>19.231928575729096</c:v>
                </c:pt>
                <c:pt idx="36">
                  <c:v>24.937974354536848</c:v>
                </c:pt>
                <c:pt idx="37">
                  <c:v>15.491325120876144</c:v>
                </c:pt>
                <c:pt idx="38">
                  <c:v>22.957291854939665</c:v>
                </c:pt>
                <c:pt idx="39">
                  <c:v>13.129823852830738</c:v>
                </c:pt>
                <c:pt idx="40">
                  <c:v>16.535583045756532</c:v>
                </c:pt>
              </c:numCache>
            </c:numRef>
          </c:val>
          <c:extLst>
            <c:ext xmlns:c16="http://schemas.microsoft.com/office/drawing/2014/chart" uri="{C3380CC4-5D6E-409C-BE32-E72D297353CC}">
              <c16:uniqueId val="{00000000-8CAA-4D13-A189-319ADF5F4640}"/>
            </c:ext>
          </c:extLst>
        </c:ser>
        <c:dLbls>
          <c:showLegendKey val="0"/>
          <c:showVal val="0"/>
          <c:showCatName val="0"/>
          <c:showSerName val="0"/>
          <c:showPercent val="0"/>
          <c:showBubbleSize val="0"/>
        </c:dLbls>
        <c:gapWidth val="150"/>
        <c:overlap val="100"/>
        <c:axId val="429578176"/>
        <c:axId val="429578568"/>
      </c:barChart>
      <c:lineChart>
        <c:grouping val="stacked"/>
        <c:varyColors val="0"/>
        <c:ser>
          <c:idx val="2"/>
          <c:order val="0"/>
          <c:tx>
            <c:strRef>
              <c:f>'Geographic sort_trans'!$O$7</c:f>
              <c:strCache>
                <c:ptCount val="1"/>
                <c:pt idx="0">
                  <c:v>Second Issues Paper</c:v>
                </c:pt>
              </c:strCache>
            </c:strRef>
          </c:tx>
          <c:spPr>
            <a:ln w="25400" cap="rnd">
              <a:noFill/>
              <a:round/>
            </a:ln>
            <a:effectLst/>
          </c:spPr>
          <c:marker>
            <c:symbol val="circle"/>
            <c:size val="5"/>
            <c:spPr>
              <a:noFill/>
              <a:ln w="9525">
                <a:solidFill>
                  <a:schemeClr val="tx2"/>
                </a:solidFill>
              </a:ln>
              <a:effectLst/>
            </c:spPr>
          </c:marker>
          <c:dPt>
            <c:idx val="38"/>
            <c:marker>
              <c:symbol val="circle"/>
              <c:size val="5"/>
              <c:spPr>
                <a:noFill/>
                <a:ln w="9525">
                  <a:solidFill>
                    <a:schemeClr val="tx2"/>
                  </a:solidFill>
                </a:ln>
                <a:effectLst/>
              </c:spPr>
            </c:marker>
            <c:bubble3D val="0"/>
            <c:spPr>
              <a:ln w="25400" cap="rnd">
                <a:noFill/>
                <a:round/>
              </a:ln>
              <a:effectLst/>
            </c:spPr>
            <c:extLst>
              <c:ext xmlns:c16="http://schemas.microsoft.com/office/drawing/2014/chart" uri="{C3380CC4-5D6E-409C-BE32-E72D297353CC}">
                <c16:uniqueId val="{00000000-3EB3-493A-94B7-696B9DEB0C71}"/>
              </c:ext>
            </c:extLst>
          </c:dPt>
          <c:cat>
            <c:strRef>
              <c:f>'Geographic sort_trans'!$C$21:$C$61</c:f>
              <c:strCache>
                <c:ptCount val="41"/>
                <c:pt idx="0">
                  <c:v>NZAS</c:v>
                </c:pt>
                <c:pt idx="1">
                  <c:v>The Power Company</c:v>
                </c:pt>
                <c:pt idx="2">
                  <c:v>Electricity Invercargill</c:v>
                </c:pt>
                <c:pt idx="3">
                  <c:v>Rayonier</c:v>
                </c:pt>
                <c:pt idx="4">
                  <c:v>Aurora Energy</c:v>
                </c:pt>
                <c:pt idx="5">
                  <c:v>Lakeland Network</c:v>
                </c:pt>
                <c:pt idx="6">
                  <c:v>OtagoNet JV</c:v>
                </c:pt>
                <c:pt idx="7">
                  <c:v>Network Waitaki</c:v>
                </c:pt>
                <c:pt idx="8">
                  <c:v>Alpine Energy</c:v>
                </c:pt>
                <c:pt idx="9">
                  <c:v>Electricity Ashburton</c:v>
                </c:pt>
                <c:pt idx="10">
                  <c:v>Daiken MDF</c:v>
                </c:pt>
                <c:pt idx="11">
                  <c:v>Orion</c:v>
                </c:pt>
                <c:pt idx="12">
                  <c:v>Mainpower</c:v>
                </c:pt>
                <c:pt idx="13">
                  <c:v>Marlborough Lines</c:v>
                </c:pt>
                <c:pt idx="14">
                  <c:v>Network Tasman</c:v>
                </c:pt>
                <c:pt idx="15">
                  <c:v>Buller Electricity</c:v>
                </c:pt>
                <c:pt idx="16">
                  <c:v>Westpower</c:v>
                </c:pt>
                <c:pt idx="17">
                  <c:v>Wellington Electricity</c:v>
                </c:pt>
                <c:pt idx="18">
                  <c:v>Electra</c:v>
                </c:pt>
                <c:pt idx="19">
                  <c:v>Scanpower</c:v>
                </c:pt>
                <c:pt idx="20">
                  <c:v>Winstones</c:v>
                </c:pt>
                <c:pt idx="21">
                  <c:v>Methanex</c:v>
                </c:pt>
                <c:pt idx="22">
                  <c:v>Centralines</c:v>
                </c:pt>
                <c:pt idx="23">
                  <c:v>Unison</c:v>
                </c:pt>
                <c:pt idx="24">
                  <c:v>PanPac</c:v>
                </c:pt>
                <c:pt idx="25">
                  <c:v>Eastland Network</c:v>
                </c:pt>
                <c:pt idx="26">
                  <c:v>Horizon</c:v>
                </c:pt>
                <c:pt idx="27">
                  <c:v>Norske Skog</c:v>
                </c:pt>
                <c:pt idx="28">
                  <c:v>CHH</c:v>
                </c:pt>
                <c:pt idx="29">
                  <c:v>Kiwirail</c:v>
                </c:pt>
                <c:pt idx="30">
                  <c:v>Powerco</c:v>
                </c:pt>
                <c:pt idx="31">
                  <c:v>The Lines Company</c:v>
                </c:pt>
                <c:pt idx="32">
                  <c:v>Waipa Power</c:v>
                </c:pt>
                <c:pt idx="33">
                  <c:v>WEL</c:v>
                </c:pt>
                <c:pt idx="34">
                  <c:v>NZ Steel</c:v>
                </c:pt>
                <c:pt idx="35">
                  <c:v>Counties Power</c:v>
                </c:pt>
                <c:pt idx="36">
                  <c:v>Vector</c:v>
                </c:pt>
                <c:pt idx="37">
                  <c:v>Refinery</c:v>
                </c:pt>
                <c:pt idx="38">
                  <c:v>Northpower</c:v>
                </c:pt>
                <c:pt idx="39">
                  <c:v>Juken</c:v>
                </c:pt>
                <c:pt idx="40">
                  <c:v>Top Energy</c:v>
                </c:pt>
              </c:strCache>
            </c:strRef>
          </c:cat>
          <c:val>
            <c:numRef>
              <c:f>'Geographic sort_trans'!$O$21:$O$61</c:f>
              <c:numCache>
                <c:formatCode>0.00</c:formatCode>
                <c:ptCount val="41"/>
                <c:pt idx="0">
                  <c:v>8.0186291526599778</c:v>
                </c:pt>
                <c:pt idx="1">
                  <c:v>13.014451625869663</c:v>
                </c:pt>
                <c:pt idx="2">
                  <c:v>13.920780720118639</c:v>
                </c:pt>
                <c:pt idx="3">
                  <c:v>11.531378784424295</c:v>
                </c:pt>
                <c:pt idx="4">
                  <c:v>14.297802800940541</c:v>
                </c:pt>
                <c:pt idx="5">
                  <c:v>14.935131314303556</c:v>
                </c:pt>
                <c:pt idx="6">
                  <c:v>11.112889384313535</c:v>
                </c:pt>
                <c:pt idx="7">
                  <c:v>14.716951229569919</c:v>
                </c:pt>
                <c:pt idx="8">
                  <c:v>12.503869675834416</c:v>
                </c:pt>
                <c:pt idx="9">
                  <c:v>19.203714789533379</c:v>
                </c:pt>
                <c:pt idx="10">
                  <c:v>11.040548113356754</c:v>
                </c:pt>
                <c:pt idx="11">
                  <c:v>14.678284616844643</c:v>
                </c:pt>
                <c:pt idx="12">
                  <c:v>15.107373794189924</c:v>
                </c:pt>
                <c:pt idx="13">
                  <c:v>12.599034485958807</c:v>
                </c:pt>
                <c:pt idx="14">
                  <c:v>14.11759200386442</c:v>
                </c:pt>
                <c:pt idx="15">
                  <c:v>16.752481616071904</c:v>
                </c:pt>
                <c:pt idx="16">
                  <c:v>16.440997249815638</c:v>
                </c:pt>
                <c:pt idx="17">
                  <c:v>17.522951927676981</c:v>
                </c:pt>
                <c:pt idx="18">
                  <c:v>16.894646429145627</c:v>
                </c:pt>
                <c:pt idx="19">
                  <c:v>14.238863313471661</c:v>
                </c:pt>
                <c:pt idx="20">
                  <c:v>11.772550574711381</c:v>
                </c:pt>
                <c:pt idx="21">
                  <c:v>13.188109984937505</c:v>
                </c:pt>
                <c:pt idx="22">
                  <c:v>13.985627090062998</c:v>
                </c:pt>
                <c:pt idx="23">
                  <c:v>15.210456209164155</c:v>
                </c:pt>
                <c:pt idx="24">
                  <c:v>11.630171463550992</c:v>
                </c:pt>
                <c:pt idx="25">
                  <c:v>13.760954731542073</c:v>
                </c:pt>
                <c:pt idx="26">
                  <c:v>13.750816937495191</c:v>
                </c:pt>
                <c:pt idx="27">
                  <c:v>14.25455173157698</c:v>
                </c:pt>
                <c:pt idx="28">
                  <c:v>10.427605292386106</c:v>
                </c:pt>
                <c:pt idx="29">
                  <c:v>57.1</c:v>
                </c:pt>
                <c:pt idx="30">
                  <c:v>16.550368676238417</c:v>
                </c:pt>
                <c:pt idx="31">
                  <c:v>17.798961111696013</c:v>
                </c:pt>
                <c:pt idx="32">
                  <c:v>15.863271349640499</c:v>
                </c:pt>
                <c:pt idx="33">
                  <c:v>17.780832855539657</c:v>
                </c:pt>
                <c:pt idx="34">
                  <c:v>15.62268194433549</c:v>
                </c:pt>
                <c:pt idx="35">
                  <c:v>22.035015877098701</c:v>
                </c:pt>
                <c:pt idx="36">
                  <c:v>30.527988219335271</c:v>
                </c:pt>
                <c:pt idx="37">
                  <c:v>22.290932365323357</c:v>
                </c:pt>
                <c:pt idx="38">
                  <c:v>27.094973065396491</c:v>
                </c:pt>
                <c:pt idx="39">
                  <c:v>18.293888220114507</c:v>
                </c:pt>
                <c:pt idx="40">
                  <c:v>26.323624469272957</c:v>
                </c:pt>
              </c:numCache>
            </c:numRef>
          </c:val>
          <c:smooth val="0"/>
          <c:extLst>
            <c:ext xmlns:c16="http://schemas.microsoft.com/office/drawing/2014/chart" uri="{C3380CC4-5D6E-409C-BE32-E72D297353CC}">
              <c16:uniqueId val="{00000002-8CAA-4D13-A189-319ADF5F4640}"/>
            </c:ext>
          </c:extLst>
        </c:ser>
        <c:dLbls>
          <c:showLegendKey val="0"/>
          <c:showVal val="0"/>
          <c:showCatName val="0"/>
          <c:showSerName val="0"/>
          <c:showPercent val="0"/>
          <c:showBubbleSize val="0"/>
        </c:dLbls>
        <c:marker val="1"/>
        <c:smooth val="0"/>
        <c:axId val="429578176"/>
        <c:axId val="429578568"/>
      </c:lineChart>
      <c:catAx>
        <c:axId val="429578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9578568"/>
        <c:crosses val="autoZero"/>
        <c:auto val="1"/>
        <c:lblAlgn val="ctr"/>
        <c:lblOffset val="100"/>
        <c:noMultiLvlLbl val="0"/>
      </c:catAx>
      <c:valAx>
        <c:axId val="429578568"/>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Transmission Charge ($/MWh)</a:t>
                </a:r>
              </a:p>
            </c:rich>
          </c:tx>
          <c:layout>
            <c:manualLayout>
              <c:xMode val="edge"/>
              <c:yMode val="edge"/>
              <c:x val="1.2357856470736537E-3"/>
              <c:y val="0.1754611740364289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578176"/>
        <c:crosses val="autoZero"/>
        <c:crossBetween val="between"/>
      </c:valAx>
      <c:spPr>
        <a:noFill/>
        <a:ln>
          <a:noFill/>
        </a:ln>
        <a:effectLst/>
      </c:spPr>
    </c:plotArea>
    <c:legend>
      <c:legendPos val="l"/>
      <c:layout>
        <c:manualLayout>
          <c:xMode val="edge"/>
          <c:yMode val="edge"/>
          <c:x val="0.10282866952846935"/>
          <c:y val="0.1530569036916459"/>
          <c:w val="0.51030644277101123"/>
          <c:h val="0.149129959001217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Transition for capped direct connects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 transition table'!$C$18</c:f>
              <c:strCache>
                <c:ptCount val="1"/>
                <c:pt idx="0">
                  <c:v>CHH</c:v>
                </c:pt>
              </c:strCache>
            </c:strRef>
          </c:tx>
          <c:spPr>
            <a:ln w="28575" cap="rnd">
              <a:solidFill>
                <a:schemeClr val="accent1"/>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table'!$C$19:$C$39</c:f>
              <c:numCache>
                <c:formatCode>General</c:formatCode>
                <c:ptCount val="21"/>
                <c:pt idx="0">
                  <c:v>7.2468250081828689</c:v>
                </c:pt>
                <c:pt idx="1">
                  <c:v>7.2468250081828689</c:v>
                </c:pt>
                <c:pt idx="2">
                  <c:v>7.2468250081828689</c:v>
                </c:pt>
                <c:pt idx="3">
                  <c:v>7.2468250081828689</c:v>
                </c:pt>
                <c:pt idx="4">
                  <c:v>7.2468250081828689</c:v>
                </c:pt>
                <c:pt idx="5">
                  <c:v>7.2468250081828689</c:v>
                </c:pt>
                <c:pt idx="6">
                  <c:v>7.2468250081828689</c:v>
                </c:pt>
                <c:pt idx="7">
                  <c:v>7.2468250081828689</c:v>
                </c:pt>
                <c:pt idx="8">
                  <c:v>7.2468250081828689</c:v>
                </c:pt>
                <c:pt idx="9">
                  <c:v>7.2468250081828689</c:v>
                </c:pt>
                <c:pt idx="10">
                  <c:v>7.2468250081828689</c:v>
                </c:pt>
                <c:pt idx="11">
                  <c:v>7.2468250081828689</c:v>
                </c:pt>
                <c:pt idx="12">
                  <c:v>7.2468250081828689</c:v>
                </c:pt>
                <c:pt idx="13">
                  <c:v>7.2468250081828689</c:v>
                </c:pt>
                <c:pt idx="14">
                  <c:v>7.2468250081828689</c:v>
                </c:pt>
                <c:pt idx="15">
                  <c:v>7.2468250081828689</c:v>
                </c:pt>
                <c:pt idx="16">
                  <c:v>7.2468250081828689</c:v>
                </c:pt>
                <c:pt idx="17">
                  <c:v>7.2468250081828689</c:v>
                </c:pt>
                <c:pt idx="18">
                  <c:v>7.2468250081828689</c:v>
                </c:pt>
                <c:pt idx="19">
                  <c:v>7.2468250081828689</c:v>
                </c:pt>
                <c:pt idx="20">
                  <c:v>7.2468250081828689</c:v>
                </c:pt>
              </c:numCache>
            </c:numRef>
          </c:val>
          <c:smooth val="0"/>
          <c:extLst>
            <c:ext xmlns:c16="http://schemas.microsoft.com/office/drawing/2014/chart" uri="{C3380CC4-5D6E-409C-BE32-E72D297353CC}">
              <c16:uniqueId val="{00000000-9906-409D-88B5-0778F5D32636}"/>
            </c:ext>
          </c:extLst>
        </c:ser>
        <c:ser>
          <c:idx val="1"/>
          <c:order val="1"/>
          <c:tx>
            <c:strRef>
              <c:f>'DC transition table'!$D$18</c:f>
              <c:strCache>
                <c:ptCount val="1"/>
                <c:pt idx="0">
                  <c:v>Juken</c:v>
                </c:pt>
              </c:strCache>
            </c:strRef>
          </c:tx>
          <c:spPr>
            <a:ln w="28575" cap="rnd">
              <a:solidFill>
                <a:schemeClr val="accent2"/>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table'!$D$19:$D$39</c:f>
              <c:numCache>
                <c:formatCode>General</c:formatCode>
                <c:ptCount val="21"/>
                <c:pt idx="0">
                  <c:v>0.72383231488560695</c:v>
                </c:pt>
                <c:pt idx="1">
                  <c:v>0.72383231488560695</c:v>
                </c:pt>
                <c:pt idx="2">
                  <c:v>0.72383231488560695</c:v>
                </c:pt>
                <c:pt idx="3">
                  <c:v>0.72383231488560695</c:v>
                </c:pt>
                <c:pt idx="4">
                  <c:v>0.72383231488560695</c:v>
                </c:pt>
                <c:pt idx="5">
                  <c:v>0.72383231488560695</c:v>
                </c:pt>
                <c:pt idx="6">
                  <c:v>0.72383231488560695</c:v>
                </c:pt>
                <c:pt idx="7">
                  <c:v>0.72383231488560695</c:v>
                </c:pt>
                <c:pt idx="8">
                  <c:v>0.72383231488560695</c:v>
                </c:pt>
                <c:pt idx="9">
                  <c:v>0.72383231488560695</c:v>
                </c:pt>
                <c:pt idx="10">
                  <c:v>0.72383231488560695</c:v>
                </c:pt>
                <c:pt idx="11">
                  <c:v>0.72383231488560695</c:v>
                </c:pt>
                <c:pt idx="12">
                  <c:v>0.72383231488560695</c:v>
                </c:pt>
                <c:pt idx="13">
                  <c:v>0.72383231488560695</c:v>
                </c:pt>
                <c:pt idx="14">
                  <c:v>0.72383231488560695</c:v>
                </c:pt>
                <c:pt idx="15">
                  <c:v>0.72383231488560695</c:v>
                </c:pt>
                <c:pt idx="16">
                  <c:v>0.72383231488560695</c:v>
                </c:pt>
                <c:pt idx="17">
                  <c:v>0.72383231488560695</c:v>
                </c:pt>
                <c:pt idx="18">
                  <c:v>0.72383231488560695</c:v>
                </c:pt>
                <c:pt idx="19">
                  <c:v>0.72383231488560695</c:v>
                </c:pt>
                <c:pt idx="20">
                  <c:v>0.72383231488560695</c:v>
                </c:pt>
              </c:numCache>
            </c:numRef>
          </c:val>
          <c:smooth val="0"/>
          <c:extLst>
            <c:ext xmlns:c16="http://schemas.microsoft.com/office/drawing/2014/chart" uri="{C3380CC4-5D6E-409C-BE32-E72D297353CC}">
              <c16:uniqueId val="{00000001-9906-409D-88B5-0778F5D32636}"/>
            </c:ext>
          </c:extLst>
        </c:ser>
        <c:ser>
          <c:idx val="2"/>
          <c:order val="2"/>
          <c:tx>
            <c:strRef>
              <c:f>'DC transition table'!$E$18</c:f>
              <c:strCache>
                <c:ptCount val="1"/>
                <c:pt idx="0">
                  <c:v>Kiwirail</c:v>
                </c:pt>
              </c:strCache>
            </c:strRef>
          </c:tx>
          <c:spPr>
            <a:ln w="28575" cap="rnd">
              <a:solidFill>
                <a:schemeClr val="accent3"/>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table'!$E$19:$E$39</c:f>
              <c:numCache>
                <c:formatCode>General</c:formatCode>
                <c:ptCount val="21"/>
                <c:pt idx="0">
                  <c:v>0.72825138256949562</c:v>
                </c:pt>
                <c:pt idx="1">
                  <c:v>0.72825138256949562</c:v>
                </c:pt>
                <c:pt idx="2">
                  <c:v>0.72825138256949562</c:v>
                </c:pt>
                <c:pt idx="3">
                  <c:v>0.72825138256949562</c:v>
                </c:pt>
                <c:pt idx="4">
                  <c:v>0.72825138256949562</c:v>
                </c:pt>
                <c:pt idx="5">
                  <c:v>0.83264766687035541</c:v>
                </c:pt>
                <c:pt idx="6">
                  <c:v>0.93704395117121519</c:v>
                </c:pt>
                <c:pt idx="7">
                  <c:v>1.0414402354720751</c:v>
                </c:pt>
                <c:pt idx="8">
                  <c:v>1.145836519772935</c:v>
                </c:pt>
                <c:pt idx="9">
                  <c:v>1.2502328040737949</c:v>
                </c:pt>
                <c:pt idx="10">
                  <c:v>1.3546290883746548</c:v>
                </c:pt>
                <c:pt idx="11">
                  <c:v>1.4590253726755147</c:v>
                </c:pt>
                <c:pt idx="12">
                  <c:v>1.5634216569763746</c:v>
                </c:pt>
                <c:pt idx="13">
                  <c:v>1.6678179412772345</c:v>
                </c:pt>
                <c:pt idx="14">
                  <c:v>1.7722142255780944</c:v>
                </c:pt>
                <c:pt idx="15">
                  <c:v>1.8766105098789543</c:v>
                </c:pt>
                <c:pt idx="16">
                  <c:v>1.9810067941798142</c:v>
                </c:pt>
                <c:pt idx="17">
                  <c:v>2.0854030784806739</c:v>
                </c:pt>
                <c:pt idx="18">
                  <c:v>2.1220721468025432</c:v>
                </c:pt>
                <c:pt idx="19">
                  <c:v>2.1220721468025432</c:v>
                </c:pt>
                <c:pt idx="20">
                  <c:v>2.1220721468025432</c:v>
                </c:pt>
              </c:numCache>
            </c:numRef>
          </c:val>
          <c:smooth val="0"/>
          <c:extLst>
            <c:ext xmlns:c16="http://schemas.microsoft.com/office/drawing/2014/chart" uri="{C3380CC4-5D6E-409C-BE32-E72D297353CC}">
              <c16:uniqueId val="{00000002-9906-409D-88B5-0778F5D32636}"/>
            </c:ext>
          </c:extLst>
        </c:ser>
        <c:ser>
          <c:idx val="3"/>
          <c:order val="3"/>
          <c:tx>
            <c:strRef>
              <c:f>'DC transition table'!$F$18</c:f>
              <c:strCache>
                <c:ptCount val="1"/>
                <c:pt idx="0">
                  <c:v>Methanex</c:v>
                </c:pt>
              </c:strCache>
            </c:strRef>
          </c:tx>
          <c:spPr>
            <a:ln w="28575" cap="rnd">
              <a:solidFill>
                <a:schemeClr val="accent4"/>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table'!$F$19:$F$39</c:f>
              <c:numCache>
                <c:formatCode>General</c:formatCode>
                <c:ptCount val="21"/>
                <c:pt idx="0">
                  <c:v>0.71474835498793676</c:v>
                </c:pt>
                <c:pt idx="1">
                  <c:v>0.71474835498793676</c:v>
                </c:pt>
                <c:pt idx="2">
                  <c:v>0.71474835498793676</c:v>
                </c:pt>
                <c:pt idx="3">
                  <c:v>0.71474835498793676</c:v>
                </c:pt>
                <c:pt idx="4">
                  <c:v>0.71474835498793676</c:v>
                </c:pt>
                <c:pt idx="5">
                  <c:v>0.71474835498793676</c:v>
                </c:pt>
                <c:pt idx="6">
                  <c:v>0.71474835498793676</c:v>
                </c:pt>
                <c:pt idx="7">
                  <c:v>0.71474835498793676</c:v>
                </c:pt>
                <c:pt idx="8">
                  <c:v>0.71474835498793676</c:v>
                </c:pt>
                <c:pt idx="9">
                  <c:v>0.71474835498793676</c:v>
                </c:pt>
                <c:pt idx="10">
                  <c:v>0.71474835498793676</c:v>
                </c:pt>
                <c:pt idx="11">
                  <c:v>0.71474835498793676</c:v>
                </c:pt>
                <c:pt idx="12">
                  <c:v>0.71474835498793676</c:v>
                </c:pt>
                <c:pt idx="13">
                  <c:v>0.71474835498793676</c:v>
                </c:pt>
                <c:pt idx="14">
                  <c:v>0.71474835498793676</c:v>
                </c:pt>
                <c:pt idx="15">
                  <c:v>0.71474835498793676</c:v>
                </c:pt>
                <c:pt idx="16">
                  <c:v>0.71474835498793676</c:v>
                </c:pt>
                <c:pt idx="17">
                  <c:v>0.71474835498793676</c:v>
                </c:pt>
                <c:pt idx="18">
                  <c:v>0.71474835498793676</c:v>
                </c:pt>
                <c:pt idx="19">
                  <c:v>0.71474835498793676</c:v>
                </c:pt>
                <c:pt idx="20">
                  <c:v>0.71474835498793676</c:v>
                </c:pt>
              </c:numCache>
            </c:numRef>
          </c:val>
          <c:smooth val="0"/>
          <c:extLst>
            <c:ext xmlns:c16="http://schemas.microsoft.com/office/drawing/2014/chart" uri="{C3380CC4-5D6E-409C-BE32-E72D297353CC}">
              <c16:uniqueId val="{00000003-9906-409D-88B5-0778F5D32636}"/>
            </c:ext>
          </c:extLst>
        </c:ser>
        <c:ser>
          <c:idx val="4"/>
          <c:order val="4"/>
          <c:tx>
            <c:strRef>
              <c:f>'DC transition table'!$G$18</c:f>
              <c:strCache>
                <c:ptCount val="1"/>
                <c:pt idx="0">
                  <c:v>Norske Skog</c:v>
                </c:pt>
              </c:strCache>
            </c:strRef>
          </c:tx>
          <c:spPr>
            <a:ln w="28575" cap="rnd">
              <a:solidFill>
                <a:schemeClr val="accent5"/>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table'!$G$19:$G$39</c:f>
              <c:numCache>
                <c:formatCode>General</c:formatCode>
                <c:ptCount val="21"/>
                <c:pt idx="0">
                  <c:v>1.2706267885500004</c:v>
                </c:pt>
                <c:pt idx="1">
                  <c:v>1.2706267885500004</c:v>
                </c:pt>
                <c:pt idx="2">
                  <c:v>1.2706267885500004</c:v>
                </c:pt>
                <c:pt idx="3">
                  <c:v>1.2706267885500004</c:v>
                </c:pt>
                <c:pt idx="4">
                  <c:v>1.2706267885500004</c:v>
                </c:pt>
                <c:pt idx="5">
                  <c:v>1.9966992391500005</c:v>
                </c:pt>
                <c:pt idx="6">
                  <c:v>2.7227716897500005</c:v>
                </c:pt>
                <c:pt idx="7">
                  <c:v>3.4488441403500003</c:v>
                </c:pt>
                <c:pt idx="8">
                  <c:v>4.1749165909500006</c:v>
                </c:pt>
                <c:pt idx="9">
                  <c:v>4.9009890415500008</c:v>
                </c:pt>
                <c:pt idx="10">
                  <c:v>5.6270614921500011</c:v>
                </c:pt>
                <c:pt idx="11">
                  <c:v>5.7669301633386345</c:v>
                </c:pt>
                <c:pt idx="12">
                  <c:v>5.7669301633386345</c:v>
                </c:pt>
                <c:pt idx="13">
                  <c:v>5.7669301633386345</c:v>
                </c:pt>
                <c:pt idx="14">
                  <c:v>5.7669301633386345</c:v>
                </c:pt>
                <c:pt idx="15">
                  <c:v>5.7669301633386345</c:v>
                </c:pt>
                <c:pt idx="16">
                  <c:v>5.7669301633386345</c:v>
                </c:pt>
                <c:pt idx="17">
                  <c:v>5.7669301633386345</c:v>
                </c:pt>
                <c:pt idx="18">
                  <c:v>5.7669301633386345</c:v>
                </c:pt>
                <c:pt idx="19">
                  <c:v>5.7669301633386345</c:v>
                </c:pt>
                <c:pt idx="20">
                  <c:v>5.7669301633386345</c:v>
                </c:pt>
              </c:numCache>
            </c:numRef>
          </c:val>
          <c:smooth val="0"/>
          <c:extLst>
            <c:ext xmlns:c16="http://schemas.microsoft.com/office/drawing/2014/chart" uri="{C3380CC4-5D6E-409C-BE32-E72D297353CC}">
              <c16:uniqueId val="{00000004-9906-409D-88B5-0778F5D32636}"/>
            </c:ext>
          </c:extLst>
        </c:ser>
        <c:ser>
          <c:idx val="5"/>
          <c:order val="5"/>
          <c:tx>
            <c:strRef>
              <c:f>'DC transition table'!$H$18</c:f>
              <c:strCache>
                <c:ptCount val="1"/>
                <c:pt idx="0">
                  <c:v>NZ Steel</c:v>
                </c:pt>
              </c:strCache>
            </c:strRef>
          </c:tx>
          <c:spPr>
            <a:ln w="28575" cap="rnd">
              <a:solidFill>
                <a:schemeClr val="accent6"/>
              </a:solidFill>
              <a:round/>
            </a:ln>
            <a:effectLst/>
          </c:spPr>
          <c:marker>
            <c:symbol val="none"/>
          </c:marker>
          <c:cat>
            <c:numRef>
              <c:f>'DC transition table'!$B$19:$B$39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'DC transition table'!$H$19:$H$39</c:f>
              <c:numCache>
                <c:formatCode>General</c:formatCode>
                <c:ptCount val="21"/>
                <c:pt idx="0">
                  <c:v>7.6438172968594582</c:v>
                </c:pt>
                <c:pt idx="1">
                  <c:v>7.6438172968594582</c:v>
                </c:pt>
                <c:pt idx="2">
                  <c:v>7.6438172968594582</c:v>
                </c:pt>
                <c:pt idx="3">
                  <c:v>7.6438172968594582</c:v>
                </c:pt>
                <c:pt idx="4">
                  <c:v>7.6438172968594582</c:v>
                </c:pt>
                <c:pt idx="5">
                  <c:v>9.3790709758325885</c:v>
                </c:pt>
                <c:pt idx="6">
                  <c:v>11.114324654805719</c:v>
                </c:pt>
                <c:pt idx="7">
                  <c:v>12.849578333778849</c:v>
                </c:pt>
                <c:pt idx="8">
                  <c:v>14.512608712377538</c:v>
                </c:pt>
                <c:pt idx="9">
                  <c:v>14.512608712377538</c:v>
                </c:pt>
                <c:pt idx="10">
                  <c:v>14.512608712377538</c:v>
                </c:pt>
                <c:pt idx="11">
                  <c:v>14.512608712377538</c:v>
                </c:pt>
                <c:pt idx="12">
                  <c:v>14.512608712377538</c:v>
                </c:pt>
                <c:pt idx="13">
                  <c:v>14.512608712377538</c:v>
                </c:pt>
                <c:pt idx="14">
                  <c:v>14.512608712377538</c:v>
                </c:pt>
                <c:pt idx="15">
                  <c:v>14.512608712377538</c:v>
                </c:pt>
                <c:pt idx="16">
                  <c:v>14.512608712377538</c:v>
                </c:pt>
                <c:pt idx="17">
                  <c:v>14.512608712377538</c:v>
                </c:pt>
                <c:pt idx="18">
                  <c:v>14.512608712377538</c:v>
                </c:pt>
                <c:pt idx="19">
                  <c:v>14.512608712377538</c:v>
                </c:pt>
                <c:pt idx="20">
                  <c:v>14.512608712377538</c:v>
                </c:pt>
              </c:numCache>
            </c:numRef>
          </c:val>
          <c:smooth val="0"/>
          <c:extLst>
            <c:ext xmlns:c16="http://schemas.microsoft.com/office/drawing/2014/chart" uri="{C3380CC4-5D6E-409C-BE32-E72D297353CC}">
              <c16:uniqueId val="{00000005-9906-409D-88B5-0778F5D32636}"/>
            </c:ext>
          </c:extLst>
        </c:ser>
        <c:dLbls>
          <c:showLegendKey val="0"/>
          <c:showVal val="0"/>
          <c:showCatName val="0"/>
          <c:showSerName val="0"/>
          <c:showPercent val="0"/>
          <c:showBubbleSize val="0"/>
        </c:dLbls>
        <c:smooth val="0"/>
        <c:axId val="928577936"/>
        <c:axId val="555109600"/>
      </c:lineChart>
      <c:catAx>
        <c:axId val="92857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5109600"/>
        <c:crosses val="autoZero"/>
        <c:auto val="1"/>
        <c:lblAlgn val="ctr"/>
        <c:lblOffset val="100"/>
        <c:noMultiLvlLbl val="0"/>
      </c:catAx>
      <c:valAx>
        <c:axId val="55510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57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NZ" sz="1800"/>
              <a:t>Indicative Area of Benefit Charge as a </a:t>
            </a:r>
            <a:r>
              <a:rPr lang="en-NZ" sz="1800" b="0" i="0" u="none" strike="noStrike" baseline="0">
                <a:effectLst/>
              </a:rPr>
              <a:t>Proportion of Total Charge</a:t>
            </a:r>
          </a:p>
        </c:rich>
      </c:tx>
      <c:layout>
        <c:manualLayout>
          <c:xMode val="edge"/>
          <c:yMode val="edge"/>
          <c:x val="0.22114065828028101"/>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298851971990108E-2"/>
          <c:y val="0.12163931927863855"/>
          <c:w val="0.89143558928475464"/>
          <c:h val="0.62728930657861315"/>
        </c:manualLayout>
      </c:layout>
      <c:barChart>
        <c:barDir val="col"/>
        <c:grouping val="clustered"/>
        <c:varyColors val="0"/>
        <c:ser>
          <c:idx val="0"/>
          <c:order val="0"/>
          <c:spPr>
            <a:solidFill>
              <a:schemeClr val="accent1"/>
            </a:solidFill>
            <a:ln>
              <a:noFill/>
            </a:ln>
            <a:effectLst/>
          </c:spPr>
          <c:invertIfNegative val="0"/>
          <c:cat>
            <c:strRef>
              <c:f>'Charges to party by investment'!$AJ$9:$AJ$63</c:f>
              <c:strCache>
                <c:ptCount val="55"/>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Juken</c:v>
                </c:pt>
                <c:pt idx="46">
                  <c:v>Kiwirail</c:v>
                </c:pt>
                <c:pt idx="47">
                  <c:v>Methanex</c:v>
                </c:pt>
                <c:pt idx="48">
                  <c:v>Norske Skog</c:v>
                </c:pt>
                <c:pt idx="49">
                  <c:v>NZ Steel</c:v>
                </c:pt>
                <c:pt idx="50">
                  <c:v>NZ Aluminium Smelter</c:v>
                </c:pt>
                <c:pt idx="51">
                  <c:v>Pan Pac</c:v>
                </c:pt>
                <c:pt idx="52">
                  <c:v>Rayonier</c:v>
                </c:pt>
                <c:pt idx="53">
                  <c:v>Refining NZ</c:v>
                </c:pt>
                <c:pt idx="54">
                  <c:v>Winstones</c:v>
                </c:pt>
              </c:strCache>
            </c:strRef>
          </c:cat>
          <c:val>
            <c:numRef>
              <c:f>'Charges to party by investment'!$AP$9:$AP$63</c:f>
              <c:numCache>
                <c:formatCode>0%</c:formatCode>
                <c:ptCount val="55"/>
                <c:pt idx="0">
                  <c:v>0.14243314958409037</c:v>
                </c:pt>
                <c:pt idx="1">
                  <c:v>0.10387827189483391</c:v>
                </c:pt>
                <c:pt idx="2">
                  <c:v>0.18671763172987224</c:v>
                </c:pt>
                <c:pt idx="3">
                  <c:v>0.3068308277083433</c:v>
                </c:pt>
                <c:pt idx="4">
                  <c:v>0.40558266919377994</c:v>
                </c:pt>
                <c:pt idx="5">
                  <c:v>0.23940517626873301</c:v>
                </c:pt>
                <c:pt idx="6">
                  <c:v>0.28220857147768974</c:v>
                </c:pt>
                <c:pt idx="7">
                  <c:v>9.917658634927691E-2</c:v>
                </c:pt>
                <c:pt idx="8">
                  <c:v>0.14804827530588741</c:v>
                </c:pt>
                <c:pt idx="9">
                  <c:v>0.24343193401340707</c:v>
                </c:pt>
                <c:pt idx="10">
                  <c:v>8.9936738804487174E-2</c:v>
                </c:pt>
                <c:pt idx="11">
                  <c:v>0.16332862423655567</c:v>
                </c:pt>
                <c:pt idx="12">
                  <c:v>0.17522720024518307</c:v>
                </c:pt>
                <c:pt idx="13">
                  <c:v>0.16062845668213183</c:v>
                </c:pt>
                <c:pt idx="14">
                  <c:v>0.114592634717883</c:v>
                </c:pt>
                <c:pt idx="15">
                  <c:v>0.58932846284970453</c:v>
                </c:pt>
                <c:pt idx="16">
                  <c:v>0.1597458564456806</c:v>
                </c:pt>
                <c:pt idx="17">
                  <c:v>0.18030287361445857</c:v>
                </c:pt>
                <c:pt idx="18">
                  <c:v>0.25515162136211728</c:v>
                </c:pt>
                <c:pt idx="19">
                  <c:v>0.30143309600501933</c:v>
                </c:pt>
                <c:pt idx="20">
                  <c:v>0.19003429176704495</c:v>
                </c:pt>
                <c:pt idx="21">
                  <c:v>0.16164949526042163</c:v>
                </c:pt>
                <c:pt idx="22">
                  <c:v>0.57215862074606127</c:v>
                </c:pt>
                <c:pt idx="23">
                  <c:v>0.23828160271233409</c:v>
                </c:pt>
                <c:pt idx="24">
                  <c:v>0.46988433448863409</c:v>
                </c:pt>
                <c:pt idx="25">
                  <c:v>0.30092257527957406</c:v>
                </c:pt>
                <c:pt idx="26">
                  <c:v>0.29081338031750703</c:v>
                </c:pt>
                <c:pt idx="27">
                  <c:v>0.25254937720623599</c:v>
                </c:pt>
                <c:pt idx="28">
                  <c:v>0.11801227709208106</c:v>
                </c:pt>
                <c:pt idx="31">
                  <c:v>0.91674640263957563</c:v>
                </c:pt>
                <c:pt idx="32">
                  <c:v>0.82156614646097026</c:v>
                </c:pt>
                <c:pt idx="33">
                  <c:v>0.96904281936427072</c:v>
                </c:pt>
                <c:pt idx="34">
                  <c:v>1</c:v>
                </c:pt>
                <c:pt idx="35">
                  <c:v>0.3510083489985425</c:v>
                </c:pt>
                <c:pt idx="36">
                  <c:v>1</c:v>
                </c:pt>
                <c:pt idx="37">
                  <c:v>1</c:v>
                </c:pt>
                <c:pt idx="38">
                  <c:v>1</c:v>
                </c:pt>
                <c:pt idx="39">
                  <c:v>0.72933750989265989</c:v>
                </c:pt>
                <c:pt idx="40">
                  <c:v>0.89923819370672076</c:v>
                </c:pt>
                <c:pt idx="44">
                  <c:v>0.21099975268384938</c:v>
                </c:pt>
                <c:pt idx="46">
                  <c:v>7.9415712232234495E-2</c:v>
                </c:pt>
                <c:pt idx="47">
                  <c:v>0.2875658480807971</c:v>
                </c:pt>
                <c:pt idx="48">
                  <c:v>0.1538057694149117</c:v>
                </c:pt>
                <c:pt idx="49">
                  <c:v>0.44485086517694616</c:v>
                </c:pt>
                <c:pt idx="50">
                  <c:v>0.25443425278907911</c:v>
                </c:pt>
                <c:pt idx="51">
                  <c:v>0.25277628093419846</c:v>
                </c:pt>
                <c:pt idx="52">
                  <c:v>0.21690510926884635</c:v>
                </c:pt>
                <c:pt idx="54">
                  <c:v>0.25867599423223231</c:v>
                </c:pt>
              </c:numCache>
            </c:numRef>
          </c:val>
          <c:extLst>
            <c:ext xmlns:c16="http://schemas.microsoft.com/office/drawing/2014/chart" uri="{C3380CC4-5D6E-409C-BE32-E72D297353CC}">
              <c16:uniqueId val="{00000000-F961-4D88-A1EE-3F10BA5EDB5C}"/>
            </c:ext>
          </c:extLst>
        </c:ser>
        <c:dLbls>
          <c:showLegendKey val="0"/>
          <c:showVal val="0"/>
          <c:showCatName val="0"/>
          <c:showSerName val="0"/>
          <c:showPercent val="0"/>
          <c:showBubbleSize val="0"/>
        </c:dLbls>
        <c:gapWidth val="219"/>
        <c:overlap val="-27"/>
        <c:axId val="429450064"/>
        <c:axId val="429451632"/>
      </c:barChart>
      <c:catAx>
        <c:axId val="42945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9451632"/>
        <c:crosses val="autoZero"/>
        <c:auto val="1"/>
        <c:lblAlgn val="ctr"/>
        <c:lblOffset val="100"/>
        <c:noMultiLvlLbl val="0"/>
      </c:catAx>
      <c:valAx>
        <c:axId val="4294516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b="0" i="0" baseline="0">
                    <a:effectLst/>
                  </a:rPr>
                  <a:t>Area of Benefit Charges as Proportion of Total</a:t>
                </a:r>
                <a:endParaRPr lang="en-NZ" sz="1600">
                  <a:effectLst/>
                </a:endParaRPr>
              </a:p>
            </c:rich>
          </c:tx>
          <c:layout>
            <c:manualLayout>
              <c:xMode val="edge"/>
              <c:yMode val="edge"/>
              <c:x val="2.4420150860800905E-4"/>
              <c:y val="9.6068918804504272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29450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NZ" sz="1800"/>
              <a:t>Indicative Charges by Customer and Charge Type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397531199228096E-2"/>
          <c:y val="0.10641874642479209"/>
          <c:w val="0.8931159275695465"/>
          <c:h val="0.60704183795282574"/>
        </c:manualLayout>
      </c:layout>
      <c:barChart>
        <c:barDir val="col"/>
        <c:grouping val="stacked"/>
        <c:varyColors val="0"/>
        <c:ser>
          <c:idx val="1"/>
          <c:order val="0"/>
          <c:tx>
            <c:strRef>
              <c:f>'Charges to party by investment'!$AM$8</c:f>
              <c:strCache>
                <c:ptCount val="1"/>
                <c:pt idx="0">
                  <c:v>Residual Charge (excl. O/H)</c:v>
                </c:pt>
              </c:strCache>
            </c:strRef>
          </c:tx>
          <c:spPr>
            <a:solidFill>
              <a:srgbClr val="D0CD3F">
                <a:alpha val="76000"/>
              </a:srgbClr>
            </a:solidFill>
            <a:ln>
              <a:noFill/>
            </a:ln>
            <a:effectLst/>
          </c:spPr>
          <c:invertIfNegative val="0"/>
          <c:cat>
            <c:strRef>
              <c:f>'Charges to party by investment'!$AJ$9:$AJ$63</c:f>
              <c:strCache>
                <c:ptCount val="55"/>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Juken</c:v>
                </c:pt>
                <c:pt idx="46">
                  <c:v>Kiwirail</c:v>
                </c:pt>
                <c:pt idx="47">
                  <c:v>Methanex</c:v>
                </c:pt>
                <c:pt idx="48">
                  <c:v>Norske Skog</c:v>
                </c:pt>
                <c:pt idx="49">
                  <c:v>NZ Steel</c:v>
                </c:pt>
                <c:pt idx="50">
                  <c:v>NZ Aluminium Smelter</c:v>
                </c:pt>
                <c:pt idx="51">
                  <c:v>Pan Pac</c:v>
                </c:pt>
                <c:pt idx="52">
                  <c:v>Rayonier</c:v>
                </c:pt>
                <c:pt idx="53">
                  <c:v>Refining NZ</c:v>
                </c:pt>
                <c:pt idx="54">
                  <c:v>Winstones</c:v>
                </c:pt>
              </c:strCache>
            </c:strRef>
          </c:cat>
          <c:val>
            <c:numRef>
              <c:f>'Charges to party by investment'!$AT$9:$AT$63</c:f>
              <c:numCache>
                <c:formatCode>"$"#,##0.0</c:formatCode>
                <c:ptCount val="55"/>
                <c:pt idx="0">
                  <c:v>8.3275048164572105</c:v>
                </c:pt>
                <c:pt idx="1">
                  <c:v>16.676939779521021</c:v>
                </c:pt>
                <c:pt idx="2">
                  <c:v>0.66777847425831327</c:v>
                </c:pt>
                <c:pt idx="3">
                  <c:v>1.0719323419220188</c:v>
                </c:pt>
                <c:pt idx="4">
                  <c:v>6.6808703913519549</c:v>
                </c:pt>
                <c:pt idx="5">
                  <c:v>3.0496127992194899</c:v>
                </c:pt>
                <c:pt idx="6">
                  <c:v>5.0778758559764352</c:v>
                </c:pt>
                <c:pt idx="7">
                  <c:v>8.6967908530338178</c:v>
                </c:pt>
                <c:pt idx="8">
                  <c:v>3.2181112623426333</c:v>
                </c:pt>
                <c:pt idx="9">
                  <c:v>4.9799065075680167</c:v>
                </c:pt>
                <c:pt idx="10">
                  <c:v>0.14612750954956277</c:v>
                </c:pt>
                <c:pt idx="11">
                  <c:v>6.6817520052858903</c:v>
                </c:pt>
                <c:pt idx="12">
                  <c:v>4.0020864530934546</c:v>
                </c:pt>
                <c:pt idx="13">
                  <c:v>8.431755664144907</c:v>
                </c:pt>
                <c:pt idx="14">
                  <c:v>3.3512349663666696</c:v>
                </c:pt>
                <c:pt idx="15">
                  <c:v>9.0691625383791994</c:v>
                </c:pt>
                <c:pt idx="16">
                  <c:v>38.544712200303785</c:v>
                </c:pt>
                <c:pt idx="17">
                  <c:v>3.8459305850453926</c:v>
                </c:pt>
                <c:pt idx="18">
                  <c:v>57.461728031911377</c:v>
                </c:pt>
                <c:pt idx="19">
                  <c:v>0.80667674954962254</c:v>
                </c:pt>
                <c:pt idx="20">
                  <c:v>3.9998824182586192</c:v>
                </c:pt>
                <c:pt idx="21">
                  <c:v>8.2983013548956457</c:v>
                </c:pt>
                <c:pt idx="22">
                  <c:v>2.5492129284801393</c:v>
                </c:pt>
                <c:pt idx="23">
                  <c:v>18.069779593395026</c:v>
                </c:pt>
                <c:pt idx="24">
                  <c:v>114.986040157728</c:v>
                </c:pt>
                <c:pt idx="25">
                  <c:v>4.0668850772376048</c:v>
                </c:pt>
                <c:pt idx="26">
                  <c:v>15.110973029370736</c:v>
                </c:pt>
                <c:pt idx="27">
                  <c:v>30.941343028831625</c:v>
                </c:pt>
                <c:pt idx="28">
                  <c:v>3.2227187446878358</c:v>
                </c:pt>
                <c:pt idx="31">
                  <c:v>1.2423474581329446</c:v>
                </c:pt>
                <c:pt idx="32">
                  <c:v>0.7822164105432482</c:v>
                </c:pt>
                <c:pt idx="33">
                  <c:v>1.1058943633057079</c:v>
                </c:pt>
                <c:pt idx="34">
                  <c:v>0</c:v>
                </c:pt>
                <c:pt idx="35">
                  <c:v>1.6162875452645407</c:v>
                </c:pt>
                <c:pt idx="36">
                  <c:v>0</c:v>
                </c:pt>
                <c:pt idx="37">
                  <c:v>0</c:v>
                </c:pt>
                <c:pt idx="38">
                  <c:v>0</c:v>
                </c:pt>
                <c:pt idx="39">
                  <c:v>2.6373287235516307E-2</c:v>
                </c:pt>
                <c:pt idx="40">
                  <c:v>0.25010030359091007</c:v>
                </c:pt>
                <c:pt idx="41">
                  <c:v>0</c:v>
                </c:pt>
                <c:pt idx="42">
                  <c:v>0</c:v>
                </c:pt>
                <c:pt idx="43">
                  <c:v>0</c:v>
                </c:pt>
                <c:pt idx="44">
                  <c:v>0.59685263327332727</c:v>
                </c:pt>
                <c:pt idx="45">
                  <c:v>0</c:v>
                </c:pt>
                <c:pt idx="46">
                  <c:v>1.9535462758560325</c:v>
                </c:pt>
                <c:pt idx="47">
                  <c:v>0.49866288138142645</c:v>
                </c:pt>
                <c:pt idx="48">
                  <c:v>4.8799430324042739</c:v>
                </c:pt>
                <c:pt idx="49">
                  <c:v>8.0566621707019053</c:v>
                </c:pt>
                <c:pt idx="50">
                  <c:v>30.552855650682019</c:v>
                </c:pt>
                <c:pt idx="51">
                  <c:v>4.4679092154358395</c:v>
                </c:pt>
                <c:pt idx="52">
                  <c:v>0.4784959626426859</c:v>
                </c:pt>
                <c:pt idx="53">
                  <c:v>0</c:v>
                </c:pt>
                <c:pt idx="54">
                  <c:v>2.0460055371773622</c:v>
                </c:pt>
              </c:numCache>
            </c:numRef>
          </c:val>
          <c:extLst>
            <c:ext xmlns:c16="http://schemas.microsoft.com/office/drawing/2014/chart" uri="{C3380CC4-5D6E-409C-BE32-E72D297353CC}">
              <c16:uniqueId val="{00000001-C365-41EB-A09A-C77CFE527646}"/>
            </c:ext>
          </c:extLst>
        </c:ser>
        <c:ser>
          <c:idx val="0"/>
          <c:order val="1"/>
          <c:tx>
            <c:strRef>
              <c:f>'Charges to party by investment'!$AL$8</c:f>
              <c:strCache>
                <c:ptCount val="1"/>
                <c:pt idx="0">
                  <c:v>AoB Charge</c:v>
                </c:pt>
              </c:strCache>
            </c:strRef>
          </c:tx>
          <c:spPr>
            <a:solidFill>
              <a:srgbClr val="C00000">
                <a:alpha val="60000"/>
              </a:srgbClr>
            </a:solidFill>
            <a:ln>
              <a:noFill/>
            </a:ln>
            <a:effectLst/>
          </c:spPr>
          <c:invertIfNegative val="0"/>
          <c:cat>
            <c:strRef>
              <c:f>'Charges to party by investment'!$AJ$9:$AJ$63</c:f>
              <c:strCache>
                <c:ptCount val="55"/>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Juken</c:v>
                </c:pt>
                <c:pt idx="46">
                  <c:v>Kiwirail</c:v>
                </c:pt>
                <c:pt idx="47">
                  <c:v>Methanex</c:v>
                </c:pt>
                <c:pt idx="48">
                  <c:v>Norske Skog</c:v>
                </c:pt>
                <c:pt idx="49">
                  <c:v>NZ Steel</c:v>
                </c:pt>
                <c:pt idx="50">
                  <c:v>NZ Aluminium Smelter</c:v>
                </c:pt>
                <c:pt idx="51">
                  <c:v>Pan Pac</c:v>
                </c:pt>
                <c:pt idx="52">
                  <c:v>Rayonier</c:v>
                </c:pt>
                <c:pt idx="53">
                  <c:v>Refining NZ</c:v>
                </c:pt>
                <c:pt idx="54">
                  <c:v>Winstones</c:v>
                </c:pt>
              </c:strCache>
            </c:strRef>
          </c:cat>
          <c:val>
            <c:numRef>
              <c:f>'Charges to party by investment'!$AL$9:$AL$63</c:f>
              <c:numCache>
                <c:formatCode>0.00</c:formatCode>
                <c:ptCount val="55"/>
                <c:pt idx="0">
                  <c:v>1.2114330807565161</c:v>
                </c:pt>
                <c:pt idx="1">
                  <c:v>1.933187903449151</c:v>
                </c:pt>
                <c:pt idx="2">
                  <c:v>0.15331208458251716</c:v>
                </c:pt>
                <c:pt idx="3">
                  <c:v>0.46376643572213477</c:v>
                </c:pt>
                <c:pt idx="4">
                  <c:v>4.4626703529866178</c:v>
                </c:pt>
                <c:pt idx="5">
                  <c:v>0.94811972399238909</c:v>
                </c:pt>
                <c:pt idx="6">
                  <c:v>1.9477281058373386</c:v>
                </c:pt>
                <c:pt idx="7">
                  <c:v>0.72856700073507263</c:v>
                </c:pt>
                <c:pt idx="8">
                  <c:v>0.55922866087669465</c:v>
                </c:pt>
                <c:pt idx="9">
                  <c:v>1.5835316532268708</c:v>
                </c:pt>
                <c:pt idx="10">
                  <c:v>1.4441008904419258E-2</c:v>
                </c:pt>
                <c:pt idx="11">
                  <c:v>1.1565593913247652</c:v>
                </c:pt>
                <c:pt idx="12">
                  <c:v>0.85026373872078631</c:v>
                </c:pt>
                <c:pt idx="13">
                  <c:v>1.6135642317570436</c:v>
                </c:pt>
                <c:pt idx="14">
                  <c:v>0.41485647176123475</c:v>
                </c:pt>
                <c:pt idx="15">
                  <c:v>12.87478465208687</c:v>
                </c:pt>
                <c:pt idx="16">
                  <c:v>6.47650155100522</c:v>
                </c:pt>
                <c:pt idx="17">
                  <c:v>0.84596165325492045</c:v>
                </c:pt>
                <c:pt idx="18">
                  <c:v>19.259221537985212</c:v>
                </c:pt>
                <c:pt idx="19">
                  <c:v>0.34010523990489244</c:v>
                </c:pt>
                <c:pt idx="20">
                  <c:v>0.90952576385534223</c:v>
                </c:pt>
                <c:pt idx="21">
                  <c:v>1.600066103561834</c:v>
                </c:pt>
                <c:pt idx="22">
                  <c:v>3.3521741305388915</c:v>
                </c:pt>
                <c:pt idx="23">
                  <c:v>5.5711182656681073</c:v>
                </c:pt>
                <c:pt idx="24">
                  <c:v>100.18590102615401</c:v>
                </c:pt>
                <c:pt idx="25">
                  <c:v>1.7144400358804828</c:v>
                </c:pt>
                <c:pt idx="26">
                  <c:v>6.0613231487602066</c:v>
                </c:pt>
                <c:pt idx="27">
                  <c:v>10.322324924255835</c:v>
                </c:pt>
                <c:pt idx="28">
                  <c:v>0.43120824429848742</c:v>
                </c:pt>
                <c:pt idx="31">
                  <c:v>13.581773279368164</c:v>
                </c:pt>
                <c:pt idx="32">
                  <c:v>3.5800748439528887</c:v>
                </c:pt>
                <c:pt idx="33">
                  <c:v>34.342732451096353</c:v>
                </c:pt>
                <c:pt idx="34">
                  <c:v>0.10596062231342553</c:v>
                </c:pt>
                <c:pt idx="35">
                  <c:v>0.85928703243682203</c:v>
                </c:pt>
                <c:pt idx="36">
                  <c:v>0.44480183982018912</c:v>
                </c:pt>
                <c:pt idx="37">
                  <c:v>0.26759683881789809</c:v>
                </c:pt>
                <c:pt idx="38">
                  <c:v>8.9274737697279394E-2</c:v>
                </c:pt>
                <c:pt idx="39">
                  <c:v>7.0805585343409139E-2</c:v>
                </c:pt>
                <c:pt idx="40">
                  <c:v>2.2195020315126643</c:v>
                </c:pt>
                <c:pt idx="43">
                  <c:v>0</c:v>
                </c:pt>
                <c:pt idx="44">
                  <c:v>0.14641186912461449</c:v>
                </c:pt>
                <c:pt idx="45">
                  <c:v>0</c:v>
                </c:pt>
                <c:pt idx="46">
                  <c:v>0.15613527734640251</c:v>
                </c:pt>
                <c:pt idx="47">
                  <c:v>0.19692132481027499</c:v>
                </c:pt>
                <c:pt idx="48">
                  <c:v>0.8848524487176721</c:v>
                </c:pt>
                <c:pt idx="49">
                  <c:v>6.3257943335782345</c:v>
                </c:pt>
                <c:pt idx="50">
                  <c:v>10.426569389935629</c:v>
                </c:pt>
                <c:pt idx="51">
                  <c:v>1.492786720993698</c:v>
                </c:pt>
                <c:pt idx="52">
                  <c:v>0.12095458694468263</c:v>
                </c:pt>
                <c:pt idx="53">
                  <c:v>0</c:v>
                </c:pt>
                <c:pt idx="54">
                  <c:v>0.69156798131059061</c:v>
                </c:pt>
              </c:numCache>
            </c:numRef>
          </c:val>
          <c:extLst>
            <c:ext xmlns:c16="http://schemas.microsoft.com/office/drawing/2014/chart" uri="{C3380CC4-5D6E-409C-BE32-E72D297353CC}">
              <c16:uniqueId val="{00000000-C365-41EB-A09A-C77CFE527646}"/>
            </c:ext>
          </c:extLst>
        </c:ser>
        <c:dLbls>
          <c:showLegendKey val="0"/>
          <c:showVal val="0"/>
          <c:showCatName val="0"/>
          <c:showSerName val="0"/>
          <c:showPercent val="0"/>
          <c:showBubbleSize val="0"/>
        </c:dLbls>
        <c:gapWidth val="94"/>
        <c:overlap val="100"/>
        <c:axId val="429436344"/>
        <c:axId val="429437128"/>
      </c:barChart>
      <c:catAx>
        <c:axId val="42943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9437128"/>
        <c:crosses val="autoZero"/>
        <c:auto val="1"/>
        <c:lblAlgn val="ctr"/>
        <c:lblOffset val="100"/>
        <c:noMultiLvlLbl val="0"/>
      </c:catAx>
      <c:valAx>
        <c:axId val="429437128"/>
        <c:scaling>
          <c:orientation val="minMax"/>
          <c:max val="25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baseline="0"/>
                  <a:t>indicative </a:t>
                </a:r>
                <a:r>
                  <a:rPr lang="en-NZ" sz="1600"/>
                  <a:t>Charges ($m/yr)</a:t>
                </a:r>
              </a:p>
            </c:rich>
          </c:tx>
          <c:layout>
            <c:manualLayout>
              <c:xMode val="edge"/>
              <c:yMode val="edge"/>
              <c:x val="1.3515526892705885E-3"/>
              <c:y val="0.2057455906898648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29436344"/>
        <c:crosses val="autoZero"/>
        <c:crossBetween val="between"/>
      </c:valAx>
      <c:spPr>
        <a:noFill/>
        <a:ln>
          <a:noFill/>
        </a:ln>
        <a:effectLst/>
      </c:spPr>
    </c:plotArea>
    <c:legend>
      <c:legendPos val="l"/>
      <c:layout>
        <c:manualLayout>
          <c:xMode val="edge"/>
          <c:yMode val="edge"/>
          <c:x val="0.110110569451602"/>
          <c:y val="0.12525291913184686"/>
          <c:w val="0.15209574861547642"/>
          <c:h val="0.2087352100482658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2000"/>
              <a:t> Indicative Charges as $m/year </a:t>
            </a:r>
          </a:p>
          <a:p>
            <a:pPr marL="0" marR="0" indent="0" algn="ctr" defTabSz="914400" rtl="0" eaLnBrk="1" fontAlgn="auto" latinLnBrk="0" hangingPunct="1">
              <a:lnSpc>
                <a:spcPct val="100000"/>
              </a:lnSpc>
              <a:spcBef>
                <a:spcPts val="0"/>
              </a:spcBef>
              <a:spcAft>
                <a:spcPts val="0"/>
              </a:spcAft>
              <a:buClrTx/>
              <a:buSzTx/>
              <a:buFontTx/>
              <a:buNone/>
              <a:tabLst/>
              <a:defRPr sz="2000">
                <a:solidFill>
                  <a:sysClr val="windowText" lastClr="000000">
                    <a:lumMod val="65000"/>
                    <a:lumOff val="35000"/>
                  </a:sysClr>
                </a:solidFill>
              </a:defRPr>
            </a:pPr>
            <a:endParaRPr lang="en-US" sz="2000"/>
          </a:p>
        </c:rich>
      </c:tx>
      <c:layout>
        <c:manualLayout>
          <c:xMode val="edge"/>
          <c:yMode val="edge"/>
          <c:x val="0.35622564274574503"/>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31392863483419E-2"/>
          <c:y val="8.3290332386104435E-2"/>
          <c:w val="0.90043965408808102"/>
          <c:h val="0.69333783879712862"/>
        </c:manualLayout>
      </c:layout>
      <c:barChart>
        <c:barDir val="col"/>
        <c:grouping val="clustered"/>
        <c:varyColors val="0"/>
        <c:ser>
          <c:idx val="0"/>
          <c:order val="0"/>
          <c:tx>
            <c:strRef>
              <c:f>'Charges as $M per year'!$C$2</c:f>
              <c:strCache>
                <c:ptCount val="1"/>
                <c:pt idx="0">
                  <c:v>Status quo (Post 2017 TPM)</c:v>
                </c:pt>
              </c:strCache>
            </c:strRef>
          </c:tx>
          <c:spPr>
            <a:solidFill>
              <a:schemeClr val="bg1">
                <a:lumMod val="50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year'!$C$4:$C$57</c:f>
              <c:numCache>
                <c:formatCode>0.0</c:formatCode>
                <c:ptCount val="54"/>
                <c:pt idx="0">
                  <c:v>10.520382771990599</c:v>
                </c:pt>
                <c:pt idx="1">
                  <c:v>21.554936096804902</c:v>
                </c:pt>
                <c:pt idx="2">
                  <c:v>1.27681536780783</c:v>
                </c:pt>
                <c:pt idx="3">
                  <c:v>2.04903385831319</c:v>
                </c:pt>
                <c:pt idx="4">
                  <c:v>10.1765632169326</c:v>
                </c:pt>
                <c:pt idx="5">
                  <c:v>5.3143687415473497</c:v>
                </c:pt>
                <c:pt idx="6">
                  <c:v>6.3585744350769398</c:v>
                </c:pt>
                <c:pt idx="7">
                  <c:v>3.6332748872742102</c:v>
                </c:pt>
                <c:pt idx="8">
                  <c:v>5.5337714214649196</c:v>
                </c:pt>
                <c:pt idx="9">
                  <c:v>3.2476380401893401</c:v>
                </c:pt>
                <c:pt idx="10">
                  <c:v>0.20640741469308699</c:v>
                </c:pt>
                <c:pt idx="11">
                  <c:v>9.4519035472375297</c:v>
                </c:pt>
                <c:pt idx="12">
                  <c:v>6.6040579369931098</c:v>
                </c:pt>
                <c:pt idx="13">
                  <c:v>10.727643804966</c:v>
                </c:pt>
                <c:pt idx="14">
                  <c:v>3.2029211145830998</c:v>
                </c:pt>
                <c:pt idx="15">
                  <c:v>13.0271770053639</c:v>
                </c:pt>
                <c:pt idx="16">
                  <c:v>63.9112827295871</c:v>
                </c:pt>
                <c:pt idx="17">
                  <c:v>3.9733324683553399</c:v>
                </c:pt>
                <c:pt idx="18">
                  <c:v>74.224521678971897</c:v>
                </c:pt>
                <c:pt idx="19">
                  <c:v>1.5144688012252701</c:v>
                </c:pt>
                <c:pt idx="20">
                  <c:v>3.6831699708093302</c:v>
                </c:pt>
                <c:pt idx="21">
                  <c:v>9.7015014463208793</c:v>
                </c:pt>
                <c:pt idx="22">
                  <c:v>4.2899040604009198</c:v>
                </c:pt>
                <c:pt idx="23">
                  <c:v>30.533498779887701</c:v>
                </c:pt>
                <c:pt idx="24">
                  <c:v>178.79932141221201</c:v>
                </c:pt>
                <c:pt idx="25">
                  <c:v>6.4477400565579899</c:v>
                </c:pt>
                <c:pt idx="26">
                  <c:v>19.7154639366371</c:v>
                </c:pt>
                <c:pt idx="27">
                  <c:v>55.243123664533599</c:v>
                </c:pt>
                <c:pt idx="28">
                  <c:v>1.60316629528984</c:v>
                </c:pt>
                <c:pt idx="31">
                  <c:v>32.633689604366353</c:v>
                </c:pt>
                <c:pt idx="32">
                  <c:v>6.8211952010486119</c:v>
                </c:pt>
                <c:pt idx="33">
                  <c:v>96.671854352502805</c:v>
                </c:pt>
                <c:pt idx="34">
                  <c:v>0</c:v>
                </c:pt>
                <c:pt idx="35">
                  <c:v>0</c:v>
                </c:pt>
                <c:pt idx="36">
                  <c:v>0</c:v>
                </c:pt>
                <c:pt idx="37">
                  <c:v>0</c:v>
                </c:pt>
                <c:pt idx="38">
                  <c:v>0.38253490700876602</c:v>
                </c:pt>
                <c:pt idx="39">
                  <c:v>0</c:v>
                </c:pt>
                <c:pt idx="40">
                  <c:v>3.6590118583837001</c:v>
                </c:pt>
                <c:pt idx="43">
                  <c:v>4.0652026313854099</c:v>
                </c:pt>
                <c:pt idx="44">
                  <c:v>0.885456565309233</c:v>
                </c:pt>
                <c:pt idx="45">
                  <c:v>0.54555788504299096</c:v>
                </c:pt>
                <c:pt idx="46">
                  <c:v>0.66503186341368803</c:v>
                </c:pt>
                <c:pt idx="47">
                  <c:v>0</c:v>
                </c:pt>
                <c:pt idx="48">
                  <c:v>4.6071233586564801</c:v>
                </c:pt>
                <c:pt idx="49">
                  <c:v>60.844865743536097</c:v>
                </c:pt>
                <c:pt idx="50">
                  <c:v>4.2536832649312801</c:v>
                </c:pt>
                <c:pt idx="51">
                  <c:v>0.74426647291580394</c:v>
                </c:pt>
                <c:pt idx="52">
                  <c:v>3.20120186496698</c:v>
                </c:pt>
                <c:pt idx="53">
                  <c:v>3.1605549518476299</c:v>
                </c:pt>
              </c:numCache>
            </c:numRef>
          </c:val>
          <c:extLst>
            <c:ext xmlns:c16="http://schemas.microsoft.com/office/drawing/2014/chart" uri="{C3380CC4-5D6E-409C-BE32-E72D297353CC}">
              <c16:uniqueId val="{00000000-DD66-44C4-875B-7C5AF1A2B62E}"/>
            </c:ext>
          </c:extLst>
        </c:ser>
        <c:ser>
          <c:idx val="1"/>
          <c:order val="1"/>
          <c:tx>
            <c:strRef>
              <c:f>'Charges as $M per year'!$E$2</c:f>
              <c:strCache>
                <c:ptCount val="1"/>
                <c:pt idx="0">
                  <c:v>Revised proposal (uncapped)</c:v>
                </c:pt>
              </c:strCache>
            </c:strRef>
          </c:tx>
          <c:spPr>
            <a:solidFill>
              <a:schemeClr val="accent6">
                <a:lumMod val="75000"/>
                <a:alpha val="64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year'!$E$4:$E$57</c:f>
              <c:numCache>
                <c:formatCode>0.00</c:formatCode>
                <c:ptCount val="54"/>
                <c:pt idx="0">
                  <c:v>9.710618842622555</c:v>
                </c:pt>
                <c:pt idx="1">
                  <c:v>18.610127682970173</c:v>
                </c:pt>
                <c:pt idx="2">
                  <c:v>0.82109055884083038</c:v>
                </c:pt>
                <c:pt idx="3">
                  <c:v>1.5464224099553496</c:v>
                </c:pt>
                <c:pt idx="4">
                  <c:v>11.23936003395217</c:v>
                </c:pt>
                <c:pt idx="5">
                  <c:v>4.0095103254304787</c:v>
                </c:pt>
                <c:pt idx="6">
                  <c:v>7.0743055074230465</c:v>
                </c:pt>
                <c:pt idx="7">
                  <c:v>9.6542682186609223</c:v>
                </c:pt>
                <c:pt idx="8">
                  <c:v>3.7773399232193281</c:v>
                </c:pt>
                <c:pt idx="9">
                  <c:v>6.582231964911224</c:v>
                </c:pt>
                <c:pt idx="10">
                  <c:v>0.16056851845398201</c:v>
                </c:pt>
                <c:pt idx="11">
                  <c:v>7.9861128261845193</c:v>
                </c:pt>
                <c:pt idx="12">
                  <c:v>4.8523501918142404</c:v>
                </c:pt>
                <c:pt idx="13">
                  <c:v>10.045319895901951</c:v>
                </c:pt>
                <c:pt idx="14">
                  <c:v>3.7849639587071509</c:v>
                </c:pt>
                <c:pt idx="15" formatCode="0.000">
                  <c:v>22.083737775720536</c:v>
                </c:pt>
                <c:pt idx="16">
                  <c:v>45.872683278011124</c:v>
                </c:pt>
                <c:pt idx="17">
                  <c:v>4.6918922383003139</c:v>
                </c:pt>
                <c:pt idx="18">
                  <c:v>77.14553683662794</c:v>
                </c:pt>
                <c:pt idx="19">
                  <c:v>1.154759472480561</c:v>
                </c:pt>
                <c:pt idx="20">
                  <c:v>4.9383355092709795</c:v>
                </c:pt>
                <c:pt idx="21">
                  <c:v>9.8983674584574786</c:v>
                </c:pt>
                <c:pt idx="22" formatCode="0.0000">
                  <c:v>5.958313178882805</c:v>
                </c:pt>
                <c:pt idx="23" formatCode="0.000">
                  <c:v>23.722388296958648</c:v>
                </c:pt>
                <c:pt idx="24">
                  <c:v>216.90745555841841</c:v>
                </c:pt>
                <c:pt idx="25">
                  <c:v>5.8175030882509597</c:v>
                </c:pt>
                <c:pt idx="26">
                  <c:v>21.307470572606132</c:v>
                </c:pt>
                <c:pt idx="27">
                  <c:v>41.395835504399514</c:v>
                </c:pt>
                <c:pt idx="28">
                  <c:v>3.6539269889863233</c:v>
                </c:pt>
                <c:pt idx="31">
                  <c:v>14.922447768287176</c:v>
                </c:pt>
                <c:pt idx="32">
                  <c:v>4.3837892587582905</c:v>
                </c:pt>
                <c:pt idx="33">
                  <c:v>35.723355311928486</c:v>
                </c:pt>
                <c:pt idx="34">
                  <c:v>0.10596062231342553</c:v>
                </c:pt>
                <c:pt idx="35">
                  <c:v>2.4904596889196515</c:v>
                </c:pt>
                <c:pt idx="36">
                  <c:v>0.44480183982018912</c:v>
                </c:pt>
                <c:pt idx="37">
                  <c:v>0.26759683881789809</c:v>
                </c:pt>
                <c:pt idx="38">
                  <c:v>8.9938012237073789E-2</c:v>
                </c:pt>
                <c:pt idx="39">
                  <c:v>9.7439756890794579E-2</c:v>
                </c:pt>
                <c:pt idx="40">
                  <c:v>2.4820942854375114</c:v>
                </c:pt>
                <c:pt idx="43" formatCode="0.0">
                  <c:v>0</c:v>
                </c:pt>
                <c:pt idx="44" formatCode="0.0">
                  <c:v>0.75646697869052737</c:v>
                </c:pt>
                <c:pt idx="45" formatCode="0.0">
                  <c:v>2.1220721468025436</c:v>
                </c:pt>
                <c:pt idx="46" formatCode="0.0">
                  <c:v>0.69994241578410432</c:v>
                </c:pt>
                <c:pt idx="47" formatCode="0.0">
                  <c:v>5.7669301633386345</c:v>
                </c:pt>
                <c:pt idx="48" formatCode="0.0">
                  <c:v>14.512608712377538</c:v>
                </c:pt>
                <c:pt idx="49" formatCode="0.0">
                  <c:v>40.979425040617642</c:v>
                </c:pt>
                <c:pt idx="50" formatCode="0.0">
                  <c:v>5.9793460799420766</c:v>
                </c:pt>
                <c:pt idx="51" formatCode="0.0">
                  <c:v>0.61103190469794499</c:v>
                </c:pt>
                <c:pt idx="52" formatCode="0.0">
                  <c:v>0</c:v>
                </c:pt>
                <c:pt idx="53" formatCode="0.0">
                  <c:v>2.7599342814460379</c:v>
                </c:pt>
              </c:numCache>
            </c:numRef>
          </c:val>
          <c:extLst>
            <c:ext xmlns:c16="http://schemas.microsoft.com/office/drawing/2014/chart" uri="{C3380CC4-5D6E-409C-BE32-E72D297353CC}">
              <c16:uniqueId val="{00000002-DD66-44C4-875B-7C5AF1A2B62E}"/>
            </c:ext>
          </c:extLst>
        </c:ser>
        <c:dLbls>
          <c:showLegendKey val="0"/>
          <c:showVal val="0"/>
          <c:showCatName val="0"/>
          <c:showSerName val="0"/>
          <c:showPercent val="0"/>
          <c:showBubbleSize val="0"/>
        </c:dLbls>
        <c:gapWidth val="90"/>
        <c:overlap val="-5"/>
        <c:axId val="429444968"/>
        <c:axId val="429446536"/>
      </c:barChart>
      <c:catAx>
        <c:axId val="42944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29446536"/>
        <c:crosses val="autoZero"/>
        <c:auto val="1"/>
        <c:lblAlgn val="ctr"/>
        <c:lblOffset val="50"/>
        <c:noMultiLvlLbl val="0"/>
      </c:catAx>
      <c:valAx>
        <c:axId val="429446536"/>
        <c:scaling>
          <c:orientation val="minMax"/>
          <c:max val="26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Indicative Annual Charges ($m/year)</a:t>
                </a:r>
              </a:p>
            </c:rich>
          </c:tx>
          <c:layout>
            <c:manualLayout>
              <c:xMode val="edge"/>
              <c:yMode val="edge"/>
              <c:x val="2.0867011932546621E-3"/>
              <c:y val="0.20772638718754707"/>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9444968"/>
        <c:crosses val="autoZero"/>
        <c:crossBetween val="between"/>
      </c:valAx>
      <c:spPr>
        <a:noFill/>
        <a:ln>
          <a:noFill/>
        </a:ln>
        <a:effectLst/>
      </c:spPr>
    </c:plotArea>
    <c:legend>
      <c:legendPos val="t"/>
      <c:layout>
        <c:manualLayout>
          <c:xMode val="edge"/>
          <c:yMode val="edge"/>
          <c:x val="7.1634057069601284E-2"/>
          <c:y val="0.12005829950496273"/>
          <c:w val="0.36751312433099442"/>
          <c:h val="0.21546745657409286"/>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2000"/>
              <a:t> Indicative Charges as $m/year </a:t>
            </a:r>
          </a:p>
          <a:p>
            <a:pPr marL="0" marR="0" indent="0" algn="ctr" defTabSz="914400" rtl="0" eaLnBrk="1" fontAlgn="auto" latinLnBrk="0" hangingPunct="1">
              <a:lnSpc>
                <a:spcPct val="100000"/>
              </a:lnSpc>
              <a:spcBef>
                <a:spcPts val="0"/>
              </a:spcBef>
              <a:spcAft>
                <a:spcPts val="0"/>
              </a:spcAft>
              <a:buClrTx/>
              <a:buSzTx/>
              <a:buFontTx/>
              <a:buNone/>
              <a:tabLst/>
              <a:defRPr sz="2000">
                <a:solidFill>
                  <a:sysClr val="windowText" lastClr="000000">
                    <a:lumMod val="65000"/>
                    <a:lumOff val="35000"/>
                  </a:sysClr>
                </a:solidFill>
              </a:defRPr>
            </a:pPr>
            <a:endParaRPr lang="en-US" sz="2000"/>
          </a:p>
        </c:rich>
      </c:tx>
      <c:layout>
        <c:manualLayout>
          <c:xMode val="edge"/>
          <c:yMode val="edge"/>
          <c:x val="0.35622564274574503"/>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31392863483419E-2"/>
          <c:y val="8.3290332386104435E-2"/>
          <c:w val="0.90043965408808102"/>
          <c:h val="0.69333783879712862"/>
        </c:manualLayout>
      </c:layout>
      <c:barChart>
        <c:barDir val="col"/>
        <c:grouping val="clustered"/>
        <c:varyColors val="0"/>
        <c:ser>
          <c:idx val="0"/>
          <c:order val="0"/>
          <c:tx>
            <c:strRef>
              <c:f>'Charges as $M per year'!$C$2</c:f>
              <c:strCache>
                <c:ptCount val="1"/>
                <c:pt idx="0">
                  <c:v>Status quo (Post 2017 TPM)</c:v>
                </c:pt>
              </c:strCache>
            </c:strRef>
          </c:tx>
          <c:spPr>
            <a:solidFill>
              <a:schemeClr val="bg1">
                <a:lumMod val="50000"/>
              </a:schemeClr>
            </a:solidFill>
            <a:ln>
              <a:noFill/>
            </a:ln>
            <a:effectLst/>
          </c:spPr>
          <c:invertIfNegative val="0"/>
          <c:cat>
            <c:strRef>
              <c:f>'Charges as $M per year'!$A$68:$A$74</c:f>
              <c:strCache>
                <c:ptCount val="7"/>
                <c:pt idx="0">
                  <c:v>Buller Electricity</c:v>
                </c:pt>
                <c:pt idx="1">
                  <c:v>Electricity Ashburton</c:v>
                </c:pt>
                <c:pt idx="2">
                  <c:v>Westpower</c:v>
                </c:pt>
                <c:pt idx="4">
                  <c:v>Carter Holt Harvey</c:v>
                </c:pt>
                <c:pt idx="5">
                  <c:v>Norske Skog</c:v>
                </c:pt>
                <c:pt idx="6">
                  <c:v>NZ Steel</c:v>
                </c:pt>
              </c:strCache>
            </c:strRef>
          </c:cat>
          <c:val>
            <c:numRef>
              <c:f>'Charges as $M per year'!$C$68:$C$74</c:f>
              <c:numCache>
                <c:formatCode>0.00</c:formatCode>
                <c:ptCount val="7"/>
                <c:pt idx="0">
                  <c:v>1.27681536780783</c:v>
                </c:pt>
                <c:pt idx="1">
                  <c:v>3.6332748872742102</c:v>
                </c:pt>
                <c:pt idx="2">
                  <c:v>1.60316629528984</c:v>
                </c:pt>
                <c:pt idx="3">
                  <c:v>#N/A</c:v>
                </c:pt>
                <c:pt idx="4">
                  <c:v>4.0652026313854099</c:v>
                </c:pt>
                <c:pt idx="5">
                  <c:v>0</c:v>
                </c:pt>
                <c:pt idx="6">
                  <c:v>4.6071233586564801</c:v>
                </c:pt>
              </c:numCache>
            </c:numRef>
          </c:val>
          <c:extLst>
            <c:ext xmlns:c16="http://schemas.microsoft.com/office/drawing/2014/chart" uri="{C3380CC4-5D6E-409C-BE32-E72D297353CC}">
              <c16:uniqueId val="{00000000-FE6C-4000-AF63-D15ED8A3FCDF}"/>
            </c:ext>
          </c:extLst>
        </c:ser>
        <c:ser>
          <c:idx val="2"/>
          <c:order val="1"/>
          <c:tx>
            <c:strRef>
              <c:f>'Charges as $M per year'!$D$2</c:f>
              <c:strCache>
                <c:ptCount val="1"/>
                <c:pt idx="0">
                  <c:v>2nd issues paper</c:v>
                </c:pt>
              </c:strCache>
            </c:strRef>
          </c:tx>
          <c:spPr>
            <a:solidFill>
              <a:schemeClr val="accent3"/>
            </a:solidFill>
            <a:ln>
              <a:noFill/>
            </a:ln>
            <a:effectLst/>
          </c:spPr>
          <c:invertIfNegative val="0"/>
          <c:cat>
            <c:strRef>
              <c:f>'Charges as $M per year'!$A$68:$A$74</c:f>
              <c:strCache>
                <c:ptCount val="7"/>
                <c:pt idx="0">
                  <c:v>Buller Electricity</c:v>
                </c:pt>
                <c:pt idx="1">
                  <c:v>Electricity Ashburton</c:v>
                </c:pt>
                <c:pt idx="2">
                  <c:v>Westpower</c:v>
                </c:pt>
                <c:pt idx="4">
                  <c:v>Carter Holt Harvey</c:v>
                </c:pt>
                <c:pt idx="5">
                  <c:v>Norske Skog</c:v>
                </c:pt>
                <c:pt idx="6">
                  <c:v>NZ Steel</c:v>
                </c:pt>
              </c:strCache>
            </c:strRef>
          </c:cat>
          <c:val>
            <c:numRef>
              <c:f>'Charges as $M per year'!$D$68:$D$74</c:f>
              <c:numCache>
                <c:formatCode>0.00</c:formatCode>
                <c:ptCount val="7"/>
                <c:pt idx="0">
                  <c:v>1.7941505751254221</c:v>
                </c:pt>
                <c:pt idx="1">
                  <c:v>12.043838254461853</c:v>
                </c:pt>
                <c:pt idx="2">
                  <c:v>4.6598060865262463</c:v>
                </c:pt>
                <c:pt idx="3">
                  <c:v>#N/A</c:v>
                </c:pt>
                <c:pt idx="4">
                  <c:v>6.1036506859030553</c:v>
                </c:pt>
                <c:pt idx="5">
                  <c:v>6.7902954119436645</c:v>
                </c:pt>
                <c:pt idx="6">
                  <c:v>16.644311607403363</c:v>
                </c:pt>
              </c:numCache>
            </c:numRef>
          </c:val>
          <c:extLst>
            <c:ext xmlns:c16="http://schemas.microsoft.com/office/drawing/2014/chart" uri="{C3380CC4-5D6E-409C-BE32-E72D297353CC}">
              <c16:uniqueId val="{00000002-FE6C-4000-AF63-D15ED8A3FCDF}"/>
            </c:ext>
          </c:extLst>
        </c:ser>
        <c:ser>
          <c:idx val="1"/>
          <c:order val="2"/>
          <c:tx>
            <c:strRef>
              <c:f>'Charges as $M per year'!$E$2</c:f>
              <c:strCache>
                <c:ptCount val="1"/>
                <c:pt idx="0">
                  <c:v>Revised proposal (uncapped)</c:v>
                </c:pt>
              </c:strCache>
            </c:strRef>
          </c:tx>
          <c:spPr>
            <a:solidFill>
              <a:schemeClr val="accent6">
                <a:lumMod val="75000"/>
                <a:alpha val="64000"/>
              </a:schemeClr>
            </a:solidFill>
            <a:ln>
              <a:noFill/>
            </a:ln>
            <a:effectLst/>
          </c:spPr>
          <c:invertIfNegative val="0"/>
          <c:cat>
            <c:strRef>
              <c:f>'Charges as $M per year'!$A$68:$A$74</c:f>
              <c:strCache>
                <c:ptCount val="7"/>
                <c:pt idx="0">
                  <c:v>Buller Electricity</c:v>
                </c:pt>
                <c:pt idx="1">
                  <c:v>Electricity Ashburton</c:v>
                </c:pt>
                <c:pt idx="2">
                  <c:v>Westpower</c:v>
                </c:pt>
                <c:pt idx="4">
                  <c:v>Carter Holt Harvey</c:v>
                </c:pt>
                <c:pt idx="5">
                  <c:v>Norske Skog</c:v>
                </c:pt>
                <c:pt idx="6">
                  <c:v>NZ Steel</c:v>
                </c:pt>
              </c:strCache>
            </c:strRef>
          </c:cat>
          <c:val>
            <c:numRef>
              <c:f>'Charges as $M per year'!$E$68:$E$74</c:f>
              <c:numCache>
                <c:formatCode>0.00</c:formatCode>
                <c:ptCount val="7"/>
                <c:pt idx="0">
                  <c:v>0.82109055884083038</c:v>
                </c:pt>
                <c:pt idx="1">
                  <c:v>9.6542682186609223</c:v>
                </c:pt>
                <c:pt idx="2">
                  <c:v>3.6539269889863233</c:v>
                </c:pt>
                <c:pt idx="3">
                  <c:v>#N/A</c:v>
                </c:pt>
                <c:pt idx="4">
                  <c:v>0</c:v>
                </c:pt>
                <c:pt idx="5">
                  <c:v>5.7669301633386345</c:v>
                </c:pt>
                <c:pt idx="6">
                  <c:v>14.512608712377538</c:v>
                </c:pt>
              </c:numCache>
            </c:numRef>
          </c:val>
          <c:extLst>
            <c:ext xmlns:c16="http://schemas.microsoft.com/office/drawing/2014/chart" uri="{C3380CC4-5D6E-409C-BE32-E72D297353CC}">
              <c16:uniqueId val="{00000001-FE6C-4000-AF63-D15ED8A3FCDF}"/>
            </c:ext>
          </c:extLst>
        </c:ser>
        <c:dLbls>
          <c:showLegendKey val="0"/>
          <c:showVal val="0"/>
          <c:showCatName val="0"/>
          <c:showSerName val="0"/>
          <c:showPercent val="0"/>
          <c:showBubbleSize val="0"/>
        </c:dLbls>
        <c:gapWidth val="90"/>
        <c:overlap val="-5"/>
        <c:axId val="429444968"/>
        <c:axId val="429446536"/>
      </c:barChart>
      <c:catAx>
        <c:axId val="42944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29446536"/>
        <c:crosses val="autoZero"/>
        <c:auto val="1"/>
        <c:lblAlgn val="ctr"/>
        <c:lblOffset val="50"/>
        <c:noMultiLvlLbl val="0"/>
      </c:catAx>
      <c:valAx>
        <c:axId val="429446536"/>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Indicative Annual Charges ($m/year)</a:t>
                </a:r>
              </a:p>
            </c:rich>
          </c:tx>
          <c:layout>
            <c:manualLayout>
              <c:xMode val="edge"/>
              <c:yMode val="edge"/>
              <c:x val="2.0867275718873023E-3"/>
              <c:y val="8.5173224787913074E-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9444968"/>
        <c:crosses val="autoZero"/>
        <c:crossBetween val="between"/>
      </c:valAx>
      <c:spPr>
        <a:noFill/>
        <a:ln>
          <a:noFill/>
        </a:ln>
        <a:effectLst/>
      </c:spPr>
    </c:plotArea>
    <c:legend>
      <c:legendPos val="t"/>
      <c:layout>
        <c:manualLayout>
          <c:xMode val="edge"/>
          <c:yMode val="edge"/>
          <c:x val="0.16247235671739521"/>
          <c:y val="9.7363319136723664E-2"/>
          <c:w val="0.62122507920477921"/>
          <c:h val="0.15508573452488836"/>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2000"/>
              <a:t> Indicative Charges as $m/year </a:t>
            </a:r>
          </a:p>
          <a:p>
            <a:pPr marL="0" marR="0" indent="0" algn="ctr" defTabSz="914400" rtl="0" eaLnBrk="1" fontAlgn="auto" latinLnBrk="0" hangingPunct="1">
              <a:lnSpc>
                <a:spcPct val="100000"/>
              </a:lnSpc>
              <a:spcBef>
                <a:spcPts val="0"/>
              </a:spcBef>
              <a:spcAft>
                <a:spcPts val="0"/>
              </a:spcAft>
              <a:buClrTx/>
              <a:buSzTx/>
              <a:buFontTx/>
              <a:buNone/>
              <a:tabLst/>
              <a:defRPr sz="2000">
                <a:solidFill>
                  <a:sysClr val="windowText" lastClr="000000">
                    <a:lumMod val="65000"/>
                    <a:lumOff val="35000"/>
                  </a:sysClr>
                </a:solidFill>
              </a:defRPr>
            </a:pPr>
            <a:endParaRPr lang="en-US" sz="2000"/>
          </a:p>
        </c:rich>
      </c:tx>
      <c:layout>
        <c:manualLayout>
          <c:xMode val="edge"/>
          <c:yMode val="edge"/>
          <c:x val="0.35622564274574503"/>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31392863483419E-2"/>
          <c:y val="8.3290332386104435E-2"/>
          <c:w val="0.90043965408808102"/>
          <c:h val="0.69333783879712862"/>
        </c:manualLayout>
      </c:layout>
      <c:barChart>
        <c:barDir val="col"/>
        <c:grouping val="clustered"/>
        <c:varyColors val="0"/>
        <c:ser>
          <c:idx val="0"/>
          <c:order val="0"/>
          <c:tx>
            <c:strRef>
              <c:f>'Charges as $M per year'!$C$2</c:f>
              <c:strCache>
                <c:ptCount val="1"/>
                <c:pt idx="0">
                  <c:v>Status quo (Post 2017 TPM)</c:v>
                </c:pt>
              </c:strCache>
            </c:strRef>
          </c:tx>
          <c:spPr>
            <a:solidFill>
              <a:schemeClr val="bg1">
                <a:lumMod val="50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year'!$C$4:$C$57</c:f>
              <c:numCache>
                <c:formatCode>0.0</c:formatCode>
                <c:ptCount val="54"/>
                <c:pt idx="0">
                  <c:v>10.520382771990599</c:v>
                </c:pt>
                <c:pt idx="1">
                  <c:v>21.554936096804902</c:v>
                </c:pt>
                <c:pt idx="2">
                  <c:v>1.27681536780783</c:v>
                </c:pt>
                <c:pt idx="3">
                  <c:v>2.04903385831319</c:v>
                </c:pt>
                <c:pt idx="4">
                  <c:v>10.1765632169326</c:v>
                </c:pt>
                <c:pt idx="5">
                  <c:v>5.3143687415473497</c:v>
                </c:pt>
                <c:pt idx="6">
                  <c:v>6.3585744350769398</c:v>
                </c:pt>
                <c:pt idx="7">
                  <c:v>3.6332748872742102</c:v>
                </c:pt>
                <c:pt idx="8">
                  <c:v>5.5337714214649196</c:v>
                </c:pt>
                <c:pt idx="9">
                  <c:v>3.2476380401893401</c:v>
                </c:pt>
                <c:pt idx="10">
                  <c:v>0.20640741469308699</c:v>
                </c:pt>
                <c:pt idx="11">
                  <c:v>9.4519035472375297</c:v>
                </c:pt>
                <c:pt idx="12">
                  <c:v>6.6040579369931098</c:v>
                </c:pt>
                <c:pt idx="13">
                  <c:v>10.727643804966</c:v>
                </c:pt>
                <c:pt idx="14">
                  <c:v>3.2029211145830998</c:v>
                </c:pt>
                <c:pt idx="15">
                  <c:v>13.0271770053639</c:v>
                </c:pt>
                <c:pt idx="16">
                  <c:v>63.9112827295871</c:v>
                </c:pt>
                <c:pt idx="17">
                  <c:v>3.9733324683553399</c:v>
                </c:pt>
                <c:pt idx="18">
                  <c:v>74.224521678971897</c:v>
                </c:pt>
                <c:pt idx="19">
                  <c:v>1.5144688012252701</c:v>
                </c:pt>
                <c:pt idx="20">
                  <c:v>3.6831699708093302</c:v>
                </c:pt>
                <c:pt idx="21">
                  <c:v>9.7015014463208793</c:v>
                </c:pt>
                <c:pt idx="22">
                  <c:v>4.2899040604009198</c:v>
                </c:pt>
                <c:pt idx="23">
                  <c:v>30.533498779887701</c:v>
                </c:pt>
                <c:pt idx="24">
                  <c:v>178.79932141221201</c:v>
                </c:pt>
                <c:pt idx="25">
                  <c:v>6.4477400565579899</c:v>
                </c:pt>
                <c:pt idx="26">
                  <c:v>19.7154639366371</c:v>
                </c:pt>
                <c:pt idx="27">
                  <c:v>55.243123664533599</c:v>
                </c:pt>
                <c:pt idx="28">
                  <c:v>1.60316629528984</c:v>
                </c:pt>
                <c:pt idx="31">
                  <c:v>32.633689604366353</c:v>
                </c:pt>
                <c:pt idx="32">
                  <c:v>6.8211952010486119</c:v>
                </c:pt>
                <c:pt idx="33">
                  <c:v>96.671854352502805</c:v>
                </c:pt>
                <c:pt idx="34">
                  <c:v>0</c:v>
                </c:pt>
                <c:pt idx="35">
                  <c:v>0</c:v>
                </c:pt>
                <c:pt idx="36">
                  <c:v>0</c:v>
                </c:pt>
                <c:pt idx="37">
                  <c:v>0</c:v>
                </c:pt>
                <c:pt idx="38">
                  <c:v>0.38253490700876602</c:v>
                </c:pt>
                <c:pt idx="39">
                  <c:v>0</c:v>
                </c:pt>
                <c:pt idx="40">
                  <c:v>3.6590118583837001</c:v>
                </c:pt>
                <c:pt idx="43">
                  <c:v>4.0652026313854099</c:v>
                </c:pt>
                <c:pt idx="44">
                  <c:v>0.885456565309233</c:v>
                </c:pt>
                <c:pt idx="45">
                  <c:v>0.54555788504299096</c:v>
                </c:pt>
                <c:pt idx="46">
                  <c:v>0.66503186341368803</c:v>
                </c:pt>
                <c:pt idx="47">
                  <c:v>0</c:v>
                </c:pt>
                <c:pt idx="48">
                  <c:v>4.6071233586564801</c:v>
                </c:pt>
                <c:pt idx="49">
                  <c:v>60.844865743536097</c:v>
                </c:pt>
                <c:pt idx="50">
                  <c:v>4.2536832649312801</c:v>
                </c:pt>
                <c:pt idx="51">
                  <c:v>0.74426647291580394</c:v>
                </c:pt>
                <c:pt idx="52">
                  <c:v>3.20120186496698</c:v>
                </c:pt>
                <c:pt idx="53">
                  <c:v>3.1605549518476299</c:v>
                </c:pt>
              </c:numCache>
            </c:numRef>
          </c:val>
          <c:extLst>
            <c:ext xmlns:c16="http://schemas.microsoft.com/office/drawing/2014/chart" uri="{C3380CC4-5D6E-409C-BE32-E72D297353CC}">
              <c16:uniqueId val="{00000000-1E98-4D4C-93AF-32C18FFD3295}"/>
            </c:ext>
          </c:extLst>
        </c:ser>
        <c:ser>
          <c:idx val="1"/>
          <c:order val="1"/>
          <c:tx>
            <c:strRef>
              <c:f>'Charges as $M per year'!$E$2</c:f>
              <c:strCache>
                <c:ptCount val="1"/>
                <c:pt idx="0">
                  <c:v>Revised proposal (uncapped)</c:v>
                </c:pt>
              </c:strCache>
            </c:strRef>
          </c:tx>
          <c:spPr>
            <a:solidFill>
              <a:schemeClr val="accent6">
                <a:lumMod val="75000"/>
                <a:alpha val="64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year'!$E$4:$E$57</c:f>
              <c:numCache>
                <c:formatCode>0.00</c:formatCode>
                <c:ptCount val="54"/>
                <c:pt idx="0">
                  <c:v>9.710618842622555</c:v>
                </c:pt>
                <c:pt idx="1">
                  <c:v>18.610127682970173</c:v>
                </c:pt>
                <c:pt idx="2">
                  <c:v>0.82109055884083038</c:v>
                </c:pt>
                <c:pt idx="3">
                  <c:v>1.5464224099553496</c:v>
                </c:pt>
                <c:pt idx="4">
                  <c:v>11.23936003395217</c:v>
                </c:pt>
                <c:pt idx="5">
                  <c:v>4.0095103254304787</c:v>
                </c:pt>
                <c:pt idx="6">
                  <c:v>7.0743055074230465</c:v>
                </c:pt>
                <c:pt idx="7">
                  <c:v>9.6542682186609223</c:v>
                </c:pt>
                <c:pt idx="8">
                  <c:v>3.7773399232193281</c:v>
                </c:pt>
                <c:pt idx="9">
                  <c:v>6.582231964911224</c:v>
                </c:pt>
                <c:pt idx="10">
                  <c:v>0.16056851845398201</c:v>
                </c:pt>
                <c:pt idx="11">
                  <c:v>7.9861128261845193</c:v>
                </c:pt>
                <c:pt idx="12">
                  <c:v>4.8523501918142404</c:v>
                </c:pt>
                <c:pt idx="13">
                  <c:v>10.045319895901951</c:v>
                </c:pt>
                <c:pt idx="14">
                  <c:v>3.7849639587071509</c:v>
                </c:pt>
                <c:pt idx="15" formatCode="0.000">
                  <c:v>22.083737775720536</c:v>
                </c:pt>
                <c:pt idx="16">
                  <c:v>45.872683278011124</c:v>
                </c:pt>
                <c:pt idx="17">
                  <c:v>4.6918922383003139</c:v>
                </c:pt>
                <c:pt idx="18">
                  <c:v>77.14553683662794</c:v>
                </c:pt>
                <c:pt idx="19">
                  <c:v>1.154759472480561</c:v>
                </c:pt>
                <c:pt idx="20">
                  <c:v>4.9383355092709795</c:v>
                </c:pt>
                <c:pt idx="21">
                  <c:v>9.8983674584574786</c:v>
                </c:pt>
                <c:pt idx="22" formatCode="0.0000">
                  <c:v>5.958313178882805</c:v>
                </c:pt>
                <c:pt idx="23" formatCode="0.000">
                  <c:v>23.722388296958648</c:v>
                </c:pt>
                <c:pt idx="24">
                  <c:v>216.90745555841841</c:v>
                </c:pt>
                <c:pt idx="25">
                  <c:v>5.8175030882509597</c:v>
                </c:pt>
                <c:pt idx="26">
                  <c:v>21.307470572606132</c:v>
                </c:pt>
                <c:pt idx="27">
                  <c:v>41.395835504399514</c:v>
                </c:pt>
                <c:pt idx="28">
                  <c:v>3.6539269889863233</c:v>
                </c:pt>
                <c:pt idx="31">
                  <c:v>14.922447768287176</c:v>
                </c:pt>
                <c:pt idx="32">
                  <c:v>4.3837892587582905</c:v>
                </c:pt>
                <c:pt idx="33">
                  <c:v>35.723355311928486</c:v>
                </c:pt>
                <c:pt idx="34">
                  <c:v>0.10596062231342553</c:v>
                </c:pt>
                <c:pt idx="35">
                  <c:v>2.4904596889196515</c:v>
                </c:pt>
                <c:pt idx="36">
                  <c:v>0.44480183982018912</c:v>
                </c:pt>
                <c:pt idx="37">
                  <c:v>0.26759683881789809</c:v>
                </c:pt>
                <c:pt idx="38">
                  <c:v>8.9938012237073789E-2</c:v>
                </c:pt>
                <c:pt idx="39">
                  <c:v>9.7439756890794579E-2</c:v>
                </c:pt>
                <c:pt idx="40">
                  <c:v>2.4820942854375114</c:v>
                </c:pt>
                <c:pt idx="43" formatCode="0.0">
                  <c:v>0</c:v>
                </c:pt>
                <c:pt idx="44" formatCode="0.0">
                  <c:v>0.75646697869052737</c:v>
                </c:pt>
                <c:pt idx="45" formatCode="0.0">
                  <c:v>2.1220721468025436</c:v>
                </c:pt>
                <c:pt idx="46" formatCode="0.0">
                  <c:v>0.69994241578410432</c:v>
                </c:pt>
                <c:pt idx="47" formatCode="0.0">
                  <c:v>5.7669301633386345</c:v>
                </c:pt>
                <c:pt idx="48" formatCode="0.0">
                  <c:v>14.512608712377538</c:v>
                </c:pt>
                <c:pt idx="49" formatCode="0.0">
                  <c:v>40.979425040617642</c:v>
                </c:pt>
                <c:pt idx="50" formatCode="0.0">
                  <c:v>5.9793460799420766</c:v>
                </c:pt>
                <c:pt idx="51" formatCode="0.0">
                  <c:v>0.61103190469794499</c:v>
                </c:pt>
                <c:pt idx="52" formatCode="0.0">
                  <c:v>0</c:v>
                </c:pt>
                <c:pt idx="53" formatCode="0.0">
                  <c:v>2.7599342814460379</c:v>
                </c:pt>
              </c:numCache>
            </c:numRef>
          </c:val>
          <c:extLst>
            <c:ext xmlns:c16="http://schemas.microsoft.com/office/drawing/2014/chart" uri="{C3380CC4-5D6E-409C-BE32-E72D297353CC}">
              <c16:uniqueId val="{00000001-1E98-4D4C-93AF-32C18FFD3295}"/>
            </c:ext>
          </c:extLst>
        </c:ser>
        <c:dLbls>
          <c:showLegendKey val="0"/>
          <c:showVal val="0"/>
          <c:showCatName val="0"/>
          <c:showSerName val="0"/>
          <c:showPercent val="0"/>
          <c:showBubbleSize val="0"/>
        </c:dLbls>
        <c:gapWidth val="90"/>
        <c:overlap val="-5"/>
        <c:axId val="429444968"/>
        <c:axId val="429446536"/>
      </c:barChart>
      <c:catAx>
        <c:axId val="42944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9446536"/>
        <c:crosses val="autoZero"/>
        <c:auto val="1"/>
        <c:lblAlgn val="ctr"/>
        <c:lblOffset val="50"/>
        <c:noMultiLvlLbl val="0"/>
      </c:catAx>
      <c:valAx>
        <c:axId val="429446536"/>
        <c:scaling>
          <c:orientation val="minMax"/>
          <c:max val="26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Indicative Annual Charges ($m/year)</a:t>
                </a:r>
              </a:p>
            </c:rich>
          </c:tx>
          <c:layout>
            <c:manualLayout>
              <c:xMode val="edge"/>
              <c:yMode val="edge"/>
              <c:x val="2.0867011932546621E-3"/>
              <c:y val="0.20772638718754707"/>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9444968"/>
        <c:crosses val="autoZero"/>
        <c:crossBetween val="between"/>
      </c:valAx>
      <c:spPr>
        <a:noFill/>
        <a:ln>
          <a:noFill/>
        </a:ln>
        <a:effectLst/>
      </c:spPr>
    </c:plotArea>
    <c:legend>
      <c:legendPos val="t"/>
      <c:layout>
        <c:manualLayout>
          <c:xMode val="edge"/>
          <c:yMode val="edge"/>
          <c:x val="0.6949577576054129"/>
          <c:y val="0.15550949851730747"/>
          <c:w val="0.28349991218839954"/>
          <c:h val="0.1613577008922012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n-US" sz="2400"/>
              <a:t>Indicative Charges as $/MWh </a:t>
            </a:r>
          </a:p>
          <a:p>
            <a:pPr marL="0" marR="0" indent="0" algn="ctr" defTabSz="914400" rtl="0" eaLnBrk="1" fontAlgn="auto" latinLnBrk="0" hangingPunct="1">
              <a:lnSpc>
                <a:spcPct val="100000"/>
              </a:lnSpc>
              <a:spcBef>
                <a:spcPts val="0"/>
              </a:spcBef>
              <a:spcAft>
                <a:spcPts val="0"/>
              </a:spcAft>
              <a:buClrTx/>
              <a:buSzTx/>
              <a:buFontTx/>
              <a:buNone/>
              <a:tabLst/>
              <a:defRPr sz="2400">
                <a:solidFill>
                  <a:sysClr val="windowText" lastClr="000000">
                    <a:lumMod val="65000"/>
                    <a:lumOff val="35000"/>
                  </a:sysClr>
                </a:solidFill>
              </a:defRPr>
            </a:pPr>
            <a:endParaRPr lang="en-US" sz="2400"/>
          </a:p>
        </c:rich>
      </c:tx>
      <c:layout>
        <c:manualLayout>
          <c:xMode val="edge"/>
          <c:yMode val="edge"/>
          <c:x val="0.35557737884636792"/>
          <c:y val="1.784266532763724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2405093761257325E-2"/>
          <c:y val="0.13013055423505657"/>
          <c:w val="0.92234849752991999"/>
          <c:h val="0.64649759266076434"/>
        </c:manualLayout>
      </c:layout>
      <c:barChart>
        <c:barDir val="col"/>
        <c:grouping val="clustered"/>
        <c:varyColors val="0"/>
        <c:ser>
          <c:idx val="0"/>
          <c:order val="0"/>
          <c:tx>
            <c:strRef>
              <c:f>'Charges as $ per MWh'!$C$2</c:f>
              <c:strCache>
                <c:ptCount val="1"/>
                <c:pt idx="0">
                  <c:v>Status quo </c:v>
                </c:pt>
              </c:strCache>
            </c:strRef>
          </c:tx>
          <c:spPr>
            <a:solidFill>
              <a:schemeClr val="bg1">
                <a:lumMod val="50000"/>
              </a:schemeClr>
            </a:solidFill>
            <a:ln>
              <a:noFill/>
            </a:ln>
            <a:effectLst/>
          </c:spPr>
          <c:invertIfNegative val="0"/>
          <c:cat>
            <c:strRef>
              <c:f>'Charges as $ per MWh'!$A$4:$A$57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 per MWh'!$C$4:$C$57</c:f>
              <c:numCache>
                <c:formatCode>0.0</c:formatCode>
                <c:ptCount val="54"/>
                <c:pt idx="0">
                  <c:v>12.622744703239208</c:v>
                </c:pt>
                <c:pt idx="1">
                  <c:v>15.202700521643477</c:v>
                </c:pt>
                <c:pt idx="2">
                  <c:v>19.117743064516215</c:v>
                </c:pt>
                <c:pt idx="3">
                  <c:v>17.234363949041541</c:v>
                </c:pt>
                <c:pt idx="4">
                  <c:v>17.111353912536579</c:v>
                </c:pt>
                <c:pt idx="5">
                  <c:v>16.737004263789352</c:v>
                </c:pt>
                <c:pt idx="6">
                  <c:v>13.977867229241351</c:v>
                </c:pt>
                <c:pt idx="7">
                  <c:v>5.517334196168501</c:v>
                </c:pt>
                <c:pt idx="8">
                  <c:v>20.430320118626714</c:v>
                </c:pt>
                <c:pt idx="9">
                  <c:v>6.2032843828363804</c:v>
                </c:pt>
                <c:pt idx="10">
                  <c:v>17.659896614866337</c:v>
                </c:pt>
                <c:pt idx="11">
                  <c:v>16.437491227582143</c:v>
                </c:pt>
                <c:pt idx="12">
                  <c:v>16.050867526085646</c:v>
                </c:pt>
                <c:pt idx="13">
                  <c:v>13.997479424018261</c:v>
                </c:pt>
                <c:pt idx="14">
                  <c:v>11.340830662420849</c:v>
                </c:pt>
                <c:pt idx="15">
                  <c:v>16.35113220370209</c:v>
                </c:pt>
                <c:pt idx="16">
                  <c:v>18.77576885967332</c:v>
                </c:pt>
                <c:pt idx="17">
                  <c:v>8.9104199703979035</c:v>
                </c:pt>
                <c:pt idx="18">
                  <c:v>16.127539310241591</c:v>
                </c:pt>
                <c:pt idx="19">
                  <c:v>17.294908168800863</c:v>
                </c:pt>
                <c:pt idx="20">
                  <c:v>12.043965708194783</c:v>
                </c:pt>
                <c:pt idx="21">
                  <c:v>11.952526351852679</c:v>
                </c:pt>
                <c:pt idx="22">
                  <c:v>13.358529273763301</c:v>
                </c:pt>
                <c:pt idx="23">
                  <c:v>17.838523529700645</c:v>
                </c:pt>
                <c:pt idx="24">
                  <c:v>20.238116196420652</c:v>
                </c:pt>
                <c:pt idx="25">
                  <c:v>16.295983940929101</c:v>
                </c:pt>
                <c:pt idx="26">
                  <c:v>15.085618866838514</c:v>
                </c:pt>
                <c:pt idx="27">
                  <c:v>21.348489619684326</c:v>
                </c:pt>
                <c:pt idx="28">
                  <c:v>6.1461438013573018</c:v>
                </c:pt>
                <c:pt idx="31">
                  <c:v>2.9604771388227418</c:v>
                </c:pt>
                <c:pt idx="32">
                  <c:v>0.94181281083698498</c:v>
                </c:pt>
                <c:pt idx="33">
                  <c:v>7.3664921985804241</c:v>
                </c:pt>
                <c:pt idx="34">
                  <c:v>0</c:v>
                </c:pt>
                <c:pt idx="35">
                  <c:v>0</c:v>
                </c:pt>
                <c:pt idx="36">
                  <c:v>0</c:v>
                </c:pt>
                <c:pt idx="37">
                  <c:v>0</c:v>
                </c:pt>
                <c:pt idx="38">
                  <c:v>7.4552943431958223</c:v>
                </c:pt>
                <c:pt idx="39">
                  <c:v>0</c:v>
                </c:pt>
                <c:pt idx="40">
                  <c:v>1.8508727784343857</c:v>
                </c:pt>
                <c:pt idx="43">
                  <c:v>6.8001809722452364</c:v>
                </c:pt>
                <c:pt idx="44">
                  <c:v>12.679639171557145</c:v>
                </c:pt>
                <c:pt idx="45">
                  <c:v>14.291574881176242</c:v>
                </c:pt>
                <c:pt idx="46">
                  <c:v>12.930062628414241</c:v>
                </c:pt>
                <c:pt idx="47">
                  <c:v>0.12266607928491202</c:v>
                </c:pt>
                <c:pt idx="48">
                  <c:v>5.170932278318384</c:v>
                </c:pt>
                <c:pt idx="49">
                  <c:v>12.737814231932109</c:v>
                </c:pt>
                <c:pt idx="50">
                  <c:v>6.7314131197370193</c:v>
                </c:pt>
                <c:pt idx="51">
                  <c:v>13.766576392240696</c:v>
                </c:pt>
                <c:pt idx="52">
                  <c:v>12.206633587543919</c:v>
                </c:pt>
                <c:pt idx="53">
                  <c:v>13.817470075746938</c:v>
                </c:pt>
              </c:numCache>
            </c:numRef>
          </c:val>
          <c:extLst>
            <c:ext xmlns:c16="http://schemas.microsoft.com/office/drawing/2014/chart" uri="{C3380CC4-5D6E-409C-BE32-E72D297353CC}">
              <c16:uniqueId val="{00000000-63F1-4B83-8060-1C9C523C2CD0}"/>
            </c:ext>
          </c:extLst>
        </c:ser>
        <c:ser>
          <c:idx val="1"/>
          <c:order val="1"/>
          <c:tx>
            <c:strRef>
              <c:f>'Charges as $ per MWh'!$D$2</c:f>
              <c:strCache>
                <c:ptCount val="1"/>
                <c:pt idx="0">
                  <c:v>Proposal</c:v>
                </c:pt>
              </c:strCache>
            </c:strRef>
          </c:tx>
          <c:spPr>
            <a:solidFill>
              <a:schemeClr val="accent6">
                <a:lumMod val="75000"/>
                <a:alpha val="64000"/>
              </a:schemeClr>
            </a:solidFill>
            <a:ln>
              <a:noFill/>
            </a:ln>
            <a:effectLst/>
          </c:spPr>
          <c:invertIfNegative val="0"/>
          <c:dLbls>
            <c:dLbl>
              <c:idx val="43"/>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1600" b="0" i="0" u="none" strike="noStrike" kern="1200" baseline="0">
                      <a:solidFill>
                        <a:schemeClr val="accent6">
                          <a:lumMod val="50000"/>
                        </a:schemeClr>
                      </a:solidFill>
                      <a:latin typeface="+mn-lt"/>
                      <a:ea typeface="+mn-ea"/>
                      <a:cs typeface="+mn-cs"/>
                    </a:defRPr>
                  </a:pPr>
                  <a:endParaRPr lang="en-US"/>
                </a:p>
              </c:txPr>
              <c:dLblPos val="ctr"/>
              <c:showLegendKey val="0"/>
              <c:showVal val="0"/>
              <c:showCatName val="0"/>
              <c:showSerName val="0"/>
              <c:showPercent val="0"/>
              <c:showBubbleSize val="0"/>
              <c:extLst>
                <c:ext xmlns:c16="http://schemas.microsoft.com/office/drawing/2014/chart" uri="{C3380CC4-5D6E-409C-BE32-E72D297353CC}">
                  <c16:uniqueId val="{00000000-2CB3-4535-9527-6B85F9FDB55C}"/>
                </c:ext>
              </c:extLst>
            </c:dLbl>
            <c:dLbl>
              <c:idx val="44"/>
              <c:delete val="1"/>
              <c:extLst>
                <c:ext xmlns:c15="http://schemas.microsoft.com/office/drawing/2012/chart" uri="{CE6537A1-D6FC-4f65-9D91-7224C49458BB}"/>
                <c:ext xmlns:c16="http://schemas.microsoft.com/office/drawing/2014/chart" uri="{C3380CC4-5D6E-409C-BE32-E72D297353CC}">
                  <c16:uniqueId val="{00000000-D2A8-4222-A8AB-E2AE748C126F}"/>
                </c:ext>
              </c:extLst>
            </c:dLbl>
            <c:dLbl>
              <c:idx val="45"/>
              <c:numFmt formatCode="#,##0" sourceLinked="0"/>
              <c:spPr>
                <a:solidFill>
                  <a:srgbClr val="FFFFFF">
                    <a:alpha val="67843"/>
                  </a:srgbClr>
                </a:solidFill>
                <a:ln>
                  <a:noFill/>
                </a:ln>
                <a:effectLst/>
              </c:spPr>
              <c:txPr>
                <a:bodyPr rot="0" spcFirstLastPara="1" vertOverflow="ellipsis" vert="horz" wrap="square" lIns="38100" tIns="19050" rIns="38100" bIns="19050" anchor="ctr" anchorCtr="0">
                  <a:spAutoFit/>
                </a:bodyPr>
                <a:lstStyle/>
                <a:p>
                  <a:pPr algn="ctr" rtl="0">
                    <a:defRPr lang="en-US" sz="1600" b="0" i="0" u="none" strike="noStrike" kern="1200" baseline="0">
                      <a:solidFill>
                        <a:srgbClr val="F79646">
                          <a:lumMod val="50000"/>
                        </a:srgb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D1-4362-819E-E5F52D3BD6EC}"/>
                </c:ext>
              </c:extLst>
            </c:dLbl>
            <c:numFmt formatCode="#,##0" sourceLinked="0"/>
            <c:spPr>
              <a:solidFill>
                <a:schemeClr val="bg1">
                  <a:alpha val="50000"/>
                </a:schemeClr>
              </a:solidFill>
              <a:ln>
                <a:solidFill>
                  <a:schemeClr val="accent1"/>
                </a:solidFill>
              </a:ln>
              <a:effectLst/>
            </c:spPr>
            <c:txPr>
              <a:bodyPr rot="0" spcFirstLastPara="1" vertOverflow="overflow" horzOverflow="overflow" vert="horz" wrap="square" lIns="0" tIns="19050" rIns="0" bIns="19050" anchor="ctr" anchorCtr="0">
                <a:spAutoFit/>
              </a:bodyPr>
              <a:lstStyle/>
              <a:p>
                <a:pPr>
                  <a:defRPr sz="1600" b="0" i="0" u="none" strike="noStrike" kern="1200" baseline="0">
                    <a:solidFill>
                      <a:schemeClr val="accent6">
                        <a:lumMod val="50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'Charges as $ per MWh'!$A$4:$A$57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 per MWh'!$D$4:$D$57</c:f>
              <c:numCache>
                <c:formatCode>0.0</c:formatCode>
                <c:ptCount val="54"/>
                <c:pt idx="0">
                  <c:v>11.65115996418217</c:v>
                </c:pt>
                <c:pt idx="1">
                  <c:v>13.125726588244461</c:v>
                </c:pt>
                <c:pt idx="2">
                  <c:v>12.294180296067365</c:v>
                </c:pt>
                <c:pt idx="3">
                  <c:v>13.006913733511761</c:v>
                </c:pt>
                <c:pt idx="4">
                  <c:v>18.898390664087447</c:v>
                </c:pt>
                <c:pt idx="5">
                  <c:v>12.6275000241888</c:v>
                </c:pt>
                <c:pt idx="6">
                  <c:v>15.551237802039461</c:v>
                </c:pt>
                <c:pt idx="7">
                  <c:v>14.660554412870823</c:v>
                </c:pt>
                <c:pt idx="8">
                  <c:v>13.945690551817266</c:v>
                </c:pt>
                <c:pt idx="9">
                  <c:v>12.57266242322981</c:v>
                </c:pt>
                <c:pt idx="10">
                  <c:v>13.73799211484698</c:v>
                </c:pt>
                <c:pt idx="11">
                  <c:v>13.88838331525881</c:v>
                </c:pt>
                <c:pt idx="12">
                  <c:v>11.793420176208835</c:v>
                </c:pt>
                <c:pt idx="13">
                  <c:v>13.107180020786908</c:v>
                </c:pt>
                <c:pt idx="14">
                  <c:v>13.40171480453431</c:v>
                </c:pt>
                <c:pt idx="15">
                  <c:v>27.718523804045727</c:v>
                </c:pt>
                <c:pt idx="16">
                  <c:v>13.476413888376085</c:v>
                </c:pt>
                <c:pt idx="17">
                  <c:v>10.521830385970915</c:v>
                </c:pt>
                <c:pt idx="18">
                  <c:v>16.762218870517632</c:v>
                </c:pt>
                <c:pt idx="19">
                  <c:v>13.187104955510781</c:v>
                </c:pt>
                <c:pt idx="20">
                  <c:v>16.148356986129247</c:v>
                </c:pt>
                <c:pt idx="21">
                  <c:v>12.195070891052763</c:v>
                </c:pt>
                <c:pt idx="22">
                  <c:v>18.553865051918436</c:v>
                </c:pt>
                <c:pt idx="23">
                  <c:v>13.859282385768843</c:v>
                </c:pt>
                <c:pt idx="24">
                  <c:v>24.551537750754559</c:v>
                </c:pt>
                <c:pt idx="25">
                  <c:v>14.703126377748454</c:v>
                </c:pt>
                <c:pt idx="26">
                  <c:v>16.303769523647407</c:v>
                </c:pt>
                <c:pt idx="27">
                  <c:v>15.997259132745205</c:v>
                </c:pt>
                <c:pt idx="28">
                  <c:v>14.008254028263666</c:v>
                </c:pt>
                <c:pt idx="31">
                  <c:v>1.4010356699089397</c:v>
                </c:pt>
                <c:pt idx="32">
                  <c:v>0.59051973782617706</c:v>
                </c:pt>
                <c:pt idx="33">
                  <c:v>2.6523293296739094</c:v>
                </c:pt>
                <c:pt idx="34">
                  <c:v>0.11579788416938296</c:v>
                </c:pt>
                <c:pt idx="35">
                  <c:v>0.56327354069183133</c:v>
                </c:pt>
                <c:pt idx="36">
                  <c:v>0.41233406568004388</c:v>
                </c:pt>
                <c:pt idx="37">
                  <c:v>0.4082615635710351</c:v>
                </c:pt>
                <c:pt idx="38">
                  <c:v>1.8942580721341431</c:v>
                </c:pt>
                <c:pt idx="39">
                  <c:v>0.10030427507365854</c:v>
                </c:pt>
                <c:pt idx="40">
                  <c:v>1.2199234257999367</c:v>
                </c:pt>
                <c:pt idx="43">
                  <c:v>0</c:v>
                </c:pt>
                <c:pt idx="44">
                  <c:v>11.105535359212256</c:v>
                </c:pt>
                <c:pt idx="45">
                  <c:v>53.124371561616755</c:v>
                </c:pt>
                <c:pt idx="46">
                  <c:v>13.035739223242629</c:v>
                </c:pt>
                <c:pt idx="47">
                  <c:v>12.106248603132832</c:v>
                </c:pt>
                <c:pt idx="48">
                  <c:v>9.75297927335391</c:v>
                </c:pt>
                <c:pt idx="49" formatCode="0.00">
                  <c:v>8.2199563282351313</c:v>
                </c:pt>
                <c:pt idx="50">
                  <c:v>11.304861905731864</c:v>
                </c:pt>
                <c:pt idx="51">
                  <c:v>11.409634432701798</c:v>
                </c:pt>
                <c:pt idx="52">
                  <c:v>0</c:v>
                </c:pt>
                <c:pt idx="53">
                  <c:v>11.712970562592625</c:v>
                </c:pt>
              </c:numCache>
            </c:numRef>
          </c:val>
          <c:extLst>
            <c:ext xmlns:c16="http://schemas.microsoft.com/office/drawing/2014/chart" uri="{C3380CC4-5D6E-409C-BE32-E72D297353CC}">
              <c16:uniqueId val="{00000000-CCC9-481E-861C-68DED657B2E3}"/>
            </c:ext>
          </c:extLst>
        </c:ser>
        <c:dLbls>
          <c:showLegendKey val="0"/>
          <c:showVal val="0"/>
          <c:showCatName val="0"/>
          <c:showSerName val="0"/>
          <c:showPercent val="0"/>
          <c:showBubbleSize val="0"/>
        </c:dLbls>
        <c:gapWidth val="167"/>
        <c:overlap val="-5"/>
        <c:axId val="429447320"/>
        <c:axId val="429446928"/>
      </c:barChart>
      <c:lineChart>
        <c:grouping val="standard"/>
        <c:varyColors val="0"/>
        <c:ser>
          <c:idx val="2"/>
          <c:order val="2"/>
          <c:tx>
            <c:strRef>
              <c:f>'Charges as $ per MWh'!$I$2</c:f>
              <c:strCache>
                <c:ptCount val="1"/>
                <c:pt idx="0">
                  <c:v>Average of Proposed Lines Co. charges (volume weighted)</c:v>
                </c:pt>
              </c:strCache>
            </c:strRef>
          </c:tx>
          <c:spPr>
            <a:ln w="9525" cap="rnd">
              <a:solidFill>
                <a:srgbClr val="C00000">
                  <a:alpha val="79000"/>
                </a:srgbClr>
              </a:solidFill>
              <a:prstDash val="lgDash"/>
              <a:round/>
            </a:ln>
            <a:effectLst/>
          </c:spPr>
          <c:marker>
            <c:symbol val="none"/>
          </c:marker>
          <c:cat>
            <c:strRef>
              <c:f>'Charges as $ per MWh'!$B$4:$B$32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'Charges as $ per MWh'!$I$4:$I$32</c:f>
              <c:numCache>
                <c:formatCode>0.0</c:formatCode>
                <c:ptCount val="29"/>
                <c:pt idx="0">
                  <c:v>17.61489500660214</c:v>
                </c:pt>
                <c:pt idx="1">
                  <c:v>17.61489500660214</c:v>
                </c:pt>
                <c:pt idx="2">
                  <c:v>17.61489500660214</c:v>
                </c:pt>
                <c:pt idx="3">
                  <c:v>17.61489500660214</c:v>
                </c:pt>
                <c:pt idx="4">
                  <c:v>17.61489500660214</c:v>
                </c:pt>
                <c:pt idx="5">
                  <c:v>17.61489500660214</c:v>
                </c:pt>
                <c:pt idx="6">
                  <c:v>17.61489500660214</c:v>
                </c:pt>
                <c:pt idx="7">
                  <c:v>17.61489500660214</c:v>
                </c:pt>
                <c:pt idx="8">
                  <c:v>17.61489500660214</c:v>
                </c:pt>
                <c:pt idx="9">
                  <c:v>17.61489500660214</c:v>
                </c:pt>
                <c:pt idx="10">
                  <c:v>17.61489500660214</c:v>
                </c:pt>
                <c:pt idx="11">
                  <c:v>17.61489500660214</c:v>
                </c:pt>
                <c:pt idx="12">
                  <c:v>17.61489500660214</c:v>
                </c:pt>
                <c:pt idx="13">
                  <c:v>17.61489500660214</c:v>
                </c:pt>
                <c:pt idx="14">
                  <c:v>17.61489500660214</c:v>
                </c:pt>
                <c:pt idx="15">
                  <c:v>17.61489500660214</c:v>
                </c:pt>
                <c:pt idx="16">
                  <c:v>17.61489500660214</c:v>
                </c:pt>
                <c:pt idx="17">
                  <c:v>17.61489500660214</c:v>
                </c:pt>
                <c:pt idx="18">
                  <c:v>17.61489500660214</c:v>
                </c:pt>
                <c:pt idx="19">
                  <c:v>17.61489500660214</c:v>
                </c:pt>
                <c:pt idx="20">
                  <c:v>17.61489500660214</c:v>
                </c:pt>
                <c:pt idx="21">
                  <c:v>17.61489500660214</c:v>
                </c:pt>
                <c:pt idx="22">
                  <c:v>17.61489500660214</c:v>
                </c:pt>
                <c:pt idx="23">
                  <c:v>17.61489500660214</c:v>
                </c:pt>
                <c:pt idx="24">
                  <c:v>17.61489500660214</c:v>
                </c:pt>
                <c:pt idx="25">
                  <c:v>17.61489500660214</c:v>
                </c:pt>
                <c:pt idx="26">
                  <c:v>17.61489500660214</c:v>
                </c:pt>
                <c:pt idx="27">
                  <c:v>17.61489500660214</c:v>
                </c:pt>
                <c:pt idx="28">
                  <c:v>17.61489500660214</c:v>
                </c:pt>
              </c:numCache>
            </c:numRef>
          </c:val>
          <c:smooth val="0"/>
          <c:extLst>
            <c:ext xmlns:c16="http://schemas.microsoft.com/office/drawing/2014/chart" uri="{C3380CC4-5D6E-409C-BE32-E72D297353CC}">
              <c16:uniqueId val="{00000000-0486-45BF-A4E1-292001E7D3F1}"/>
            </c:ext>
          </c:extLst>
        </c:ser>
        <c:dLbls>
          <c:showLegendKey val="0"/>
          <c:showVal val="0"/>
          <c:showCatName val="0"/>
          <c:showSerName val="0"/>
          <c:showPercent val="0"/>
          <c:showBubbleSize val="0"/>
        </c:dLbls>
        <c:marker val="1"/>
        <c:smooth val="0"/>
        <c:axId val="429447320"/>
        <c:axId val="429446928"/>
      </c:lineChart>
      <c:catAx>
        <c:axId val="42944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9446928"/>
        <c:crosses val="autoZero"/>
        <c:auto val="1"/>
        <c:lblAlgn val="ctr"/>
        <c:lblOffset val="50"/>
        <c:noMultiLvlLbl val="0"/>
      </c:catAx>
      <c:valAx>
        <c:axId val="429446928"/>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Indicative Charges  $/MWh</a:t>
                </a:r>
              </a:p>
            </c:rich>
          </c:tx>
          <c:layout>
            <c:manualLayout>
              <c:xMode val="edge"/>
              <c:yMode val="edge"/>
              <c:x val="9.4235684718841836E-4"/>
              <c:y val="0.2825324118095954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9447320"/>
        <c:crosses val="autoZero"/>
        <c:crossBetween val="between"/>
      </c:valAx>
      <c:spPr>
        <a:noFill/>
        <a:ln>
          <a:noFill/>
        </a:ln>
        <a:effectLst/>
      </c:spPr>
    </c:plotArea>
    <c:legend>
      <c:legendPos val="t"/>
      <c:layout>
        <c:manualLayout>
          <c:xMode val="edge"/>
          <c:yMode val="edge"/>
          <c:x val="7.3090856793585748E-2"/>
          <c:y val="8.7388017637705692E-2"/>
          <c:w val="0.41190220400532118"/>
          <c:h val="9.7211153859352778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00" b="0" i="0" u="none" strike="noStrike" kern="1200" spc="0" baseline="0">
                <a:solidFill>
                  <a:schemeClr val="tx1">
                    <a:lumMod val="65000"/>
                    <a:lumOff val="35000"/>
                  </a:schemeClr>
                </a:solidFill>
                <a:latin typeface="+mn-lt"/>
                <a:ea typeface="+mn-ea"/>
                <a:cs typeface="+mn-cs"/>
              </a:defRPr>
            </a:pPr>
            <a:r>
              <a:rPr lang="en-NZ" sz="1900"/>
              <a:t>Indicative Charges by Component ($/MWh) </a:t>
            </a:r>
            <a:endParaRPr lang="en-NZ" sz="1900">
              <a:solidFill>
                <a:srgbClr val="C00000"/>
              </a:solidFill>
            </a:endParaRPr>
          </a:p>
          <a:p>
            <a:pPr>
              <a:defRPr sz="1900"/>
            </a:pPr>
            <a:r>
              <a:rPr lang="en-NZ" sz="1900"/>
              <a:t>(load sorted</a:t>
            </a:r>
            <a:r>
              <a:rPr lang="en-NZ" sz="1900" baseline="0"/>
              <a:t> geographically from south to north)</a:t>
            </a:r>
            <a:endParaRPr lang="en-NZ" sz="1900"/>
          </a:p>
        </c:rich>
      </c:tx>
      <c:layout>
        <c:manualLayout>
          <c:xMode val="edge"/>
          <c:yMode val="edge"/>
          <c:x val="0.33006638948638317"/>
          <c:y val="5.9882781840390484E-3"/>
        </c:manualLayout>
      </c:layout>
      <c:overlay val="0"/>
      <c:spPr>
        <a:noFill/>
        <a:ln>
          <a:noFill/>
        </a:ln>
        <a:effectLst/>
      </c:spPr>
      <c:txPr>
        <a:bodyPr rot="0" spcFirstLastPara="1" vertOverflow="ellipsis" vert="horz" wrap="square" anchor="ctr" anchorCtr="1"/>
        <a:lstStyle/>
        <a:p>
          <a:pPr>
            <a:defRPr sz="19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849272110484939E-2"/>
          <c:y val="8.4238294246210751E-2"/>
          <c:w val="0.90699762875890577"/>
          <c:h val="0.65708230001730206"/>
        </c:manualLayout>
      </c:layout>
      <c:barChart>
        <c:barDir val="col"/>
        <c:grouping val="stacked"/>
        <c:varyColors val="0"/>
        <c:ser>
          <c:idx val="1"/>
          <c:order val="0"/>
          <c:tx>
            <c:strRef>
              <c:f>'Charges as $ per MWh'!$H$65</c:f>
              <c:strCache>
                <c:ptCount val="1"/>
                <c:pt idx="0">
                  <c:v>Residual Component + Overhead</c:v>
                </c:pt>
              </c:strCache>
            </c:strRef>
          </c:tx>
          <c:spPr>
            <a:solidFill>
              <a:schemeClr val="accent1">
                <a:alpha val="62000"/>
              </a:schemeClr>
            </a:solidFill>
            <a:ln>
              <a:noFill/>
            </a:ln>
            <a:effectLst/>
          </c:spPr>
          <c:invertIfNegative val="0"/>
          <c:cat>
            <c:strRef>
              <c:f>'Charges as $ per MWh'!$A$80:$A$118</c:f>
              <c:strCache>
                <c:ptCount val="39"/>
                <c:pt idx="0">
                  <c:v>NZ Aluminium Smelter</c:v>
                </c:pt>
                <c:pt idx="1">
                  <c:v>The Power Company</c:v>
                </c:pt>
                <c:pt idx="2">
                  <c:v>Electricity Invercargill</c:v>
                </c:pt>
                <c:pt idx="3">
                  <c:v>Rayonier</c:v>
                </c:pt>
                <c:pt idx="4">
                  <c:v>Aurora Energy</c:v>
                </c:pt>
                <c:pt idx="5">
                  <c:v>Lakeland Network</c:v>
                </c:pt>
                <c:pt idx="6">
                  <c:v>OtagoNet JV</c:v>
                </c:pt>
                <c:pt idx="7">
                  <c:v>Network Waitaki</c:v>
                </c:pt>
                <c:pt idx="8">
                  <c:v>Alpine Energy</c:v>
                </c:pt>
                <c:pt idx="9">
                  <c:v>Electricity Ashburton</c:v>
                </c:pt>
                <c:pt idx="10">
                  <c:v>Daiken MDF</c:v>
                </c:pt>
                <c:pt idx="11">
                  <c:v>Orion</c:v>
                </c:pt>
                <c:pt idx="12">
                  <c:v>Mainpower</c:v>
                </c:pt>
                <c:pt idx="13">
                  <c:v>Marlborough Lines</c:v>
                </c:pt>
                <c:pt idx="14">
                  <c:v>Network Tasman</c:v>
                </c:pt>
                <c:pt idx="15">
                  <c:v>Buller Electricity</c:v>
                </c:pt>
                <c:pt idx="16">
                  <c:v>Westpower</c:v>
                </c:pt>
                <c:pt idx="17">
                  <c:v>Wellington Electricity</c:v>
                </c:pt>
                <c:pt idx="18">
                  <c:v>Electra</c:v>
                </c:pt>
                <c:pt idx="19">
                  <c:v>Scanpower</c:v>
                </c:pt>
                <c:pt idx="20">
                  <c:v>Winstones</c:v>
                </c:pt>
                <c:pt idx="21">
                  <c:v>Methanex</c:v>
                </c:pt>
                <c:pt idx="22">
                  <c:v>Centralines</c:v>
                </c:pt>
                <c:pt idx="23">
                  <c:v>Unison</c:v>
                </c:pt>
                <c:pt idx="24">
                  <c:v>Pan Pac</c:v>
                </c:pt>
                <c:pt idx="25">
                  <c:v>Eastland Network</c:v>
                </c:pt>
                <c:pt idx="26">
                  <c:v>Horizon</c:v>
                </c:pt>
                <c:pt idx="27">
                  <c:v>Norske Skog</c:v>
                </c:pt>
                <c:pt idx="28">
                  <c:v>Carter Holt Harvey</c:v>
                </c:pt>
                <c:pt idx="29">
                  <c:v>Powerco</c:v>
                </c:pt>
                <c:pt idx="30">
                  <c:v>The Lines Company</c:v>
                </c:pt>
                <c:pt idx="31">
                  <c:v>Waipa Power</c:v>
                </c:pt>
                <c:pt idx="32">
                  <c:v>WEL Networks</c:v>
                </c:pt>
                <c:pt idx="33">
                  <c:v>NZ Steel</c:v>
                </c:pt>
                <c:pt idx="34">
                  <c:v>Counties Power</c:v>
                </c:pt>
                <c:pt idx="35">
                  <c:v>Vector</c:v>
                </c:pt>
                <c:pt idx="36">
                  <c:v>Refining NZ</c:v>
                </c:pt>
                <c:pt idx="37">
                  <c:v>Northpower</c:v>
                </c:pt>
                <c:pt idx="38">
                  <c:v>Top Energy</c:v>
                </c:pt>
              </c:strCache>
            </c:strRef>
          </c:cat>
          <c:val>
            <c:numRef>
              <c:f>'Charges as $ per MWh'!$H$80:$H$118</c:f>
              <c:numCache>
                <c:formatCode>0.00</c:formatCode>
                <c:ptCount val="39"/>
                <c:pt idx="0">
                  <c:v>6.1285178819017654</c:v>
                </c:pt>
                <c:pt idx="1">
                  <c:v>10.223743836849026</c:v>
                </c:pt>
                <c:pt idx="2">
                  <c:v>11.88105511767111</c:v>
                </c:pt>
                <c:pt idx="3">
                  <c:v>8.9348264293590223</c:v>
                </c:pt>
                <c:pt idx="4">
                  <c:v>11.762248792893551</c:v>
                </c:pt>
                <c:pt idx="5">
                  <c:v>12.502441906315884</c:v>
                </c:pt>
                <c:pt idx="6">
                  <c:v>8.6247141316964306</c:v>
                </c:pt>
                <c:pt idx="7">
                  <c:v>11.865976995345063</c:v>
                </c:pt>
                <c:pt idx="8">
                  <c:v>9.9916485541756472</c:v>
                </c:pt>
                <c:pt idx="9">
                  <c:v>13.206570672214466</c:v>
                </c:pt>
                <c:pt idx="10">
                  <c:v>8.7622701449967231</c:v>
                </c:pt>
                <c:pt idx="11">
                  <c:v>11.323612609960984</c:v>
                </c:pt>
                <c:pt idx="12">
                  <c:v>11.620012775507654</c:v>
                </c:pt>
                <c:pt idx="13">
                  <c:v>9.7268921774167101</c:v>
                </c:pt>
                <c:pt idx="14">
                  <c:v>11.001793922593032</c:v>
                </c:pt>
                <c:pt idx="15">
                  <c:v>9.9986400671256082</c:v>
                </c:pt>
                <c:pt idx="16">
                  <c:v>12.355108072303953</c:v>
                </c:pt>
                <c:pt idx="17">
                  <c:v>11.957161301763634</c:v>
                </c:pt>
                <c:pt idx="18">
                  <c:v>11.162545197216057</c:v>
                </c:pt>
                <c:pt idx="19">
                  <c:v>9.2120750814280328</c:v>
                </c:pt>
                <c:pt idx="20">
                  <c:v>8.6831062569011088</c:v>
                </c:pt>
                <c:pt idx="21">
                  <c:v>9.2871058181507511</c:v>
                </c:pt>
                <c:pt idx="22">
                  <c:v>9.0159916267273292</c:v>
                </c:pt>
                <c:pt idx="23">
                  <c:v>10.556870366445022</c:v>
                </c:pt>
                <c:pt idx="24">
                  <c:v>8.447260956726268</c:v>
                </c:pt>
                <c:pt idx="25">
                  <c:v>9.6044111550644491</c:v>
                </c:pt>
                <c:pt idx="26">
                  <c:v>9.5120748938452877</c:v>
                </c:pt>
                <c:pt idx="27">
                  <c:v>10.244237721999786</c:v>
                </c:pt>
                <c:pt idx="28">
                  <c:v>0</c:v>
                </c:pt>
                <c:pt idx="29">
                  <c:v>12.48531154807838</c:v>
                </c:pt>
                <c:pt idx="30">
                  <c:v>13.079615403068761</c:v>
                </c:pt>
                <c:pt idx="31">
                  <c:v>10.27862372349535</c:v>
                </c:pt>
                <c:pt idx="32">
                  <c:v>11.562415196557954</c:v>
                </c:pt>
                <c:pt idx="33">
                  <c:v>7.5621433673381908</c:v>
                </c:pt>
                <c:pt idx="34">
                  <c:v>11.233530935080045</c:v>
                </c:pt>
                <c:pt idx="35">
                  <c:v>13.015154774068675</c:v>
                </c:pt>
                <c:pt idx="36">
                  <c:v>0</c:v>
                </c:pt>
                <c:pt idx="37">
                  <c:v>11.383208778144516</c:v>
                </c:pt>
                <c:pt idx="38">
                  <c:v>7.9381112143042358</c:v>
                </c:pt>
              </c:numCache>
            </c:numRef>
          </c:val>
          <c:extLst>
            <c:ext xmlns:c16="http://schemas.microsoft.com/office/drawing/2014/chart" uri="{C3380CC4-5D6E-409C-BE32-E72D297353CC}">
              <c16:uniqueId val="{00000000-FC40-4AE3-8E2C-89D3CAAF5F56}"/>
            </c:ext>
          </c:extLst>
        </c:ser>
        <c:ser>
          <c:idx val="0"/>
          <c:order val="1"/>
          <c:tx>
            <c:strRef>
              <c:f>'Charges as $ per MWh'!$E$65</c:f>
              <c:strCache>
                <c:ptCount val="1"/>
                <c:pt idx="0">
                  <c:v>AoB Component</c:v>
                </c:pt>
              </c:strCache>
            </c:strRef>
          </c:tx>
          <c:spPr>
            <a:solidFill>
              <a:schemeClr val="accent6">
                <a:lumMod val="75000"/>
                <a:alpha val="71000"/>
              </a:schemeClr>
            </a:solidFill>
            <a:ln>
              <a:noFill/>
            </a:ln>
            <a:effectLst/>
          </c:spPr>
          <c:invertIfNegative val="0"/>
          <c:cat>
            <c:strRef>
              <c:f>'Charges as $ per MWh'!$A$80:$A$118</c:f>
              <c:strCache>
                <c:ptCount val="39"/>
                <c:pt idx="0">
                  <c:v>NZ Aluminium Smelter</c:v>
                </c:pt>
                <c:pt idx="1">
                  <c:v>The Power Company</c:v>
                </c:pt>
                <c:pt idx="2">
                  <c:v>Electricity Invercargill</c:v>
                </c:pt>
                <c:pt idx="3">
                  <c:v>Rayonier</c:v>
                </c:pt>
                <c:pt idx="4">
                  <c:v>Aurora Energy</c:v>
                </c:pt>
                <c:pt idx="5">
                  <c:v>Lakeland Network</c:v>
                </c:pt>
                <c:pt idx="6">
                  <c:v>OtagoNet JV</c:v>
                </c:pt>
                <c:pt idx="7">
                  <c:v>Network Waitaki</c:v>
                </c:pt>
                <c:pt idx="8">
                  <c:v>Alpine Energy</c:v>
                </c:pt>
                <c:pt idx="9">
                  <c:v>Electricity Ashburton</c:v>
                </c:pt>
                <c:pt idx="10">
                  <c:v>Daiken MDF</c:v>
                </c:pt>
                <c:pt idx="11">
                  <c:v>Orion</c:v>
                </c:pt>
                <c:pt idx="12">
                  <c:v>Mainpower</c:v>
                </c:pt>
                <c:pt idx="13">
                  <c:v>Marlborough Lines</c:v>
                </c:pt>
                <c:pt idx="14">
                  <c:v>Network Tasman</c:v>
                </c:pt>
                <c:pt idx="15">
                  <c:v>Buller Electricity</c:v>
                </c:pt>
                <c:pt idx="16">
                  <c:v>Westpower</c:v>
                </c:pt>
                <c:pt idx="17">
                  <c:v>Wellington Electricity</c:v>
                </c:pt>
                <c:pt idx="18">
                  <c:v>Electra</c:v>
                </c:pt>
                <c:pt idx="19">
                  <c:v>Scanpower</c:v>
                </c:pt>
                <c:pt idx="20">
                  <c:v>Winstones</c:v>
                </c:pt>
                <c:pt idx="21">
                  <c:v>Methanex</c:v>
                </c:pt>
                <c:pt idx="22">
                  <c:v>Centralines</c:v>
                </c:pt>
                <c:pt idx="23">
                  <c:v>Unison</c:v>
                </c:pt>
                <c:pt idx="24">
                  <c:v>Pan Pac</c:v>
                </c:pt>
                <c:pt idx="25">
                  <c:v>Eastland Network</c:v>
                </c:pt>
                <c:pt idx="26">
                  <c:v>Horizon</c:v>
                </c:pt>
                <c:pt idx="27">
                  <c:v>Norske Skog</c:v>
                </c:pt>
                <c:pt idx="28">
                  <c:v>Carter Holt Harvey</c:v>
                </c:pt>
                <c:pt idx="29">
                  <c:v>Powerco</c:v>
                </c:pt>
                <c:pt idx="30">
                  <c:v>The Lines Company</c:v>
                </c:pt>
                <c:pt idx="31">
                  <c:v>Waipa Power</c:v>
                </c:pt>
                <c:pt idx="32">
                  <c:v>WEL Networks</c:v>
                </c:pt>
                <c:pt idx="33">
                  <c:v>NZ Steel</c:v>
                </c:pt>
                <c:pt idx="34">
                  <c:v>Counties Power</c:v>
                </c:pt>
                <c:pt idx="35">
                  <c:v>Vector</c:v>
                </c:pt>
                <c:pt idx="36">
                  <c:v>Refining NZ</c:v>
                </c:pt>
                <c:pt idx="37">
                  <c:v>Northpower</c:v>
                </c:pt>
                <c:pt idx="38">
                  <c:v>Top Energy</c:v>
                </c:pt>
              </c:strCache>
            </c:strRef>
          </c:cat>
          <c:val>
            <c:numRef>
              <c:f>'Charges as $ per MWh'!$E$80:$E$118</c:f>
              <c:numCache>
                <c:formatCode>0.00</c:formatCode>
                <c:ptCount val="39"/>
                <c:pt idx="0">
                  <c:v>2.0914384463333686</c:v>
                </c:pt>
                <c:pt idx="1">
                  <c:v>1.97132705420374</c:v>
                </c:pt>
                <c:pt idx="2">
                  <c:v>2.0646354341461555</c:v>
                </c:pt>
                <c:pt idx="3">
                  <c:v>2.4748080033427744</c:v>
                </c:pt>
                <c:pt idx="4">
                  <c:v>1.3634777953509087</c:v>
                </c:pt>
                <c:pt idx="5">
                  <c:v>1.235550208531097</c:v>
                </c:pt>
                <c:pt idx="6">
                  <c:v>1.8971162542744833</c:v>
                </c:pt>
                <c:pt idx="7">
                  <c:v>1.5357378091892449</c:v>
                </c:pt>
                <c:pt idx="8">
                  <c:v>1.659511410006524</c:v>
                </c:pt>
                <c:pt idx="9">
                  <c:v>1.4539837406563563</c:v>
                </c:pt>
                <c:pt idx="10">
                  <c:v>2.3432652142155304</c:v>
                </c:pt>
                <c:pt idx="11">
                  <c:v>2.1528012784151023</c:v>
                </c:pt>
                <c:pt idx="12">
                  <c:v>2.2683705397511558</c:v>
                </c:pt>
                <c:pt idx="13">
                  <c:v>2.0665279987921279</c:v>
                </c:pt>
                <c:pt idx="14">
                  <c:v>2.1053860981938737</c:v>
                </c:pt>
                <c:pt idx="15">
                  <c:v>2.2955402289417584</c:v>
                </c:pt>
                <c:pt idx="16">
                  <c:v>1.6531459559597128</c:v>
                </c:pt>
                <c:pt idx="17">
                  <c:v>4.0400978309815727</c:v>
                </c:pt>
                <c:pt idx="18">
                  <c:v>4.3886926048234036</c:v>
                </c:pt>
                <c:pt idx="19">
                  <c:v>3.9750298740827468</c:v>
                </c:pt>
                <c:pt idx="20">
                  <c:v>3.0298643056915169</c:v>
                </c:pt>
                <c:pt idx="21">
                  <c:v>3.7486334050918773</c:v>
                </c:pt>
                <c:pt idx="22">
                  <c:v>3.9909221067844314</c:v>
                </c:pt>
                <c:pt idx="23">
                  <c:v>3.3024120193238207</c:v>
                </c:pt>
                <c:pt idx="24">
                  <c:v>2.857600949005596</c:v>
                </c:pt>
                <c:pt idx="25">
                  <c:v>3.0230888691243503</c:v>
                </c:pt>
                <c:pt idx="26">
                  <c:v>3.0605875293845211</c:v>
                </c:pt>
                <c:pt idx="27">
                  <c:v>1.8620108811330447</c:v>
                </c:pt>
                <c:pt idx="28">
                  <c:v>0</c:v>
                </c:pt>
                <c:pt idx="29">
                  <c:v>4.2769073224392518</c:v>
                </c:pt>
                <c:pt idx="30">
                  <c:v>3.0687415830604841</c:v>
                </c:pt>
                <c:pt idx="31">
                  <c:v>4.4245026542531001</c:v>
                </c:pt>
                <c:pt idx="32">
                  <c:v>4.7413543270894536</c:v>
                </c:pt>
                <c:pt idx="33">
                  <c:v>6.0596798383280124</c:v>
                </c:pt>
                <c:pt idx="34">
                  <c:v>7.6648597290073974</c:v>
                </c:pt>
                <c:pt idx="35">
                  <c:v>11.536382976685882</c:v>
                </c:pt>
                <c:pt idx="36">
                  <c:v>0</c:v>
                </c:pt>
                <c:pt idx="37">
                  <c:v>16.335315025901213</c:v>
                </c:pt>
                <c:pt idx="38">
                  <c:v>10.6157538376142</c:v>
                </c:pt>
              </c:numCache>
            </c:numRef>
          </c:val>
          <c:extLst>
            <c:ext xmlns:c16="http://schemas.microsoft.com/office/drawing/2014/chart" uri="{C3380CC4-5D6E-409C-BE32-E72D297353CC}">
              <c16:uniqueId val="{00000001-FC40-4AE3-8E2C-89D3CAAF5F56}"/>
            </c:ext>
          </c:extLst>
        </c:ser>
        <c:dLbls>
          <c:showLegendKey val="0"/>
          <c:showVal val="0"/>
          <c:showCatName val="0"/>
          <c:showSerName val="0"/>
          <c:showPercent val="0"/>
          <c:showBubbleSize val="0"/>
        </c:dLbls>
        <c:gapWidth val="121"/>
        <c:overlap val="100"/>
        <c:axId val="429457120"/>
        <c:axId val="429452416"/>
      </c:barChart>
      <c:catAx>
        <c:axId val="42945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29452416"/>
        <c:crosses val="autoZero"/>
        <c:auto val="1"/>
        <c:lblAlgn val="ctr"/>
        <c:lblOffset val="100"/>
        <c:noMultiLvlLbl val="0"/>
      </c:catAx>
      <c:valAx>
        <c:axId val="429452416"/>
        <c:scaling>
          <c:orientation val="minMax"/>
          <c:max val="3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Indicative Charge ($/MWh)</a:t>
                </a:r>
              </a:p>
            </c:rich>
          </c:tx>
          <c:layout>
            <c:manualLayout>
              <c:xMode val="edge"/>
              <c:yMode val="edge"/>
              <c:x val="5.2155729984907067E-4"/>
              <c:y val="0.2139821924682754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29457120"/>
        <c:crosses val="autoZero"/>
        <c:crossBetween val="between"/>
      </c:valAx>
      <c:spPr>
        <a:noFill/>
        <a:ln>
          <a:noFill/>
        </a:ln>
        <a:effectLst/>
      </c:spPr>
    </c:plotArea>
    <c:legend>
      <c:legendPos val="l"/>
      <c:layout>
        <c:manualLayout>
          <c:xMode val="edge"/>
          <c:yMode val="edge"/>
          <c:x val="9.1796102511848665E-2"/>
          <c:y val="0.13662138825005485"/>
          <c:w val="0.26675264713035785"/>
          <c:h val="0.18037850116204956"/>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Indicative Transmission Charges ($m/year)</a:t>
            </a:r>
          </a:p>
        </c:rich>
      </c:tx>
      <c:layout>
        <c:manualLayout>
          <c:xMode val="edge"/>
          <c:yMode val="edge"/>
          <c:x val="0.35167904846966208"/>
          <c:y val="1.397786271991024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355397293615388E-2"/>
          <c:y val="0.10084146797465066"/>
          <c:w val="0.90511061224377087"/>
          <c:h val="0.63296646150386304"/>
        </c:manualLayout>
      </c:layout>
      <c:barChart>
        <c:barDir val="col"/>
        <c:grouping val="clustered"/>
        <c:varyColors val="0"/>
        <c:ser>
          <c:idx val="0"/>
          <c:order val="0"/>
          <c:tx>
            <c:strRef>
              <c:f>'Residential Cap'!$AZ$7</c:f>
              <c:strCache>
                <c:ptCount val="1"/>
                <c:pt idx="0">
                  <c:v>Status quo</c:v>
                </c:pt>
              </c:strCache>
            </c:strRef>
          </c:tx>
          <c:spPr>
            <a:solidFill>
              <a:schemeClr val="accent1"/>
            </a:solidFill>
            <a:ln>
              <a:noFill/>
            </a:ln>
            <a:effectLst/>
          </c:spPr>
          <c:invertIfNegative val="0"/>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Cap'!$AZ$8:$AZ$49</c:f>
              <c:numCache>
                <c:formatCode>0.0</c:formatCode>
                <c:ptCount val="42"/>
                <c:pt idx="0">
                  <c:v>10.520382771990599</c:v>
                </c:pt>
                <c:pt idx="1">
                  <c:v>21.554936096804902</c:v>
                </c:pt>
                <c:pt idx="2">
                  <c:v>1.27681536780783</c:v>
                </c:pt>
                <c:pt idx="3">
                  <c:v>2.04903385831319</c:v>
                </c:pt>
                <c:pt idx="4">
                  <c:v>10.1765632169326</c:v>
                </c:pt>
                <c:pt idx="5">
                  <c:v>5.3143687415473497</c:v>
                </c:pt>
                <c:pt idx="6">
                  <c:v>6.3585744350769398</c:v>
                </c:pt>
                <c:pt idx="7">
                  <c:v>3.6332748872742102</c:v>
                </c:pt>
                <c:pt idx="8">
                  <c:v>5.5337714214649196</c:v>
                </c:pt>
                <c:pt idx="9">
                  <c:v>3.2476380401893401</c:v>
                </c:pt>
                <c:pt idx="10">
                  <c:v>0.20640741469308699</c:v>
                </c:pt>
                <c:pt idx="11">
                  <c:v>9.4519035472375297</c:v>
                </c:pt>
                <c:pt idx="12">
                  <c:v>6.6040579369931098</c:v>
                </c:pt>
                <c:pt idx="13">
                  <c:v>10.727643804966</c:v>
                </c:pt>
                <c:pt idx="14">
                  <c:v>3.2029211145830998</c:v>
                </c:pt>
                <c:pt idx="15">
                  <c:v>12.841566649191321</c:v>
                </c:pt>
                <c:pt idx="16">
                  <c:v>63.9112827295871</c:v>
                </c:pt>
                <c:pt idx="17">
                  <c:v>3.9733324683553399</c:v>
                </c:pt>
                <c:pt idx="18">
                  <c:v>68.18491646286229</c:v>
                </c:pt>
                <c:pt idx="19">
                  <c:v>1.5144688012252701</c:v>
                </c:pt>
                <c:pt idx="20">
                  <c:v>3.6831699708093302</c:v>
                </c:pt>
                <c:pt idx="21">
                  <c:v>9.7015014463208793</c:v>
                </c:pt>
                <c:pt idx="22">
                  <c:v>3.8469858008750637</c:v>
                </c:pt>
                <c:pt idx="23">
                  <c:v>30.533498779887701</c:v>
                </c:pt>
                <c:pt idx="24">
                  <c:v>178.79932141221201</c:v>
                </c:pt>
                <c:pt idx="25">
                  <c:v>6.4477400565579899</c:v>
                </c:pt>
                <c:pt idx="26">
                  <c:v>19.7154639366371</c:v>
                </c:pt>
                <c:pt idx="27">
                  <c:v>55.243123664533599</c:v>
                </c:pt>
                <c:pt idx="28">
                  <c:v>1.60316629528984</c:v>
                </c:pt>
                <c:pt idx="30">
                  <c:v>6.0396052161096163</c:v>
                </c:pt>
                <c:pt idx="31">
                  <c:v>0.885456565309233</c:v>
                </c:pt>
                <c:pt idx="32">
                  <c:v>0.44291825952585628</c:v>
                </c:pt>
                <c:pt idx="33">
                  <c:v>0.54555788504299096</c:v>
                </c:pt>
                <c:pt idx="34">
                  <c:v>0.66503186341368803</c:v>
                </c:pt>
                <c:pt idx="35">
                  <c:v>0</c:v>
                </c:pt>
                <c:pt idx="36">
                  <c:v>4.6071233586564801</c:v>
                </c:pt>
                <c:pt idx="37">
                  <c:v>60.844865743536097</c:v>
                </c:pt>
                <c:pt idx="38">
                  <c:v>4.2536832649312801</c:v>
                </c:pt>
                <c:pt idx="39">
                  <c:v>0.74426647291580394</c:v>
                </c:pt>
                <c:pt idx="40">
                  <c:v>3.3868122211395582</c:v>
                </c:pt>
                <c:pt idx="41">
                  <c:v>3.1605549518476299</c:v>
                </c:pt>
              </c:numCache>
            </c:numRef>
          </c:val>
          <c:extLst>
            <c:ext xmlns:c16="http://schemas.microsoft.com/office/drawing/2014/chart" uri="{C3380CC4-5D6E-409C-BE32-E72D297353CC}">
              <c16:uniqueId val="{00000000-DAEE-4EC3-A6D4-8C7FAF510C4F}"/>
            </c:ext>
          </c:extLst>
        </c:ser>
        <c:ser>
          <c:idx val="1"/>
          <c:order val="1"/>
          <c:tx>
            <c:strRef>
              <c:f>'Residential Cap'!$BA$7</c:f>
              <c:strCache>
                <c:ptCount val="1"/>
                <c:pt idx="0">
                  <c:v>Second issues paper</c:v>
                </c:pt>
              </c:strCache>
            </c:strRef>
          </c:tx>
          <c:spPr>
            <a:solidFill>
              <a:schemeClr val="bg1">
                <a:lumMod val="50000"/>
                <a:alpha val="75000"/>
              </a:schemeClr>
            </a:solidFill>
            <a:ln>
              <a:noFill/>
            </a:ln>
            <a:effectLst/>
          </c:spPr>
          <c:invertIfNegative val="0"/>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Cap'!$BA$8:$BA$49</c:f>
              <c:numCache>
                <c:formatCode>0.0</c:formatCode>
                <c:ptCount val="42"/>
                <c:pt idx="0">
                  <c:v>9.9250540884727805</c:v>
                </c:pt>
                <c:pt idx="1">
                  <c:v>19.306609078166034</c:v>
                </c:pt>
                <c:pt idx="2">
                  <c:v>1.7941505751254221</c:v>
                </c:pt>
                <c:pt idx="3">
                  <c:v>1.5836037439095052</c:v>
                </c:pt>
                <c:pt idx="4">
                  <c:v>12.480754185376027</c:v>
                </c:pt>
                <c:pt idx="5">
                  <c:v>4.1613402327277855</c:v>
                </c:pt>
                <c:pt idx="6">
                  <c:v>7.3194535136094796</c:v>
                </c:pt>
                <c:pt idx="7">
                  <c:v>12.043838254461853</c:v>
                </c:pt>
                <c:pt idx="8">
                  <c:v>3.591040788591676</c:v>
                </c:pt>
                <c:pt idx="9">
                  <c:v>6.8562260791197884</c:v>
                </c:pt>
                <c:pt idx="10">
                  <c:v>0.16624817395547289</c:v>
                </c:pt>
                <c:pt idx="11">
                  <c:v>8.2733885880137539</c:v>
                </c:pt>
                <c:pt idx="12">
                  <c:v>4.9369682005229674</c:v>
                </c:pt>
                <c:pt idx="13">
                  <c:v>10.304474168155853</c:v>
                </c:pt>
                <c:pt idx="14">
                  <c:v>3.9584934286686919</c:v>
                </c:pt>
                <c:pt idx="15">
                  <c:v>21.605793036632559</c:v>
                </c:pt>
                <c:pt idx="16">
                  <c:v>47.58453277599471</c:v>
                </c:pt>
                <c:pt idx="17">
                  <c:v>4.7194829846218855</c:v>
                </c:pt>
                <c:pt idx="18">
                  <c:v>65.876296187273098</c:v>
                </c:pt>
                <c:pt idx="19">
                  <c:v>1.1874848912420872</c:v>
                </c:pt>
                <c:pt idx="20">
                  <c:v>5.1839118258592398</c:v>
                </c:pt>
                <c:pt idx="21">
                  <c:v>10.060413175597491</c:v>
                </c:pt>
                <c:pt idx="22">
                  <c:v>8.3014321080957014</c:v>
                </c:pt>
                <c:pt idx="23">
                  <c:v>24.79537082073757</c:v>
                </c:pt>
                <c:pt idx="24">
                  <c:v>256.86484353257987</c:v>
                </c:pt>
                <c:pt idx="25">
                  <c:v>5.9776486724398508</c:v>
                </c:pt>
                <c:pt idx="26">
                  <c:v>22.131287011137399</c:v>
                </c:pt>
                <c:pt idx="27">
                  <c:v>43.184614107682812</c:v>
                </c:pt>
                <c:pt idx="28">
                  <c:v>4.6598060865262463</c:v>
                </c:pt>
                <c:pt idx="30">
                  <c:v>6.6670646396223532</c:v>
                </c:pt>
                <c:pt idx="31">
                  <c:v>0.75204029380451254</c:v>
                </c:pt>
                <c:pt idx="32">
                  <c:v>1.1315729114070905</c:v>
                </c:pt>
                <c:pt idx="33">
                  <c:v>2.2829323807711197</c:v>
                </c:pt>
                <c:pt idx="34">
                  <c:v>0.70812382822333286</c:v>
                </c:pt>
                <c:pt idx="35">
                  <c:v>6.7902954119436645</c:v>
                </c:pt>
                <c:pt idx="36">
                  <c:v>16.644311607403363</c:v>
                </c:pt>
                <c:pt idx="37">
                  <c:v>39.975736995246649</c:v>
                </c:pt>
                <c:pt idx="38">
                  <c:v>6.1514081931756097</c:v>
                </c:pt>
                <c:pt idx="39">
                  <c:v>0.61755180536242227</c:v>
                </c:pt>
                <c:pt idx="40">
                  <c:v>4.7990225832939615</c:v>
                </c:pt>
                <c:pt idx="41">
                  <c:v>2.7739731554495881</c:v>
                </c:pt>
              </c:numCache>
            </c:numRef>
          </c:val>
          <c:extLst>
            <c:ext xmlns:c16="http://schemas.microsoft.com/office/drawing/2014/chart" uri="{C3380CC4-5D6E-409C-BE32-E72D297353CC}">
              <c16:uniqueId val="{00000001-DAEE-4EC3-A6D4-8C7FAF510C4F}"/>
            </c:ext>
          </c:extLst>
        </c:ser>
        <c:ser>
          <c:idx val="2"/>
          <c:order val="2"/>
          <c:tx>
            <c:strRef>
              <c:f>'Residential Cap'!$BB$7</c:f>
              <c:strCache>
                <c:ptCount val="1"/>
                <c:pt idx="0">
                  <c:v>Refined issues paper, capped, WACC adjustment applied</c:v>
                </c:pt>
              </c:strCache>
            </c:strRef>
          </c:tx>
          <c:spPr>
            <a:solidFill>
              <a:srgbClr val="C00000"/>
            </a:solidFill>
            <a:ln>
              <a:noFill/>
            </a:ln>
            <a:effectLst/>
          </c:spPr>
          <c:invertIfNegative val="0"/>
          <c:cat>
            <c:strRef>
              <c:f>'Residential Cap'!$AY$8:$AY$49</c:f>
              <c:strCache>
                <c:ptCount val="42"/>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0">
                  <c:v>Oji Fibre</c:v>
                </c:pt>
                <c:pt idx="31">
                  <c:v>Daiken MDF</c:v>
                </c:pt>
                <c:pt idx="32">
                  <c:v>Juken</c:v>
                </c:pt>
                <c:pt idx="33">
                  <c:v>Kiwirail</c:v>
                </c:pt>
                <c:pt idx="34">
                  <c:v>Methanex</c:v>
                </c:pt>
                <c:pt idx="35">
                  <c:v>Norske Skog</c:v>
                </c:pt>
                <c:pt idx="36">
                  <c:v>NZ Steel</c:v>
                </c:pt>
                <c:pt idx="37">
                  <c:v>NZ Aluminium Smelter</c:v>
                </c:pt>
                <c:pt idx="38">
                  <c:v>Pan Pac</c:v>
                </c:pt>
                <c:pt idx="39">
                  <c:v>Rayonier</c:v>
                </c:pt>
                <c:pt idx="40">
                  <c:v>Refining NZ</c:v>
                </c:pt>
                <c:pt idx="41">
                  <c:v>Winstones</c:v>
                </c:pt>
              </c:strCache>
            </c:strRef>
          </c:cat>
          <c:val>
            <c:numRef>
              <c:f>'Residential Cap'!$BB$8:$BB$49</c:f>
              <c:numCache>
                <c:formatCode>0.0</c:formatCode>
                <c:ptCount val="42"/>
                <c:pt idx="0">
                  <c:v>9.9578731192804142</c:v>
                </c:pt>
                <c:pt idx="1">
                  <c:v>19.105287370407783</c:v>
                </c:pt>
                <c:pt idx="2">
                  <c:v>0.84091775645398914</c:v>
                </c:pt>
                <c:pt idx="3">
                  <c:v>1.578249453189754</c:v>
                </c:pt>
                <c:pt idx="4">
                  <c:v>11.437723626945132</c:v>
                </c:pt>
                <c:pt idx="5">
                  <c:v>4.1000572327426692</c:v>
                </c:pt>
                <c:pt idx="6">
                  <c:v>7.2250741409333656</c:v>
                </c:pt>
                <c:pt idx="7">
                  <c:v>9.9124870704065273</c:v>
                </c:pt>
                <c:pt idx="8">
                  <c:v>3.8728897655685697</c:v>
                </c:pt>
                <c:pt idx="9">
                  <c:v>6.7300917630729895</c:v>
                </c:pt>
                <c:pt idx="10">
                  <c:v>0.16490723124608853</c:v>
                </c:pt>
                <c:pt idx="11">
                  <c:v>8.1845025954235862</c:v>
                </c:pt>
                <c:pt idx="12">
                  <c:v>4.971177261013441</c:v>
                </c:pt>
                <c:pt idx="13">
                  <c:v>10.295669513661871</c:v>
                </c:pt>
                <c:pt idx="14">
                  <c:v>3.8844664142184322</c:v>
                </c:pt>
                <c:pt idx="15">
                  <c:v>18.290397315140368</c:v>
                </c:pt>
                <c:pt idx="16">
                  <c:v>47.017125117929027</c:v>
                </c:pt>
                <c:pt idx="17">
                  <c:v>4.8060828399079494</c:v>
                </c:pt>
                <c:pt idx="18">
                  <c:v>71.604824080936737</c:v>
                </c:pt>
                <c:pt idx="19">
                  <c:v>1.1787107376677552</c:v>
                </c:pt>
                <c:pt idx="20">
                  <c:v>5.0570971378549148</c:v>
                </c:pt>
                <c:pt idx="21">
                  <c:v>10.144754646963069</c:v>
                </c:pt>
                <c:pt idx="22">
                  <c:v>5.3101702586682862</c:v>
                </c:pt>
                <c:pt idx="23">
                  <c:v>24.258903181213327</c:v>
                </c:pt>
                <c:pt idx="24">
                  <c:v>220.32153826525325</c:v>
                </c:pt>
                <c:pt idx="25">
                  <c:v>5.938254111538968</c:v>
                </c:pt>
                <c:pt idx="26">
                  <c:v>21.756134702897562</c:v>
                </c:pt>
                <c:pt idx="27">
                  <c:v>42.314523581805055</c:v>
                </c:pt>
                <c:pt idx="28">
                  <c:v>3.7496136333836674</c:v>
                </c:pt>
                <c:pt idx="30">
                  <c:v>7.2468250081828689</c:v>
                </c:pt>
                <c:pt idx="31">
                  <c:v>0.7741882973044405</c:v>
                </c:pt>
                <c:pt idx="32">
                  <c:v>0.72383231488560695</c:v>
                </c:pt>
                <c:pt idx="33">
                  <c:v>0.72825138256949562</c:v>
                </c:pt>
                <c:pt idx="34">
                  <c:v>0.71474835498793676</c:v>
                </c:pt>
                <c:pt idx="35">
                  <c:v>1.2706267885500004</c:v>
                </c:pt>
                <c:pt idx="36">
                  <c:v>7.6438172968594582</c:v>
                </c:pt>
                <c:pt idx="37">
                  <c:v>41.886578430527692</c:v>
                </c:pt>
                <c:pt idx="38">
                  <c:v>5.8256357276038733</c:v>
                </c:pt>
                <c:pt idx="39">
                  <c:v>0.62523906227209758</c:v>
                </c:pt>
                <c:pt idx="40">
                  <c:v>4.0626155042748895</c:v>
                </c:pt>
                <c:pt idx="41">
                  <c:v>2.8206828045970553</c:v>
                </c:pt>
              </c:numCache>
            </c:numRef>
          </c:val>
          <c:extLst>
            <c:ext xmlns:c16="http://schemas.microsoft.com/office/drawing/2014/chart" uri="{C3380CC4-5D6E-409C-BE32-E72D297353CC}">
              <c16:uniqueId val="{00000002-DAEE-4EC3-A6D4-8C7FAF510C4F}"/>
            </c:ext>
          </c:extLst>
        </c:ser>
        <c:dLbls>
          <c:showLegendKey val="0"/>
          <c:showVal val="0"/>
          <c:showCatName val="0"/>
          <c:showSerName val="0"/>
          <c:showPercent val="0"/>
          <c:showBubbleSize val="0"/>
        </c:dLbls>
        <c:gapWidth val="100"/>
        <c:overlap val="-20"/>
        <c:axId val="429577784"/>
        <c:axId val="429576608"/>
      </c:barChart>
      <c:catAx>
        <c:axId val="42957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576608"/>
        <c:crosses val="autoZero"/>
        <c:auto val="1"/>
        <c:lblAlgn val="ctr"/>
        <c:lblOffset val="100"/>
        <c:noMultiLvlLbl val="0"/>
      </c:catAx>
      <c:valAx>
        <c:axId val="4295766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Transmission Charges ($m/year)</a:t>
                </a:r>
              </a:p>
            </c:rich>
          </c:tx>
          <c:layout>
            <c:manualLayout>
              <c:xMode val="edge"/>
              <c:yMode val="edge"/>
              <c:x val="4.455128060809989E-3"/>
              <c:y val="0.1425385169752260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577784"/>
        <c:crosses val="autoZero"/>
        <c:crossBetween val="between"/>
        <c:majorUnit val="25"/>
      </c:valAx>
      <c:spPr>
        <a:noFill/>
        <a:ln>
          <a:noFill/>
        </a:ln>
        <a:effectLst/>
      </c:spPr>
    </c:plotArea>
    <c:legend>
      <c:legendPos val="l"/>
      <c:layout>
        <c:manualLayout>
          <c:xMode val="edge"/>
          <c:yMode val="edge"/>
          <c:x val="9.2334426086062932E-2"/>
          <c:y val="0.16770246702605812"/>
          <c:w val="0.44308022592962648"/>
          <c:h val="0.1809213056477072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2.png"/><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423181</xdr:colOff>
      <xdr:row>20</xdr:row>
      <xdr:rowOff>202748</xdr:rowOff>
    </xdr:from>
    <xdr:to>
      <xdr:col>18</xdr:col>
      <xdr:colOff>54429</xdr:colOff>
      <xdr:row>42</xdr:row>
      <xdr:rowOff>-1</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721180</xdr:colOff>
      <xdr:row>0</xdr:row>
      <xdr:rowOff>40820</xdr:rowOff>
    </xdr:from>
    <xdr:to>
      <xdr:col>17</xdr:col>
      <xdr:colOff>95250</xdr:colOff>
      <xdr:row>10</xdr:row>
      <xdr:rowOff>27214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t="5153" b="6676"/>
        <a:stretch/>
      </xdr:blipFill>
      <xdr:spPr>
        <a:xfrm>
          <a:off x="6055180" y="40820"/>
          <a:ext cx="6014356" cy="2095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203201</xdr:colOff>
      <xdr:row>29</xdr:row>
      <xdr:rowOff>186915</xdr:rowOff>
    </xdr:from>
    <xdr:to>
      <xdr:col>75</xdr:col>
      <xdr:colOff>495898</xdr:colOff>
      <xdr:row>60</xdr:row>
      <xdr:rowOff>186915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123662</xdr:colOff>
      <xdr:row>3</xdr:row>
      <xdr:rowOff>159883</xdr:rowOff>
    </xdr:from>
    <xdr:to>
      <xdr:col>75</xdr:col>
      <xdr:colOff>52569</xdr:colOff>
      <xdr:row>30</xdr:row>
      <xdr:rowOff>10205</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163286</xdr:colOff>
      <xdr:row>32</xdr:row>
      <xdr:rowOff>108857</xdr:rowOff>
    </xdr:from>
    <xdr:to>
      <xdr:col>16</xdr:col>
      <xdr:colOff>323588</xdr:colOff>
      <xdr:row>68</xdr:row>
      <xdr:rowOff>16571</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893941</xdr:colOff>
      <xdr:row>77</xdr:row>
      <xdr:rowOff>126632</xdr:rowOff>
    </xdr:from>
    <xdr:to>
      <xdr:col>10</xdr:col>
      <xdr:colOff>165758</xdr:colOff>
      <xdr:row>107</xdr:row>
      <xdr:rowOff>7569</xdr:rowOff>
    </xdr:to>
    <xdr:graphicFrame macro="">
      <xdr:nvGraphicFramePr>
        <xdr:cNvPr id="5" name="Chart 4">
          <a:extLst>
            <a:ext uri="{FF2B5EF4-FFF2-40B4-BE49-F238E27FC236}">
              <a16:creationId xmlns:a16="http://schemas.microsoft.com/office/drawing/2014/main" id="{E3B37DF1-1157-40AF-A002-84257AC1C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163286</xdr:colOff>
      <xdr:row>0</xdr:row>
      <xdr:rowOff>0</xdr:rowOff>
    </xdr:from>
    <xdr:to>
      <xdr:col>16</xdr:col>
      <xdr:colOff>323588</xdr:colOff>
      <xdr:row>32</xdr:row>
      <xdr:rowOff>98215</xdr:rowOff>
    </xdr:to>
    <xdr:graphicFrame macro="">
      <xdr:nvGraphicFramePr>
        <xdr:cNvPr id="4" name="Chart 3">
          <a:extLst>
            <a:ext uri="{FF2B5EF4-FFF2-40B4-BE49-F238E27FC236}">
              <a16:creationId xmlns:a16="http://schemas.microsoft.com/office/drawing/2014/main" id="{D4279665-B9B5-408D-AD13-68143BAC8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952500</xdr:colOff>
      <xdr:row>1</xdr:row>
      <xdr:rowOff>971876</xdr:rowOff>
    </xdr:from>
    <xdr:to>
      <xdr:col>47</xdr:col>
      <xdr:colOff>432954</xdr:colOff>
      <xdr:row>44</xdr:row>
      <xdr:rowOff>86591</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696421</xdr:colOff>
      <xdr:row>42</xdr:row>
      <xdr:rowOff>42378</xdr:rowOff>
    </xdr:from>
    <xdr:to>
      <xdr:col>36</xdr:col>
      <xdr:colOff>322552</xdr:colOff>
      <xdr:row>84</xdr:row>
      <xdr:rowOff>121227</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55</xdr:col>
      <xdr:colOff>338896</xdr:colOff>
      <xdr:row>55</xdr:row>
      <xdr:rowOff>23614</xdr:rowOff>
    </xdr:from>
    <xdr:to>
      <xdr:col>66</xdr:col>
      <xdr:colOff>406316</xdr:colOff>
      <xdr:row>78</xdr:row>
      <xdr:rowOff>146351</xdr:rowOff>
    </xdr:to>
    <xdr:graphicFrame macro="">
      <xdr:nvGraphicFramePr>
        <xdr:cNvPr id="10" name="Chart 9">
          <a:extLst>
            <a:ext uri="{FF2B5EF4-FFF2-40B4-BE49-F238E27FC236}">
              <a16:creationId xmlns:a16="http://schemas.microsoft.com/office/drawing/2014/main" id="{0B6126FD-94ED-4D38-AC43-BD4AFE3FC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437110</xdr:colOff>
      <xdr:row>81</xdr:row>
      <xdr:rowOff>102694</xdr:rowOff>
    </xdr:from>
    <xdr:to>
      <xdr:col>54</xdr:col>
      <xdr:colOff>494820</xdr:colOff>
      <xdr:row>105</xdr:row>
      <xdr:rowOff>155923</xdr:rowOff>
    </xdr:to>
    <xdr:graphicFrame macro="">
      <xdr:nvGraphicFramePr>
        <xdr:cNvPr id="12" name="Chart 11">
          <a:extLst>
            <a:ext uri="{FF2B5EF4-FFF2-40B4-BE49-F238E27FC236}">
              <a16:creationId xmlns:a16="http://schemas.microsoft.com/office/drawing/2014/main" id="{749AD84D-6B5B-461E-8A3B-072CBAB91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428226</xdr:colOff>
      <xdr:row>55</xdr:row>
      <xdr:rowOff>52025</xdr:rowOff>
    </xdr:from>
    <xdr:to>
      <xdr:col>54</xdr:col>
      <xdr:colOff>709174</xdr:colOff>
      <xdr:row>79</xdr:row>
      <xdr:rowOff>96849</xdr:rowOff>
    </xdr:to>
    <xdr:graphicFrame macro="">
      <xdr:nvGraphicFramePr>
        <xdr:cNvPr id="13" name="Chart 12">
          <a:extLst>
            <a:ext uri="{FF2B5EF4-FFF2-40B4-BE49-F238E27FC236}">
              <a16:creationId xmlns:a16="http://schemas.microsoft.com/office/drawing/2014/main" id="{E06BCBC2-A9AC-4AD3-B79B-FFCB3F8A6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244929</xdr:colOff>
      <xdr:row>80</xdr:row>
      <xdr:rowOff>122464</xdr:rowOff>
    </xdr:from>
    <xdr:to>
      <xdr:col>66</xdr:col>
      <xdr:colOff>312349</xdr:colOff>
      <xdr:row>104</xdr:row>
      <xdr:rowOff>81915</xdr:rowOff>
    </xdr:to>
    <xdr:graphicFrame macro="">
      <xdr:nvGraphicFramePr>
        <xdr:cNvPr id="9" name="Chart 8">
          <a:extLst>
            <a:ext uri="{FF2B5EF4-FFF2-40B4-BE49-F238E27FC236}">
              <a16:creationId xmlns:a16="http://schemas.microsoft.com/office/drawing/2014/main" id="{8ECDC164-F6EE-4F0F-9EF0-8F9259AEF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44</xdr:col>
      <xdr:colOff>0</xdr:colOff>
      <xdr:row>140</xdr:row>
      <xdr:rowOff>0</xdr:rowOff>
    </xdr:from>
    <xdr:to>
      <xdr:col>54</xdr:col>
      <xdr:colOff>400003</xdr:colOff>
      <xdr:row>164</xdr:row>
      <xdr:rowOff>61362</xdr:rowOff>
    </xdr:to>
    <xdr:pic>
      <xdr:nvPicPr>
        <xdr:cNvPr id="6" name="Picture 5">
          <a:extLst>
            <a:ext uri="{FF2B5EF4-FFF2-40B4-BE49-F238E27FC236}">
              <a16:creationId xmlns:a16="http://schemas.microsoft.com/office/drawing/2014/main" id="{307DA2CF-368D-4B7E-8477-C13A8BEAE4EC}"/>
            </a:ext>
          </a:extLst>
        </xdr:cNvPr>
        <xdr:cNvPicPr>
          <a:picLocks noChangeAspect="1"/>
        </xdr:cNvPicPr>
      </xdr:nvPicPr>
      <xdr:blipFill>
        <a:blip xmlns:r="http://schemas.openxmlformats.org/officeDocument/2006/relationships" r:embed="rId5"/>
        <a:stretch>
          <a:fillRect/>
        </a:stretch>
      </xdr:blipFill>
      <xdr:spPr>
        <a:xfrm>
          <a:off x="27704143" y="28125964"/>
          <a:ext cx="8827773" cy="46333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235031</xdr:colOff>
      <xdr:row>94</xdr:row>
      <xdr:rowOff>19793</xdr:rowOff>
    </xdr:from>
    <xdr:to>
      <xdr:col>10</xdr:col>
      <xdr:colOff>266907</xdr:colOff>
      <xdr:row>111</xdr:row>
      <xdr:rowOff>119366</xdr:rowOff>
    </xdr:to>
    <xdr:graphicFrame macro="">
      <xdr:nvGraphicFramePr>
        <xdr:cNvPr id="11" name="Chart 10">
          <a:extLst>
            <a:ext uri="{FF2B5EF4-FFF2-40B4-BE49-F238E27FC236}">
              <a16:creationId xmlns:a16="http://schemas.microsoft.com/office/drawing/2014/main" id="{E7FDA23A-0E37-437C-B6DB-1082C0AC1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436666</xdr:colOff>
      <xdr:row>111</xdr:row>
      <xdr:rowOff>143492</xdr:rowOff>
    </xdr:from>
    <xdr:to>
      <xdr:col>10</xdr:col>
      <xdr:colOff>468542</xdr:colOff>
      <xdr:row>134</xdr:row>
      <xdr:rowOff>175029</xdr:rowOff>
    </xdr:to>
    <xdr:graphicFrame macro="">
      <xdr:nvGraphicFramePr>
        <xdr:cNvPr id="12" name="Chart 11">
          <a:extLst>
            <a:ext uri="{FF2B5EF4-FFF2-40B4-BE49-F238E27FC236}">
              <a16:creationId xmlns:a16="http://schemas.microsoft.com/office/drawing/2014/main" id="{7C36F596-E575-4D2B-8477-A4A2ECA3A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975006</xdr:colOff>
      <xdr:row>18</xdr:row>
      <xdr:rowOff>50647</xdr:rowOff>
    </xdr:from>
    <xdr:to>
      <xdr:col>12</xdr:col>
      <xdr:colOff>475497</xdr:colOff>
      <xdr:row>40</xdr:row>
      <xdr:rowOff>75138</xdr:rowOff>
    </xdr:to>
    <xdr:graphicFrame macro="">
      <xdr:nvGraphicFramePr>
        <xdr:cNvPr id="6" name="Chart 5">
          <a:extLst>
            <a:ext uri="{FF2B5EF4-FFF2-40B4-BE49-F238E27FC236}">
              <a16:creationId xmlns:a16="http://schemas.microsoft.com/office/drawing/2014/main" id="{C231B515-48E2-446A-985E-F0F3E93F0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476250</xdr:colOff>
      <xdr:row>10</xdr:row>
      <xdr:rowOff>171450</xdr:rowOff>
    </xdr:from>
    <xdr:to>
      <xdr:col>23</xdr:col>
      <xdr:colOff>485774</xdr:colOff>
      <xdr:row>29</xdr:row>
      <xdr:rowOff>114300</xdr:rowOff>
    </xdr:to>
    <xdr:graphicFrame macro="">
      <xdr:nvGraphicFramePr>
        <xdr:cNvPr id="2" name="Chart 1">
          <a:extLst>
            <a:ext uri="{FF2B5EF4-FFF2-40B4-BE49-F238E27FC236}">
              <a16:creationId xmlns:a16="http://schemas.microsoft.com/office/drawing/2014/main" id="{70722C1D-112F-444A-826B-3AAF33ECE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hyperlink" Target="http://www.mbie.govt.nz/info-services/sectors-industries/energy/energy-data-modelling/statistics/prices/electricity-prices/QSDEP_Report_15Aug2016.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1"/>
  <sheetViews>
    <sheetView tabSelected="1" topLeftCell="A5" zoomScale="85" zoomScaleNormal="85" workbookViewId="0">
      <selection activeCell="A18" sqref="A18"/>
    </sheetView>
  </sheetViews>
  <sheetFormatPr defaultColWidth="9.109375" defaultRowHeight="14.4" x14ac:dyDescent="0.3"/>
  <cols>
    <col min="1" max="1" width="49.44140625" style="3" customWidth="1"/>
    <col min="2" max="2" width="85.33203125" style="3" customWidth="1"/>
    <col min="3" max="3" width="49.6640625" style="3" customWidth="1"/>
    <col min="4" max="4" width="32.88671875" style="3" customWidth="1"/>
    <col min="5" max="5" width="37.5546875" style="3" customWidth="1"/>
    <col min="6" max="16384" width="9.109375" style="3"/>
  </cols>
  <sheetData>
    <row r="1" spans="1:1" x14ac:dyDescent="0.3">
      <c r="A1" s="2" t="s">
        <v>829</v>
      </c>
    </row>
    <row r="2" spans="1:1" x14ac:dyDescent="0.3">
      <c r="A2" s="3" t="s">
        <v>842</v>
      </c>
    </row>
    <row r="3" spans="1:1" x14ac:dyDescent="0.3">
      <c r="A3" s="3" t="s">
        <v>836</v>
      </c>
    </row>
    <row r="5" spans="1:1" x14ac:dyDescent="0.3">
      <c r="A5" s="2" t="s">
        <v>825</v>
      </c>
    </row>
    <row r="6" spans="1:1" x14ac:dyDescent="0.3">
      <c r="A6" s="3" t="s">
        <v>840</v>
      </c>
    </row>
    <row r="7" spans="1:1" x14ac:dyDescent="0.3">
      <c r="A7" s="3" t="s">
        <v>831</v>
      </c>
    </row>
    <row r="8" spans="1:1" x14ac:dyDescent="0.3">
      <c r="A8" s="3" t="s">
        <v>832</v>
      </c>
    </row>
    <row r="11" spans="1:1" x14ac:dyDescent="0.3">
      <c r="A11" s="19" t="s">
        <v>833</v>
      </c>
    </row>
    <row r="12" spans="1:1" x14ac:dyDescent="0.3">
      <c r="A12" s="35" t="s">
        <v>843</v>
      </c>
    </row>
    <row r="13" spans="1:1" x14ac:dyDescent="0.3">
      <c r="A13" s="6" t="s">
        <v>839</v>
      </c>
    </row>
    <row r="14" spans="1:1" x14ac:dyDescent="0.3">
      <c r="A14" s="35" t="s">
        <v>784</v>
      </c>
    </row>
    <row r="15" spans="1:1" x14ac:dyDescent="0.3">
      <c r="A15" s="35" t="s">
        <v>824</v>
      </c>
    </row>
    <row r="16" spans="1:1" x14ac:dyDescent="0.3">
      <c r="A16" s="6" t="s">
        <v>844</v>
      </c>
    </row>
    <row r="17" spans="1:5" x14ac:dyDescent="0.3">
      <c r="A17" s="35" t="s">
        <v>841</v>
      </c>
    </row>
    <row r="18" spans="1:5" x14ac:dyDescent="0.3">
      <c r="A18" s="6" t="s">
        <v>754</v>
      </c>
    </row>
    <row r="19" spans="1:5" x14ac:dyDescent="0.3">
      <c r="A19" s="6" t="s">
        <v>837</v>
      </c>
    </row>
    <row r="20" spans="1:5" x14ac:dyDescent="0.3">
      <c r="A20" s="6" t="s">
        <v>838</v>
      </c>
    </row>
    <row r="23" spans="1:5" x14ac:dyDescent="0.3">
      <c r="A23" s="2" t="s">
        <v>804</v>
      </c>
    </row>
    <row r="24" spans="1:5" x14ac:dyDescent="0.3">
      <c r="A24" s="559" t="s">
        <v>805</v>
      </c>
    </row>
    <row r="25" spans="1:5" x14ac:dyDescent="0.3">
      <c r="A25" s="564" t="s">
        <v>806</v>
      </c>
      <c r="B25" s="4"/>
      <c r="C25" s="4"/>
      <c r="D25" s="4"/>
      <c r="E25" s="4"/>
    </row>
    <row r="26" spans="1:5" x14ac:dyDescent="0.3">
      <c r="A26" s="578" t="s">
        <v>826</v>
      </c>
      <c r="B26" s="4"/>
      <c r="C26" s="4"/>
      <c r="D26" s="4"/>
      <c r="E26" s="4"/>
    </row>
    <row r="27" spans="1:5" x14ac:dyDescent="0.3">
      <c r="A27" s="579" t="s">
        <v>811</v>
      </c>
      <c r="B27" s="4"/>
      <c r="C27" s="4"/>
      <c r="D27" s="4"/>
      <c r="E27" s="4"/>
    </row>
    <row r="28" spans="1:5" x14ac:dyDescent="0.3">
      <c r="A28" s="475" t="s">
        <v>812</v>
      </c>
      <c r="B28" s="4"/>
      <c r="C28" s="4"/>
      <c r="D28" s="4"/>
      <c r="E28" s="4"/>
    </row>
    <row r="29" spans="1:5" x14ac:dyDescent="0.3">
      <c r="A29" s="725" t="s">
        <v>830</v>
      </c>
      <c r="B29" s="725"/>
      <c r="C29" s="725"/>
      <c r="D29" s="4"/>
      <c r="E29" s="4"/>
    </row>
    <row r="30" spans="1:5" x14ac:dyDescent="0.3">
      <c r="A30" s="725"/>
      <c r="B30" s="725"/>
      <c r="C30" s="725"/>
      <c r="D30" s="4"/>
      <c r="E30" s="4"/>
    </row>
    <row r="31" spans="1:5" x14ac:dyDescent="0.3">
      <c r="A31" s="4"/>
      <c r="B31" s="4"/>
      <c r="C31" s="4"/>
      <c r="D31" s="4"/>
      <c r="E31" s="4"/>
    </row>
    <row r="32" spans="1:5" x14ac:dyDescent="0.3">
      <c r="A32" s="4" t="s">
        <v>834</v>
      </c>
      <c r="B32" s="270"/>
      <c r="C32" s="270"/>
      <c r="D32" s="270"/>
      <c r="E32" s="4"/>
    </row>
    <row r="33" spans="1:5" x14ac:dyDescent="0.3">
      <c r="A33" s="4"/>
      <c r="B33" s="270"/>
      <c r="C33" s="270"/>
      <c r="D33" s="270"/>
      <c r="E33" s="4"/>
    </row>
    <row r="34" spans="1:5" ht="15" customHeight="1" x14ac:dyDescent="0.3">
      <c r="A34" s="726" t="s">
        <v>672</v>
      </c>
      <c r="B34" s="726"/>
      <c r="C34" s="726"/>
      <c r="D34" s="270"/>
      <c r="E34" s="4"/>
    </row>
    <row r="35" spans="1:5" x14ac:dyDescent="0.3">
      <c r="A35" s="726"/>
      <c r="B35" s="726"/>
      <c r="C35" s="726"/>
      <c r="D35" s="270"/>
      <c r="E35" s="4"/>
    </row>
    <row r="36" spans="1:5" x14ac:dyDescent="0.3">
      <c r="A36" s="726"/>
      <c r="B36" s="726"/>
      <c r="C36" s="726"/>
      <c r="D36" s="270"/>
      <c r="E36" s="4"/>
    </row>
    <row r="37" spans="1:5" x14ac:dyDescent="0.3">
      <c r="A37" s="4"/>
      <c r="B37" s="270"/>
      <c r="C37" s="270"/>
      <c r="D37" s="270"/>
      <c r="E37" s="4"/>
    </row>
    <row r="38" spans="1:5" x14ac:dyDescent="0.3">
      <c r="A38" s="4"/>
      <c r="B38" s="270"/>
      <c r="C38" s="270"/>
      <c r="D38" s="270"/>
      <c r="E38" s="4"/>
    </row>
    <row r="39" spans="1:5" x14ac:dyDescent="0.3">
      <c r="A39" s="4"/>
      <c r="B39" s="270"/>
      <c r="C39" s="270"/>
      <c r="D39" s="270"/>
      <c r="E39" s="4"/>
    </row>
    <row r="40" spans="1:5" x14ac:dyDescent="0.3">
      <c r="A40" s="4"/>
      <c r="B40" s="270"/>
      <c r="C40" s="270"/>
      <c r="D40" s="270"/>
      <c r="E40" s="4"/>
    </row>
    <row r="41" spans="1:5" x14ac:dyDescent="0.3">
      <c r="A41" s="4"/>
      <c r="B41" s="270"/>
      <c r="C41" s="270"/>
      <c r="D41" s="270"/>
      <c r="E41" s="4"/>
    </row>
    <row r="42" spans="1:5" x14ac:dyDescent="0.3">
      <c r="A42" s="4"/>
      <c r="B42" s="270"/>
      <c r="C42" s="270"/>
      <c r="D42" s="270"/>
      <c r="E42" s="4"/>
    </row>
    <row r="43" spans="1:5" x14ac:dyDescent="0.3">
      <c r="A43" s="4"/>
      <c r="B43" s="270"/>
      <c r="C43" s="270"/>
      <c r="D43" s="270"/>
      <c r="E43" s="4"/>
    </row>
    <row r="44" spans="1:5" x14ac:dyDescent="0.3">
      <c r="A44" s="4"/>
      <c r="B44" s="268"/>
      <c r="C44" s="268"/>
      <c r="D44" s="268"/>
      <c r="E44" s="4"/>
    </row>
    <row r="45" spans="1:5" x14ac:dyDescent="0.3">
      <c r="A45" s="4" t="s">
        <v>828</v>
      </c>
      <c r="B45" s="268"/>
      <c r="C45" s="268"/>
      <c r="D45" s="268"/>
      <c r="E45" s="4"/>
    </row>
    <row r="46" spans="1:5" x14ac:dyDescent="0.3">
      <c r="B46" s="268"/>
      <c r="C46" s="268"/>
      <c r="D46" s="268"/>
      <c r="E46" s="4"/>
    </row>
    <row r="47" spans="1:5" s="2" customFormat="1" x14ac:dyDescent="0.3">
      <c r="A47" s="269" t="s">
        <v>651</v>
      </c>
      <c r="B47" s="270" t="s">
        <v>652</v>
      </c>
      <c r="C47" s="270"/>
      <c r="D47" s="270"/>
      <c r="E47" s="270"/>
    </row>
    <row r="48" spans="1:5" ht="39" customHeight="1" x14ac:dyDescent="0.3">
      <c r="A48" s="274" t="s">
        <v>650</v>
      </c>
      <c r="B48" s="272" t="s">
        <v>673</v>
      </c>
      <c r="C48" s="268"/>
      <c r="D48" s="268"/>
      <c r="E48" s="4"/>
    </row>
    <row r="49" spans="1:5" ht="43.2" x14ac:dyDescent="0.3">
      <c r="A49" s="274" t="s">
        <v>653</v>
      </c>
      <c r="B49" s="272" t="s">
        <v>675</v>
      </c>
      <c r="C49" s="268"/>
      <c r="D49" s="4"/>
      <c r="E49" s="4"/>
    </row>
    <row r="50" spans="1:5" x14ac:dyDescent="0.3">
      <c r="A50" s="274" t="s">
        <v>654</v>
      </c>
      <c r="B50" s="271" t="s">
        <v>827</v>
      </c>
      <c r="C50" s="4"/>
      <c r="D50" s="4"/>
      <c r="E50" s="4"/>
    </row>
    <row r="51" spans="1:5" x14ac:dyDescent="0.3">
      <c r="A51" s="274"/>
      <c r="B51" s="271"/>
      <c r="C51" s="4"/>
      <c r="D51" s="4"/>
      <c r="E51" s="4"/>
    </row>
    <row r="52" spans="1:5" ht="72" x14ac:dyDescent="0.3">
      <c r="A52" s="274" t="s">
        <v>655</v>
      </c>
      <c r="B52" s="272" t="s">
        <v>671</v>
      </c>
      <c r="C52" s="4"/>
      <c r="D52" s="4"/>
      <c r="E52" s="4"/>
    </row>
    <row r="53" spans="1:5" x14ac:dyDescent="0.3">
      <c r="A53" s="274"/>
      <c r="B53" s="271"/>
      <c r="C53" s="4"/>
      <c r="D53" s="4"/>
      <c r="E53" s="4"/>
    </row>
    <row r="54" spans="1:5" ht="57.6" x14ac:dyDescent="0.3">
      <c r="A54" s="274" t="s">
        <v>656</v>
      </c>
      <c r="B54" s="272" t="s">
        <v>674</v>
      </c>
      <c r="C54" s="268"/>
      <c r="D54" s="4"/>
      <c r="E54" s="4"/>
    </row>
    <row r="55" spans="1:5" x14ac:dyDescent="0.3">
      <c r="A55" s="274"/>
      <c r="B55" s="271"/>
      <c r="C55" s="268"/>
      <c r="D55" s="4"/>
      <c r="E55" s="4"/>
    </row>
    <row r="56" spans="1:5" ht="15" customHeight="1" x14ac:dyDescent="0.3">
      <c r="A56" s="274" t="s">
        <v>657</v>
      </c>
      <c r="B56" s="273" t="s">
        <v>667</v>
      </c>
      <c r="C56" s="268"/>
      <c r="D56" s="4"/>
      <c r="E56" s="4"/>
    </row>
    <row r="57" spans="1:5" x14ac:dyDescent="0.3">
      <c r="A57" s="274"/>
      <c r="B57" s="271"/>
      <c r="C57" s="4"/>
      <c r="D57" s="4"/>
      <c r="E57" s="4"/>
    </row>
    <row r="58" spans="1:5" x14ac:dyDescent="0.3">
      <c r="A58" s="274" t="s">
        <v>658</v>
      </c>
      <c r="B58" s="273" t="s">
        <v>667</v>
      </c>
      <c r="C58" s="4"/>
      <c r="D58" s="4"/>
      <c r="E58" s="4"/>
    </row>
    <row r="59" spans="1:5" x14ac:dyDescent="0.3">
      <c r="A59" s="274"/>
      <c r="B59" s="271"/>
      <c r="C59" s="4"/>
      <c r="D59" s="4"/>
      <c r="E59" s="4"/>
    </row>
    <row r="60" spans="1:5" x14ac:dyDescent="0.3">
      <c r="A60" s="274" t="s">
        <v>659</v>
      </c>
      <c r="B60" s="273" t="s">
        <v>660</v>
      </c>
    </row>
    <row r="61" spans="1:5" x14ac:dyDescent="0.3">
      <c r="A61" s="275"/>
      <c r="B61" s="273"/>
    </row>
    <row r="62" spans="1:5" x14ac:dyDescent="0.3">
      <c r="A62" s="275" t="s">
        <v>56</v>
      </c>
      <c r="B62" s="273"/>
    </row>
    <row r="63" spans="1:5" x14ac:dyDescent="0.3">
      <c r="A63" s="275"/>
      <c r="B63" s="273"/>
    </row>
    <row r="64" spans="1:5" x14ac:dyDescent="0.3">
      <c r="A64" s="276" t="s">
        <v>661</v>
      </c>
      <c r="B64" s="273" t="s">
        <v>663</v>
      </c>
    </row>
    <row r="65" spans="1:2" x14ac:dyDescent="0.3">
      <c r="A65" s="276"/>
      <c r="B65" s="273"/>
    </row>
    <row r="66" spans="1:2" ht="28.8" x14ac:dyDescent="0.3">
      <c r="A66" s="276" t="s">
        <v>662</v>
      </c>
      <c r="B66" s="277" t="s">
        <v>664</v>
      </c>
    </row>
    <row r="67" spans="1:2" x14ac:dyDescent="0.3">
      <c r="A67" s="278"/>
    </row>
    <row r="68" spans="1:2" x14ac:dyDescent="0.3">
      <c r="A68" s="278" t="s">
        <v>665</v>
      </c>
      <c r="B68" s="3" t="s">
        <v>666</v>
      </c>
    </row>
    <row r="69" spans="1:2" x14ac:dyDescent="0.3">
      <c r="A69" s="278"/>
    </row>
    <row r="70" spans="1:2" x14ac:dyDescent="0.3">
      <c r="A70" s="278"/>
    </row>
    <row r="71" spans="1:2" x14ac:dyDescent="0.3">
      <c r="A71" s="278"/>
    </row>
  </sheetData>
  <mergeCells count="2">
    <mergeCell ref="A29:C30"/>
    <mergeCell ref="A34:C36"/>
  </mergeCells>
  <pageMargins left="0.7" right="0.7" top="0.75" bottom="0.75" header="0.3" footer="0.3"/>
  <pageSetup paperSize="9" scale="5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32"/>
  <sheetViews>
    <sheetView workbookViewId="0">
      <selection activeCell="AW117" sqref="AW117"/>
    </sheetView>
  </sheetViews>
  <sheetFormatPr defaultRowHeight="14.4" x14ac:dyDescent="0.3"/>
  <sheetData>
    <row r="2" spans="1:2" ht="28.8" x14ac:dyDescent="0.3">
      <c r="A2" s="391"/>
      <c r="B2" s="392" t="s">
        <v>727</v>
      </c>
    </row>
    <row r="3" spans="1:2" ht="15" thickBot="1" x14ac:dyDescent="0.35">
      <c r="A3" s="116" t="s">
        <v>62</v>
      </c>
      <c r="B3" s="395">
        <v>59.189268873304144</v>
      </c>
    </row>
    <row r="4" spans="1:2" ht="15" thickTop="1" x14ac:dyDescent="0.3">
      <c r="A4" s="116" t="s">
        <v>0</v>
      </c>
      <c r="B4" s="79">
        <v>0</v>
      </c>
    </row>
    <row r="5" spans="1:2" x14ac:dyDescent="0.3">
      <c r="A5" s="116" t="s">
        <v>1</v>
      </c>
      <c r="B5" s="79">
        <v>7.1595000000000004</v>
      </c>
    </row>
    <row r="6" spans="1:2" x14ac:dyDescent="0.3">
      <c r="A6" s="116" t="s">
        <v>2</v>
      </c>
      <c r="B6" s="79">
        <v>0</v>
      </c>
    </row>
    <row r="7" spans="1:2" x14ac:dyDescent="0.3">
      <c r="A7" s="116" t="s">
        <v>68</v>
      </c>
      <c r="B7" s="79">
        <v>0</v>
      </c>
    </row>
    <row r="8" spans="1:2" x14ac:dyDescent="0.3">
      <c r="A8" s="116" t="s">
        <v>5</v>
      </c>
      <c r="B8" s="79">
        <v>0</v>
      </c>
    </row>
    <row r="9" spans="1:2" x14ac:dyDescent="0.3">
      <c r="A9" s="116" t="s">
        <v>7</v>
      </c>
      <c r="B9" s="79">
        <v>2.64550537</v>
      </c>
    </row>
    <row r="10" spans="1:2" x14ac:dyDescent="0.3">
      <c r="A10" s="116" t="s">
        <v>8</v>
      </c>
      <c r="B10" s="79">
        <v>1.3814254999999998</v>
      </c>
    </row>
    <row r="11" spans="1:2" x14ac:dyDescent="0.3">
      <c r="A11" s="116" t="s">
        <v>9</v>
      </c>
      <c r="B11" s="79">
        <v>1.0925</v>
      </c>
    </row>
    <row r="12" spans="1:2" x14ac:dyDescent="0.3">
      <c r="A12" s="116" t="s">
        <v>69</v>
      </c>
      <c r="B12" s="79">
        <v>0</v>
      </c>
    </row>
    <row r="13" spans="1:2" x14ac:dyDescent="0.3">
      <c r="A13" s="116" t="s">
        <v>11</v>
      </c>
      <c r="B13" s="79">
        <v>3.3949570199999997</v>
      </c>
    </row>
    <row r="14" spans="1:2" x14ac:dyDescent="0.3">
      <c r="A14" s="116" t="s">
        <v>70</v>
      </c>
      <c r="B14" s="79"/>
    </row>
    <row r="15" spans="1:2" x14ac:dyDescent="0.3">
      <c r="A15" s="116" t="s">
        <v>12</v>
      </c>
      <c r="B15" s="79">
        <v>0.91449999999999998</v>
      </c>
    </row>
    <row r="16" spans="1:2" x14ac:dyDescent="0.3">
      <c r="A16" s="116" t="s">
        <v>13</v>
      </c>
      <c r="B16" s="79">
        <v>0.15587799999999999</v>
      </c>
    </row>
    <row r="17" spans="1:2" x14ac:dyDescent="0.3">
      <c r="A17" s="116" t="s">
        <v>19</v>
      </c>
      <c r="B17" s="79">
        <v>7.2999999999999995E-2</v>
      </c>
    </row>
    <row r="18" spans="1:2" x14ac:dyDescent="0.3">
      <c r="A18" s="116" t="s">
        <v>20</v>
      </c>
      <c r="B18" s="79">
        <v>0</v>
      </c>
    </row>
    <row r="19" spans="1:2" x14ac:dyDescent="0.3">
      <c r="A19" s="116" t="s">
        <v>23</v>
      </c>
      <c r="B19" s="79">
        <v>3.298</v>
      </c>
    </row>
    <row r="20" spans="1:2" x14ac:dyDescent="0.3">
      <c r="A20" s="116" t="s">
        <v>25</v>
      </c>
      <c r="B20" s="79">
        <v>1.2258154999999999</v>
      </c>
    </row>
    <row r="21" spans="1:2" x14ac:dyDescent="0.3">
      <c r="A21" s="116" t="s">
        <v>71</v>
      </c>
      <c r="B21" s="79">
        <v>1.0174785</v>
      </c>
    </row>
    <row r="22" spans="1:2" x14ac:dyDescent="0.3">
      <c r="A22" s="116" t="s">
        <v>28</v>
      </c>
      <c r="B22" s="79">
        <v>9.2052942900000012</v>
      </c>
    </row>
    <row r="23" spans="1:2" x14ac:dyDescent="0.3">
      <c r="A23" s="116" t="s">
        <v>31</v>
      </c>
      <c r="B23" s="79">
        <v>0</v>
      </c>
    </row>
    <row r="24" spans="1:2" x14ac:dyDescent="0.3">
      <c r="A24" s="116" t="s">
        <v>32</v>
      </c>
      <c r="B24" s="79">
        <v>1.3505178599999998</v>
      </c>
    </row>
    <row r="25" spans="1:2" x14ac:dyDescent="0.3">
      <c r="A25" s="116" t="s">
        <v>73</v>
      </c>
      <c r="B25" s="79">
        <v>2.1408615000000002</v>
      </c>
    </row>
    <row r="26" spans="1:2" x14ac:dyDescent="0.3">
      <c r="A26" s="116" t="s">
        <v>34</v>
      </c>
      <c r="B26" s="79">
        <v>3.9469162283041488</v>
      </c>
    </row>
    <row r="27" spans="1:2" x14ac:dyDescent="0.3">
      <c r="A27" s="116" t="s">
        <v>36</v>
      </c>
      <c r="B27" s="79">
        <v>5.9971291649999952</v>
      </c>
    </row>
    <row r="28" spans="1:2" x14ac:dyDescent="0.3">
      <c r="A28" s="116" t="s">
        <v>37</v>
      </c>
      <c r="B28" s="79">
        <v>9.4745000000000008</v>
      </c>
    </row>
    <row r="29" spans="1:2" x14ac:dyDescent="0.3">
      <c r="A29" s="116" t="s">
        <v>38</v>
      </c>
      <c r="B29" s="79">
        <v>0</v>
      </c>
    </row>
    <row r="30" spans="1:2" x14ac:dyDescent="0.3">
      <c r="A30" s="116" t="s">
        <v>39</v>
      </c>
      <c r="B30" s="79">
        <v>3.7228957350000003</v>
      </c>
    </row>
    <row r="31" spans="1:2" x14ac:dyDescent="0.3">
      <c r="A31" s="116" t="s">
        <v>40</v>
      </c>
      <c r="B31" s="79">
        <v>0.17559420499999998</v>
      </c>
    </row>
    <row r="32" spans="1:2" x14ac:dyDescent="0.3">
      <c r="A32" s="116" t="s">
        <v>41</v>
      </c>
      <c r="B32" s="79">
        <v>0.81699999999999995</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8"/>
  <sheetViews>
    <sheetView topLeftCell="A4" workbookViewId="0">
      <selection activeCell="AW117" sqref="AW117"/>
    </sheetView>
  </sheetViews>
  <sheetFormatPr defaultRowHeight="14.4" x14ac:dyDescent="0.3"/>
  <cols>
    <col min="1" max="1" width="16.44140625" customWidth="1"/>
    <col min="2" max="2" width="12.6640625" customWidth="1"/>
    <col min="5" max="5" width="18.109375" customWidth="1"/>
    <col min="6" max="7" width="9.109375" style="18"/>
  </cols>
  <sheetData>
    <row r="1" spans="1:8" x14ac:dyDescent="0.3">
      <c r="E1" s="116"/>
      <c r="F1" s="18" t="s">
        <v>771</v>
      </c>
    </row>
    <row r="2" spans="1:8" x14ac:dyDescent="0.3">
      <c r="B2" t="s">
        <v>818</v>
      </c>
      <c r="C2" s="116" t="s">
        <v>818</v>
      </c>
      <c r="E2" s="116"/>
      <c r="F2" s="630" t="s">
        <v>540</v>
      </c>
      <c r="G2" s="630"/>
    </row>
    <row r="3" spans="1:8" ht="57.6" x14ac:dyDescent="0.3">
      <c r="A3" s="69"/>
      <c r="B3" s="115" t="s">
        <v>599</v>
      </c>
      <c r="C3" s="285" t="s">
        <v>719</v>
      </c>
      <c r="E3" s="557"/>
      <c r="F3" s="667" t="s">
        <v>724</v>
      </c>
      <c r="G3" s="667" t="s">
        <v>817</v>
      </c>
      <c r="H3" s="423" t="s">
        <v>506</v>
      </c>
    </row>
    <row r="4" spans="1:8" x14ac:dyDescent="0.3">
      <c r="A4" s="635" t="s">
        <v>62</v>
      </c>
      <c r="B4" s="636"/>
      <c r="C4" s="70"/>
      <c r="E4" s="116"/>
    </row>
    <row r="5" spans="1:8" x14ac:dyDescent="0.3">
      <c r="A5" s="69" t="s">
        <v>0</v>
      </c>
      <c r="B5" s="637">
        <v>10.520382771990599</v>
      </c>
      <c r="C5" s="640">
        <v>9.9250540884727805</v>
      </c>
      <c r="E5" s="116" t="s">
        <v>4</v>
      </c>
      <c r="F5" s="668">
        <v>1.4237689001505001</v>
      </c>
      <c r="G5" s="668">
        <v>0.1365711531695368</v>
      </c>
      <c r="H5" s="79">
        <f>G5+F5</f>
        <v>1.5603400533200369</v>
      </c>
    </row>
    <row r="6" spans="1:8" x14ac:dyDescent="0.3">
      <c r="A6" s="69" t="s">
        <v>1</v>
      </c>
      <c r="B6" s="637">
        <v>21.554936096804902</v>
      </c>
      <c r="C6" s="640">
        <v>19.306609078166034</v>
      </c>
      <c r="E6" s="116" t="s">
        <v>10</v>
      </c>
      <c r="F6" s="668">
        <v>0.6046225641022257</v>
      </c>
      <c r="G6" s="668">
        <v>0.12337252373198361</v>
      </c>
      <c r="H6" s="79">
        <f t="shared" ref="H6:H55" si="0">G6+F6</f>
        <v>0.7279950878342093</v>
      </c>
    </row>
    <row r="7" spans="1:8" x14ac:dyDescent="0.3">
      <c r="A7" s="69" t="s">
        <v>2</v>
      </c>
      <c r="B7" s="637">
        <v>1.27681536780783</v>
      </c>
      <c r="C7" s="640">
        <v>1.7941505751254221</v>
      </c>
      <c r="E7" s="116" t="s">
        <v>14</v>
      </c>
      <c r="F7" s="668">
        <v>2.8206774759620834</v>
      </c>
      <c r="G7" s="668">
        <v>9.6138119928600177E-2</v>
      </c>
      <c r="H7" s="79">
        <f t="shared" si="0"/>
        <v>2.9168155958906836</v>
      </c>
    </row>
    <row r="8" spans="1:8" x14ac:dyDescent="0.3">
      <c r="A8" s="69" t="s">
        <v>68</v>
      </c>
      <c r="B8" s="637">
        <v>2.04903385831319</v>
      </c>
      <c r="C8" s="640">
        <v>1.5836037439095052</v>
      </c>
      <c r="E8" s="116" t="s">
        <v>16</v>
      </c>
      <c r="F8" s="668">
        <v>0.20292464138091851</v>
      </c>
      <c r="G8" s="668">
        <v>0</v>
      </c>
      <c r="H8" s="79">
        <f t="shared" si="0"/>
        <v>0.20292464138091851</v>
      </c>
    </row>
    <row r="9" spans="1:8" x14ac:dyDescent="0.3">
      <c r="A9" s="69" t="s">
        <v>5</v>
      </c>
      <c r="B9" s="637">
        <v>10.1765632169326</v>
      </c>
      <c r="C9" s="640">
        <v>12.480754185376027</v>
      </c>
      <c r="E9" s="116" t="s">
        <v>17</v>
      </c>
      <c r="F9" s="668">
        <v>0.48826570703997524</v>
      </c>
      <c r="G9" s="668">
        <v>0.4280211570435617</v>
      </c>
      <c r="H9" s="79">
        <f t="shared" si="0"/>
        <v>0.91628686408353688</v>
      </c>
    </row>
    <row r="10" spans="1:8" x14ac:dyDescent="0.3">
      <c r="A10" s="69" t="s">
        <v>7</v>
      </c>
      <c r="B10" s="637">
        <v>5.3143687415473497</v>
      </c>
      <c r="C10" s="640">
        <v>4.1613402327277855</v>
      </c>
      <c r="E10" s="116" t="s">
        <v>18</v>
      </c>
      <c r="F10" s="668">
        <v>0.50513593367081955</v>
      </c>
      <c r="G10" s="668">
        <v>0</v>
      </c>
      <c r="H10" s="79">
        <f t="shared" si="0"/>
        <v>0.50513593367081955</v>
      </c>
    </row>
    <row r="11" spans="1:8" x14ac:dyDescent="0.3">
      <c r="A11" s="76" t="s">
        <v>8</v>
      </c>
      <c r="B11" s="637">
        <v>6.3585744350769398</v>
      </c>
      <c r="C11" s="640">
        <v>7.3194535136094796</v>
      </c>
      <c r="E11" s="116" t="s">
        <v>21</v>
      </c>
      <c r="F11" s="668">
        <v>0.50025736945014865</v>
      </c>
      <c r="G11" s="668">
        <v>0</v>
      </c>
      <c r="H11" s="79">
        <f t="shared" si="0"/>
        <v>0.50025736945014865</v>
      </c>
    </row>
    <row r="12" spans="1:8" x14ac:dyDescent="0.3">
      <c r="A12" s="76" t="s">
        <v>9</v>
      </c>
      <c r="B12" s="637">
        <v>3.6332748872742102</v>
      </c>
      <c r="C12" s="640">
        <v>12.043838254461853</v>
      </c>
      <c r="E12" s="116" t="s">
        <v>27</v>
      </c>
      <c r="F12" s="668">
        <v>2.0847112410890283</v>
      </c>
      <c r="G12" s="668">
        <v>0</v>
      </c>
      <c r="H12" s="79">
        <f t="shared" si="0"/>
        <v>2.0847112410890283</v>
      </c>
    </row>
    <row r="13" spans="1:8" x14ac:dyDescent="0.3">
      <c r="A13" s="77" t="s">
        <v>69</v>
      </c>
      <c r="B13" s="637">
        <v>5.5337714214649196</v>
      </c>
      <c r="C13" s="641">
        <v>3.591040788591676</v>
      </c>
      <c r="E13" s="116" t="s">
        <v>33</v>
      </c>
      <c r="F13" s="668">
        <v>9.7099038584944786E-2</v>
      </c>
      <c r="G13" s="668">
        <v>3.1787347692846912E-2</v>
      </c>
      <c r="H13" s="79">
        <f t="shared" si="0"/>
        <v>0.1288863862777917</v>
      </c>
    </row>
    <row r="14" spans="1:8" x14ac:dyDescent="0.3">
      <c r="A14" s="76" t="s">
        <v>11</v>
      </c>
      <c r="B14" s="637">
        <v>3.2476380401893401</v>
      </c>
      <c r="C14" s="640">
        <v>6.8562260791197884</v>
      </c>
      <c r="E14" s="116" t="s">
        <v>35</v>
      </c>
      <c r="F14" s="668">
        <v>1.3377430409292677</v>
      </c>
      <c r="G14" s="668">
        <v>0.14392468611827844</v>
      </c>
      <c r="H14" s="79">
        <f t="shared" si="0"/>
        <v>1.481667727047546</v>
      </c>
    </row>
    <row r="15" spans="1:8" x14ac:dyDescent="0.3">
      <c r="A15" s="76" t="s">
        <v>70</v>
      </c>
      <c r="B15" s="637">
        <v>0.20640741469308699</v>
      </c>
      <c r="C15" s="640">
        <v>0.16624817395547289</v>
      </c>
      <c r="E15" s="116" t="s">
        <v>43</v>
      </c>
      <c r="F15" s="668">
        <v>1.3128051823297422</v>
      </c>
      <c r="G15" s="668">
        <v>6.7058239703302354</v>
      </c>
      <c r="H15" s="79">
        <f t="shared" si="0"/>
        <v>8.0186291526599778</v>
      </c>
    </row>
    <row r="16" spans="1:8" x14ac:dyDescent="0.3">
      <c r="A16" s="76" t="s">
        <v>12</v>
      </c>
      <c r="B16" s="637">
        <v>9.4519035472375297</v>
      </c>
      <c r="C16" s="640">
        <v>8.2733885880137539</v>
      </c>
      <c r="E16" s="116" t="s">
        <v>73</v>
      </c>
      <c r="F16" s="668">
        <v>1.428900314112477</v>
      </c>
      <c r="G16" s="668">
        <v>11.585551311757186</v>
      </c>
      <c r="H16" s="79">
        <f t="shared" si="0"/>
        <v>13.014451625869663</v>
      </c>
    </row>
    <row r="17" spans="1:8" x14ac:dyDescent="0.3">
      <c r="A17" s="76" t="s">
        <v>13</v>
      </c>
      <c r="B17" s="637">
        <v>6.6040579369931098</v>
      </c>
      <c r="C17" s="640">
        <v>4.9369682005229674</v>
      </c>
      <c r="E17" s="116" t="s">
        <v>69</v>
      </c>
      <c r="F17" s="668">
        <v>1.5519791271805568</v>
      </c>
      <c r="G17" s="668">
        <v>12.368801592938082</v>
      </c>
      <c r="H17" s="79">
        <f t="shared" si="0"/>
        <v>13.920780720118639</v>
      </c>
    </row>
    <row r="18" spans="1:8" x14ac:dyDescent="0.3">
      <c r="A18" s="76" t="s">
        <v>19</v>
      </c>
      <c r="B18" s="637">
        <v>10.727643804966</v>
      </c>
      <c r="C18" s="640">
        <v>10.304474168155853</v>
      </c>
      <c r="E18" s="116" t="s">
        <v>30</v>
      </c>
      <c r="F18" s="668">
        <v>1.7548921370290111</v>
      </c>
      <c r="G18" s="668">
        <v>9.7764866473952843</v>
      </c>
      <c r="H18" s="79">
        <f t="shared" si="0"/>
        <v>11.531378784424295</v>
      </c>
    </row>
    <row r="19" spans="1:8" x14ac:dyDescent="0.3">
      <c r="A19" s="76" t="s">
        <v>20</v>
      </c>
      <c r="B19" s="637">
        <v>3.2029211145830998</v>
      </c>
      <c r="C19" s="640">
        <v>3.9584934286686919</v>
      </c>
      <c r="E19" s="116" t="s">
        <v>1</v>
      </c>
      <c r="F19" s="668">
        <v>0.78403813689877555</v>
      </c>
      <c r="G19" s="668">
        <v>13.513764664041766</v>
      </c>
      <c r="H19" s="79">
        <f t="shared" si="0"/>
        <v>14.297802800940541</v>
      </c>
    </row>
    <row r="20" spans="1:8" x14ac:dyDescent="0.3">
      <c r="A20" s="76" t="s">
        <v>23</v>
      </c>
      <c r="B20" s="637">
        <v>13.0271770053639</v>
      </c>
      <c r="C20" s="640">
        <v>20.558996316188146</v>
      </c>
      <c r="E20" s="116" t="s">
        <v>70</v>
      </c>
      <c r="F20" s="668">
        <v>0.57095141786362036</v>
      </c>
      <c r="G20" s="668">
        <v>14.364179896439936</v>
      </c>
      <c r="H20" s="79">
        <f t="shared" si="0"/>
        <v>14.935131314303556</v>
      </c>
    </row>
    <row r="21" spans="1:8" x14ac:dyDescent="0.3">
      <c r="A21" s="76" t="s">
        <v>25</v>
      </c>
      <c r="B21" s="637">
        <v>63.9112827295871</v>
      </c>
      <c r="C21" s="640">
        <v>47.58453277599471</v>
      </c>
      <c r="E21" s="116" t="s">
        <v>71</v>
      </c>
      <c r="F21" s="668">
        <v>1.2038695087265789</v>
      </c>
      <c r="G21" s="668">
        <v>9.9090198755869565</v>
      </c>
      <c r="H21" s="79">
        <f t="shared" si="0"/>
        <v>11.112889384313535</v>
      </c>
    </row>
    <row r="22" spans="1:8" x14ac:dyDescent="0.3">
      <c r="A22" s="77" t="s">
        <v>71</v>
      </c>
      <c r="B22" s="637">
        <v>3.9733324683553399</v>
      </c>
      <c r="C22" s="641">
        <v>4.7194829846218855</v>
      </c>
      <c r="E22" s="116" t="s">
        <v>20</v>
      </c>
      <c r="F22" s="668">
        <v>1.0840122017108653</v>
      </c>
      <c r="G22" s="668">
        <v>13.632939027859052</v>
      </c>
      <c r="H22" s="79">
        <f t="shared" si="0"/>
        <v>14.716951229569919</v>
      </c>
    </row>
    <row r="23" spans="1:8" x14ac:dyDescent="0.3">
      <c r="A23" s="76" t="s">
        <v>28</v>
      </c>
      <c r="B23" s="637">
        <v>74.224521678971897</v>
      </c>
      <c r="C23" s="640">
        <v>72.543360826895437</v>
      </c>
      <c r="E23" s="116" t="s">
        <v>0</v>
      </c>
      <c r="F23" s="668">
        <v>1.0243652422501404</v>
      </c>
      <c r="G23" s="668">
        <v>11.479504433584275</v>
      </c>
      <c r="H23" s="79">
        <f t="shared" si="0"/>
        <v>12.503869675834416</v>
      </c>
    </row>
    <row r="24" spans="1:8" x14ac:dyDescent="0.3">
      <c r="A24" s="76" t="s">
        <v>31</v>
      </c>
      <c r="B24" s="637">
        <v>1.5144688012252701</v>
      </c>
      <c r="C24" s="640">
        <v>1.1874848912420872</v>
      </c>
      <c r="E24" s="116" t="s">
        <v>9</v>
      </c>
      <c r="F24" s="668">
        <v>1.1488516899914094</v>
      </c>
      <c r="G24" s="668">
        <v>18.054863099541969</v>
      </c>
      <c r="H24" s="79">
        <f t="shared" si="0"/>
        <v>19.203714789533379</v>
      </c>
    </row>
    <row r="25" spans="1:8" x14ac:dyDescent="0.3">
      <c r="A25" s="76" t="s">
        <v>32</v>
      </c>
      <c r="B25" s="637">
        <v>3.6831699708093302</v>
      </c>
      <c r="C25" s="640">
        <v>5.1839118258592398</v>
      </c>
      <c r="E25" s="116" t="s">
        <v>6</v>
      </c>
      <c r="F25" s="668">
        <v>1.452872543975122</v>
      </c>
      <c r="G25" s="668">
        <v>9.5876755693816325</v>
      </c>
      <c r="H25" s="79">
        <f t="shared" si="0"/>
        <v>11.040548113356754</v>
      </c>
    </row>
    <row r="26" spans="1:8" x14ac:dyDescent="0.3">
      <c r="A26" s="77" t="s">
        <v>73</v>
      </c>
      <c r="B26" s="637">
        <v>9.7015014463208793</v>
      </c>
      <c r="C26" s="641">
        <v>10.060413175597491</v>
      </c>
      <c r="E26" s="116" t="s">
        <v>25</v>
      </c>
      <c r="F26" s="668">
        <v>1.6684734274875548</v>
      </c>
      <c r="G26" s="668">
        <v>13.009811189357087</v>
      </c>
      <c r="H26" s="79">
        <f t="shared" si="0"/>
        <v>14.678284616844643</v>
      </c>
    </row>
    <row r="27" spans="1:8" x14ac:dyDescent="0.3">
      <c r="A27" s="76" t="s">
        <v>34</v>
      </c>
      <c r="B27" s="637">
        <v>4.2899040604009198</v>
      </c>
      <c r="C27" s="642">
        <v>9.4330050195027919</v>
      </c>
      <c r="E27" s="116" t="s">
        <v>12</v>
      </c>
      <c r="F27" s="668">
        <v>1.7570255056685335</v>
      </c>
      <c r="G27" s="668">
        <v>13.35034828852139</v>
      </c>
      <c r="H27" s="79">
        <f t="shared" si="0"/>
        <v>15.107373794189924</v>
      </c>
    </row>
    <row r="28" spans="1:8" x14ac:dyDescent="0.3">
      <c r="A28" s="69" t="s">
        <v>36</v>
      </c>
      <c r="B28" s="637">
        <v>30.533498779887701</v>
      </c>
      <c r="C28" s="640">
        <v>24.79537082073757</v>
      </c>
      <c r="E28" s="116" t="s">
        <v>13</v>
      </c>
      <c r="F28" s="668">
        <v>1.4237112877677387</v>
      </c>
      <c r="G28" s="668">
        <v>11.175323198191068</v>
      </c>
      <c r="H28" s="79">
        <f t="shared" si="0"/>
        <v>12.599034485958807</v>
      </c>
    </row>
    <row r="29" spans="1:8" x14ac:dyDescent="0.3">
      <c r="A29" s="69" t="s">
        <v>37</v>
      </c>
      <c r="B29" s="637">
        <v>178.79932141221201</v>
      </c>
      <c r="C29" s="640">
        <v>256.86484353257987</v>
      </c>
      <c r="E29" s="116" t="s">
        <v>19</v>
      </c>
      <c r="F29" s="668">
        <v>1.4775215062880387</v>
      </c>
      <c r="G29" s="668">
        <v>12.640070497576382</v>
      </c>
      <c r="H29" s="79">
        <f t="shared" si="0"/>
        <v>14.11759200386442</v>
      </c>
    </row>
    <row r="30" spans="1:8" x14ac:dyDescent="0.3">
      <c r="A30" s="69" t="s">
        <v>38</v>
      </c>
      <c r="B30" s="637">
        <v>6.4477400565579899</v>
      </c>
      <c r="C30" s="640">
        <v>5.9776486724398508</v>
      </c>
      <c r="E30" s="116" t="s">
        <v>2</v>
      </c>
      <c r="F30" s="668">
        <v>1.5030956615628031</v>
      </c>
      <c r="G30" s="668">
        <v>15.2493859545091</v>
      </c>
      <c r="H30" s="79">
        <f t="shared" si="0"/>
        <v>16.752481616071904</v>
      </c>
    </row>
    <row r="31" spans="1:8" x14ac:dyDescent="0.3">
      <c r="A31" s="69" t="s">
        <v>39</v>
      </c>
      <c r="B31" s="637">
        <v>19.7154639366371</v>
      </c>
      <c r="C31" s="640">
        <v>22.131287011137399</v>
      </c>
      <c r="E31" s="116" t="s">
        <v>41</v>
      </c>
      <c r="F31" s="668">
        <v>1.3606030043271555</v>
      </c>
      <c r="G31" s="668">
        <v>15.080394245488481</v>
      </c>
      <c r="H31" s="79">
        <f t="shared" si="0"/>
        <v>16.440997249815638</v>
      </c>
    </row>
    <row r="32" spans="1:8" x14ac:dyDescent="0.3">
      <c r="A32" s="69" t="s">
        <v>40</v>
      </c>
      <c r="B32" s="637">
        <v>55.243123664533599</v>
      </c>
      <c r="C32" s="640">
        <v>43.184614107682812</v>
      </c>
      <c r="E32" s="116" t="s">
        <v>40</v>
      </c>
      <c r="F32" s="668">
        <v>3.7852503429555928</v>
      </c>
      <c r="G32" s="668">
        <v>13.737701584721389</v>
      </c>
      <c r="H32" s="79">
        <f t="shared" si="0"/>
        <v>17.522951927676981</v>
      </c>
    </row>
    <row r="33" spans="1:8" x14ac:dyDescent="0.3">
      <c r="A33" s="69" t="s">
        <v>41</v>
      </c>
      <c r="B33" s="637">
        <v>1.60316629528984</v>
      </c>
      <c r="C33" s="640">
        <v>4.6598060865262463</v>
      </c>
      <c r="E33" s="116" t="s">
        <v>8</v>
      </c>
      <c r="F33" s="668">
        <v>4.0698871927956928</v>
      </c>
      <c r="G33" s="668">
        <v>12.824759236349934</v>
      </c>
      <c r="H33" s="79">
        <f t="shared" si="0"/>
        <v>16.894646429145627</v>
      </c>
    </row>
    <row r="34" spans="1:8" x14ac:dyDescent="0.3">
      <c r="A34" s="78"/>
      <c r="B34" s="638"/>
      <c r="C34" s="638"/>
      <c r="E34" s="116" t="s">
        <v>31</v>
      </c>
      <c r="F34" s="668">
        <v>3.655018598920531</v>
      </c>
      <c r="G34" s="668">
        <v>10.58384471455113</v>
      </c>
      <c r="H34" s="79">
        <f t="shared" si="0"/>
        <v>14.238863313471661</v>
      </c>
    </row>
    <row r="35" spans="1:8" x14ac:dyDescent="0.3">
      <c r="A35" s="635" t="s">
        <v>44</v>
      </c>
      <c r="B35" s="639"/>
      <c r="C35" s="637"/>
      <c r="E35" s="116" t="s">
        <v>42</v>
      </c>
      <c r="F35" s="668">
        <v>2.2714961278598498</v>
      </c>
      <c r="G35" s="668">
        <v>9.5010544468515317</v>
      </c>
      <c r="H35" s="79">
        <f t="shared" si="0"/>
        <v>11.772550574711381</v>
      </c>
    </row>
    <row r="36" spans="1:8" x14ac:dyDescent="0.3">
      <c r="A36" s="69" t="s">
        <v>4</v>
      </c>
      <c r="B36" s="637">
        <v>32.633689604366353</v>
      </c>
      <c r="C36" s="643">
        <v>16.619200671705972</v>
      </c>
      <c r="E36" s="116" t="s">
        <v>15</v>
      </c>
      <c r="F36" s="668">
        <v>3.0261592473436623</v>
      </c>
      <c r="G36" s="668">
        <v>10.161950737593843</v>
      </c>
      <c r="H36" s="79">
        <f t="shared" si="0"/>
        <v>13.188109984937505</v>
      </c>
    </row>
    <row r="37" spans="1:8" x14ac:dyDescent="0.3">
      <c r="A37" s="69" t="s">
        <v>10</v>
      </c>
      <c r="B37" s="637">
        <v>6.8211952010486119</v>
      </c>
      <c r="C37" s="643">
        <v>5.4043528811153898</v>
      </c>
      <c r="E37" s="116" t="s">
        <v>68</v>
      </c>
      <c r="F37" s="668">
        <v>3.6270646075063619</v>
      </c>
      <c r="G37" s="668">
        <v>10.358562482556636</v>
      </c>
      <c r="H37" s="79">
        <f t="shared" si="0"/>
        <v>13.985627090062998</v>
      </c>
    </row>
    <row r="38" spans="1:8" x14ac:dyDescent="0.3">
      <c r="A38" s="69" t="s">
        <v>14</v>
      </c>
      <c r="B38" s="637">
        <v>96.671854352502805</v>
      </c>
      <c r="C38" s="643">
        <v>39.285634233131958</v>
      </c>
      <c r="E38" s="116" t="s">
        <v>36</v>
      </c>
      <c r="F38" s="668">
        <v>3.081562811914496</v>
      </c>
      <c r="G38" s="668">
        <v>12.128893397249659</v>
      </c>
      <c r="H38" s="79">
        <f t="shared" si="0"/>
        <v>15.210456209164155</v>
      </c>
    </row>
    <row r="39" spans="1:8" x14ac:dyDescent="0.3">
      <c r="A39" s="69" t="s">
        <v>16</v>
      </c>
      <c r="B39" s="637">
        <v>0</v>
      </c>
      <c r="C39" s="643">
        <v>0.18568578724632673</v>
      </c>
      <c r="E39" s="116" t="s">
        <v>26</v>
      </c>
      <c r="F39" s="668">
        <v>2.38717893275793</v>
      </c>
      <c r="G39" s="668">
        <v>9.242992530793062</v>
      </c>
      <c r="H39" s="79">
        <f t="shared" si="0"/>
        <v>11.630171463550992</v>
      </c>
    </row>
    <row r="40" spans="1:8" x14ac:dyDescent="0.3">
      <c r="A40" s="69" t="s">
        <v>17</v>
      </c>
      <c r="B40" s="637">
        <v>0</v>
      </c>
      <c r="C40" s="643">
        <v>4.0512740855603653</v>
      </c>
      <c r="E40" s="116" t="s">
        <v>7</v>
      </c>
      <c r="F40" s="668">
        <v>2.7263511985292741</v>
      </c>
      <c r="G40" s="668">
        <v>11.034603533012799</v>
      </c>
      <c r="H40" s="79">
        <f t="shared" si="0"/>
        <v>13.760954731542073</v>
      </c>
    </row>
    <row r="41" spans="1:8" x14ac:dyDescent="0.3">
      <c r="A41" s="69" t="s">
        <v>18</v>
      </c>
      <c r="B41" s="637">
        <v>0</v>
      </c>
      <c r="C41" s="643">
        <v>0.54491105964166731</v>
      </c>
      <c r="E41" s="116" t="s">
        <v>11</v>
      </c>
      <c r="F41" s="668">
        <v>2.8222994536762598</v>
      </c>
      <c r="G41" s="668">
        <v>10.928517483818931</v>
      </c>
      <c r="H41" s="79">
        <f t="shared" si="0"/>
        <v>13.750816937495191</v>
      </c>
    </row>
    <row r="42" spans="1:8" x14ac:dyDescent="0.3">
      <c r="A42" s="69" t="s">
        <v>21</v>
      </c>
      <c r="B42" s="637">
        <v>0</v>
      </c>
      <c r="C42" s="643">
        <v>0.32789589470360458</v>
      </c>
      <c r="E42" s="116" t="s">
        <v>22</v>
      </c>
      <c r="F42" s="668">
        <v>0.51662173103857834</v>
      </c>
      <c r="G42" s="668">
        <v>13.737930000538402</v>
      </c>
      <c r="H42" s="79">
        <f t="shared" si="0"/>
        <v>14.25455173157698</v>
      </c>
    </row>
    <row r="43" spans="1:8" x14ac:dyDescent="0.3">
      <c r="A43" s="69" t="s">
        <v>27</v>
      </c>
      <c r="B43" s="637">
        <v>0.38253490700876602</v>
      </c>
      <c r="C43" s="643">
        <v>9.8980591858104927E-2</v>
      </c>
      <c r="E43" s="116" t="s">
        <v>3</v>
      </c>
      <c r="F43" s="668">
        <v>1.7003140936870875</v>
      </c>
      <c r="G43" s="668">
        <v>8.7272911986990191</v>
      </c>
      <c r="H43" s="79">
        <f t="shared" si="0"/>
        <v>10.427605292386106</v>
      </c>
    </row>
    <row r="44" spans="1:8" x14ac:dyDescent="0.3">
      <c r="A44" s="69" t="s">
        <v>33</v>
      </c>
      <c r="B44" s="637">
        <v>0</v>
      </c>
      <c r="C44" s="643">
        <v>0.12520561198631469</v>
      </c>
      <c r="E44" s="116" t="s">
        <v>49</v>
      </c>
      <c r="F44" s="668">
        <v>3.6</v>
      </c>
      <c r="G44" s="668">
        <v>53.5</v>
      </c>
      <c r="H44" s="79">
        <f t="shared" si="0"/>
        <v>57.1</v>
      </c>
    </row>
    <row r="45" spans="1:8" x14ac:dyDescent="0.3">
      <c r="A45" s="69" t="s">
        <v>35</v>
      </c>
      <c r="B45" s="637">
        <v>3.6590118583837001</v>
      </c>
      <c r="C45" s="643">
        <v>3.0146474118327347</v>
      </c>
      <c r="E45" s="116" t="s">
        <v>28</v>
      </c>
      <c r="F45" s="668">
        <v>3.6576167821725125</v>
      </c>
      <c r="G45" s="668">
        <v>12.892751894065904</v>
      </c>
      <c r="H45" s="79">
        <f t="shared" si="0"/>
        <v>16.550368676238417</v>
      </c>
    </row>
    <row r="46" spans="1:8" x14ac:dyDescent="0.3">
      <c r="A46" s="78"/>
      <c r="B46" s="638"/>
      <c r="C46" s="644"/>
      <c r="E46" s="116" t="s">
        <v>32</v>
      </c>
      <c r="F46" s="668">
        <v>2.7716608423769524</v>
      </c>
      <c r="G46" s="668">
        <v>15.02730026931906</v>
      </c>
      <c r="H46" s="79">
        <f t="shared" si="0"/>
        <v>17.798961111696013</v>
      </c>
    </row>
    <row r="47" spans="1:8" x14ac:dyDescent="0.3">
      <c r="A47" s="635" t="s">
        <v>63</v>
      </c>
      <c r="B47" s="639"/>
      <c r="C47" s="643"/>
      <c r="E47" s="116" t="s">
        <v>38</v>
      </c>
      <c r="F47" s="668">
        <v>4.0540582888289975</v>
      </c>
      <c r="G47" s="668">
        <v>11.809213060811501</v>
      </c>
      <c r="H47" s="79">
        <f t="shared" si="0"/>
        <v>15.863271349640499</v>
      </c>
    </row>
    <row r="48" spans="1:8" x14ac:dyDescent="0.3">
      <c r="A48" s="69" t="s">
        <v>3</v>
      </c>
      <c r="B48" s="637">
        <v>4.0652026313854099</v>
      </c>
      <c r="C48" s="643">
        <v>6.1036506859030553</v>
      </c>
      <c r="E48" s="116" t="s">
        <v>39</v>
      </c>
      <c r="F48" s="668">
        <v>4.4966589985279182</v>
      </c>
      <c r="G48" s="668">
        <v>13.284173857011737</v>
      </c>
      <c r="H48" s="79">
        <f t="shared" si="0"/>
        <v>17.780832855539657</v>
      </c>
    </row>
    <row r="49" spans="1:8" x14ac:dyDescent="0.3">
      <c r="A49" s="69" t="s">
        <v>6</v>
      </c>
      <c r="B49" s="637">
        <v>0.885456565309233</v>
      </c>
      <c r="C49" s="643">
        <v>0.75204029380451254</v>
      </c>
      <c r="E49" s="116" t="s">
        <v>24</v>
      </c>
      <c r="F49" s="668">
        <v>6.436882870754447</v>
      </c>
      <c r="G49" s="668">
        <v>9.1857990735810429</v>
      </c>
      <c r="H49" s="79">
        <f t="shared" si="0"/>
        <v>15.62268194433549</v>
      </c>
    </row>
    <row r="50" spans="1:8" x14ac:dyDescent="0.3">
      <c r="A50" s="69" t="s">
        <v>49</v>
      </c>
      <c r="B50" s="637">
        <v>0.54555788504299096</v>
      </c>
      <c r="C50" s="643">
        <v>2.2829323807711197</v>
      </c>
      <c r="E50" s="116" t="s">
        <v>5</v>
      </c>
      <c r="F50" s="668">
        <v>9.1287004202599675</v>
      </c>
      <c r="G50" s="668">
        <v>12.906315456838731</v>
      </c>
      <c r="H50" s="79">
        <f t="shared" si="0"/>
        <v>22.035015877098701</v>
      </c>
    </row>
    <row r="51" spans="1:8" x14ac:dyDescent="0.3">
      <c r="A51" s="69" t="s">
        <v>15</v>
      </c>
      <c r="B51" s="637">
        <v>0.66503186341368803</v>
      </c>
      <c r="C51" s="643">
        <v>0.70812382822333286</v>
      </c>
      <c r="E51" s="116" t="s">
        <v>37</v>
      </c>
      <c r="F51" s="668">
        <v>15.574747408011138</v>
      </c>
      <c r="G51" s="668">
        <v>14.953240811324132</v>
      </c>
      <c r="H51" s="79">
        <f t="shared" si="0"/>
        <v>30.527988219335271</v>
      </c>
    </row>
    <row r="52" spans="1:8" x14ac:dyDescent="0.3">
      <c r="A52" s="69" t="s">
        <v>22</v>
      </c>
      <c r="B52" s="637">
        <v>0</v>
      </c>
      <c r="C52" s="643">
        <v>6.7902954119436645</v>
      </c>
      <c r="E52" s="116" t="s">
        <v>556</v>
      </c>
      <c r="F52" s="668">
        <v>14.496420173595469</v>
      </c>
      <c r="G52" s="668">
        <v>7.7945121917278861</v>
      </c>
      <c r="H52" s="79">
        <f t="shared" si="0"/>
        <v>22.290932365323357</v>
      </c>
    </row>
    <row r="53" spans="1:8" x14ac:dyDescent="0.3">
      <c r="A53" s="69" t="s">
        <v>24</v>
      </c>
      <c r="B53" s="637">
        <v>4.6071233586564801</v>
      </c>
      <c r="C53" s="643">
        <v>16.644311607403363</v>
      </c>
      <c r="E53" s="116" t="s">
        <v>23</v>
      </c>
      <c r="F53" s="668">
        <v>16.63994387016405</v>
      </c>
      <c r="G53" s="668">
        <v>10.455029195232441</v>
      </c>
      <c r="H53" s="79">
        <f t="shared" si="0"/>
        <v>27.094973065396491</v>
      </c>
    </row>
    <row r="54" spans="1:8" x14ac:dyDescent="0.3">
      <c r="A54" s="69" t="s">
        <v>43</v>
      </c>
      <c r="B54" s="637">
        <v>60.844865743536097</v>
      </c>
      <c r="C54" s="643">
        <v>39.975736995246649</v>
      </c>
      <c r="E54" s="116" t="s">
        <v>677</v>
      </c>
      <c r="F54" s="668">
        <v>14.738717110905403</v>
      </c>
      <c r="G54" s="668">
        <v>11.584907358367552</v>
      </c>
      <c r="H54" s="79">
        <f t="shared" si="0"/>
        <v>26.323624469272957</v>
      </c>
    </row>
    <row r="55" spans="1:8" x14ac:dyDescent="0.3">
      <c r="A55" s="69" t="s">
        <v>26</v>
      </c>
      <c r="B55" s="637">
        <v>4.2536832649312801</v>
      </c>
      <c r="C55" s="643">
        <v>6.1514081931756097</v>
      </c>
      <c r="E55" s="116" t="s">
        <v>34</v>
      </c>
      <c r="F55" s="668">
        <v>14.738717110905403</v>
      </c>
      <c r="G55" s="668">
        <v>11.584907358367552</v>
      </c>
      <c r="H55" s="79">
        <f t="shared" si="0"/>
        <v>26.323624469272957</v>
      </c>
    </row>
    <row r="56" spans="1:8" x14ac:dyDescent="0.3">
      <c r="A56" s="69" t="s">
        <v>30</v>
      </c>
      <c r="B56" s="637">
        <v>0.74426647291580394</v>
      </c>
      <c r="C56" s="643">
        <v>0.61755180536242227</v>
      </c>
    </row>
    <row r="57" spans="1:8" x14ac:dyDescent="0.3">
      <c r="A57" s="69" t="s">
        <v>556</v>
      </c>
      <c r="B57" s="637">
        <v>3.20120186496698</v>
      </c>
      <c r="C57" s="643">
        <v>5.8458193037384154</v>
      </c>
    </row>
    <row r="58" spans="1:8" x14ac:dyDescent="0.3">
      <c r="A58" s="69" t="s">
        <v>42</v>
      </c>
      <c r="B58" s="637">
        <v>3.1605549518476299</v>
      </c>
      <c r="C58" s="643">
        <v>2.7739731554495881</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election activeCell="AW117" sqref="AW117"/>
    </sheetView>
  </sheetViews>
  <sheetFormatPr defaultRowHeight="14.4" x14ac:dyDescent="0.3"/>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4526"/>
  <sheetViews>
    <sheetView topLeftCell="AF36" zoomScale="59" zoomScaleNormal="59" workbookViewId="0">
      <selection activeCell="AW117" sqref="AW117"/>
    </sheetView>
  </sheetViews>
  <sheetFormatPr defaultColWidth="9.109375" defaultRowHeight="14.4" x14ac:dyDescent="0.3"/>
  <cols>
    <col min="1" max="1" width="21.88671875" style="534" customWidth="1"/>
    <col min="2" max="2" width="17.109375" style="519" customWidth="1"/>
    <col min="3" max="3" width="9.109375" style="519"/>
    <col min="4" max="4" width="14.44140625" style="519" customWidth="1"/>
    <col min="5" max="5" width="16" style="519" customWidth="1"/>
    <col min="6" max="6" width="9.109375" style="519"/>
    <col min="7" max="7" width="14.5546875" style="519" customWidth="1"/>
    <col min="8" max="9" width="18" style="519" customWidth="1"/>
    <col min="10" max="10" width="20.44140625" style="519" customWidth="1"/>
    <col min="11" max="14" width="15.109375" style="519" customWidth="1"/>
    <col min="15" max="15" width="18.44140625" style="519" customWidth="1"/>
    <col min="16" max="18" width="15.109375" style="519" customWidth="1"/>
    <col min="19" max="19" width="14.33203125" style="519" customWidth="1"/>
    <col min="20" max="20" width="15" style="519" customWidth="1"/>
    <col min="21" max="24" width="9.109375" style="519"/>
    <col min="25" max="25" width="16.44140625" style="519" customWidth="1"/>
    <col min="26" max="26" width="30.88671875" style="519" customWidth="1"/>
    <col min="27" max="27" width="18.44140625" style="519" customWidth="1"/>
    <col min="28" max="30" width="9.109375" style="519"/>
    <col min="31" max="43" width="16.88671875" style="519" customWidth="1"/>
    <col min="44" max="44" width="9.109375" style="519"/>
    <col min="45" max="45" width="10.109375" style="519" customWidth="1"/>
    <col min="46" max="46" width="11.88671875" style="519" customWidth="1"/>
    <col min="47" max="47" width="21" style="519" bestFit="1" customWidth="1"/>
    <col min="48" max="48" width="10.88671875" style="519" customWidth="1"/>
    <col min="49" max="49" width="9.109375" style="519"/>
    <col min="50" max="50" width="14.5546875" style="519" customWidth="1"/>
    <col min="51" max="51" width="13.88671875" style="519" customWidth="1"/>
    <col min="52" max="52" width="13.88671875" style="23" customWidth="1"/>
    <col min="53" max="55" width="9.109375" style="519"/>
    <col min="56" max="56" width="12.88671875" style="519" customWidth="1"/>
    <col min="57" max="16384" width="9.109375" style="519"/>
  </cols>
  <sheetData>
    <row r="1" spans="1:60" ht="23.4" x14ac:dyDescent="0.45">
      <c r="A1" s="615" t="s">
        <v>477</v>
      </c>
      <c r="Z1" s="518" t="s">
        <v>483</v>
      </c>
      <c r="AS1" s="518" t="s">
        <v>484</v>
      </c>
    </row>
    <row r="2" spans="1:60" x14ac:dyDescent="0.3">
      <c r="A2" s="612"/>
      <c r="AV2" s="520"/>
      <c r="AW2" s="520"/>
      <c r="AX2" s="520"/>
      <c r="AY2" s="520"/>
      <c r="AZ2" s="53"/>
    </row>
    <row r="3" spans="1:60" x14ac:dyDescent="0.3">
      <c r="A3" s="612"/>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90"/>
      <c r="AW3" s="590"/>
      <c r="AX3" s="590"/>
      <c r="AY3" s="590"/>
      <c r="AZ3" s="590"/>
      <c r="BA3" s="588"/>
      <c r="BB3" s="588"/>
      <c r="BC3" s="588"/>
      <c r="BD3" s="588"/>
      <c r="BE3" s="588"/>
      <c r="BF3" s="588"/>
      <c r="BG3" s="588"/>
    </row>
    <row r="4" spans="1:60" ht="15.6" x14ac:dyDescent="0.3">
      <c r="G4" s="176" t="s">
        <v>637</v>
      </c>
      <c r="H4" s="591">
        <v>1</v>
      </c>
      <c r="I4" s="591">
        <v>2</v>
      </c>
      <c r="J4" s="591">
        <v>3</v>
      </c>
      <c r="K4" s="591">
        <v>4</v>
      </c>
      <c r="L4" s="591">
        <v>5</v>
      </c>
      <c r="M4" s="591">
        <v>6</v>
      </c>
      <c r="N4" s="591">
        <v>7</v>
      </c>
      <c r="O4" s="591">
        <v>8</v>
      </c>
      <c r="P4" s="591">
        <v>9</v>
      </c>
      <c r="Q4" s="591">
        <v>10</v>
      </c>
      <c r="R4" s="591">
        <v>11</v>
      </c>
      <c r="S4" s="591"/>
      <c r="T4" s="591"/>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92"/>
      <c r="AV4" s="590"/>
      <c r="AW4" s="590"/>
      <c r="AX4" s="590"/>
      <c r="AY4" s="590"/>
      <c r="AZ4" s="593"/>
      <c r="BA4" s="588"/>
      <c r="BB4" s="588"/>
      <c r="BC4" s="588"/>
      <c r="BD4" s="588"/>
      <c r="BE4" s="588"/>
      <c r="BF4" s="588"/>
      <c r="BG4" s="588"/>
    </row>
    <row r="5" spans="1:60" x14ac:dyDescent="0.3">
      <c r="A5" s="556"/>
      <c r="G5" s="81" t="s">
        <v>478</v>
      </c>
      <c r="H5" s="589">
        <f ca="1">OFFSET('Recovery amounts'!$E$24,'AMD Calculations'!H4,0)</f>
        <v>77.769336492890986</v>
      </c>
      <c r="I5" s="589">
        <f ca="1">OFFSET('Recovery amounts'!$E$24,'AMD Calculations'!I4,0)</f>
        <v>66.468544657371154</v>
      </c>
      <c r="J5" s="589">
        <f ca="1">OFFSET('Recovery amounts'!$E$24,'AMD Calculations'!J4,0)</f>
        <v>41.07606692309453</v>
      </c>
      <c r="K5" s="589">
        <f ca="1">OFFSET('Recovery amounts'!$E$24,'AMD Calculations'!K4,0)</f>
        <v>35.681114774366378</v>
      </c>
      <c r="L5" s="589">
        <f ca="1">OFFSET('Recovery amounts'!$E$24,'AMD Calculations'!L4,0)</f>
        <v>3.7914032557181128</v>
      </c>
      <c r="M5" s="589">
        <f ca="1">OFFSET('Recovery amounts'!$E$24,'AMD Calculations'!M4,0)</f>
        <v>13.525101998763652</v>
      </c>
      <c r="N5" s="589">
        <f ca="1">OFFSET('Recovery amounts'!$E$24,'AMD Calculations'!N4,0)</f>
        <v>10.945854110859262</v>
      </c>
      <c r="O5" s="589">
        <f ca="1">OFFSET('Recovery amounts'!$E$24,'AMD Calculations'!O4,0)</f>
        <v>5.0482515891253481</v>
      </c>
      <c r="P5" s="589">
        <f ca="1">OFFSET('Recovery amounts'!$E$24,'AMD Calculations'!P4,0)</f>
        <v>3.1551572432033423</v>
      </c>
      <c r="Q5" s="589">
        <f ca="1">OFFSET('Recovery amounts'!$E$24,'AMD Calculations'!Q4,0)</f>
        <v>5.0482515891253481</v>
      </c>
      <c r="R5" s="589">
        <f ca="1">OFFSET('Recovery amounts'!$E$24,'AMD Calculations'!R4,0)</f>
        <v>1.8930943459220051</v>
      </c>
      <c r="S5" s="589"/>
      <c r="T5" s="589"/>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94"/>
      <c r="AW5" s="594"/>
      <c r="AX5" s="594"/>
      <c r="AY5" s="594"/>
      <c r="AZ5" s="595"/>
      <c r="BA5" s="588"/>
      <c r="BB5" s="588"/>
      <c r="BC5" s="588"/>
      <c r="BD5" s="588"/>
      <c r="BE5" s="588"/>
      <c r="BF5" s="588"/>
      <c r="BG5" s="588"/>
    </row>
    <row r="6" spans="1:60" ht="27" customHeight="1" x14ac:dyDescent="0.3">
      <c r="A6" s="556"/>
      <c r="G6" s="23" t="s">
        <v>75</v>
      </c>
      <c r="H6" s="596" t="s">
        <v>696</v>
      </c>
      <c r="I6" s="597" t="s">
        <v>77</v>
      </c>
      <c r="J6" s="597" t="s">
        <v>78</v>
      </c>
      <c r="K6" s="597" t="s">
        <v>472</v>
      </c>
      <c r="L6" s="597" t="s">
        <v>471</v>
      </c>
      <c r="M6" s="597" t="s">
        <v>474</v>
      </c>
      <c r="N6" s="597" t="s">
        <v>82</v>
      </c>
      <c r="O6" s="597" t="s">
        <v>83</v>
      </c>
      <c r="P6" s="597" t="s">
        <v>84</v>
      </c>
      <c r="Q6" s="597" t="s">
        <v>85</v>
      </c>
      <c r="R6" s="597" t="s">
        <v>86</v>
      </c>
      <c r="S6" s="597" t="s">
        <v>87</v>
      </c>
      <c r="T6" s="597" t="s">
        <v>88</v>
      </c>
      <c r="U6" s="279"/>
      <c r="V6" s="588"/>
      <c r="W6" s="588"/>
      <c r="X6" s="588"/>
      <c r="Y6" s="588"/>
      <c r="Z6" s="588"/>
      <c r="AA6" s="588"/>
      <c r="AB6" s="588"/>
      <c r="AC6" s="588"/>
      <c r="AD6" s="587" t="s">
        <v>75</v>
      </c>
      <c r="AE6" s="598" t="str">
        <f>H6</f>
        <v>newNIGU</v>
      </c>
      <c r="AF6" s="598" t="s">
        <v>77</v>
      </c>
      <c r="AG6" s="598" t="s">
        <v>78</v>
      </c>
      <c r="AH6" s="598" t="s">
        <v>79</v>
      </c>
      <c r="AI6" s="598" t="s">
        <v>471</v>
      </c>
      <c r="AJ6" s="598" t="s">
        <v>81</v>
      </c>
      <c r="AK6" s="598" t="s">
        <v>82</v>
      </c>
      <c r="AL6" s="598" t="s">
        <v>83</v>
      </c>
      <c r="AM6" s="598" t="s">
        <v>84</v>
      </c>
      <c r="AN6" s="598" t="s">
        <v>85</v>
      </c>
      <c r="AO6" s="598" t="s">
        <v>86</v>
      </c>
      <c r="AP6" s="598" t="s">
        <v>87</v>
      </c>
      <c r="AQ6" s="598" t="s">
        <v>88</v>
      </c>
      <c r="AR6" s="588"/>
      <c r="AS6" s="588"/>
      <c r="AT6" s="588"/>
      <c r="AU6" s="588"/>
      <c r="AV6" s="588"/>
      <c r="AW6" s="588"/>
      <c r="AX6" s="588"/>
      <c r="AY6" s="588"/>
      <c r="AZ6" s="587"/>
      <c r="BA6" s="588"/>
      <c r="BB6" s="588"/>
      <c r="BC6" s="588"/>
      <c r="BD6" s="588"/>
      <c r="BE6" s="588"/>
      <c r="BF6" s="588"/>
      <c r="BG6" s="588"/>
    </row>
    <row r="7" spans="1:60" x14ac:dyDescent="0.3">
      <c r="A7" s="556"/>
      <c r="E7" s="520"/>
      <c r="F7" s="520"/>
      <c r="G7" s="82" t="s">
        <v>360</v>
      </c>
      <c r="H7" s="599">
        <f ca="1">IF(H8&gt;H5,0,(H5-H8))</f>
        <v>0</v>
      </c>
      <c r="I7" s="599">
        <f t="shared" ref="I7:T7" ca="1" si="0">IF(I8&gt;I5,0,(I5-I8))</f>
        <v>0</v>
      </c>
      <c r="J7" s="599">
        <f t="shared" ca="1" si="0"/>
        <v>0</v>
      </c>
      <c r="K7" s="599">
        <f t="shared" ca="1" si="0"/>
        <v>15.277838034489143</v>
      </c>
      <c r="L7" s="599">
        <v>0</v>
      </c>
      <c r="M7" s="599">
        <f t="shared" ca="1" si="0"/>
        <v>0</v>
      </c>
      <c r="N7" s="599">
        <f t="shared" ca="1" si="0"/>
        <v>10.945854110859262</v>
      </c>
      <c r="O7" s="599">
        <f t="shared" ca="1" si="0"/>
        <v>5.0482515891253481</v>
      </c>
      <c r="P7" s="599">
        <f t="shared" ca="1" si="0"/>
        <v>3.1551572432033423</v>
      </c>
      <c r="Q7" s="599">
        <f t="shared" ca="1" si="0"/>
        <v>5.0482515891253481</v>
      </c>
      <c r="R7" s="599">
        <f t="shared" ca="1" si="0"/>
        <v>1.8930943459220051</v>
      </c>
      <c r="S7" s="599">
        <f t="shared" si="0"/>
        <v>0</v>
      </c>
      <c r="T7" s="599">
        <f t="shared" si="0"/>
        <v>0</v>
      </c>
      <c r="U7" s="594"/>
      <c r="V7" s="588"/>
      <c r="W7" s="588"/>
      <c r="X7" s="588"/>
      <c r="Y7" s="588"/>
      <c r="Z7" s="588"/>
      <c r="AA7" s="588"/>
      <c r="AB7" s="588"/>
      <c r="AC7" s="588"/>
      <c r="AD7" s="587"/>
      <c r="AE7" s="589">
        <f ca="1">H7</f>
        <v>0</v>
      </c>
      <c r="AF7" s="589">
        <f t="shared" ref="AF7:AQ7" ca="1" si="1">I7</f>
        <v>0</v>
      </c>
      <c r="AG7" s="589">
        <f t="shared" ca="1" si="1"/>
        <v>0</v>
      </c>
      <c r="AH7" s="589">
        <f t="shared" ca="1" si="1"/>
        <v>15.277838034489143</v>
      </c>
      <c r="AI7" s="589">
        <f t="shared" si="1"/>
        <v>0</v>
      </c>
      <c r="AJ7" s="589">
        <f t="shared" ca="1" si="1"/>
        <v>0</v>
      </c>
      <c r="AK7" s="589">
        <f t="shared" ca="1" si="1"/>
        <v>10.945854110859262</v>
      </c>
      <c r="AL7" s="589">
        <f t="shared" ca="1" si="1"/>
        <v>5.0482515891253481</v>
      </c>
      <c r="AM7" s="589">
        <f t="shared" ca="1" si="1"/>
        <v>3.1551572432033423</v>
      </c>
      <c r="AN7" s="589">
        <f t="shared" ca="1" si="1"/>
        <v>5.0482515891253481</v>
      </c>
      <c r="AO7" s="589">
        <f t="shared" ca="1" si="1"/>
        <v>1.8930943459220051</v>
      </c>
      <c r="AP7" s="589">
        <f t="shared" si="1"/>
        <v>0</v>
      </c>
      <c r="AQ7" s="589">
        <f t="shared" si="1"/>
        <v>0</v>
      </c>
      <c r="AR7" s="588"/>
      <c r="AS7" s="588"/>
      <c r="AT7" s="588"/>
      <c r="AU7" s="588"/>
      <c r="AV7" s="588"/>
      <c r="AW7" s="588"/>
      <c r="AX7" s="588"/>
      <c r="AY7" s="588"/>
      <c r="AZ7" s="587"/>
      <c r="BA7" s="588"/>
      <c r="BB7" s="588"/>
      <c r="BC7" s="588"/>
      <c r="BD7" s="588"/>
      <c r="BE7" s="588"/>
      <c r="BF7" s="588"/>
      <c r="BG7" s="588"/>
    </row>
    <row r="8" spans="1:60" x14ac:dyDescent="0.3">
      <c r="A8" s="556"/>
      <c r="E8" s="520"/>
      <c r="F8" s="520"/>
      <c r="G8" s="82" t="s">
        <v>481</v>
      </c>
      <c r="H8" s="600">
        <f>SUMIF('vSPD Benefits'!$A$3:$A$4999,H6,'vSPD Benefits'!$F$3:$F$4999)/1000000</f>
        <v>289.80680261551197</v>
      </c>
      <c r="I8" s="600">
        <f>SUMIF('vSPD Benefits'!$A$3:$A$4999,I6,'vSPD Benefits'!$F$3:$F$4999)/1000000</f>
        <v>584.12802154151848</v>
      </c>
      <c r="J8" s="600">
        <f>SUMIF('vSPD Benefits'!$A$3:$A$4999,J6,'vSPD Benefits'!$F$3:$F$4999)/1000000</f>
        <v>1338.46339244965</v>
      </c>
      <c r="K8" s="601">
        <f>SUMIF('vSPD Benefits'!$A$3:$A$4999,K6,'vSPD Benefits'!$F$3:$F$4999)/1000000</f>
        <v>20.403276739877235</v>
      </c>
      <c r="L8" s="601">
        <f>SUMIF('vSPD Benefits'!$A$3:$A$4999,L6,'vSPD Benefits'!$F$3:$F$4999)/1000000</f>
        <v>4.0263864985431415</v>
      </c>
      <c r="M8" s="600">
        <f>SUMIF('vSPD Benefits'!$A$3:$A$4999,M6,'vSPD Benefits'!$F$3:$F$4999)/1000000</f>
        <v>49.986335147150747</v>
      </c>
      <c r="N8" s="594">
        <f>SUMIF('vSPD Benefits'!$A$3:$A$4999,N6,'vSPD Benefits'!$F$3:$F$4999)</f>
        <v>0</v>
      </c>
      <c r="O8" s="594">
        <f>SUMIF('vSPD Benefits'!$A$3:$A$4999,O6,'vSPD Benefits'!$F$3:$F$4999)</f>
        <v>0</v>
      </c>
      <c r="P8" s="594">
        <f>SUMIF('vSPD Benefits'!$A$3:$A$4999,P6,'vSPD Benefits'!$F$3:$F$4999)</f>
        <v>0</v>
      </c>
      <c r="Q8" s="594">
        <f>SUMIF('vSPD Benefits'!$A$3:$A$4999,Q6,'vSPD Benefits'!$F$3:$F$4999)</f>
        <v>0</v>
      </c>
      <c r="R8" s="594">
        <f>SUMIF('vSPD Benefits'!$A$3:$A$4999,R6,'vSPD Benefits'!$F$3:$F$4999)</f>
        <v>0</v>
      </c>
      <c r="S8" s="594">
        <f>SUMIF('vSPD Benefits'!$A$3:$A$4999,S6,'vSPD Benefits'!$F$3:$F$4999)</f>
        <v>0</v>
      </c>
      <c r="T8" s="594">
        <f>SUMIF('vSPD Benefits'!$A$3:$A$4999,T6,'vSPD Benefits'!$F$3:$F$4999)</f>
        <v>0</v>
      </c>
      <c r="U8" s="594"/>
      <c r="V8" s="588"/>
      <c r="W8" s="588"/>
      <c r="X8" s="588"/>
      <c r="Y8" s="588"/>
      <c r="Z8" s="588"/>
      <c r="AA8" s="588"/>
      <c r="AB8" s="588"/>
      <c r="AC8" s="588"/>
      <c r="AD8" s="587" t="s">
        <v>475</v>
      </c>
      <c r="AE8" s="588">
        <f ca="1">SUM(AE22:AE652)</f>
        <v>0</v>
      </c>
      <c r="AF8" s="589">
        <f t="shared" ref="AF8:AQ8" ca="1" si="2">SUM(AF22:AF652)</f>
        <v>0</v>
      </c>
      <c r="AG8" s="589">
        <f t="shared" ca="1" si="2"/>
        <v>0</v>
      </c>
      <c r="AH8" s="589">
        <f ca="1">SUM(AH22:AH652)</f>
        <v>15.277838034489143</v>
      </c>
      <c r="AI8" s="589">
        <f t="shared" ca="1" si="2"/>
        <v>0</v>
      </c>
      <c r="AJ8" s="589">
        <f t="shared" ca="1" si="2"/>
        <v>0</v>
      </c>
      <c r="AK8" s="589">
        <f ca="1">SUM(AK22:AK652)</f>
        <v>10.945854110859264</v>
      </c>
      <c r="AL8" s="589">
        <f t="shared" ca="1" si="2"/>
        <v>5.0482515891253472</v>
      </c>
      <c r="AM8" s="589">
        <f t="shared" ca="1" si="2"/>
        <v>3.1551572432033423</v>
      </c>
      <c r="AN8" s="589">
        <f t="shared" ca="1" si="2"/>
        <v>5.0482515891253472</v>
      </c>
      <c r="AO8" s="589">
        <f t="shared" ca="1" si="2"/>
        <v>1.8930943459220051</v>
      </c>
      <c r="AP8" s="588">
        <f t="shared" ca="1" si="2"/>
        <v>0</v>
      </c>
      <c r="AQ8" s="588">
        <f t="shared" ca="1" si="2"/>
        <v>0</v>
      </c>
      <c r="AR8" s="588"/>
      <c r="AS8" s="588"/>
      <c r="AT8" s="588"/>
      <c r="AU8" s="588"/>
      <c r="AV8" s="588" t="s">
        <v>588</v>
      </c>
      <c r="AW8" s="609">
        <v>200</v>
      </c>
      <c r="AX8" s="588"/>
      <c r="AY8" s="588"/>
      <c r="AZ8" s="587"/>
      <c r="BA8" s="588"/>
      <c r="BB8" s="588"/>
      <c r="BC8" s="588"/>
      <c r="BD8" s="588"/>
      <c r="BE8" s="588"/>
      <c r="BF8" s="588"/>
      <c r="BG8" s="588"/>
    </row>
    <row r="9" spans="1:60" x14ac:dyDescent="0.3">
      <c r="A9" s="556"/>
      <c r="E9" s="520"/>
      <c r="F9" s="520"/>
      <c r="G9" s="82" t="s">
        <v>638</v>
      </c>
      <c r="H9" s="602">
        <f ca="1">H5-H7</f>
        <v>77.769336492890986</v>
      </c>
      <c r="I9" s="602">
        <f t="shared" ref="I9:T9" ca="1" si="3">I5-I7</f>
        <v>66.468544657371154</v>
      </c>
      <c r="J9" s="602">
        <f t="shared" ca="1" si="3"/>
        <v>41.07606692309453</v>
      </c>
      <c r="K9" s="602">
        <f ca="1">K5-K7</f>
        <v>20.403276739877235</v>
      </c>
      <c r="L9" s="603">
        <f ca="1">L5-L7</f>
        <v>3.7914032557181128</v>
      </c>
      <c r="M9" s="602">
        <f t="shared" ca="1" si="3"/>
        <v>13.525101998763652</v>
      </c>
      <c r="N9" s="602">
        <f t="shared" ca="1" si="3"/>
        <v>0</v>
      </c>
      <c r="O9" s="602">
        <f t="shared" ca="1" si="3"/>
        <v>0</v>
      </c>
      <c r="P9" s="602">
        <f t="shared" ca="1" si="3"/>
        <v>0</v>
      </c>
      <c r="Q9" s="602">
        <f t="shared" ca="1" si="3"/>
        <v>0</v>
      </c>
      <c r="R9" s="602">
        <f t="shared" ca="1" si="3"/>
        <v>0</v>
      </c>
      <c r="S9" s="602">
        <f t="shared" si="3"/>
        <v>0</v>
      </c>
      <c r="T9" s="602">
        <f t="shared" si="3"/>
        <v>0</v>
      </c>
      <c r="U9" s="594"/>
      <c r="V9" s="588"/>
      <c r="W9" s="588"/>
      <c r="X9" s="588"/>
      <c r="Y9" s="588"/>
      <c r="Z9" s="588"/>
      <c r="AA9" s="588"/>
      <c r="AB9" s="588"/>
      <c r="AC9" s="588"/>
      <c r="AD9" s="588"/>
      <c r="AE9" s="604"/>
      <c r="AF9" s="604"/>
      <c r="AG9" s="604"/>
      <c r="AH9" s="604"/>
      <c r="AI9" s="604"/>
      <c r="AJ9" s="604"/>
      <c r="AK9" s="604"/>
      <c r="AL9" s="604"/>
      <c r="AM9" s="604"/>
      <c r="AN9" s="604"/>
      <c r="AO9" s="604"/>
      <c r="AP9" s="604"/>
      <c r="AQ9" s="604"/>
      <c r="AR9" s="588"/>
      <c r="AS9" s="588"/>
      <c r="AT9" s="588"/>
      <c r="AU9" s="588"/>
      <c r="AV9" s="588" t="s">
        <v>589</v>
      </c>
      <c r="AW9" s="610">
        <v>0.06</v>
      </c>
      <c r="AX9" s="588"/>
      <c r="AY9" s="588"/>
      <c r="AZ9" s="587"/>
      <c r="BA9" s="588"/>
      <c r="BB9" s="588"/>
      <c r="BC9" s="588"/>
      <c r="BD9" s="588"/>
      <c r="BE9" s="588"/>
      <c r="BF9" s="588"/>
      <c r="BG9" s="588"/>
    </row>
    <row r="10" spans="1:60" x14ac:dyDescent="0.3">
      <c r="A10" s="556"/>
      <c r="E10" s="520"/>
      <c r="F10" s="520"/>
      <c r="G10" s="82"/>
      <c r="H10" s="522"/>
      <c r="I10" s="522"/>
      <c r="J10" s="522"/>
      <c r="K10" s="522"/>
      <c r="L10" s="522"/>
      <c r="M10" s="522"/>
      <c r="N10" s="522"/>
      <c r="O10" s="522"/>
      <c r="P10" s="522"/>
      <c r="Q10" s="522"/>
      <c r="R10" s="522"/>
      <c r="S10" s="522"/>
      <c r="T10" s="522"/>
      <c r="U10" s="594"/>
      <c r="V10" s="588"/>
      <c r="W10" s="588"/>
      <c r="X10" s="588"/>
      <c r="Y10" s="588"/>
      <c r="Z10" s="588"/>
      <c r="AA10" s="588"/>
      <c r="AB10" s="588"/>
      <c r="AC10" s="588"/>
      <c r="AD10" s="587"/>
      <c r="AE10" s="606"/>
      <c r="AF10" s="606"/>
      <c r="AG10" s="606"/>
      <c r="AH10" s="606"/>
      <c r="AI10" s="606"/>
      <c r="AJ10" s="606"/>
      <c r="AK10" s="606"/>
      <c r="AL10" s="606"/>
      <c r="AM10" s="606">
        <f ca="1">SUMIF($A$22:$A$652,$A160,P$22:P$652)</f>
        <v>1184.4260599999998</v>
      </c>
      <c r="AN10" s="606"/>
      <c r="AO10" s="606"/>
      <c r="AP10" s="606"/>
      <c r="AQ10" s="606"/>
      <c r="AR10" s="588"/>
      <c r="AS10" s="588"/>
      <c r="AT10" s="588"/>
      <c r="AU10" s="588"/>
      <c r="AV10" s="588" t="s">
        <v>590</v>
      </c>
      <c r="AW10" s="605">
        <f>1-AW9</f>
        <v>0.94</v>
      </c>
      <c r="AX10" s="588"/>
      <c r="AY10" s="588"/>
      <c r="AZ10" s="587"/>
      <c r="BA10" s="588"/>
      <c r="BB10" s="588"/>
      <c r="BC10" s="588"/>
      <c r="BD10" s="588"/>
      <c r="BE10" s="588"/>
      <c r="BF10" s="588"/>
      <c r="BG10" s="588"/>
    </row>
    <row r="11" spans="1:60" x14ac:dyDescent="0.3">
      <c r="A11" s="556"/>
      <c r="G11" s="23"/>
      <c r="H11" s="606"/>
      <c r="I11" s="606"/>
      <c r="J11" s="606"/>
      <c r="K11" s="606"/>
      <c r="L11" s="606"/>
      <c r="M11" s="606"/>
      <c r="N11" s="606"/>
      <c r="O11" s="606"/>
      <c r="P11" s="606"/>
      <c r="Q11" s="606"/>
      <c r="R11" s="606"/>
      <c r="S11" s="606"/>
      <c r="T11" s="606"/>
      <c r="U11" s="588"/>
      <c r="V11" s="588"/>
      <c r="W11" s="588"/>
      <c r="X11" s="588"/>
      <c r="Y11" s="588"/>
      <c r="Z11" s="588"/>
      <c r="AA11" s="588"/>
      <c r="AB11" s="588"/>
      <c r="AC11" s="588"/>
      <c r="AD11" s="587"/>
      <c r="AE11" s="606"/>
      <c r="AF11" s="606"/>
      <c r="AG11" s="606"/>
      <c r="AH11" s="606"/>
      <c r="AI11" s="606"/>
      <c r="AJ11" s="606"/>
      <c r="AK11" s="606"/>
      <c r="AL11" s="606"/>
      <c r="AM11" s="606"/>
      <c r="AN11" s="606"/>
      <c r="AO11" s="606"/>
      <c r="AP11" s="606"/>
      <c r="AQ11" s="606"/>
      <c r="AR11" s="588"/>
      <c r="AS11" s="588"/>
      <c r="AT11" s="588"/>
      <c r="AU11" s="588"/>
      <c r="AV11" s="588"/>
      <c r="AW11" s="588"/>
      <c r="AX11" s="588"/>
      <c r="AY11" s="588"/>
      <c r="AZ11" s="587"/>
      <c r="BA11" s="588"/>
      <c r="BB11" s="588"/>
      <c r="BC11" s="588"/>
      <c r="BD11" s="588"/>
      <c r="BE11" s="588"/>
      <c r="BF11" s="588"/>
      <c r="BG11" s="588"/>
    </row>
    <row r="12" spans="1:60" ht="15" customHeight="1" x14ac:dyDescent="0.3">
      <c r="A12" s="556"/>
      <c r="F12" s="532" t="s">
        <v>814</v>
      </c>
      <c r="G12" s="532">
        <v>1</v>
      </c>
      <c r="H12" s="520" t="s">
        <v>437</v>
      </c>
      <c r="I12" s="18" t="s">
        <v>402</v>
      </c>
      <c r="J12" s="520" t="s">
        <v>404</v>
      </c>
      <c r="K12" s="520" t="s">
        <v>441</v>
      </c>
      <c r="L12" s="520"/>
      <c r="M12" s="520" t="s">
        <v>409</v>
      </c>
      <c r="N12" s="520" t="s">
        <v>437</v>
      </c>
      <c r="O12" s="520"/>
      <c r="P12" s="520" t="s">
        <v>412</v>
      </c>
      <c r="Q12" s="520" t="s">
        <v>437</v>
      </c>
      <c r="R12" s="520" t="s">
        <v>436</v>
      </c>
      <c r="S12" s="520" t="s">
        <v>433</v>
      </c>
      <c r="T12" s="520" t="s">
        <v>431</v>
      </c>
      <c r="AE12" s="520"/>
      <c r="AF12" s="520"/>
      <c r="AG12" s="520"/>
      <c r="AH12" s="520"/>
      <c r="AI12" s="520"/>
      <c r="AJ12" s="520"/>
      <c r="AK12" s="520"/>
      <c r="AL12" s="520"/>
      <c r="AM12" s="520"/>
      <c r="AN12" s="520"/>
      <c r="AO12" s="520"/>
      <c r="AP12" s="520"/>
      <c r="AQ12" s="520"/>
      <c r="AU12" s="520"/>
      <c r="AV12" s="608" t="s">
        <v>633</v>
      </c>
      <c r="AW12" s="323">
        <f ca="1">'Recovery amounts'!$E$17</f>
        <v>450.99089517822455</v>
      </c>
      <c r="AY12" s="523"/>
    </row>
    <row r="13" spans="1:60" ht="15" customHeight="1" x14ac:dyDescent="0.3">
      <c r="A13" s="556"/>
      <c r="G13" s="532"/>
      <c r="H13" s="524">
        <v>1</v>
      </c>
      <c r="I13" s="59">
        <v>0.6</v>
      </c>
      <c r="J13" s="524">
        <v>0.56999999999999995</v>
      </c>
      <c r="K13" s="524">
        <v>1</v>
      </c>
      <c r="L13" s="524"/>
      <c r="M13" s="524">
        <v>0.5</v>
      </c>
      <c r="N13" s="524">
        <v>1</v>
      </c>
      <c r="O13" s="524"/>
      <c r="P13" s="524">
        <v>1</v>
      </c>
      <c r="Q13" s="524">
        <v>1</v>
      </c>
      <c r="R13" s="524">
        <v>1</v>
      </c>
      <c r="S13" s="524">
        <v>0.5</v>
      </c>
      <c r="T13" s="524">
        <v>1</v>
      </c>
      <c r="AE13" s="524"/>
      <c r="AF13" s="524"/>
      <c r="AG13" s="524"/>
      <c r="AH13" s="524"/>
      <c r="AI13" s="524"/>
      <c r="AJ13" s="524"/>
      <c r="AK13" s="524"/>
      <c r="AL13" s="524"/>
      <c r="AM13" s="524"/>
      <c r="AN13" s="524"/>
      <c r="AO13" s="524"/>
      <c r="AP13" s="524"/>
      <c r="AQ13" s="524"/>
      <c r="AU13" s="520"/>
      <c r="AV13" s="608" t="s">
        <v>482</v>
      </c>
      <c r="AW13" s="323">
        <f>SUM(AW22:AW252)</f>
        <v>8669.5405933333313</v>
      </c>
      <c r="AX13" s="323"/>
    </row>
    <row r="14" spans="1:60" ht="15" customHeight="1" x14ac:dyDescent="0.3">
      <c r="A14" s="556"/>
      <c r="G14" s="532">
        <v>2</v>
      </c>
      <c r="H14" s="520"/>
      <c r="I14" s="520"/>
      <c r="J14" s="520" t="s">
        <v>406</v>
      </c>
      <c r="K14" s="520"/>
      <c r="L14" s="520"/>
      <c r="M14" s="520"/>
      <c r="N14" s="520"/>
      <c r="O14" s="520"/>
      <c r="P14" s="520"/>
      <c r="Q14" s="520"/>
      <c r="R14" s="520"/>
      <c r="S14" s="520"/>
      <c r="T14" s="520"/>
      <c r="AE14" s="520"/>
      <c r="AF14" s="520"/>
      <c r="AG14" s="520"/>
      <c r="AH14" s="520"/>
      <c r="AI14" s="520"/>
      <c r="AJ14" s="520"/>
      <c r="AK14" s="520"/>
      <c r="AL14" s="520"/>
      <c r="AM14" s="520"/>
      <c r="AN14" s="520"/>
      <c r="AO14" s="520"/>
      <c r="AP14" s="520"/>
      <c r="AQ14" s="520"/>
      <c r="AU14" s="520"/>
      <c r="AV14" s="520" t="s">
        <v>587</v>
      </c>
      <c r="AW14" s="520">
        <f>AW8*AW10</f>
        <v>188</v>
      </c>
      <c r="AY14" s="523"/>
      <c r="BC14" s="525"/>
      <c r="BD14" s="525"/>
      <c r="BE14" s="525"/>
      <c r="BF14" s="525"/>
      <c r="BG14" s="525"/>
      <c r="BH14" s="526"/>
    </row>
    <row r="15" spans="1:60" ht="15" customHeight="1" x14ac:dyDescent="0.3">
      <c r="A15" s="556"/>
      <c r="G15" s="532"/>
      <c r="H15" s="520"/>
      <c r="I15" s="524"/>
      <c r="J15" s="524">
        <v>0.18</v>
      </c>
      <c r="K15" s="520"/>
      <c r="L15" s="520"/>
      <c r="M15" s="524"/>
      <c r="N15" s="520"/>
      <c r="O15" s="524"/>
      <c r="P15" s="520"/>
      <c r="Q15" s="520"/>
      <c r="R15" s="520"/>
      <c r="S15" s="524"/>
      <c r="T15" s="520"/>
      <c r="AE15" s="520"/>
      <c r="AF15" s="524"/>
      <c r="AG15" s="524"/>
      <c r="AH15" s="520"/>
      <c r="AI15" s="520"/>
      <c r="AJ15" s="524"/>
      <c r="AK15" s="520"/>
      <c r="AL15" s="524"/>
      <c r="AM15" s="520"/>
      <c r="AN15" s="520"/>
      <c r="AO15" s="520"/>
      <c r="AP15" s="524"/>
      <c r="AQ15" s="520"/>
      <c r="AU15" s="520"/>
      <c r="AV15" s="608"/>
      <c r="AW15" s="323"/>
      <c r="BC15" s="525"/>
      <c r="BD15" s="525"/>
      <c r="BE15" s="525"/>
      <c r="BF15" s="525"/>
      <c r="BG15" s="525"/>
      <c r="BH15" s="526"/>
    </row>
    <row r="16" spans="1:60" x14ac:dyDescent="0.3">
      <c r="A16" s="556"/>
      <c r="F16" s="532" t="s">
        <v>813</v>
      </c>
      <c r="G16" s="532">
        <v>1</v>
      </c>
      <c r="H16" s="520"/>
      <c r="I16" s="520" t="s">
        <v>407</v>
      </c>
      <c r="J16" s="520" t="s">
        <v>407</v>
      </c>
      <c r="K16" s="520"/>
      <c r="L16" s="520" t="s">
        <v>403</v>
      </c>
      <c r="M16" s="520" t="s">
        <v>408</v>
      </c>
      <c r="N16" s="520"/>
      <c r="O16" s="520" t="s">
        <v>405</v>
      </c>
      <c r="P16" s="520"/>
      <c r="Q16" s="520"/>
      <c r="R16" s="520"/>
      <c r="S16" s="520" t="s">
        <v>448</v>
      </c>
      <c r="T16" s="520"/>
      <c r="AE16" s="520"/>
      <c r="AF16" s="520"/>
      <c r="AG16" s="520"/>
      <c r="AH16" s="520"/>
      <c r="AI16" s="520"/>
      <c r="AJ16" s="520"/>
      <c r="AK16" s="520"/>
      <c r="AL16" s="520"/>
      <c r="AM16" s="520"/>
      <c r="AN16" s="520"/>
      <c r="AO16" s="520"/>
      <c r="AP16" s="520"/>
      <c r="AQ16" s="520"/>
      <c r="BC16" s="525"/>
      <c r="BD16" s="525"/>
      <c r="BE16" s="525"/>
      <c r="BF16" s="525"/>
      <c r="BG16" s="525"/>
      <c r="BH16" s="526"/>
    </row>
    <row r="17" spans="1:61" x14ac:dyDescent="0.3">
      <c r="A17" s="556"/>
      <c r="C17" s="519" t="s">
        <v>462</v>
      </c>
      <c r="G17" s="532"/>
      <c r="H17" s="520"/>
      <c r="I17" s="524">
        <v>0.4</v>
      </c>
      <c r="J17" s="524">
        <v>0.25</v>
      </c>
      <c r="K17" s="520"/>
      <c r="L17" s="524">
        <v>1</v>
      </c>
      <c r="M17" s="524">
        <v>0.5</v>
      </c>
      <c r="N17" s="520"/>
      <c r="O17" s="524">
        <v>0.5</v>
      </c>
      <c r="P17" s="520"/>
      <c r="Q17" s="520"/>
      <c r="R17" s="520"/>
      <c r="S17" s="524">
        <v>0.5</v>
      </c>
      <c r="T17" s="520"/>
      <c r="Z17" s="519" t="s">
        <v>462</v>
      </c>
      <c r="AE17" s="520"/>
      <c r="AF17" s="520"/>
      <c r="AG17" s="524"/>
      <c r="AH17" s="520"/>
      <c r="AI17" s="520"/>
      <c r="AJ17" s="520"/>
      <c r="AK17" s="520"/>
      <c r="AL17" s="520"/>
      <c r="AM17" s="520"/>
      <c r="AN17" s="520"/>
      <c r="AO17" s="520"/>
      <c r="AP17" s="520"/>
      <c r="AQ17" s="520"/>
      <c r="AV17" s="218" t="s">
        <v>475</v>
      </c>
      <c r="AW17" s="527">
        <f ca="1">SUM(AY22:AY252)</f>
        <v>262.99089517822483</v>
      </c>
      <c r="AX17" s="527">
        <f ca="1">AW12-AW14</f>
        <v>262.99089517822455</v>
      </c>
      <c r="BC17" s="525"/>
      <c r="BD17" s="525"/>
      <c r="BE17" s="525"/>
      <c r="BF17" s="525"/>
      <c r="BG17" s="525"/>
      <c r="BH17" s="526"/>
    </row>
    <row r="18" spans="1:61" x14ac:dyDescent="0.3">
      <c r="A18" s="556"/>
      <c r="C18" s="528"/>
      <c r="G18" s="532">
        <v>2</v>
      </c>
      <c r="H18" s="529"/>
      <c r="I18" s="520"/>
      <c r="J18" s="520"/>
      <c r="K18" s="520"/>
      <c r="L18" s="520"/>
      <c r="M18" s="520"/>
      <c r="N18" s="520"/>
      <c r="O18" s="520" t="s">
        <v>407</v>
      </c>
      <c r="P18" s="520"/>
      <c r="Q18" s="520"/>
      <c r="R18" s="520"/>
      <c r="S18" s="520"/>
      <c r="T18" s="520"/>
      <c r="Z18" s="528"/>
      <c r="AE18" s="529"/>
      <c r="AF18" s="520"/>
      <c r="AG18" s="520"/>
      <c r="AH18" s="520"/>
      <c r="AI18" s="520"/>
      <c r="AJ18" s="520"/>
      <c r="AK18" s="520"/>
      <c r="AL18" s="520"/>
      <c r="AM18" s="520"/>
      <c r="AN18" s="520"/>
      <c r="AO18" s="520"/>
      <c r="AP18" s="530"/>
      <c r="AQ18" s="520"/>
      <c r="BC18" s="525"/>
      <c r="BD18" s="525"/>
      <c r="BE18" s="525"/>
      <c r="BF18" s="525"/>
      <c r="BG18" s="525"/>
      <c r="BH18" s="526"/>
    </row>
    <row r="19" spans="1:61" x14ac:dyDescent="0.3">
      <c r="A19" s="556"/>
      <c r="H19" s="525"/>
      <c r="O19" s="524">
        <v>0.5</v>
      </c>
      <c r="AU19" s="531"/>
      <c r="AV19" s="531"/>
      <c r="AW19" s="531"/>
      <c r="AX19" s="531"/>
      <c r="AY19" s="531"/>
      <c r="BC19" s="525"/>
      <c r="BD19" s="525"/>
      <c r="BE19" s="525"/>
      <c r="BF19" s="525"/>
      <c r="BG19" s="525"/>
      <c r="BH19" s="526"/>
    </row>
    <row r="20" spans="1:61" x14ac:dyDescent="0.3">
      <c r="A20" s="556"/>
      <c r="C20" s="532" t="s">
        <v>463</v>
      </c>
      <c r="Z20" s="519" t="s">
        <v>463</v>
      </c>
      <c r="AK20" s="520"/>
      <c r="AL20" s="533"/>
      <c r="AM20" s="520"/>
      <c r="AN20" s="520"/>
      <c r="AO20" s="520"/>
      <c r="AS20" s="520"/>
      <c r="AT20" s="520"/>
      <c r="AU20" s="317" t="s">
        <v>691</v>
      </c>
      <c r="AV20" s="317"/>
      <c r="AW20" s="317"/>
      <c r="AX20" s="531"/>
      <c r="AY20" s="531"/>
      <c r="BC20" s="525"/>
      <c r="BD20" s="525"/>
      <c r="BE20" s="525"/>
      <c r="BF20" s="525"/>
      <c r="BG20" s="525"/>
      <c r="BH20" s="526"/>
      <c r="BI20" s="526"/>
    </row>
    <row r="21" spans="1:61" x14ac:dyDescent="0.3">
      <c r="A21" s="611" t="s">
        <v>815</v>
      </c>
      <c r="B21" s="588"/>
      <c r="C21" s="588" t="s">
        <v>361</v>
      </c>
      <c r="D21" s="588" t="s">
        <v>50</v>
      </c>
      <c r="E21" s="588" t="s">
        <v>388</v>
      </c>
      <c r="F21" s="588"/>
      <c r="G21" s="588"/>
      <c r="H21" s="607"/>
      <c r="I21" s="607"/>
      <c r="J21" s="607"/>
      <c r="K21" s="607"/>
      <c r="L21" s="607"/>
      <c r="M21" s="607"/>
      <c r="N21" s="607"/>
      <c r="O21" s="607"/>
      <c r="P21" s="607"/>
      <c r="Q21" s="607"/>
      <c r="R21" s="607"/>
      <c r="S21" s="607"/>
      <c r="T21" s="607"/>
      <c r="Y21" s="534" t="s">
        <v>55</v>
      </c>
      <c r="Z21" s="588" t="s">
        <v>361</v>
      </c>
      <c r="AA21" s="588" t="s">
        <v>50</v>
      </c>
      <c r="AB21" s="588" t="s">
        <v>388</v>
      </c>
      <c r="AE21" s="525"/>
      <c r="AJ21" s="535"/>
      <c r="AS21" s="536"/>
      <c r="AT21" s="520"/>
      <c r="AU21" s="531" t="s">
        <v>92</v>
      </c>
      <c r="AV21" s="531" t="s">
        <v>560</v>
      </c>
      <c r="AW21" s="531" t="s">
        <v>581</v>
      </c>
      <c r="AX21" s="537"/>
      <c r="AY21" s="190" t="s">
        <v>54</v>
      </c>
      <c r="BC21" s="525"/>
      <c r="BD21" s="525"/>
      <c r="BE21" s="525"/>
      <c r="BF21" s="525"/>
      <c r="BG21" s="525"/>
      <c r="BH21" s="526"/>
      <c r="BI21" s="526"/>
    </row>
    <row r="22" spans="1:61" x14ac:dyDescent="0.3">
      <c r="A22" s="556">
        <v>1</v>
      </c>
      <c r="B22" s="519" t="str">
        <f>LEFT(D22,3)</f>
        <v>ABY</v>
      </c>
      <c r="C22" s="519" t="str">
        <f>AMDs!C3</f>
        <v>Alpine Energy</v>
      </c>
      <c r="D22" s="519" t="str">
        <f>AMDs!D3</f>
        <v>ABY0111</v>
      </c>
      <c r="E22" s="519">
        <f>IF(AMDs!C3="other",0,AMDs!E3)</f>
        <v>4.4687999999999999</v>
      </c>
      <c r="H22" s="519">
        <f ca="1">_xlfn.IFNA(IF(VLOOKUP($B22&amp;OFFSET(H$10,$A22*2,0),'Mapping A'!$B$6:$E$1011,4,0)=1,$E22,""),0)</f>
        <v>0</v>
      </c>
      <c r="I22" s="519">
        <f ca="1">_xlfn.IFNA(IF(VLOOKUP($B22&amp;OFFSET(I$10,$A22*2,0),'Mapping A'!$B$6:$E$1011,4,0)=1,$E22,""),0)</f>
        <v>4.4687999999999999</v>
      </c>
      <c r="J22" s="519">
        <f ca="1">_xlfn.IFNA(IF(VLOOKUP($B22&amp;OFFSET(J$10,$A22*2,0),'Mapping A'!$B$6:$E$1011,4,0)=1,$E22,""),0)</f>
        <v>0</v>
      </c>
      <c r="K22" s="519">
        <f ca="1">_xlfn.IFNA(IF(VLOOKUP($B22&amp;OFFSET(K$10,$A22*2,0),'Mapping A'!$B$6:$E$1011,4,0)=1,$E22,""),0)</f>
        <v>0</v>
      </c>
      <c r="L22" s="519">
        <f ca="1">_xlfn.IFNA(IF(VLOOKUP($B22&amp;OFFSET(L$10,$A22*2,0),'Mapping A'!$B$6:$E$1011,4,0)=1,$E22,""),0)</f>
        <v>0</v>
      </c>
      <c r="M22" s="519">
        <f ca="1">_xlfn.IFNA(IF(VLOOKUP($B22&amp;OFFSET(M$10,$A22*2,0),'Mapping A'!$B$6:$E$1011,4,0)=1,$E22,""),0)</f>
        <v>0</v>
      </c>
      <c r="N22" s="519">
        <f ca="1">_xlfn.IFNA(IF(VLOOKUP($B22&amp;OFFSET(N$10,$A22*2,0),'Mapping A'!$B$6:$E$1011,4,0)=1,$E22,""),0)</f>
        <v>0</v>
      </c>
      <c r="O22" s="519">
        <f ca="1">_xlfn.IFNA(IF(VLOOKUP($B22&amp;OFFSET(O$10,$A22*2,0),'Mapping A'!$B$6:$E$1011,4,0)=1,$E22,""),0)</f>
        <v>0</v>
      </c>
      <c r="P22" s="519">
        <f ca="1">_xlfn.IFNA(IF(VLOOKUP($B22&amp;OFFSET(P$10,$A22*2,0),'Mapping A'!$B$6:$E$1011,4,0)=1,$E22,""),0)</f>
        <v>0</v>
      </c>
      <c r="Q22" s="519">
        <f ca="1">_xlfn.IFNA(IF(VLOOKUP($B22&amp;OFFSET(Q$10,$A22*2,0),'Mapping A'!$B$6:$E$1011,4,0)=1,$E22,""),0)</f>
        <v>0</v>
      </c>
      <c r="R22" s="519">
        <f ca="1">_xlfn.IFNA(IF(VLOOKUP($B22&amp;OFFSET(R$10,$A22*2,0),'Mapping A'!$B$6:$E$1011,4,0)=1,$E22,""),0)</f>
        <v>0</v>
      </c>
      <c r="S22" s="519">
        <f ca="1">_xlfn.IFNA(IF(VLOOKUP($B22&amp;OFFSET(S$10,$A22*2,0),'Mapping A'!$B$6:$E$1011,4,0)=1,$E22,""),0)</f>
        <v>0</v>
      </c>
      <c r="T22" s="519">
        <f ca="1">_xlfn.IFNA(IF(VLOOKUP($B22&amp;OFFSET(T$10,$A22*2,0),'Mapping A'!$B$6:$E$1011,4,0)=1,$E22,""),0)</f>
        <v>0</v>
      </c>
      <c r="Y22" s="534" t="str">
        <f>Z22&amp;AA22</f>
        <v>Alpine EnergyABY0111</v>
      </c>
      <c r="Z22" s="519" t="str">
        <f t="shared" ref="Z22:Z85" si="4">C22</f>
        <v>Alpine Energy</v>
      </c>
      <c r="AA22" s="519" t="str">
        <f t="shared" ref="AA22:AA85" si="5">D22</f>
        <v>ABY0111</v>
      </c>
      <c r="AB22" s="519">
        <f>E22</f>
        <v>4.4687999999999999</v>
      </c>
      <c r="AC22" s="324"/>
      <c r="AE22" s="519">
        <f t="shared" ref="AE22:AE85" ca="1" si="6">IF(SUMIF($A$22:$A$652,$A22,H$22:H$652)=0,0,OFFSET(H$11,$A22*2,0)*H$7*H22/SUMIF($A$22:$A$652,$A22,H$22:H$652))</f>
        <v>0</v>
      </c>
      <c r="AF22" s="519">
        <f t="shared" ref="AF22:AF85" ca="1" si="7">IF(SUMIF($A$22:$A$652,$A22,I$22:I$652)=0,0,OFFSET(I$11,$A22*2,0)*I$7*I22/SUMIF($A$22:$A$652,$A22,I$22:I$652))</f>
        <v>0</v>
      </c>
      <c r="AG22" s="519">
        <f t="shared" ref="AG22:AG85" ca="1" si="8">IF(SUMIF($A$22:$A$652,$A22,J$22:J$652)=0,0,OFFSET(J$11,$A22*2,0)*J$7*J22/SUMIF($A$22:$A$652,$A22,J$22:J$652))</f>
        <v>0</v>
      </c>
      <c r="AH22" s="519">
        <f t="shared" ref="AH22:AH85" ca="1" si="9">IF(SUMIF($A$22:$A$652,$A22,K$22:K$652)=0,0,OFFSET(K$11,$A22*2,0)*K$7*K22/SUMIF($A$22:$A$652,$A22,K$22:K$652))</f>
        <v>0</v>
      </c>
      <c r="AI22" s="519">
        <f ca="1">IF(SUMIF($A$22:$A$652,$A22,L$22:L$652)=0,0,OFFSET(L$11,$A22*2,0)*L$7*L22/SUMIF($A$22:$A$652,$A22,L$22:L$652))</f>
        <v>0</v>
      </c>
      <c r="AJ22" s="519">
        <f t="shared" ref="AJ22:AJ85" ca="1" si="10">IF(SUMIF($A$22:$A$652,$A22,M$22:M$652)=0,0,OFFSET(M$11,$A22*2,0)*M$7*M22/SUMIF($A$22:$A$652,$A22,M$22:M$652))</f>
        <v>0</v>
      </c>
      <c r="AK22" s="519">
        <f t="shared" ref="AK22:AK85" ca="1" si="11">IF(SUMIF($A$22:$A$652,$A22,N$22:N$652)=0,0,OFFSET(N$11,$A22*2,0)*N$7*N22/SUMIF($A$22:$A$652,$A22,N$22:N$652))</f>
        <v>0</v>
      </c>
      <c r="AL22" s="519">
        <f t="shared" ref="AL22:AL85" ca="1" si="12">IF(SUMIF($A$22:$A$652,$A22,O$22:O$652)=0,0,OFFSET(O$11,$A22*2,0)*O$7*O22/SUMIF($A$22:$A$652,$A22,O$22:O$652))</f>
        <v>0</v>
      </c>
      <c r="AM22" s="519">
        <f t="shared" ref="AM22:AM85" ca="1" si="13">IF(SUMIF($A$22:$A$652,$A22,P$22:P$652)=0,0,OFFSET(P$11,$A22*2,0)*P$7*P22/SUMIF($A$22:$A$652,$A22,P$22:P$652))</f>
        <v>0</v>
      </c>
      <c r="AN22" s="519">
        <f t="shared" ref="AN22:AN85" ca="1" si="14">IF(SUMIF($A$22:$A$652,$A22,Q$22:Q$652)=0,0,OFFSET(Q$11,$A22*2,0)*Q$7*Q22/SUMIF($A$22:$A$652,$A22,Q$22:Q$652))</f>
        <v>0</v>
      </c>
      <c r="AO22" s="519">
        <f t="shared" ref="AO22:AO85" ca="1" si="15">IF(SUMIF($A$22:$A$652,$A22,R$22:R$652)=0,0,OFFSET(R$11,$A22*2,0)*R$7*R22/SUMIF($A$22:$A$652,$A22,R$22:R$652))</f>
        <v>0</v>
      </c>
      <c r="AP22" s="519">
        <f t="shared" ref="AP22:AP85" ca="1" si="16">IF(SUMIF($A$22:$A$652,$A22,S$22:S$652)=0,0,OFFSET(S$11,$A22*2,0)*S$7*S22/SUMIF($A$22:$A$652,$A22,S$22:S$652))</f>
        <v>0</v>
      </c>
      <c r="AQ22" s="519">
        <f t="shared" ref="AQ22:AQ85" ca="1" si="17">IF(SUMIF($A$22:$A$652,$A22,T$22:T$652)=0,0,OFFSET(T$11,$A22*2,0)*T$7*T22/SUMIF($A$22:$A$652,$A22,T$22:T$652))</f>
        <v>0</v>
      </c>
      <c r="AS22" s="536"/>
      <c r="AT22" s="536"/>
      <c r="AU22" s="519" t="str">
        <f>C22</f>
        <v>Alpine Energy</v>
      </c>
      <c r="AV22" s="519" t="str">
        <f t="shared" ref="AV22:AV85" si="18">D22</f>
        <v>ABY0111</v>
      </c>
      <c r="AW22" s="519">
        <f t="shared" ref="AW22:AW85" si="19">E22</f>
        <v>4.4687999999999999</v>
      </c>
      <c r="AX22" s="538"/>
      <c r="AY22" s="539">
        <f ca="1">($AW$12-$AW$14)*AW22/$AW$13</f>
        <v>0.13556124453424806</v>
      </c>
      <c r="AZ22" s="189"/>
      <c r="BC22" s="525"/>
      <c r="BD22" s="525"/>
      <c r="BE22" s="525"/>
      <c r="BF22" s="525"/>
      <c r="BG22" s="525"/>
      <c r="BH22" s="525"/>
      <c r="BI22" s="526"/>
    </row>
    <row r="23" spans="1:61" x14ac:dyDescent="0.3">
      <c r="A23" s="556">
        <v>1</v>
      </c>
      <c r="B23" s="519" t="str">
        <f t="shared" ref="B23:B86" si="20">LEFT(D23,3)</f>
        <v>ALB</v>
      </c>
      <c r="C23" s="519" t="str">
        <f>AMDs!C4</f>
        <v>Vector</v>
      </c>
      <c r="D23" s="519" t="str">
        <f>AMDs!D4</f>
        <v>ALB0331</v>
      </c>
      <c r="E23" s="519">
        <f>IF(AMDs!C4="other",0,AMDs!E4)</f>
        <v>158.68439999999899</v>
      </c>
      <c r="H23" s="519">
        <f ca="1">_xlfn.IFNA(IF(VLOOKUP($B23&amp;OFFSET(H$10,$A23*2,0),'Mapping A'!$B$6:$E$1011,4,0)=1,$E23,""),0)</f>
        <v>158.68439999999899</v>
      </c>
      <c r="I23" s="519">
        <f ca="1">_xlfn.IFNA(IF(VLOOKUP($B23&amp;OFFSET(I$10,$A23*2,0),'Mapping A'!$B$6:$E$1011,4,0)=1,$E23,""),0)</f>
        <v>158.68439999999899</v>
      </c>
      <c r="J23" s="519">
        <f ca="1">_xlfn.IFNA(IF(VLOOKUP($B23&amp;OFFSET(J$10,$A23*2,0),'Mapping A'!$B$6:$E$1011,4,0)=1,$E23,""),0)</f>
        <v>158.68439999999899</v>
      </c>
      <c r="K23" s="519">
        <f ca="1">_xlfn.IFNA(IF(VLOOKUP($B23&amp;OFFSET(K$10,$A23*2,0),'Mapping A'!$B$6:$E$1011,4,0)=1,$E23,""),0)</f>
        <v>158.68439999999899</v>
      </c>
      <c r="L23" s="519">
        <f ca="1">_xlfn.IFNA(IF(VLOOKUP($B23&amp;OFFSET(L$10,$A23*2,0),'Mapping A'!$B$6:$E$1011,4,0)=1,$E23,""),0)</f>
        <v>0</v>
      </c>
      <c r="M23" s="519">
        <f ca="1">_xlfn.IFNA(IF(VLOOKUP($B23&amp;OFFSET(M$10,$A23*2,0),'Mapping A'!$B$6:$E$1011,4,0)=1,$E23,""),0)</f>
        <v>158.68439999999899</v>
      </c>
      <c r="N23" s="519">
        <f ca="1">_xlfn.IFNA(IF(VLOOKUP($B23&amp;OFFSET(N$10,$A23*2,0),'Mapping A'!$B$6:$E$1011,4,0)=1,$E23,""),0)</f>
        <v>158.68439999999899</v>
      </c>
      <c r="O23" s="519">
        <f ca="1">_xlfn.IFNA(IF(VLOOKUP($B23&amp;OFFSET(O$10,$A23*2,0),'Mapping A'!$B$6:$E$1011,4,0)=1,$E23,""),0)</f>
        <v>0</v>
      </c>
      <c r="P23" s="519">
        <f ca="1">_xlfn.IFNA(IF(VLOOKUP($B23&amp;OFFSET(P$10,$A23*2,0),'Mapping A'!$B$6:$E$1011,4,0)=1,$E23,""),0)</f>
        <v>0</v>
      </c>
      <c r="Q23" s="519">
        <f ca="1">_xlfn.IFNA(IF(VLOOKUP($B23&amp;OFFSET(Q$10,$A23*2,0),'Mapping A'!$B$6:$E$1011,4,0)=1,$E23,""),0)</f>
        <v>158.68439999999899</v>
      </c>
      <c r="R23" s="519">
        <f ca="1">_xlfn.IFNA(IF(VLOOKUP($B23&amp;OFFSET(R$10,$A23*2,0),'Mapping A'!$B$6:$E$1011,4,0)=1,$E23,""),0)</f>
        <v>0</v>
      </c>
      <c r="S23" s="519">
        <f ca="1">_xlfn.IFNA(IF(VLOOKUP($B23&amp;OFFSET(S$10,$A23*2,0),'Mapping A'!$B$6:$E$1011,4,0)=1,$E23,""),0)</f>
        <v>0</v>
      </c>
      <c r="T23" s="519">
        <f ca="1">_xlfn.IFNA(IF(VLOOKUP($B23&amp;OFFSET(T$10,$A23*2,0),'Mapping A'!$B$6:$E$1011,4,0)=1,$E23,""),0)</f>
        <v>0</v>
      </c>
      <c r="Y23" s="534" t="str">
        <f t="shared" ref="Y23:Y87" si="21">Z23&amp;AA23</f>
        <v>VectorALB0331</v>
      </c>
      <c r="Z23" s="519" t="str">
        <f t="shared" si="4"/>
        <v>Vector</v>
      </c>
      <c r="AA23" s="519" t="str">
        <f t="shared" si="5"/>
        <v>ALB0331</v>
      </c>
      <c r="AB23" s="519">
        <f t="shared" ref="AB23:AB86" si="22">E23</f>
        <v>158.68439999999899</v>
      </c>
      <c r="AC23" s="324"/>
      <c r="AE23" s="519">
        <f t="shared" ca="1" si="6"/>
        <v>0</v>
      </c>
      <c r="AF23" s="519">
        <f t="shared" ca="1" si="7"/>
        <v>0</v>
      </c>
      <c r="AG23" s="519">
        <f t="shared" ca="1" si="8"/>
        <v>0</v>
      </c>
      <c r="AH23" s="519">
        <f t="shared" ca="1" si="9"/>
        <v>2.7852477465943162</v>
      </c>
      <c r="AI23" s="519">
        <f t="shared" ref="AI23:AI86" ca="1" si="23">IF(SUMIF($A$22:$A$652,$A23,L$22:L$652)=0,0,OFFSET(L$11,$A23*2,0)*L$7*L23/SUMIF($A$22:$A$652,$A23,L$22:L$652))</f>
        <v>0</v>
      </c>
      <c r="AJ23" s="519">
        <f t="shared" ca="1" si="10"/>
        <v>0</v>
      </c>
      <c r="AK23" s="519">
        <f t="shared" ca="1" si="11"/>
        <v>0.63556704041489598</v>
      </c>
      <c r="AL23" s="519">
        <f t="shared" ca="1" si="12"/>
        <v>0</v>
      </c>
      <c r="AM23" s="519">
        <f t="shared" ca="1" si="13"/>
        <v>0</v>
      </c>
      <c r="AN23" s="519">
        <f t="shared" ca="1" si="14"/>
        <v>0.29312489361493249</v>
      </c>
      <c r="AO23" s="519">
        <f t="shared" ca="1" si="15"/>
        <v>0</v>
      </c>
      <c r="AP23" s="519">
        <f t="shared" ca="1" si="16"/>
        <v>0</v>
      </c>
      <c r="AQ23" s="519">
        <f t="shared" ca="1" si="17"/>
        <v>0</v>
      </c>
      <c r="AS23" s="536"/>
      <c r="AT23" s="536"/>
      <c r="AU23" s="519" t="str">
        <f t="shared" ref="AU23:AU86" si="24">C23</f>
        <v>Vector</v>
      </c>
      <c r="AV23" s="519" t="str">
        <f t="shared" si="18"/>
        <v>ALB0331</v>
      </c>
      <c r="AW23" s="519">
        <f t="shared" si="19"/>
        <v>158.68439999999899</v>
      </c>
      <c r="AX23" s="538"/>
      <c r="AY23" s="539">
        <f t="shared" ref="AY23:AY86" ca="1" si="25">($AW$12-$AW$14)*AW23/$AW$13</f>
        <v>4.8136982528129018</v>
      </c>
      <c r="AZ23" s="189"/>
      <c r="BC23" s="525"/>
      <c r="BD23" s="525"/>
      <c r="BE23" s="525"/>
      <c r="BF23" s="525"/>
      <c r="BG23" s="525"/>
      <c r="BH23" s="525"/>
      <c r="BI23" s="526"/>
    </row>
    <row r="24" spans="1:61" x14ac:dyDescent="0.3">
      <c r="A24" s="556">
        <v>1</v>
      </c>
      <c r="B24" s="519" t="str">
        <f t="shared" si="20"/>
        <v>ALB</v>
      </c>
      <c r="C24" s="519" t="str">
        <f>AMDs!C5</f>
        <v>Vector</v>
      </c>
      <c r="D24" s="519" t="str">
        <f>AMDs!D5</f>
        <v>ALB1101</v>
      </c>
      <c r="E24" s="519">
        <f>IF(AMDs!C5="other",0,AMDs!E5)</f>
        <v>146.62620000000001</v>
      </c>
      <c r="H24" s="519">
        <f ca="1">_xlfn.IFNA(IF(VLOOKUP($B24&amp;OFFSET(H$10,$A24*2,0),'Mapping A'!$B$6:$E$1011,4,0)=1,$E24,""),0)</f>
        <v>146.62620000000001</v>
      </c>
      <c r="I24" s="519">
        <f ca="1">_xlfn.IFNA(IF(VLOOKUP($B24&amp;OFFSET(I$10,$A24*2,0),'Mapping A'!$B$6:$E$1011,4,0)=1,$E24,""),0)</f>
        <v>146.62620000000001</v>
      </c>
      <c r="J24" s="519">
        <f ca="1">_xlfn.IFNA(IF(VLOOKUP($B24&amp;OFFSET(J$10,$A24*2,0),'Mapping A'!$B$6:$E$1011,4,0)=1,$E24,""),0)</f>
        <v>146.62620000000001</v>
      </c>
      <c r="K24" s="519">
        <f ca="1">_xlfn.IFNA(IF(VLOOKUP($B24&amp;OFFSET(K$10,$A24*2,0),'Mapping A'!$B$6:$E$1011,4,0)=1,$E24,""),0)</f>
        <v>146.62620000000001</v>
      </c>
      <c r="L24" s="519">
        <f ca="1">_xlfn.IFNA(IF(VLOOKUP($B24&amp;OFFSET(L$10,$A24*2,0),'Mapping A'!$B$6:$E$1011,4,0)=1,$E24,""),0)</f>
        <v>0</v>
      </c>
      <c r="M24" s="519">
        <f ca="1">_xlfn.IFNA(IF(VLOOKUP($B24&amp;OFFSET(M$10,$A24*2,0),'Mapping A'!$B$6:$E$1011,4,0)=1,$E24,""),0)</f>
        <v>146.62620000000001</v>
      </c>
      <c r="N24" s="519">
        <f ca="1">_xlfn.IFNA(IF(VLOOKUP($B24&amp;OFFSET(N$10,$A24*2,0),'Mapping A'!$B$6:$E$1011,4,0)=1,$E24,""),0)</f>
        <v>146.62620000000001</v>
      </c>
      <c r="O24" s="519">
        <f ca="1">_xlfn.IFNA(IF(VLOOKUP($B24&amp;OFFSET(O$10,$A24*2,0),'Mapping A'!$B$6:$E$1011,4,0)=1,$E24,""),0)</f>
        <v>0</v>
      </c>
      <c r="P24" s="519">
        <f ca="1">_xlfn.IFNA(IF(VLOOKUP($B24&amp;OFFSET(P$10,$A24*2,0),'Mapping A'!$B$6:$E$1011,4,0)=1,$E24,""),0)</f>
        <v>0</v>
      </c>
      <c r="Q24" s="519">
        <f ca="1">_xlfn.IFNA(IF(VLOOKUP($B24&amp;OFFSET(Q$10,$A24*2,0),'Mapping A'!$B$6:$E$1011,4,0)=1,$E24,""),0)</f>
        <v>146.62620000000001</v>
      </c>
      <c r="R24" s="519">
        <f ca="1">_xlfn.IFNA(IF(VLOOKUP($B24&amp;OFFSET(R$10,$A24*2,0),'Mapping A'!$B$6:$E$1011,4,0)=1,$E24,""),0)</f>
        <v>0</v>
      </c>
      <c r="S24" s="519">
        <f ca="1">_xlfn.IFNA(IF(VLOOKUP($B24&amp;OFFSET(S$10,$A24*2,0),'Mapping A'!$B$6:$E$1011,4,0)=1,$E24,""),0)</f>
        <v>0</v>
      </c>
      <c r="T24" s="519">
        <f ca="1">_xlfn.IFNA(IF(VLOOKUP($B24&amp;OFFSET(T$10,$A24*2,0),'Mapping A'!$B$6:$E$1011,4,0)=1,$E24,""),0)</f>
        <v>0</v>
      </c>
      <c r="Y24" s="534" t="str">
        <f t="shared" si="21"/>
        <v>VectorALB1101</v>
      </c>
      <c r="Z24" s="519" t="str">
        <f t="shared" si="4"/>
        <v>Vector</v>
      </c>
      <c r="AA24" s="519" t="str">
        <f t="shared" si="5"/>
        <v>ALB1101</v>
      </c>
      <c r="AB24" s="519">
        <f t="shared" si="22"/>
        <v>146.62620000000001</v>
      </c>
      <c r="AC24" s="324"/>
      <c r="AE24" s="519">
        <f t="shared" ca="1" si="6"/>
        <v>0</v>
      </c>
      <c r="AF24" s="519">
        <f t="shared" ca="1" si="7"/>
        <v>0</v>
      </c>
      <c r="AG24" s="519">
        <f t="shared" ca="1" si="8"/>
        <v>0</v>
      </c>
      <c r="AH24" s="519">
        <f t="shared" ca="1" si="9"/>
        <v>2.5736007644210153</v>
      </c>
      <c r="AI24" s="519">
        <f t="shared" ca="1" si="23"/>
        <v>0</v>
      </c>
      <c r="AJ24" s="519">
        <f t="shared" ca="1" si="10"/>
        <v>0</v>
      </c>
      <c r="AK24" s="519">
        <f t="shared" ca="1" si="11"/>
        <v>0.5872712124272027</v>
      </c>
      <c r="AL24" s="519">
        <f t="shared" ca="1" si="12"/>
        <v>0</v>
      </c>
      <c r="AM24" s="519">
        <f t="shared" ca="1" si="13"/>
        <v>0</v>
      </c>
      <c r="AN24" s="519">
        <f t="shared" ca="1" si="14"/>
        <v>0.27085075329498104</v>
      </c>
      <c r="AO24" s="519">
        <f t="shared" ca="1" si="15"/>
        <v>0</v>
      </c>
      <c r="AP24" s="519">
        <f t="shared" ca="1" si="16"/>
        <v>0</v>
      </c>
      <c r="AQ24" s="519">
        <f t="shared" ca="1" si="17"/>
        <v>0</v>
      </c>
      <c r="AS24" s="536"/>
      <c r="AT24" s="536"/>
      <c r="AU24" s="519" t="str">
        <f t="shared" si="24"/>
        <v>Vector</v>
      </c>
      <c r="AV24" s="519" t="str">
        <f t="shared" si="18"/>
        <v>ALB1101</v>
      </c>
      <c r="AW24" s="519">
        <f t="shared" si="19"/>
        <v>146.62620000000001</v>
      </c>
      <c r="AX24" s="538"/>
      <c r="AY24" s="539">
        <f ca="1">($AW$12-$AW$14)*AW24/$AW$13</f>
        <v>4.4479122255029466</v>
      </c>
      <c r="AZ24" s="189"/>
      <c r="BC24" s="525"/>
      <c r="BD24" s="525"/>
      <c r="BE24" s="525"/>
      <c r="BF24" s="525"/>
      <c r="BG24" s="525"/>
      <c r="BH24" s="525"/>
      <c r="BI24" s="526"/>
    </row>
    <row r="25" spans="1:61" x14ac:dyDescent="0.3">
      <c r="A25" s="556">
        <v>1</v>
      </c>
      <c r="B25" s="519" t="str">
        <f t="shared" si="20"/>
        <v>APS</v>
      </c>
      <c r="C25" s="519" t="str">
        <f>AMDs!C6</f>
        <v>Orion</v>
      </c>
      <c r="D25" s="519" t="str">
        <f>AMDs!D6</f>
        <v>APS0111</v>
      </c>
      <c r="E25" s="519">
        <f>IF(AMDs!C6="other",0,AMDs!E6)</f>
        <v>0.37169999999999997</v>
      </c>
      <c r="H25" s="519">
        <f ca="1">_xlfn.IFNA(IF(VLOOKUP($B25&amp;OFFSET(H$10,$A25*2,0),'Mapping A'!$B$6:$E$1011,4,0)=1,$E25,""),0)</f>
        <v>0</v>
      </c>
      <c r="I25" s="519">
        <f ca="1">_xlfn.IFNA(IF(VLOOKUP($B25&amp;OFFSET(I$10,$A25*2,0),'Mapping A'!$B$6:$E$1011,4,0)=1,$E25,""),0)</f>
        <v>0.37169999999999997</v>
      </c>
      <c r="J25" s="519">
        <f ca="1">_xlfn.IFNA(IF(VLOOKUP($B25&amp;OFFSET(J$10,$A25*2,0),'Mapping A'!$B$6:$E$1011,4,0)=1,$E25,""),0)</f>
        <v>0</v>
      </c>
      <c r="K25" s="519">
        <f ca="1">_xlfn.IFNA(IF(VLOOKUP($B25&amp;OFFSET(K$10,$A25*2,0),'Mapping A'!$B$6:$E$1011,4,0)=1,$E25,""),0)</f>
        <v>0</v>
      </c>
      <c r="L25" s="519">
        <f ca="1">_xlfn.IFNA(IF(VLOOKUP($B25&amp;OFFSET(L$10,$A25*2,0),'Mapping A'!$B$6:$E$1011,4,0)=1,$E25,""),0)</f>
        <v>0</v>
      </c>
      <c r="M25" s="519">
        <f ca="1">_xlfn.IFNA(IF(VLOOKUP($B25&amp;OFFSET(M$10,$A25*2,0),'Mapping A'!$B$6:$E$1011,4,0)=1,$E25,""),0)</f>
        <v>0</v>
      </c>
      <c r="N25" s="519">
        <f ca="1">_xlfn.IFNA(IF(VLOOKUP($B25&amp;OFFSET(N$10,$A25*2,0),'Mapping A'!$B$6:$E$1011,4,0)=1,$E25,""),0)</f>
        <v>0</v>
      </c>
      <c r="O25" s="519">
        <f ca="1">_xlfn.IFNA(IF(VLOOKUP($B25&amp;OFFSET(O$10,$A25*2,0),'Mapping A'!$B$6:$E$1011,4,0)=1,$E25,""),0)</f>
        <v>0</v>
      </c>
      <c r="P25" s="519">
        <f ca="1">_xlfn.IFNA(IF(VLOOKUP($B25&amp;OFFSET(P$10,$A25*2,0),'Mapping A'!$B$6:$E$1011,4,0)=1,$E25,""),0)</f>
        <v>0.37169999999999997</v>
      </c>
      <c r="Q25" s="519">
        <f ca="1">_xlfn.IFNA(IF(VLOOKUP($B25&amp;OFFSET(Q$10,$A25*2,0),'Mapping A'!$B$6:$E$1011,4,0)=1,$E25,""),0)</f>
        <v>0</v>
      </c>
      <c r="R25" s="519">
        <f ca="1">_xlfn.IFNA(IF(VLOOKUP($B25&amp;OFFSET(R$10,$A25*2,0),'Mapping A'!$B$6:$E$1011,4,0)=1,$E25,""),0)</f>
        <v>0</v>
      </c>
      <c r="S25" s="519">
        <f ca="1">_xlfn.IFNA(IF(VLOOKUP($B25&amp;OFFSET(S$10,$A25*2,0),'Mapping A'!$B$6:$E$1011,4,0)=1,$E25,""),0)</f>
        <v>0</v>
      </c>
      <c r="T25" s="519">
        <f ca="1">_xlfn.IFNA(IF(VLOOKUP($B25&amp;OFFSET(T$10,$A25*2,0),'Mapping A'!$B$6:$E$1011,4,0)=1,$E25,""),0)</f>
        <v>0.37169999999999997</v>
      </c>
      <c r="Y25" s="534" t="str">
        <f t="shared" si="21"/>
        <v>OrionAPS0111</v>
      </c>
      <c r="Z25" s="519" t="str">
        <f t="shared" si="4"/>
        <v>Orion</v>
      </c>
      <c r="AA25" s="519" t="str">
        <f t="shared" si="5"/>
        <v>APS0111</v>
      </c>
      <c r="AB25" s="519">
        <f t="shared" si="22"/>
        <v>0.37169999999999997</v>
      </c>
      <c r="AC25" s="324"/>
      <c r="AE25" s="519">
        <f t="shared" ca="1" si="6"/>
        <v>0</v>
      </c>
      <c r="AF25" s="519">
        <f t="shared" ca="1" si="7"/>
        <v>0</v>
      </c>
      <c r="AG25" s="519">
        <f t="shared" ca="1" si="8"/>
        <v>0</v>
      </c>
      <c r="AH25" s="519">
        <f t="shared" ca="1" si="9"/>
        <v>0</v>
      </c>
      <c r="AI25" s="519">
        <f t="shared" ca="1" si="23"/>
        <v>0</v>
      </c>
      <c r="AJ25" s="519">
        <f t="shared" ca="1" si="10"/>
        <v>0</v>
      </c>
      <c r="AK25" s="519">
        <f t="shared" ca="1" si="11"/>
        <v>0</v>
      </c>
      <c r="AL25" s="519">
        <f t="shared" ca="1" si="12"/>
        <v>0</v>
      </c>
      <c r="AM25" s="519">
        <f t="shared" ca="1" si="13"/>
        <v>9.9016054011736481E-4</v>
      </c>
      <c r="AN25" s="519">
        <f t="shared" ca="1" si="14"/>
        <v>0</v>
      </c>
      <c r="AO25" s="519">
        <f t="shared" ca="1" si="15"/>
        <v>0</v>
      </c>
      <c r="AP25" s="519">
        <f t="shared" ca="1" si="16"/>
        <v>0</v>
      </c>
      <c r="AQ25" s="519">
        <f t="shared" ca="1" si="17"/>
        <v>0</v>
      </c>
      <c r="AS25" s="536"/>
      <c r="AT25" s="536"/>
      <c r="AU25" s="519" t="str">
        <f t="shared" si="24"/>
        <v>Orion</v>
      </c>
      <c r="AV25" s="519" t="str">
        <f t="shared" si="18"/>
        <v>APS0111</v>
      </c>
      <c r="AW25" s="519">
        <f t="shared" si="19"/>
        <v>0.37169999999999997</v>
      </c>
      <c r="AX25" s="538"/>
      <c r="AY25" s="539">
        <f t="shared" ca="1" si="25"/>
        <v>1.1275535847068566E-2</v>
      </c>
      <c r="AZ25" s="189"/>
      <c r="BC25" s="525"/>
      <c r="BD25" s="525"/>
      <c r="BE25" s="525"/>
      <c r="BF25" s="525"/>
      <c r="BG25" s="525"/>
      <c r="BH25" s="525"/>
      <c r="BI25" s="526"/>
    </row>
    <row r="26" spans="1:61" x14ac:dyDescent="0.3">
      <c r="A26" s="556">
        <v>1</v>
      </c>
      <c r="B26" s="519" t="str">
        <f t="shared" si="20"/>
        <v>ARA</v>
      </c>
      <c r="C26" s="519" t="str">
        <f>AMDs!C7</f>
        <v>MRP</v>
      </c>
      <c r="D26" s="519" t="str">
        <f>AMDs!D7</f>
        <v>ARA2201</v>
      </c>
      <c r="E26" s="519">
        <f>IF(AMDs!C7="other",0,AMDs!E7)</f>
        <v>5.1029999999999998</v>
      </c>
      <c r="H26" s="519">
        <f ca="1">_xlfn.IFNA(IF(VLOOKUP($B26&amp;OFFSET(H$10,$A26*2,0),'Mapping A'!$B$6:$E$1011,4,0)=1,$E26,""),0)</f>
        <v>0</v>
      </c>
      <c r="I26" s="519">
        <f ca="1">_xlfn.IFNA(IF(VLOOKUP($B26&amp;OFFSET(I$10,$A26*2,0),'Mapping A'!$B$6:$E$1011,4,0)=1,$E26,""),0)</f>
        <v>0</v>
      </c>
      <c r="J26" s="519">
        <f ca="1">_xlfn.IFNA(IF(VLOOKUP($B26&amp;OFFSET(J$10,$A26*2,0),'Mapping A'!$B$6:$E$1011,4,0)=1,$E26,""),0)</f>
        <v>0</v>
      </c>
      <c r="K26" s="519">
        <f ca="1">_xlfn.IFNA(IF(VLOOKUP($B26&amp;OFFSET(K$10,$A26*2,0),'Mapping A'!$B$6:$E$1011,4,0)=1,$E26,""),0)</f>
        <v>0</v>
      </c>
      <c r="L26" s="519">
        <f ca="1">_xlfn.IFNA(IF(VLOOKUP($B26&amp;OFFSET(L$10,$A26*2,0),'Mapping A'!$B$6:$E$1011,4,0)=1,$E26,""),0)</f>
        <v>0</v>
      </c>
      <c r="M26" s="519">
        <f ca="1">_xlfn.IFNA(IF(VLOOKUP($B26&amp;OFFSET(M$10,$A26*2,0),'Mapping A'!$B$6:$E$1011,4,0)=1,$E26,""),0)</f>
        <v>0</v>
      </c>
      <c r="N26" s="519">
        <f ca="1">_xlfn.IFNA(IF(VLOOKUP($B26&amp;OFFSET(N$10,$A26*2,0),'Mapping A'!$B$6:$E$1011,4,0)=1,$E26,""),0)</f>
        <v>0</v>
      </c>
      <c r="O26" s="519">
        <f ca="1">_xlfn.IFNA(IF(VLOOKUP($B26&amp;OFFSET(O$10,$A26*2,0),'Mapping A'!$B$6:$E$1011,4,0)=1,$E26,""),0)</f>
        <v>0</v>
      </c>
      <c r="P26" s="519">
        <f ca="1">_xlfn.IFNA(IF(VLOOKUP($B26&amp;OFFSET(P$10,$A26*2,0),'Mapping A'!$B$6:$E$1011,4,0)=1,$E26,""),0)</f>
        <v>0</v>
      </c>
      <c r="Q26" s="519">
        <f ca="1">_xlfn.IFNA(IF(VLOOKUP($B26&amp;OFFSET(Q$10,$A26*2,0),'Mapping A'!$B$6:$E$1011,4,0)=1,$E26,""),0)</f>
        <v>0</v>
      </c>
      <c r="R26" s="519">
        <f ca="1">_xlfn.IFNA(IF(VLOOKUP($B26&amp;OFFSET(R$10,$A26*2,0),'Mapping A'!$B$6:$E$1011,4,0)=1,$E26,""),0)</f>
        <v>0</v>
      </c>
      <c r="S26" s="519">
        <f ca="1">_xlfn.IFNA(IF(VLOOKUP($B26&amp;OFFSET(S$10,$A26*2,0),'Mapping A'!$B$6:$E$1011,4,0)=1,$E26,""),0)</f>
        <v>0</v>
      </c>
      <c r="T26" s="519">
        <f ca="1">_xlfn.IFNA(IF(VLOOKUP($B26&amp;OFFSET(T$10,$A26*2,0),'Mapping A'!$B$6:$E$1011,4,0)=1,$E26,""),0)</f>
        <v>0</v>
      </c>
      <c r="Y26" s="534" t="str">
        <f t="shared" si="21"/>
        <v>MRPARA2201</v>
      </c>
      <c r="Z26" s="519" t="str">
        <f t="shared" si="4"/>
        <v>MRP</v>
      </c>
      <c r="AA26" s="519" t="str">
        <f t="shared" si="5"/>
        <v>ARA2201</v>
      </c>
      <c r="AB26" s="519">
        <f t="shared" si="22"/>
        <v>5.1029999999999998</v>
      </c>
      <c r="AC26" s="324"/>
      <c r="AE26" s="519">
        <f t="shared" ca="1" si="6"/>
        <v>0</v>
      </c>
      <c r="AF26" s="519">
        <f t="shared" ca="1" si="7"/>
        <v>0</v>
      </c>
      <c r="AG26" s="519">
        <f t="shared" ca="1" si="8"/>
        <v>0</v>
      </c>
      <c r="AH26" s="519">
        <f t="shared" ca="1" si="9"/>
        <v>0</v>
      </c>
      <c r="AI26" s="519">
        <f t="shared" ca="1" si="23"/>
        <v>0</v>
      </c>
      <c r="AJ26" s="519">
        <f t="shared" ca="1" si="10"/>
        <v>0</v>
      </c>
      <c r="AK26" s="519">
        <f t="shared" ca="1" si="11"/>
        <v>0</v>
      </c>
      <c r="AL26" s="519">
        <f t="shared" ca="1" si="12"/>
        <v>0</v>
      </c>
      <c r="AM26" s="519">
        <f t="shared" ca="1" si="13"/>
        <v>0</v>
      </c>
      <c r="AN26" s="519">
        <f t="shared" ca="1" si="14"/>
        <v>0</v>
      </c>
      <c r="AO26" s="519">
        <f t="shared" ca="1" si="15"/>
        <v>0</v>
      </c>
      <c r="AP26" s="519">
        <f t="shared" ca="1" si="16"/>
        <v>0</v>
      </c>
      <c r="AQ26" s="519">
        <f t="shared" ca="1" si="17"/>
        <v>0</v>
      </c>
      <c r="AS26" s="536"/>
      <c r="AT26" s="536"/>
      <c r="AU26" s="519" t="str">
        <f t="shared" si="24"/>
        <v>MRP</v>
      </c>
      <c r="AV26" s="519" t="str">
        <f t="shared" si="18"/>
        <v>ARA2201</v>
      </c>
      <c r="AW26" s="519">
        <f t="shared" si="19"/>
        <v>5.1029999999999998</v>
      </c>
      <c r="AX26" s="538"/>
      <c r="AY26" s="539">
        <f t="shared" ca="1" si="25"/>
        <v>0.15479972942585657</v>
      </c>
      <c r="AZ26" s="189"/>
      <c r="BC26" s="525"/>
      <c r="BD26" s="525"/>
      <c r="BE26" s="525"/>
      <c r="BF26" s="525"/>
      <c r="BG26" s="525"/>
      <c r="BH26" s="525"/>
      <c r="BI26" s="526"/>
    </row>
    <row r="27" spans="1:61" x14ac:dyDescent="0.3">
      <c r="A27" s="556">
        <v>1</v>
      </c>
      <c r="B27" s="519" t="str">
        <f t="shared" si="20"/>
        <v>ARG</v>
      </c>
      <c r="C27" s="519" t="str">
        <f>AMDs!C8</f>
        <v>TrustPower</v>
      </c>
      <c r="D27" s="519" t="str">
        <f>AMDs!D8</f>
        <v>ARG1101</v>
      </c>
      <c r="E27" s="519">
        <f>IF(AMDs!C8="other",0,AMDs!E8)</f>
        <v>4.6199999999999998E-2</v>
      </c>
      <c r="H27" s="519">
        <f ca="1">_xlfn.IFNA(IF(VLOOKUP($B27&amp;OFFSET(H$10,$A27*2,0),'Mapping A'!$B$6:$E$1011,4,0)=1,$E27,""),0)</f>
        <v>0</v>
      </c>
      <c r="I27" s="519">
        <f ca="1">_xlfn.IFNA(IF(VLOOKUP($B27&amp;OFFSET(I$10,$A27*2,0),'Mapping A'!$B$6:$E$1011,4,0)=1,$E27,""),0)</f>
        <v>4.6199999999999998E-2</v>
      </c>
      <c r="J27" s="519">
        <f ca="1">_xlfn.IFNA(IF(VLOOKUP($B27&amp;OFFSET(J$10,$A27*2,0),'Mapping A'!$B$6:$E$1011,4,0)=1,$E27,""),0)</f>
        <v>0</v>
      </c>
      <c r="K27" s="519">
        <f ca="1">_xlfn.IFNA(IF(VLOOKUP($B27&amp;OFFSET(K$10,$A27*2,0),'Mapping A'!$B$6:$E$1011,4,0)=1,$E27,""),0)</f>
        <v>0</v>
      </c>
      <c r="L27" s="519">
        <f ca="1">_xlfn.IFNA(IF(VLOOKUP($B27&amp;OFFSET(L$10,$A27*2,0),'Mapping A'!$B$6:$E$1011,4,0)=1,$E27,""),0)</f>
        <v>0</v>
      </c>
      <c r="M27" s="519">
        <f ca="1">_xlfn.IFNA(IF(VLOOKUP($B27&amp;OFFSET(M$10,$A27*2,0),'Mapping A'!$B$6:$E$1011,4,0)=1,$E27,""),0)</f>
        <v>0</v>
      </c>
      <c r="N27" s="519">
        <f ca="1">_xlfn.IFNA(IF(VLOOKUP($B27&amp;OFFSET(N$10,$A27*2,0),'Mapping A'!$B$6:$E$1011,4,0)=1,$E27,""),0)</f>
        <v>0</v>
      </c>
      <c r="O27" s="519">
        <f ca="1">_xlfn.IFNA(IF(VLOOKUP($B27&amp;OFFSET(O$10,$A27*2,0),'Mapping A'!$B$6:$E$1011,4,0)=1,$E27,""),0)</f>
        <v>0</v>
      </c>
      <c r="P27" s="519">
        <f ca="1">_xlfn.IFNA(IF(VLOOKUP($B27&amp;OFFSET(P$10,$A27*2,0),'Mapping A'!$B$6:$E$1011,4,0)=1,$E27,""),0)</f>
        <v>4.6199999999999998E-2</v>
      </c>
      <c r="Q27" s="519">
        <f ca="1">_xlfn.IFNA(IF(VLOOKUP($B27&amp;OFFSET(Q$10,$A27*2,0),'Mapping A'!$B$6:$E$1011,4,0)=1,$E27,""),0)</f>
        <v>0</v>
      </c>
      <c r="R27" s="519">
        <f ca="1">_xlfn.IFNA(IF(VLOOKUP($B27&amp;OFFSET(R$10,$A27*2,0),'Mapping A'!$B$6:$E$1011,4,0)=1,$E27,""),0)</f>
        <v>0</v>
      </c>
      <c r="S27" s="519">
        <f ca="1">_xlfn.IFNA(IF(VLOOKUP($B27&amp;OFFSET(S$10,$A27*2,0),'Mapping A'!$B$6:$E$1011,4,0)=1,$E27,""),0)</f>
        <v>0</v>
      </c>
      <c r="T27" s="519">
        <f ca="1">_xlfn.IFNA(IF(VLOOKUP($B27&amp;OFFSET(T$10,$A27*2,0),'Mapping A'!$B$6:$E$1011,4,0)=1,$E27,""),0)</f>
        <v>4.6199999999999998E-2</v>
      </c>
      <c r="Y27" s="534" t="str">
        <f t="shared" si="21"/>
        <v>TrustPowerARG1101</v>
      </c>
      <c r="Z27" s="519" t="str">
        <f t="shared" si="4"/>
        <v>TrustPower</v>
      </c>
      <c r="AA27" s="519" t="str">
        <f t="shared" si="5"/>
        <v>ARG1101</v>
      </c>
      <c r="AB27" s="519">
        <f t="shared" si="22"/>
        <v>4.6199999999999998E-2</v>
      </c>
      <c r="AC27" s="324"/>
      <c r="AE27" s="519">
        <f t="shared" ca="1" si="6"/>
        <v>0</v>
      </c>
      <c r="AF27" s="519">
        <f t="shared" ca="1" si="7"/>
        <v>0</v>
      </c>
      <c r="AG27" s="519">
        <f t="shared" ca="1" si="8"/>
        <v>0</v>
      </c>
      <c r="AH27" s="519">
        <f t="shared" ca="1" si="9"/>
        <v>0</v>
      </c>
      <c r="AI27" s="519">
        <f t="shared" ca="1" si="23"/>
        <v>0</v>
      </c>
      <c r="AJ27" s="519">
        <f t="shared" ca="1" si="10"/>
        <v>0</v>
      </c>
      <c r="AK27" s="519">
        <f t="shared" ca="1" si="11"/>
        <v>0</v>
      </c>
      <c r="AL27" s="519">
        <f t="shared" ca="1" si="12"/>
        <v>0</v>
      </c>
      <c r="AM27" s="519">
        <f t="shared" ca="1" si="13"/>
        <v>1.2307080159650862E-4</v>
      </c>
      <c r="AN27" s="519">
        <f t="shared" ca="1" si="14"/>
        <v>0</v>
      </c>
      <c r="AO27" s="519">
        <f t="shared" ca="1" si="15"/>
        <v>0</v>
      </c>
      <c r="AP27" s="519">
        <f t="shared" ca="1" si="16"/>
        <v>0</v>
      </c>
      <c r="AQ27" s="519">
        <f t="shared" ca="1" si="17"/>
        <v>0</v>
      </c>
      <c r="AS27" s="536"/>
      <c r="AT27" s="536"/>
      <c r="AU27" s="519" t="str">
        <f t="shared" si="24"/>
        <v>TrustPower</v>
      </c>
      <c r="AV27" s="519" t="str">
        <f t="shared" si="18"/>
        <v>ARG1101</v>
      </c>
      <c r="AW27" s="519">
        <f t="shared" si="19"/>
        <v>4.6199999999999998E-2</v>
      </c>
      <c r="AX27" s="538"/>
      <c r="AY27" s="539">
        <f t="shared" ca="1" si="25"/>
        <v>1.4014790318390307E-3</v>
      </c>
      <c r="AZ27" s="189"/>
      <c r="BC27" s="525"/>
      <c r="BD27" s="525"/>
      <c r="BE27" s="525"/>
      <c r="BF27" s="525"/>
      <c r="BG27" s="525"/>
      <c r="BH27" s="525"/>
      <c r="BI27" s="526"/>
    </row>
    <row r="28" spans="1:61" x14ac:dyDescent="0.3">
      <c r="A28" s="556">
        <v>1</v>
      </c>
      <c r="B28" s="519" t="str">
        <f t="shared" si="20"/>
        <v>ARI</v>
      </c>
      <c r="C28" s="519" t="str">
        <f>AMDs!C9</f>
        <v>MRP</v>
      </c>
      <c r="D28" s="519" t="str">
        <f>AMDs!D9</f>
        <v>ARI1101</v>
      </c>
      <c r="E28" s="519">
        <f>IF(AMDs!C9="other",0,AMDs!E9)</f>
        <v>2.1482999999999999</v>
      </c>
      <c r="H28" s="519">
        <f ca="1">_xlfn.IFNA(IF(VLOOKUP($B28&amp;OFFSET(H$10,$A28*2,0),'Mapping A'!$B$6:$E$1011,4,0)=1,$E28,""),0)</f>
        <v>0</v>
      </c>
      <c r="I28" s="519">
        <f ca="1">_xlfn.IFNA(IF(VLOOKUP($B28&amp;OFFSET(I$10,$A28*2,0),'Mapping A'!$B$6:$E$1011,4,0)=1,$E28,""),0)</f>
        <v>0</v>
      </c>
      <c r="J28" s="519">
        <f ca="1">_xlfn.IFNA(IF(VLOOKUP($B28&amp;OFFSET(J$10,$A28*2,0),'Mapping A'!$B$6:$E$1011,4,0)=1,$E28,""),0)</f>
        <v>0</v>
      </c>
      <c r="K28" s="519">
        <f ca="1">_xlfn.IFNA(IF(VLOOKUP($B28&amp;OFFSET(K$10,$A28*2,0),'Mapping A'!$B$6:$E$1011,4,0)=1,$E28,""),0)</f>
        <v>0</v>
      </c>
      <c r="L28" s="519">
        <f ca="1">_xlfn.IFNA(IF(VLOOKUP($B28&amp;OFFSET(L$10,$A28*2,0),'Mapping A'!$B$6:$E$1011,4,0)=1,$E28,""),0)</f>
        <v>0</v>
      </c>
      <c r="M28" s="519">
        <f ca="1">_xlfn.IFNA(IF(VLOOKUP($B28&amp;OFFSET(M$10,$A28*2,0),'Mapping A'!$B$6:$E$1011,4,0)=1,$E28,""),0)</f>
        <v>0</v>
      </c>
      <c r="N28" s="519">
        <f ca="1">_xlfn.IFNA(IF(VLOOKUP($B28&amp;OFFSET(N$10,$A28*2,0),'Mapping A'!$B$6:$E$1011,4,0)=1,$E28,""),0)</f>
        <v>0</v>
      </c>
      <c r="O28" s="519">
        <f ca="1">_xlfn.IFNA(IF(VLOOKUP($B28&amp;OFFSET(O$10,$A28*2,0),'Mapping A'!$B$6:$E$1011,4,0)=1,$E28,""),0)</f>
        <v>0</v>
      </c>
      <c r="P28" s="519">
        <f ca="1">_xlfn.IFNA(IF(VLOOKUP($B28&amp;OFFSET(P$10,$A28*2,0),'Mapping A'!$B$6:$E$1011,4,0)=1,$E28,""),0)</f>
        <v>0</v>
      </c>
      <c r="Q28" s="519">
        <f ca="1">_xlfn.IFNA(IF(VLOOKUP($B28&amp;OFFSET(Q$10,$A28*2,0),'Mapping A'!$B$6:$E$1011,4,0)=1,$E28,""),0)</f>
        <v>0</v>
      </c>
      <c r="R28" s="519">
        <f ca="1">_xlfn.IFNA(IF(VLOOKUP($B28&amp;OFFSET(R$10,$A28*2,0),'Mapping A'!$B$6:$E$1011,4,0)=1,$E28,""),0)</f>
        <v>0</v>
      </c>
      <c r="S28" s="519">
        <f ca="1">_xlfn.IFNA(IF(VLOOKUP($B28&amp;OFFSET(S$10,$A28*2,0),'Mapping A'!$B$6:$E$1011,4,0)=1,$E28,""),0)</f>
        <v>0</v>
      </c>
      <c r="T28" s="519">
        <f ca="1">_xlfn.IFNA(IF(VLOOKUP($B28&amp;OFFSET(T$10,$A28*2,0),'Mapping A'!$B$6:$E$1011,4,0)=1,$E28,""),0)</f>
        <v>0</v>
      </c>
      <c r="Y28" s="534" t="str">
        <f t="shared" si="21"/>
        <v>MRPARI1101</v>
      </c>
      <c r="Z28" s="519" t="str">
        <f t="shared" si="4"/>
        <v>MRP</v>
      </c>
      <c r="AA28" s="519" t="str">
        <f t="shared" si="5"/>
        <v>ARI1101</v>
      </c>
      <c r="AB28" s="519">
        <f t="shared" si="22"/>
        <v>2.1482999999999999</v>
      </c>
      <c r="AC28" s="324"/>
      <c r="AE28" s="519">
        <f t="shared" ca="1" si="6"/>
        <v>0</v>
      </c>
      <c r="AF28" s="519">
        <f t="shared" ca="1" si="7"/>
        <v>0</v>
      </c>
      <c r="AG28" s="519">
        <f t="shared" ca="1" si="8"/>
        <v>0</v>
      </c>
      <c r="AH28" s="519">
        <f t="shared" ca="1" si="9"/>
        <v>0</v>
      </c>
      <c r="AI28" s="519">
        <f t="shared" ca="1" si="23"/>
        <v>0</v>
      </c>
      <c r="AJ28" s="519">
        <f t="shared" ca="1" si="10"/>
        <v>0</v>
      </c>
      <c r="AK28" s="519">
        <f t="shared" ca="1" si="11"/>
        <v>0</v>
      </c>
      <c r="AL28" s="519">
        <f t="shared" ca="1" si="12"/>
        <v>0</v>
      </c>
      <c r="AM28" s="519">
        <f t="shared" ca="1" si="13"/>
        <v>0</v>
      </c>
      <c r="AN28" s="519">
        <f t="shared" ca="1" si="14"/>
        <v>0</v>
      </c>
      <c r="AO28" s="519">
        <f t="shared" ca="1" si="15"/>
        <v>0</v>
      </c>
      <c r="AP28" s="519">
        <f t="shared" ca="1" si="16"/>
        <v>0</v>
      </c>
      <c r="AQ28" s="519">
        <f t="shared" ca="1" si="17"/>
        <v>0</v>
      </c>
      <c r="AS28" s="536"/>
      <c r="AT28" s="536"/>
      <c r="AU28" s="519" t="str">
        <f t="shared" si="24"/>
        <v>MRP</v>
      </c>
      <c r="AV28" s="519" t="str">
        <f t="shared" si="18"/>
        <v>ARI1101</v>
      </c>
      <c r="AW28" s="519">
        <f t="shared" si="19"/>
        <v>2.1482999999999999</v>
      </c>
      <c r="AX28" s="538"/>
      <c r="AY28" s="539">
        <f t="shared" ca="1" si="25"/>
        <v>6.5168774980514932E-2</v>
      </c>
      <c r="AZ28" s="189"/>
      <c r="BC28" s="525"/>
      <c r="BD28" s="525"/>
      <c r="BE28" s="525"/>
      <c r="BF28" s="525"/>
      <c r="BG28" s="525"/>
      <c r="BH28" s="525"/>
      <c r="BI28" s="525"/>
    </row>
    <row r="29" spans="1:61" x14ac:dyDescent="0.3">
      <c r="A29" s="556">
        <v>1</v>
      </c>
      <c r="B29" s="519" t="str">
        <f t="shared" si="20"/>
        <v>ARI</v>
      </c>
      <c r="C29" s="519" t="str">
        <f>AMDs!C10</f>
        <v>MRP</v>
      </c>
      <c r="D29" s="519" t="str">
        <f>AMDs!D10</f>
        <v>ARI1102</v>
      </c>
      <c r="E29" s="519">
        <f>IF(AMDs!C10="other",0,AMDs!E10)</f>
        <v>3.5678999999999998</v>
      </c>
      <c r="H29" s="519">
        <f ca="1">_xlfn.IFNA(IF(VLOOKUP($B29&amp;OFFSET(H$10,$A29*2,0),'Mapping A'!$B$6:$E$1011,4,0)=1,$E29,""),0)</f>
        <v>0</v>
      </c>
      <c r="I29" s="519">
        <f ca="1">_xlfn.IFNA(IF(VLOOKUP($B29&amp;OFFSET(I$10,$A29*2,0),'Mapping A'!$B$6:$E$1011,4,0)=1,$E29,""),0)</f>
        <v>0</v>
      </c>
      <c r="J29" s="519">
        <f ca="1">_xlfn.IFNA(IF(VLOOKUP($B29&amp;OFFSET(J$10,$A29*2,0),'Mapping A'!$B$6:$E$1011,4,0)=1,$E29,""),0)</f>
        <v>0</v>
      </c>
      <c r="K29" s="519">
        <f ca="1">_xlfn.IFNA(IF(VLOOKUP($B29&amp;OFFSET(K$10,$A29*2,0),'Mapping A'!$B$6:$E$1011,4,0)=1,$E29,""),0)</f>
        <v>0</v>
      </c>
      <c r="L29" s="519">
        <f ca="1">_xlfn.IFNA(IF(VLOOKUP($B29&amp;OFFSET(L$10,$A29*2,0),'Mapping A'!$B$6:$E$1011,4,0)=1,$E29,""),0)</f>
        <v>0</v>
      </c>
      <c r="M29" s="519">
        <f ca="1">_xlfn.IFNA(IF(VLOOKUP($B29&amp;OFFSET(M$10,$A29*2,0),'Mapping A'!$B$6:$E$1011,4,0)=1,$E29,""),0)</f>
        <v>0</v>
      </c>
      <c r="N29" s="519">
        <f ca="1">_xlfn.IFNA(IF(VLOOKUP($B29&amp;OFFSET(N$10,$A29*2,0),'Mapping A'!$B$6:$E$1011,4,0)=1,$E29,""),0)</f>
        <v>0</v>
      </c>
      <c r="O29" s="519">
        <f ca="1">_xlfn.IFNA(IF(VLOOKUP($B29&amp;OFFSET(O$10,$A29*2,0),'Mapping A'!$B$6:$E$1011,4,0)=1,$E29,""),0)</f>
        <v>0</v>
      </c>
      <c r="P29" s="519">
        <f ca="1">_xlfn.IFNA(IF(VLOOKUP($B29&amp;OFFSET(P$10,$A29*2,0),'Mapping A'!$B$6:$E$1011,4,0)=1,$E29,""),0)</f>
        <v>0</v>
      </c>
      <c r="Q29" s="519">
        <f ca="1">_xlfn.IFNA(IF(VLOOKUP($B29&amp;OFFSET(Q$10,$A29*2,0),'Mapping A'!$B$6:$E$1011,4,0)=1,$E29,""),0)</f>
        <v>0</v>
      </c>
      <c r="R29" s="519">
        <f ca="1">_xlfn.IFNA(IF(VLOOKUP($B29&amp;OFFSET(R$10,$A29*2,0),'Mapping A'!$B$6:$E$1011,4,0)=1,$E29,""),0)</f>
        <v>0</v>
      </c>
      <c r="S29" s="519">
        <f ca="1">_xlfn.IFNA(IF(VLOOKUP($B29&amp;OFFSET(S$10,$A29*2,0),'Mapping A'!$B$6:$E$1011,4,0)=1,$E29,""),0)</f>
        <v>0</v>
      </c>
      <c r="T29" s="519">
        <f ca="1">_xlfn.IFNA(IF(VLOOKUP($B29&amp;OFFSET(T$10,$A29*2,0),'Mapping A'!$B$6:$E$1011,4,0)=1,$E29,""),0)</f>
        <v>0</v>
      </c>
      <c r="Y29" s="534" t="str">
        <f t="shared" si="21"/>
        <v>MRPARI1102</v>
      </c>
      <c r="Z29" s="519" t="str">
        <f t="shared" si="4"/>
        <v>MRP</v>
      </c>
      <c r="AA29" s="519" t="str">
        <f t="shared" si="5"/>
        <v>ARI1102</v>
      </c>
      <c r="AB29" s="519">
        <f t="shared" si="22"/>
        <v>3.5678999999999998</v>
      </c>
      <c r="AC29" s="324"/>
      <c r="AE29" s="519">
        <f t="shared" ca="1" si="6"/>
        <v>0</v>
      </c>
      <c r="AF29" s="519">
        <f t="shared" ca="1" si="7"/>
        <v>0</v>
      </c>
      <c r="AG29" s="519">
        <f t="shared" ca="1" si="8"/>
        <v>0</v>
      </c>
      <c r="AH29" s="519">
        <f t="shared" ca="1" si="9"/>
        <v>0</v>
      </c>
      <c r="AI29" s="519">
        <f t="shared" ca="1" si="23"/>
        <v>0</v>
      </c>
      <c r="AJ29" s="519">
        <f t="shared" ca="1" si="10"/>
        <v>0</v>
      </c>
      <c r="AK29" s="519">
        <f t="shared" ca="1" si="11"/>
        <v>0</v>
      </c>
      <c r="AL29" s="519">
        <f t="shared" ca="1" si="12"/>
        <v>0</v>
      </c>
      <c r="AM29" s="519">
        <f t="shared" ca="1" si="13"/>
        <v>0</v>
      </c>
      <c r="AN29" s="519">
        <f t="shared" ca="1" si="14"/>
        <v>0</v>
      </c>
      <c r="AO29" s="519">
        <f t="shared" ca="1" si="15"/>
        <v>0</v>
      </c>
      <c r="AP29" s="519">
        <f t="shared" ca="1" si="16"/>
        <v>0</v>
      </c>
      <c r="AQ29" s="519">
        <f t="shared" ca="1" si="17"/>
        <v>0</v>
      </c>
      <c r="AS29" s="536"/>
      <c r="AT29" s="536"/>
      <c r="AU29" s="519" t="str">
        <f t="shared" si="24"/>
        <v>MRP</v>
      </c>
      <c r="AV29" s="519" t="str">
        <f t="shared" si="18"/>
        <v>ARI1102</v>
      </c>
      <c r="AW29" s="519">
        <f t="shared" si="19"/>
        <v>3.5678999999999998</v>
      </c>
      <c r="AX29" s="538"/>
      <c r="AY29" s="539">
        <f t="shared" ca="1" si="25"/>
        <v>0.10823240341338697</v>
      </c>
      <c r="AZ29" s="189"/>
      <c r="BC29" s="525"/>
      <c r="BD29" s="525"/>
      <c r="BE29" s="525"/>
      <c r="BF29" s="525"/>
      <c r="BG29" s="525"/>
      <c r="BH29" s="525"/>
      <c r="BI29" s="525"/>
    </row>
    <row r="30" spans="1:61" x14ac:dyDescent="0.3">
      <c r="A30" s="556">
        <v>1</v>
      </c>
      <c r="B30" s="519" t="str">
        <f t="shared" si="20"/>
        <v>ASB</v>
      </c>
      <c r="C30" s="519" t="str">
        <f>AMDs!C11</f>
        <v>Electricity Ashburton</v>
      </c>
      <c r="D30" s="519" t="str">
        <f>AMDs!D11</f>
        <v>ASB</v>
      </c>
      <c r="E30" s="519">
        <f>IF(AMDs!C11="other",0,AMDs!E11)</f>
        <v>165.72569999999999</v>
      </c>
      <c r="H30" s="519">
        <f ca="1">_xlfn.IFNA(IF(VLOOKUP($B30&amp;OFFSET(H$10,$A30*2,0),'Mapping A'!$B$6:$E$1011,4,0)=1,$E30,""),0)</f>
        <v>0</v>
      </c>
      <c r="I30" s="519">
        <f ca="1">_xlfn.IFNA(IF(VLOOKUP($B30&amp;OFFSET(I$10,$A30*2,0),'Mapping A'!$B$6:$E$1011,4,0)=1,$E30,""),0)</f>
        <v>165.72569999999999</v>
      </c>
      <c r="J30" s="519">
        <f ca="1">_xlfn.IFNA(IF(VLOOKUP($B30&amp;OFFSET(J$10,$A30*2,0),'Mapping A'!$B$6:$E$1011,4,0)=1,$E30,""),0)</f>
        <v>0</v>
      </c>
      <c r="K30" s="519">
        <f ca="1">_xlfn.IFNA(IF(VLOOKUP($B30&amp;OFFSET(K$10,$A30*2,0),'Mapping A'!$B$6:$E$1011,4,0)=1,$E30,""),0)</f>
        <v>0</v>
      </c>
      <c r="L30" s="519">
        <f ca="1">_xlfn.IFNA(IF(VLOOKUP($B30&amp;OFFSET(L$10,$A30*2,0),'Mapping A'!$B$6:$E$1011,4,0)=1,$E30,""),0)</f>
        <v>0</v>
      </c>
      <c r="M30" s="519">
        <f ca="1">_xlfn.IFNA(IF(VLOOKUP($B30&amp;OFFSET(M$10,$A30*2,0),'Mapping A'!$B$6:$E$1011,4,0)=1,$E30,""),0)</f>
        <v>0</v>
      </c>
      <c r="N30" s="519">
        <f ca="1">_xlfn.IFNA(IF(VLOOKUP($B30&amp;OFFSET(N$10,$A30*2,0),'Mapping A'!$B$6:$E$1011,4,0)=1,$E30,""),0)</f>
        <v>0</v>
      </c>
      <c r="O30" s="519">
        <f ca="1">_xlfn.IFNA(IF(VLOOKUP($B30&amp;OFFSET(O$10,$A30*2,0),'Mapping A'!$B$6:$E$1011,4,0)=1,$E30,""),0)</f>
        <v>0</v>
      </c>
      <c r="P30" s="519">
        <f ca="1">_xlfn.IFNA(IF(VLOOKUP($B30&amp;OFFSET(P$10,$A30*2,0),'Mapping A'!$B$6:$E$1011,4,0)=1,$E30,""),0)</f>
        <v>0</v>
      </c>
      <c r="Q30" s="519">
        <f ca="1">_xlfn.IFNA(IF(VLOOKUP($B30&amp;OFFSET(Q$10,$A30*2,0),'Mapping A'!$B$6:$E$1011,4,0)=1,$E30,""),0)</f>
        <v>0</v>
      </c>
      <c r="R30" s="519">
        <f ca="1">_xlfn.IFNA(IF(VLOOKUP($B30&amp;OFFSET(R$10,$A30*2,0),'Mapping A'!$B$6:$E$1011,4,0)=1,$E30,""),0)</f>
        <v>0</v>
      </c>
      <c r="S30" s="519">
        <f ca="1">_xlfn.IFNA(IF(VLOOKUP($B30&amp;OFFSET(S$10,$A30*2,0),'Mapping A'!$B$6:$E$1011,4,0)=1,$E30,""),0)</f>
        <v>0</v>
      </c>
      <c r="T30" s="519">
        <f ca="1">_xlfn.IFNA(IF(VLOOKUP($B30&amp;OFFSET(T$10,$A30*2,0),'Mapping A'!$B$6:$E$1011,4,0)=1,$E30,""),0)</f>
        <v>0</v>
      </c>
      <c r="Y30" s="534" t="str">
        <f t="shared" si="21"/>
        <v>Electricity AshburtonASB</v>
      </c>
      <c r="Z30" s="519" t="str">
        <f t="shared" si="4"/>
        <v>Electricity Ashburton</v>
      </c>
      <c r="AA30" s="519" t="str">
        <f t="shared" si="5"/>
        <v>ASB</v>
      </c>
      <c r="AB30" s="519">
        <f t="shared" si="22"/>
        <v>165.72569999999999</v>
      </c>
      <c r="AC30" s="324"/>
      <c r="AE30" s="519">
        <f t="shared" ca="1" si="6"/>
        <v>0</v>
      </c>
      <c r="AF30" s="519">
        <f t="shared" ca="1" si="7"/>
        <v>0</v>
      </c>
      <c r="AG30" s="519">
        <f t="shared" ca="1" si="8"/>
        <v>0</v>
      </c>
      <c r="AH30" s="519">
        <f t="shared" ca="1" si="9"/>
        <v>0</v>
      </c>
      <c r="AI30" s="519">
        <f t="shared" ca="1" si="23"/>
        <v>0</v>
      </c>
      <c r="AJ30" s="519">
        <f t="shared" ca="1" si="10"/>
        <v>0</v>
      </c>
      <c r="AK30" s="519">
        <f t="shared" ca="1" si="11"/>
        <v>0</v>
      </c>
      <c r="AL30" s="519">
        <f t="shared" ca="1" si="12"/>
        <v>0</v>
      </c>
      <c r="AM30" s="519">
        <f t="shared" ca="1" si="13"/>
        <v>0</v>
      </c>
      <c r="AN30" s="519">
        <f t="shared" ca="1" si="14"/>
        <v>0</v>
      </c>
      <c r="AO30" s="519">
        <f t="shared" ca="1" si="15"/>
        <v>0</v>
      </c>
      <c r="AP30" s="519">
        <f t="shared" ca="1" si="16"/>
        <v>0</v>
      </c>
      <c r="AQ30" s="519">
        <f t="shared" ca="1" si="17"/>
        <v>0</v>
      </c>
      <c r="AS30" s="536"/>
      <c r="AT30" s="536"/>
      <c r="AU30" s="519" t="str">
        <f t="shared" si="24"/>
        <v>Electricity Ashburton</v>
      </c>
      <c r="AV30" s="519" t="str">
        <f t="shared" si="18"/>
        <v>ASB</v>
      </c>
      <c r="AW30" s="519">
        <f t="shared" si="19"/>
        <v>165.72569999999999</v>
      </c>
      <c r="AX30" s="538"/>
      <c r="AY30" s="539">
        <f t="shared" ca="1" si="25"/>
        <v>5.0272963979836724</v>
      </c>
      <c r="AZ30" s="189"/>
      <c r="BC30" s="525"/>
      <c r="BD30" s="525"/>
      <c r="BE30" s="525"/>
      <c r="BF30" s="525"/>
      <c r="BG30" s="525"/>
      <c r="BH30" s="525"/>
      <c r="BI30" s="525"/>
    </row>
    <row r="31" spans="1:61" x14ac:dyDescent="0.3">
      <c r="A31" s="556">
        <v>1</v>
      </c>
      <c r="B31" s="519" t="str">
        <f t="shared" si="20"/>
        <v>ASY</v>
      </c>
      <c r="C31" s="519" t="str">
        <f>AMDs!C12</f>
        <v>Daiken MDF</v>
      </c>
      <c r="D31" s="519" t="str">
        <f>AMDs!D12</f>
        <v>ASY0111</v>
      </c>
      <c r="E31" s="519">
        <f>IF(AMDs!C12="other",0,AMDs!E12)</f>
        <v>11.3736</v>
      </c>
      <c r="H31" s="519">
        <f ca="1">_xlfn.IFNA(IF(VLOOKUP($B31&amp;OFFSET(H$10,$A31*2,0),'Mapping A'!$B$6:$E$1011,4,0)=1,$E31,""),0)</f>
        <v>0</v>
      </c>
      <c r="I31" s="519">
        <f ca="1">_xlfn.IFNA(IF(VLOOKUP($B31&amp;OFFSET(I$10,$A31*2,0),'Mapping A'!$B$6:$E$1011,4,0)=1,$E31,""),0)</f>
        <v>11.3736</v>
      </c>
      <c r="J31" s="519">
        <f ca="1">_xlfn.IFNA(IF(VLOOKUP($B31&amp;OFFSET(J$10,$A31*2,0),'Mapping A'!$B$6:$E$1011,4,0)=1,$E31,""),0)</f>
        <v>0</v>
      </c>
      <c r="K31" s="519">
        <f ca="1">_xlfn.IFNA(IF(VLOOKUP($B31&amp;OFFSET(K$10,$A31*2,0),'Mapping A'!$B$6:$E$1011,4,0)=1,$E31,""),0)</f>
        <v>0</v>
      </c>
      <c r="L31" s="519">
        <f ca="1">_xlfn.IFNA(IF(VLOOKUP($B31&amp;OFFSET(L$10,$A31*2,0),'Mapping A'!$B$6:$E$1011,4,0)=1,$E31,""),0)</f>
        <v>0</v>
      </c>
      <c r="M31" s="519">
        <f ca="1">_xlfn.IFNA(IF(VLOOKUP($B31&amp;OFFSET(M$10,$A31*2,0),'Mapping A'!$B$6:$E$1011,4,0)=1,$E31,""),0)</f>
        <v>0</v>
      </c>
      <c r="N31" s="519">
        <f ca="1">_xlfn.IFNA(IF(VLOOKUP($B31&amp;OFFSET(N$10,$A31*2,0),'Mapping A'!$B$6:$E$1011,4,0)=1,$E31,""),0)</f>
        <v>0</v>
      </c>
      <c r="O31" s="519">
        <f ca="1">_xlfn.IFNA(IF(VLOOKUP($B31&amp;OFFSET(O$10,$A31*2,0),'Mapping A'!$B$6:$E$1011,4,0)=1,$E31,""),0)</f>
        <v>0</v>
      </c>
      <c r="P31" s="519">
        <f ca="1">_xlfn.IFNA(IF(VLOOKUP($B31&amp;OFFSET(P$10,$A31*2,0),'Mapping A'!$B$6:$E$1011,4,0)=1,$E31,""),0)</f>
        <v>11.3736</v>
      </c>
      <c r="Q31" s="519">
        <f ca="1">_xlfn.IFNA(IF(VLOOKUP($B31&amp;OFFSET(Q$10,$A31*2,0),'Mapping A'!$B$6:$E$1011,4,0)=1,$E31,""),0)</f>
        <v>0</v>
      </c>
      <c r="R31" s="519">
        <f ca="1">_xlfn.IFNA(IF(VLOOKUP($B31&amp;OFFSET(R$10,$A31*2,0),'Mapping A'!$B$6:$E$1011,4,0)=1,$E31,""),0)</f>
        <v>0</v>
      </c>
      <c r="S31" s="519">
        <f ca="1">_xlfn.IFNA(IF(VLOOKUP($B31&amp;OFFSET(S$10,$A31*2,0),'Mapping A'!$B$6:$E$1011,4,0)=1,$E31,""),0)</f>
        <v>0</v>
      </c>
      <c r="T31" s="519">
        <f ca="1">_xlfn.IFNA(IF(VLOOKUP($B31&amp;OFFSET(T$10,$A31*2,0),'Mapping A'!$B$6:$E$1011,4,0)=1,$E31,""),0)</f>
        <v>0</v>
      </c>
      <c r="Y31" s="534" t="str">
        <f t="shared" si="21"/>
        <v>Daiken MDFASY0111</v>
      </c>
      <c r="Z31" s="519" t="str">
        <f t="shared" si="4"/>
        <v>Daiken MDF</v>
      </c>
      <c r="AA31" s="519" t="str">
        <f t="shared" si="5"/>
        <v>ASY0111</v>
      </c>
      <c r="AB31" s="519">
        <f t="shared" si="22"/>
        <v>11.3736</v>
      </c>
      <c r="AC31" s="324"/>
      <c r="AE31" s="519">
        <f t="shared" ca="1" si="6"/>
        <v>0</v>
      </c>
      <c r="AF31" s="519">
        <f t="shared" ca="1" si="7"/>
        <v>0</v>
      </c>
      <c r="AG31" s="519">
        <f t="shared" ca="1" si="8"/>
        <v>0</v>
      </c>
      <c r="AH31" s="519">
        <f t="shared" ca="1" si="9"/>
        <v>0</v>
      </c>
      <c r="AI31" s="519">
        <f t="shared" ca="1" si="23"/>
        <v>0</v>
      </c>
      <c r="AJ31" s="519">
        <f t="shared" ca="1" si="10"/>
        <v>0</v>
      </c>
      <c r="AK31" s="519">
        <f t="shared" ca="1" si="11"/>
        <v>0</v>
      </c>
      <c r="AL31" s="519">
        <f t="shared" ca="1" si="12"/>
        <v>0</v>
      </c>
      <c r="AM31" s="519">
        <f t="shared" ca="1" si="13"/>
        <v>3.0297793702122308E-2</v>
      </c>
      <c r="AN31" s="519">
        <f t="shared" ca="1" si="14"/>
        <v>0</v>
      </c>
      <c r="AO31" s="519">
        <f t="shared" ca="1" si="15"/>
        <v>0</v>
      </c>
      <c r="AP31" s="519">
        <f t="shared" ca="1" si="16"/>
        <v>0</v>
      </c>
      <c r="AQ31" s="519">
        <f t="shared" ca="1" si="17"/>
        <v>0</v>
      </c>
      <c r="AS31" s="536"/>
      <c r="AT31" s="536"/>
      <c r="AU31" s="519" t="str">
        <f t="shared" si="24"/>
        <v>Daiken MDF</v>
      </c>
      <c r="AV31" s="519" t="str">
        <f t="shared" si="18"/>
        <v>ASY0111</v>
      </c>
      <c r="AW31" s="519">
        <f t="shared" si="19"/>
        <v>11.3736</v>
      </c>
      <c r="AX31" s="538"/>
      <c r="AY31" s="539">
        <f t="shared" ca="1" si="25"/>
        <v>0.34501865620182687</v>
      </c>
      <c r="AZ31" s="189"/>
      <c r="BC31" s="525"/>
      <c r="BD31" s="525"/>
      <c r="BE31" s="525"/>
      <c r="BF31" s="525"/>
      <c r="BG31" s="525"/>
      <c r="BH31" s="525"/>
      <c r="BI31" s="525"/>
    </row>
    <row r="32" spans="1:61" x14ac:dyDescent="0.3">
      <c r="A32" s="556">
        <v>1</v>
      </c>
      <c r="B32" s="519" t="str">
        <f t="shared" si="20"/>
        <v>ATI</v>
      </c>
      <c r="C32" s="519" t="str">
        <f>AMDs!C13</f>
        <v>MRP</v>
      </c>
      <c r="D32" s="519" t="str">
        <f>AMDs!D13</f>
        <v>ATI2201</v>
      </c>
      <c r="E32" s="519">
        <f>IF(AMDs!C13="other",0,AMDs!E13)</f>
        <v>13.465199999999999</v>
      </c>
      <c r="H32" s="519">
        <f ca="1">_xlfn.IFNA(IF(VLOOKUP($B32&amp;OFFSET(H$10,$A32*2,0),'Mapping A'!$B$6:$E$1011,4,0)=1,$E32,""),0)</f>
        <v>0</v>
      </c>
      <c r="I32" s="519">
        <f ca="1">_xlfn.IFNA(IF(VLOOKUP($B32&amp;OFFSET(I$10,$A32*2,0),'Mapping A'!$B$6:$E$1011,4,0)=1,$E32,""),0)</f>
        <v>0</v>
      </c>
      <c r="J32" s="519">
        <f ca="1">_xlfn.IFNA(IF(VLOOKUP($B32&amp;OFFSET(J$10,$A32*2,0),'Mapping A'!$B$6:$E$1011,4,0)=1,$E32,""),0)</f>
        <v>0</v>
      </c>
      <c r="K32" s="519">
        <f ca="1">_xlfn.IFNA(IF(VLOOKUP($B32&amp;OFFSET(K$10,$A32*2,0),'Mapping A'!$B$6:$E$1011,4,0)=1,$E32,""),0)</f>
        <v>0</v>
      </c>
      <c r="L32" s="519">
        <f ca="1">_xlfn.IFNA(IF(VLOOKUP($B32&amp;OFFSET(L$10,$A32*2,0),'Mapping A'!$B$6:$E$1011,4,0)=1,$E32,""),0)</f>
        <v>0</v>
      </c>
      <c r="M32" s="519">
        <f ca="1">_xlfn.IFNA(IF(VLOOKUP($B32&amp;OFFSET(M$10,$A32*2,0),'Mapping A'!$B$6:$E$1011,4,0)=1,$E32,""),0)</f>
        <v>0</v>
      </c>
      <c r="N32" s="519">
        <f ca="1">_xlfn.IFNA(IF(VLOOKUP($B32&amp;OFFSET(N$10,$A32*2,0),'Mapping A'!$B$6:$E$1011,4,0)=1,$E32,""),0)</f>
        <v>0</v>
      </c>
      <c r="O32" s="519">
        <f ca="1">_xlfn.IFNA(IF(VLOOKUP($B32&amp;OFFSET(O$10,$A32*2,0),'Mapping A'!$B$6:$E$1011,4,0)=1,$E32,""),0)</f>
        <v>0</v>
      </c>
      <c r="P32" s="519">
        <f ca="1">_xlfn.IFNA(IF(VLOOKUP($B32&amp;OFFSET(P$10,$A32*2,0),'Mapping A'!$B$6:$E$1011,4,0)=1,$E32,""),0)</f>
        <v>0</v>
      </c>
      <c r="Q32" s="519">
        <f ca="1">_xlfn.IFNA(IF(VLOOKUP($B32&amp;OFFSET(Q$10,$A32*2,0),'Mapping A'!$B$6:$E$1011,4,0)=1,$E32,""),0)</f>
        <v>0</v>
      </c>
      <c r="R32" s="519">
        <f ca="1">_xlfn.IFNA(IF(VLOOKUP($B32&amp;OFFSET(R$10,$A32*2,0),'Mapping A'!$B$6:$E$1011,4,0)=1,$E32,""),0)</f>
        <v>0</v>
      </c>
      <c r="S32" s="519">
        <f ca="1">_xlfn.IFNA(IF(VLOOKUP($B32&amp;OFFSET(S$10,$A32*2,0),'Mapping A'!$B$6:$E$1011,4,0)=1,$E32,""),0)</f>
        <v>0</v>
      </c>
      <c r="T32" s="519">
        <f ca="1">_xlfn.IFNA(IF(VLOOKUP($B32&amp;OFFSET(T$10,$A32*2,0),'Mapping A'!$B$6:$E$1011,4,0)=1,$E32,""),0)</f>
        <v>0</v>
      </c>
      <c r="Y32" s="534" t="str">
        <f t="shared" si="21"/>
        <v>MRPATI2201</v>
      </c>
      <c r="Z32" s="519" t="str">
        <f t="shared" si="4"/>
        <v>MRP</v>
      </c>
      <c r="AA32" s="519" t="str">
        <f t="shared" si="5"/>
        <v>ATI2201</v>
      </c>
      <c r="AB32" s="519">
        <f t="shared" si="22"/>
        <v>13.465199999999999</v>
      </c>
      <c r="AC32" s="324"/>
      <c r="AE32" s="519">
        <f t="shared" ca="1" si="6"/>
        <v>0</v>
      </c>
      <c r="AF32" s="519">
        <f t="shared" ca="1" si="7"/>
        <v>0</v>
      </c>
      <c r="AG32" s="519">
        <f t="shared" ca="1" si="8"/>
        <v>0</v>
      </c>
      <c r="AH32" s="519">
        <f t="shared" ca="1" si="9"/>
        <v>0</v>
      </c>
      <c r="AI32" s="519">
        <f t="shared" ca="1" si="23"/>
        <v>0</v>
      </c>
      <c r="AJ32" s="519">
        <f t="shared" ca="1" si="10"/>
        <v>0</v>
      </c>
      <c r="AK32" s="519">
        <f t="shared" ca="1" si="11"/>
        <v>0</v>
      </c>
      <c r="AL32" s="519">
        <f t="shared" ca="1" si="12"/>
        <v>0</v>
      </c>
      <c r="AM32" s="519">
        <f t="shared" ca="1" si="13"/>
        <v>0</v>
      </c>
      <c r="AN32" s="519">
        <f t="shared" ca="1" si="14"/>
        <v>0</v>
      </c>
      <c r="AO32" s="519">
        <f t="shared" ca="1" si="15"/>
        <v>0</v>
      </c>
      <c r="AP32" s="519">
        <f t="shared" ca="1" si="16"/>
        <v>0</v>
      </c>
      <c r="AQ32" s="519">
        <f t="shared" ca="1" si="17"/>
        <v>0</v>
      </c>
      <c r="AS32" s="536"/>
      <c r="AT32" s="536"/>
      <c r="AU32" s="519" t="str">
        <f t="shared" si="24"/>
        <v>MRP</v>
      </c>
      <c r="AV32" s="519" t="str">
        <f t="shared" si="18"/>
        <v>ATI2201</v>
      </c>
      <c r="AW32" s="519">
        <f t="shared" si="19"/>
        <v>13.465199999999999</v>
      </c>
      <c r="AX32" s="538"/>
      <c r="AY32" s="539">
        <f t="shared" ca="1" si="25"/>
        <v>0.40846743418872117</v>
      </c>
      <c r="AZ32" s="189"/>
      <c r="BC32" s="525"/>
      <c r="BD32" s="525"/>
      <c r="BE32" s="525"/>
      <c r="BF32" s="525"/>
      <c r="BG32" s="525"/>
      <c r="BH32" s="525"/>
      <c r="BI32" s="525"/>
    </row>
    <row r="33" spans="1:61" x14ac:dyDescent="0.3">
      <c r="A33" s="556">
        <v>1</v>
      </c>
      <c r="B33" s="519" t="str">
        <f t="shared" si="20"/>
        <v>ATU</v>
      </c>
      <c r="C33" s="519" t="str">
        <f>AMDs!C14</f>
        <v>Westpower</v>
      </c>
      <c r="D33" s="519" t="str">
        <f>AMDs!D14</f>
        <v>ATU1101</v>
      </c>
      <c r="E33" s="519">
        <f>IF(AMDs!C14="other",0,AMDs!E14)</f>
        <v>1.1487000000000001</v>
      </c>
      <c r="H33" s="519">
        <f ca="1">_xlfn.IFNA(IF(VLOOKUP($B33&amp;OFFSET(H$10,$A33*2,0),'Mapping A'!$B$6:$E$1011,4,0)=1,$E33,""),0)</f>
        <v>0</v>
      </c>
      <c r="I33" s="519">
        <f ca="1">_xlfn.IFNA(IF(VLOOKUP($B33&amp;OFFSET(I$10,$A33*2,0),'Mapping A'!$B$6:$E$1011,4,0)=1,$E33,""),0)</f>
        <v>1.1487000000000001</v>
      </c>
      <c r="J33" s="519">
        <f ca="1">_xlfn.IFNA(IF(VLOOKUP($B33&amp;OFFSET(J$10,$A33*2,0),'Mapping A'!$B$6:$E$1011,4,0)=1,$E33,""),0)</f>
        <v>0</v>
      </c>
      <c r="K33" s="519">
        <f ca="1">_xlfn.IFNA(IF(VLOOKUP($B33&amp;OFFSET(K$10,$A33*2,0),'Mapping A'!$B$6:$E$1011,4,0)=1,$E33,""),0)</f>
        <v>0</v>
      </c>
      <c r="L33" s="519">
        <f ca="1">_xlfn.IFNA(IF(VLOOKUP($B33&amp;OFFSET(L$10,$A33*2,0),'Mapping A'!$B$6:$E$1011,4,0)=1,$E33,""),0)</f>
        <v>0</v>
      </c>
      <c r="M33" s="519">
        <f ca="1">_xlfn.IFNA(IF(VLOOKUP($B33&amp;OFFSET(M$10,$A33*2,0),'Mapping A'!$B$6:$E$1011,4,0)=1,$E33,""),0)</f>
        <v>0</v>
      </c>
      <c r="N33" s="519">
        <f ca="1">_xlfn.IFNA(IF(VLOOKUP($B33&amp;OFFSET(N$10,$A33*2,0),'Mapping A'!$B$6:$E$1011,4,0)=1,$E33,""),0)</f>
        <v>0</v>
      </c>
      <c r="O33" s="519">
        <f ca="1">_xlfn.IFNA(IF(VLOOKUP($B33&amp;OFFSET(O$10,$A33*2,0),'Mapping A'!$B$6:$E$1011,4,0)=1,$E33,""),0)</f>
        <v>0</v>
      </c>
      <c r="P33" s="519">
        <f ca="1">_xlfn.IFNA(IF(VLOOKUP($B33&amp;OFFSET(P$10,$A33*2,0),'Mapping A'!$B$6:$E$1011,4,0)=1,$E33,""),0)</f>
        <v>1.1487000000000001</v>
      </c>
      <c r="Q33" s="519">
        <f ca="1">_xlfn.IFNA(IF(VLOOKUP($B33&amp;OFFSET(Q$10,$A33*2,0),'Mapping A'!$B$6:$E$1011,4,0)=1,$E33,""),0)</f>
        <v>0</v>
      </c>
      <c r="R33" s="519">
        <f ca="1">_xlfn.IFNA(IF(VLOOKUP($B33&amp;OFFSET(R$10,$A33*2,0),'Mapping A'!$B$6:$E$1011,4,0)=1,$E33,""),0)</f>
        <v>0</v>
      </c>
      <c r="S33" s="519">
        <f ca="1">_xlfn.IFNA(IF(VLOOKUP($B33&amp;OFFSET(S$10,$A33*2,0),'Mapping A'!$B$6:$E$1011,4,0)=1,$E33,""),0)</f>
        <v>0</v>
      </c>
      <c r="T33" s="519">
        <f ca="1">_xlfn.IFNA(IF(VLOOKUP($B33&amp;OFFSET(T$10,$A33*2,0),'Mapping A'!$B$6:$E$1011,4,0)=1,$E33,""),0)</f>
        <v>1.1487000000000001</v>
      </c>
      <c r="Y33" s="534" t="str">
        <f t="shared" si="21"/>
        <v>WestpowerATU1101</v>
      </c>
      <c r="Z33" s="519" t="str">
        <f t="shared" si="4"/>
        <v>Westpower</v>
      </c>
      <c r="AA33" s="519" t="str">
        <f t="shared" si="5"/>
        <v>ATU1101</v>
      </c>
      <c r="AB33" s="519">
        <f t="shared" si="22"/>
        <v>1.1487000000000001</v>
      </c>
      <c r="AC33" s="324"/>
      <c r="AE33" s="519">
        <f t="shared" ca="1" si="6"/>
        <v>0</v>
      </c>
      <c r="AF33" s="519">
        <f t="shared" ca="1" si="7"/>
        <v>0</v>
      </c>
      <c r="AG33" s="519">
        <f t="shared" ca="1" si="8"/>
        <v>0</v>
      </c>
      <c r="AH33" s="519">
        <f t="shared" ca="1" si="9"/>
        <v>0</v>
      </c>
      <c r="AI33" s="519">
        <f t="shared" ca="1" si="23"/>
        <v>0</v>
      </c>
      <c r="AJ33" s="519">
        <f t="shared" ca="1" si="10"/>
        <v>0</v>
      </c>
      <c r="AK33" s="519">
        <f t="shared" ca="1" si="11"/>
        <v>0</v>
      </c>
      <c r="AL33" s="519">
        <f t="shared" ca="1" si="12"/>
        <v>0</v>
      </c>
      <c r="AM33" s="519">
        <f t="shared" ca="1" si="13"/>
        <v>3.0599876578768287E-3</v>
      </c>
      <c r="AN33" s="519">
        <f t="shared" ca="1" si="14"/>
        <v>0</v>
      </c>
      <c r="AO33" s="519">
        <f t="shared" ca="1" si="15"/>
        <v>0</v>
      </c>
      <c r="AP33" s="519">
        <f t="shared" ca="1" si="16"/>
        <v>0</v>
      </c>
      <c r="AQ33" s="519">
        <f t="shared" ca="1" si="17"/>
        <v>0</v>
      </c>
      <c r="AS33" s="536"/>
      <c r="AT33" s="536"/>
      <c r="AU33" s="519" t="str">
        <f t="shared" si="24"/>
        <v>Westpower</v>
      </c>
      <c r="AV33" s="519" t="str">
        <f t="shared" si="18"/>
        <v>ATU1101</v>
      </c>
      <c r="AW33" s="519">
        <f t="shared" si="19"/>
        <v>1.1487000000000001</v>
      </c>
      <c r="AX33" s="538"/>
      <c r="AY33" s="539">
        <f t="shared" ca="1" si="25"/>
        <v>3.4845865018906817E-2</v>
      </c>
      <c r="AZ33" s="189"/>
      <c r="BC33" s="525"/>
      <c r="BD33" s="525"/>
      <c r="BE33" s="525"/>
      <c r="BF33" s="525"/>
      <c r="BG33" s="525"/>
      <c r="BH33" s="525"/>
      <c r="BI33" s="525"/>
    </row>
    <row r="34" spans="1:61" x14ac:dyDescent="0.3">
      <c r="A34" s="556">
        <v>1</v>
      </c>
      <c r="B34" s="519" t="str">
        <f t="shared" si="20"/>
        <v>AVI</v>
      </c>
      <c r="C34" s="519" t="str">
        <f>AMDs!C15</f>
        <v>Meridian</v>
      </c>
      <c r="D34" s="519" t="str">
        <f>AMDs!D15</f>
        <v>AVI2201</v>
      </c>
      <c r="E34" s="519">
        <f>IF(AMDs!C15="other",0,AMDs!E15)</f>
        <v>2.6459999999999999</v>
      </c>
      <c r="H34" s="519">
        <f ca="1">_xlfn.IFNA(IF(VLOOKUP($B34&amp;OFFSET(H$10,$A34*2,0),'Mapping A'!$B$6:$E$1011,4,0)=1,$E34,""),0)</f>
        <v>0</v>
      </c>
      <c r="I34" s="519">
        <f ca="1">_xlfn.IFNA(IF(VLOOKUP($B34&amp;OFFSET(I$10,$A34*2,0),'Mapping A'!$B$6:$E$1011,4,0)=1,$E34,""),0)</f>
        <v>0</v>
      </c>
      <c r="J34" s="519">
        <f ca="1">_xlfn.IFNA(IF(VLOOKUP($B34&amp;OFFSET(J$10,$A34*2,0),'Mapping A'!$B$6:$E$1011,4,0)=1,$E34,""),0)</f>
        <v>0</v>
      </c>
      <c r="K34" s="519">
        <f ca="1">_xlfn.IFNA(IF(VLOOKUP($B34&amp;OFFSET(K$10,$A34*2,0),'Mapping A'!$B$6:$E$1011,4,0)=1,$E34,""),0)</f>
        <v>0</v>
      </c>
      <c r="L34" s="519">
        <f ca="1">_xlfn.IFNA(IF(VLOOKUP($B34&amp;OFFSET(L$10,$A34*2,0),'Mapping A'!$B$6:$E$1011,4,0)=1,$E34,""),0)</f>
        <v>0</v>
      </c>
      <c r="M34" s="519">
        <f ca="1">_xlfn.IFNA(IF(VLOOKUP($B34&amp;OFFSET(M$10,$A34*2,0),'Mapping A'!$B$6:$E$1011,4,0)=1,$E34,""),0)</f>
        <v>0</v>
      </c>
      <c r="N34" s="519">
        <f ca="1">_xlfn.IFNA(IF(VLOOKUP($B34&amp;OFFSET(N$10,$A34*2,0),'Mapping A'!$B$6:$E$1011,4,0)=1,$E34,""),0)</f>
        <v>0</v>
      </c>
      <c r="O34" s="519">
        <f ca="1">_xlfn.IFNA(IF(VLOOKUP($B34&amp;OFFSET(O$10,$A34*2,0),'Mapping A'!$B$6:$E$1011,4,0)=1,$E34,""),0)</f>
        <v>0</v>
      </c>
      <c r="P34" s="519">
        <f ca="1">_xlfn.IFNA(IF(VLOOKUP($B34&amp;OFFSET(P$10,$A34*2,0),'Mapping A'!$B$6:$E$1011,4,0)=1,$E34,""),0)</f>
        <v>0</v>
      </c>
      <c r="Q34" s="519">
        <f ca="1">_xlfn.IFNA(IF(VLOOKUP($B34&amp;OFFSET(Q$10,$A34*2,0),'Mapping A'!$B$6:$E$1011,4,0)=1,$E34,""),0)</f>
        <v>0</v>
      </c>
      <c r="R34" s="519">
        <f ca="1">_xlfn.IFNA(IF(VLOOKUP($B34&amp;OFFSET(R$10,$A34*2,0),'Mapping A'!$B$6:$E$1011,4,0)=1,$E34,""),0)</f>
        <v>0</v>
      </c>
      <c r="S34" s="519">
        <f ca="1">_xlfn.IFNA(IF(VLOOKUP($B34&amp;OFFSET(S$10,$A34*2,0),'Mapping A'!$B$6:$E$1011,4,0)=1,$E34,""),0)</f>
        <v>0</v>
      </c>
      <c r="T34" s="519">
        <f ca="1">_xlfn.IFNA(IF(VLOOKUP($B34&amp;OFFSET(T$10,$A34*2,0),'Mapping A'!$B$6:$E$1011,4,0)=1,$E34,""),0)</f>
        <v>0</v>
      </c>
      <c r="Y34" s="534" t="str">
        <f t="shared" si="21"/>
        <v>MeridianAVI2201</v>
      </c>
      <c r="Z34" s="519" t="str">
        <f t="shared" si="4"/>
        <v>Meridian</v>
      </c>
      <c r="AA34" s="519" t="str">
        <f t="shared" si="5"/>
        <v>AVI2201</v>
      </c>
      <c r="AB34" s="519">
        <f t="shared" si="22"/>
        <v>2.6459999999999999</v>
      </c>
      <c r="AC34" s="324"/>
      <c r="AE34" s="519">
        <f t="shared" ca="1" si="6"/>
        <v>0</v>
      </c>
      <c r="AF34" s="519">
        <f t="shared" ca="1" si="7"/>
        <v>0</v>
      </c>
      <c r="AG34" s="519">
        <f t="shared" ca="1" si="8"/>
        <v>0</v>
      </c>
      <c r="AH34" s="519">
        <f t="shared" ca="1" si="9"/>
        <v>0</v>
      </c>
      <c r="AI34" s="519">
        <f t="shared" ca="1" si="23"/>
        <v>0</v>
      </c>
      <c r="AJ34" s="519">
        <f t="shared" ca="1" si="10"/>
        <v>0</v>
      </c>
      <c r="AK34" s="519">
        <f t="shared" ca="1" si="11"/>
        <v>0</v>
      </c>
      <c r="AL34" s="519">
        <f t="shared" ca="1" si="12"/>
        <v>0</v>
      </c>
      <c r="AM34" s="519">
        <f t="shared" ca="1" si="13"/>
        <v>0</v>
      </c>
      <c r="AN34" s="519">
        <f t="shared" ca="1" si="14"/>
        <v>0</v>
      </c>
      <c r="AO34" s="519">
        <f t="shared" ca="1" si="15"/>
        <v>0</v>
      </c>
      <c r="AP34" s="519">
        <f t="shared" ca="1" si="16"/>
        <v>0</v>
      </c>
      <c r="AQ34" s="519">
        <f t="shared" ca="1" si="17"/>
        <v>0</v>
      </c>
      <c r="AS34" s="536"/>
      <c r="AT34" s="536"/>
      <c r="AU34" s="519" t="str">
        <f t="shared" si="24"/>
        <v>Meridian</v>
      </c>
      <c r="AV34" s="519" t="str">
        <f t="shared" si="18"/>
        <v>AVI2201</v>
      </c>
      <c r="AW34" s="519">
        <f t="shared" si="19"/>
        <v>2.6459999999999999</v>
      </c>
      <c r="AX34" s="538"/>
      <c r="AY34" s="539">
        <f t="shared" ca="1" si="25"/>
        <v>8.0266526368962671E-2</v>
      </c>
      <c r="AZ34" s="189"/>
      <c r="BC34" s="525"/>
      <c r="BD34" s="525"/>
      <c r="BE34" s="525"/>
      <c r="BF34" s="525"/>
      <c r="BG34" s="525"/>
      <c r="BH34" s="525"/>
      <c r="BI34" s="525"/>
    </row>
    <row r="35" spans="1:61" x14ac:dyDescent="0.3">
      <c r="A35" s="556">
        <v>1</v>
      </c>
      <c r="B35" s="519" t="str">
        <f t="shared" si="20"/>
        <v>BAL</v>
      </c>
      <c r="C35" s="519" t="str">
        <f>AMDs!C16</f>
        <v>OtagoNet JV</v>
      </c>
      <c r="D35" s="519" t="str">
        <f>AMDs!D16</f>
        <v>BAL0331</v>
      </c>
      <c r="E35" s="519">
        <f>IF(AMDs!C16="other",0,AMDs!E16)</f>
        <v>29.0913</v>
      </c>
      <c r="H35" s="519">
        <f ca="1">_xlfn.IFNA(IF(VLOOKUP($B35&amp;OFFSET(H$10,$A35*2,0),'Mapping A'!$B$6:$E$1011,4,0)=1,$E35,""),0)</f>
        <v>0</v>
      </c>
      <c r="I35" s="519">
        <f ca="1">_xlfn.IFNA(IF(VLOOKUP($B35&amp;OFFSET(I$10,$A35*2,0),'Mapping A'!$B$6:$E$1011,4,0)=1,$E35,""),0)</f>
        <v>29.0913</v>
      </c>
      <c r="J35" s="519">
        <f ca="1">_xlfn.IFNA(IF(VLOOKUP($B35&amp;OFFSET(J$10,$A35*2,0),'Mapping A'!$B$6:$E$1011,4,0)=1,$E35,""),0)</f>
        <v>0</v>
      </c>
      <c r="K35" s="519">
        <f ca="1">_xlfn.IFNA(IF(VLOOKUP($B35&amp;OFFSET(K$10,$A35*2,0),'Mapping A'!$B$6:$E$1011,4,0)=1,$E35,""),0)</f>
        <v>0</v>
      </c>
      <c r="L35" s="519">
        <f ca="1">_xlfn.IFNA(IF(VLOOKUP($B35&amp;OFFSET(L$10,$A35*2,0),'Mapping A'!$B$6:$E$1011,4,0)=1,$E35,""),0)</f>
        <v>0</v>
      </c>
      <c r="M35" s="519">
        <f ca="1">_xlfn.IFNA(IF(VLOOKUP($B35&amp;OFFSET(M$10,$A35*2,0),'Mapping A'!$B$6:$E$1011,4,0)=1,$E35,""),0)</f>
        <v>0</v>
      </c>
      <c r="N35" s="519">
        <f ca="1">_xlfn.IFNA(IF(VLOOKUP($B35&amp;OFFSET(N$10,$A35*2,0),'Mapping A'!$B$6:$E$1011,4,0)=1,$E35,""),0)</f>
        <v>0</v>
      </c>
      <c r="O35" s="519">
        <f ca="1">_xlfn.IFNA(IF(VLOOKUP($B35&amp;OFFSET(O$10,$A35*2,0),'Mapping A'!$B$6:$E$1011,4,0)=1,$E35,""),0)</f>
        <v>0</v>
      </c>
      <c r="P35" s="519">
        <f ca="1">_xlfn.IFNA(IF(VLOOKUP($B35&amp;OFFSET(P$10,$A35*2,0),'Mapping A'!$B$6:$E$1011,4,0)=1,$E35,""),0)</f>
        <v>0</v>
      </c>
      <c r="Q35" s="519">
        <f ca="1">_xlfn.IFNA(IF(VLOOKUP($B35&amp;OFFSET(Q$10,$A35*2,0),'Mapping A'!$B$6:$E$1011,4,0)=1,$E35,""),0)</f>
        <v>0</v>
      </c>
      <c r="R35" s="519">
        <f ca="1">_xlfn.IFNA(IF(VLOOKUP($B35&amp;OFFSET(R$10,$A35*2,0),'Mapping A'!$B$6:$E$1011,4,0)=1,$E35,""),0)</f>
        <v>29.0913</v>
      </c>
      <c r="S35" s="519">
        <f ca="1">_xlfn.IFNA(IF(VLOOKUP($B35&amp;OFFSET(S$10,$A35*2,0),'Mapping A'!$B$6:$E$1011,4,0)=1,$E35,""),0)</f>
        <v>0</v>
      </c>
      <c r="T35" s="519">
        <f ca="1">_xlfn.IFNA(IF(VLOOKUP($B35&amp;OFFSET(T$10,$A35*2,0),'Mapping A'!$B$6:$E$1011,4,0)=1,$E35,""),0)</f>
        <v>0</v>
      </c>
      <c r="Y35" s="534" t="str">
        <f t="shared" si="21"/>
        <v>OtagoNet JVBAL0331</v>
      </c>
      <c r="Z35" s="519" t="str">
        <f t="shared" si="4"/>
        <v>OtagoNet JV</v>
      </c>
      <c r="AA35" s="519" t="str">
        <f t="shared" si="5"/>
        <v>BAL0331</v>
      </c>
      <c r="AB35" s="519">
        <f t="shared" si="22"/>
        <v>29.0913</v>
      </c>
      <c r="AC35" s="324"/>
      <c r="AE35" s="519">
        <f t="shared" ca="1" si="6"/>
        <v>0</v>
      </c>
      <c r="AF35" s="519">
        <f t="shared" ca="1" si="7"/>
        <v>0</v>
      </c>
      <c r="AG35" s="519">
        <f t="shared" ca="1" si="8"/>
        <v>0</v>
      </c>
      <c r="AH35" s="519">
        <f t="shared" ca="1" si="9"/>
        <v>0</v>
      </c>
      <c r="AI35" s="519">
        <f t="shared" ca="1" si="23"/>
        <v>0</v>
      </c>
      <c r="AJ35" s="519">
        <f t="shared" ca="1" si="10"/>
        <v>0</v>
      </c>
      <c r="AK35" s="519">
        <f t="shared" ca="1" si="11"/>
        <v>0</v>
      </c>
      <c r="AL35" s="519">
        <f t="shared" ca="1" si="12"/>
        <v>0</v>
      </c>
      <c r="AM35" s="519">
        <f t="shared" ca="1" si="13"/>
        <v>0</v>
      </c>
      <c r="AN35" s="519">
        <f t="shared" ca="1" si="14"/>
        <v>0</v>
      </c>
      <c r="AO35" s="519">
        <f t="shared" ca="1" si="15"/>
        <v>7.0663855743053783E-2</v>
      </c>
      <c r="AP35" s="519">
        <f t="shared" ca="1" si="16"/>
        <v>0</v>
      </c>
      <c r="AQ35" s="519">
        <f t="shared" ca="1" si="17"/>
        <v>0</v>
      </c>
      <c r="AS35" s="536"/>
      <c r="AT35" s="536"/>
      <c r="AU35" s="519" t="str">
        <f t="shared" si="24"/>
        <v>OtagoNet JV</v>
      </c>
      <c r="AV35" s="519" t="str">
        <f t="shared" si="18"/>
        <v>BAL0331</v>
      </c>
      <c r="AW35" s="519">
        <f t="shared" si="19"/>
        <v>29.0913</v>
      </c>
      <c r="AX35" s="538"/>
      <c r="AY35" s="539">
        <f t="shared" ca="1" si="25"/>
        <v>0.88248586491209524</v>
      </c>
      <c r="AZ35" s="189"/>
      <c r="BC35" s="525"/>
      <c r="BD35" s="525"/>
      <c r="BE35" s="525"/>
      <c r="BF35" s="525"/>
      <c r="BG35" s="525"/>
      <c r="BH35" s="525"/>
      <c r="BI35" s="525"/>
    </row>
    <row r="36" spans="1:61" x14ac:dyDescent="0.3">
      <c r="A36" s="556">
        <v>1</v>
      </c>
      <c r="B36" s="519" t="str">
        <f t="shared" si="20"/>
        <v>BDE</v>
      </c>
      <c r="C36" s="519" t="str">
        <f>AMDs!C17</f>
        <v>Other</v>
      </c>
      <c r="D36" s="519" t="str">
        <f>AMDs!D17</f>
        <v>BDE0111</v>
      </c>
      <c r="E36" s="519">
        <f>IF(AMDs!C17="other",0,AMDs!E17)</f>
        <v>0</v>
      </c>
      <c r="H36" s="519">
        <f ca="1">_xlfn.IFNA(IF(VLOOKUP($B36&amp;OFFSET(H$10,$A36*2,0),'Mapping A'!$B$6:$E$1011,4,0)=1,$E36,""),0)</f>
        <v>0</v>
      </c>
      <c r="I36" s="519">
        <f ca="1">_xlfn.IFNA(IF(VLOOKUP($B36&amp;OFFSET(I$10,$A36*2,0),'Mapping A'!$B$6:$E$1011,4,0)=1,$E36,""),0)</f>
        <v>0</v>
      </c>
      <c r="J36" s="519">
        <f ca="1">_xlfn.IFNA(IF(VLOOKUP($B36&amp;OFFSET(J$10,$A36*2,0),'Mapping A'!$B$6:$E$1011,4,0)=1,$E36,""),0)</f>
        <v>0</v>
      </c>
      <c r="K36" s="519">
        <f ca="1">_xlfn.IFNA(IF(VLOOKUP($B36&amp;OFFSET(K$10,$A36*2,0),'Mapping A'!$B$6:$E$1011,4,0)=1,$E36,""),0)</f>
        <v>0</v>
      </c>
      <c r="L36" s="519">
        <f ca="1">_xlfn.IFNA(IF(VLOOKUP($B36&amp;OFFSET(L$10,$A36*2,0),'Mapping A'!$B$6:$E$1011,4,0)=1,$E36,""),0)</f>
        <v>0</v>
      </c>
      <c r="M36" s="519">
        <f ca="1">_xlfn.IFNA(IF(VLOOKUP($B36&amp;OFFSET(M$10,$A36*2,0),'Mapping A'!$B$6:$E$1011,4,0)=1,$E36,""),0)</f>
        <v>0</v>
      </c>
      <c r="N36" s="519">
        <f ca="1">_xlfn.IFNA(IF(VLOOKUP($B36&amp;OFFSET(N$10,$A36*2,0),'Mapping A'!$B$6:$E$1011,4,0)=1,$E36,""),0)</f>
        <v>0</v>
      </c>
      <c r="O36" s="519">
        <f ca="1">_xlfn.IFNA(IF(VLOOKUP($B36&amp;OFFSET(O$10,$A36*2,0),'Mapping A'!$B$6:$E$1011,4,0)=1,$E36,""),0)</f>
        <v>0</v>
      </c>
      <c r="P36" s="519">
        <f ca="1">_xlfn.IFNA(IF(VLOOKUP($B36&amp;OFFSET(P$10,$A36*2,0),'Mapping A'!$B$6:$E$1011,4,0)=1,$E36,""),0)</f>
        <v>0</v>
      </c>
      <c r="Q36" s="519">
        <f ca="1">_xlfn.IFNA(IF(VLOOKUP($B36&amp;OFFSET(Q$10,$A36*2,0),'Mapping A'!$B$6:$E$1011,4,0)=1,$E36,""),0)</f>
        <v>0</v>
      </c>
      <c r="R36" s="519">
        <f ca="1">_xlfn.IFNA(IF(VLOOKUP($B36&amp;OFFSET(R$10,$A36*2,0),'Mapping A'!$B$6:$E$1011,4,0)=1,$E36,""),0)</f>
        <v>0</v>
      </c>
      <c r="S36" s="519">
        <f ca="1">_xlfn.IFNA(IF(VLOOKUP($B36&amp;OFFSET(S$10,$A36*2,0),'Mapping A'!$B$6:$E$1011,4,0)=1,$E36,""),0)</f>
        <v>0</v>
      </c>
      <c r="T36" s="519">
        <f ca="1">_xlfn.IFNA(IF(VLOOKUP($B36&amp;OFFSET(T$10,$A36*2,0),'Mapping A'!$B$6:$E$1011,4,0)=1,$E36,""),0)</f>
        <v>0</v>
      </c>
      <c r="Y36" s="534" t="str">
        <f t="shared" si="21"/>
        <v>OtherBDE0111</v>
      </c>
      <c r="Z36" s="519" t="str">
        <f t="shared" si="4"/>
        <v>Other</v>
      </c>
      <c r="AA36" s="519" t="str">
        <f t="shared" si="5"/>
        <v>BDE0111</v>
      </c>
      <c r="AB36" s="519">
        <f t="shared" si="22"/>
        <v>0</v>
      </c>
      <c r="AC36" s="324"/>
      <c r="AE36" s="519">
        <f t="shared" ca="1" si="6"/>
        <v>0</v>
      </c>
      <c r="AF36" s="519">
        <f t="shared" ca="1" si="7"/>
        <v>0</v>
      </c>
      <c r="AG36" s="519">
        <f t="shared" ca="1" si="8"/>
        <v>0</v>
      </c>
      <c r="AH36" s="519">
        <f t="shared" ca="1" si="9"/>
        <v>0</v>
      </c>
      <c r="AI36" s="519">
        <f t="shared" ca="1" si="23"/>
        <v>0</v>
      </c>
      <c r="AJ36" s="519">
        <f t="shared" ca="1" si="10"/>
        <v>0</v>
      </c>
      <c r="AK36" s="519">
        <f t="shared" ca="1" si="11"/>
        <v>0</v>
      </c>
      <c r="AL36" s="519">
        <f t="shared" ca="1" si="12"/>
        <v>0</v>
      </c>
      <c r="AM36" s="519">
        <f t="shared" ca="1" si="13"/>
        <v>0</v>
      </c>
      <c r="AN36" s="519">
        <f t="shared" ca="1" si="14"/>
        <v>0</v>
      </c>
      <c r="AO36" s="519">
        <f t="shared" ca="1" si="15"/>
        <v>0</v>
      </c>
      <c r="AP36" s="519">
        <f t="shared" ca="1" si="16"/>
        <v>0</v>
      </c>
      <c r="AQ36" s="519">
        <f t="shared" ca="1" si="17"/>
        <v>0</v>
      </c>
      <c r="AS36" s="536"/>
      <c r="AT36" s="536"/>
      <c r="AU36" s="519" t="str">
        <f t="shared" si="24"/>
        <v>Other</v>
      </c>
      <c r="AV36" s="519" t="str">
        <f t="shared" si="18"/>
        <v>BDE0111</v>
      </c>
      <c r="AW36" s="519">
        <f t="shared" si="19"/>
        <v>0</v>
      </c>
      <c r="AX36" s="538"/>
      <c r="AY36" s="539">
        <f t="shared" ca="1" si="25"/>
        <v>0</v>
      </c>
      <c r="AZ36" s="189"/>
      <c r="BC36" s="525"/>
      <c r="BD36" s="525"/>
      <c r="BE36" s="525"/>
      <c r="BF36" s="525"/>
      <c r="BG36" s="525"/>
      <c r="BH36" s="525"/>
      <c r="BI36" s="525"/>
    </row>
    <row r="37" spans="1:61" x14ac:dyDescent="0.3">
      <c r="A37" s="556">
        <v>1</v>
      </c>
      <c r="B37" s="519" t="str">
        <f t="shared" si="20"/>
        <v>BDE</v>
      </c>
      <c r="C37" s="519" t="str">
        <f>AMDs!C18</f>
        <v>Rayonier</v>
      </c>
      <c r="D37" s="519" t="str">
        <f>AMDs!D18</f>
        <v>BDE0111</v>
      </c>
      <c r="E37" s="519">
        <f>IF(AMDs!C18="other",0,AMDs!E18)</f>
        <v>9.1181999999999999</v>
      </c>
      <c r="H37" s="519">
        <f ca="1">_xlfn.IFNA(IF(VLOOKUP($B37&amp;OFFSET(H$10,$A37*2,0),'Mapping A'!$B$6:$E$1011,4,0)=1,$E37,""),0)</f>
        <v>0</v>
      </c>
      <c r="I37" s="519">
        <f ca="1">_xlfn.IFNA(IF(VLOOKUP($B37&amp;OFFSET(I$10,$A37*2,0),'Mapping A'!$B$6:$E$1011,4,0)=1,$E37,""),0)</f>
        <v>9.1181999999999999</v>
      </c>
      <c r="J37" s="519">
        <f ca="1">_xlfn.IFNA(IF(VLOOKUP($B37&amp;OFFSET(J$10,$A37*2,0),'Mapping A'!$B$6:$E$1011,4,0)=1,$E37,""),0)</f>
        <v>0</v>
      </c>
      <c r="K37" s="519">
        <f ca="1">_xlfn.IFNA(IF(VLOOKUP($B37&amp;OFFSET(K$10,$A37*2,0),'Mapping A'!$B$6:$E$1011,4,0)=1,$E37,""),0)</f>
        <v>0</v>
      </c>
      <c r="L37" s="519">
        <f ca="1">_xlfn.IFNA(IF(VLOOKUP($B37&amp;OFFSET(L$10,$A37*2,0),'Mapping A'!$B$6:$E$1011,4,0)=1,$E37,""),0)</f>
        <v>0</v>
      </c>
      <c r="M37" s="519">
        <f ca="1">_xlfn.IFNA(IF(VLOOKUP($B37&amp;OFFSET(M$10,$A37*2,0),'Mapping A'!$B$6:$E$1011,4,0)=1,$E37,""),0)</f>
        <v>0</v>
      </c>
      <c r="N37" s="519">
        <f ca="1">_xlfn.IFNA(IF(VLOOKUP($B37&amp;OFFSET(N$10,$A37*2,0),'Mapping A'!$B$6:$E$1011,4,0)=1,$E37,""),0)</f>
        <v>0</v>
      </c>
      <c r="O37" s="519">
        <f ca="1">_xlfn.IFNA(IF(VLOOKUP($B37&amp;OFFSET(O$10,$A37*2,0),'Mapping A'!$B$6:$E$1011,4,0)=1,$E37,""),0)</f>
        <v>0</v>
      </c>
      <c r="P37" s="519">
        <f ca="1">_xlfn.IFNA(IF(VLOOKUP($B37&amp;OFFSET(P$10,$A37*2,0),'Mapping A'!$B$6:$E$1011,4,0)=1,$E37,""),0)</f>
        <v>0</v>
      </c>
      <c r="Q37" s="519">
        <f ca="1">_xlfn.IFNA(IF(VLOOKUP($B37&amp;OFFSET(Q$10,$A37*2,0),'Mapping A'!$B$6:$E$1011,4,0)=1,$E37,""),0)</f>
        <v>0</v>
      </c>
      <c r="R37" s="519">
        <f ca="1">_xlfn.IFNA(IF(VLOOKUP($B37&amp;OFFSET(R$10,$A37*2,0),'Mapping A'!$B$6:$E$1011,4,0)=1,$E37,""),0)</f>
        <v>9.1181999999999999</v>
      </c>
      <c r="S37" s="519">
        <f ca="1">_xlfn.IFNA(IF(VLOOKUP($B37&amp;OFFSET(S$10,$A37*2,0),'Mapping A'!$B$6:$E$1011,4,0)=1,$E37,""),0)</f>
        <v>0</v>
      </c>
      <c r="T37" s="519">
        <f ca="1">_xlfn.IFNA(IF(VLOOKUP($B37&amp;OFFSET(T$10,$A37*2,0),'Mapping A'!$B$6:$E$1011,4,0)=1,$E37,""),0)</f>
        <v>0</v>
      </c>
      <c r="Y37" s="534" t="str">
        <f t="shared" si="21"/>
        <v>RayonierBDE0111</v>
      </c>
      <c r="Z37" s="519" t="str">
        <f t="shared" si="4"/>
        <v>Rayonier</v>
      </c>
      <c r="AA37" s="519" t="str">
        <f t="shared" si="5"/>
        <v>BDE0111</v>
      </c>
      <c r="AB37" s="519">
        <f t="shared" si="22"/>
        <v>9.1181999999999999</v>
      </c>
      <c r="AC37" s="324"/>
      <c r="AE37" s="519">
        <f t="shared" ca="1" si="6"/>
        <v>0</v>
      </c>
      <c r="AF37" s="519">
        <f t="shared" ca="1" si="7"/>
        <v>0</v>
      </c>
      <c r="AG37" s="519">
        <f t="shared" ca="1" si="8"/>
        <v>0</v>
      </c>
      <c r="AH37" s="519">
        <f t="shared" ca="1" si="9"/>
        <v>0</v>
      </c>
      <c r="AI37" s="519">
        <f t="shared" ca="1" si="23"/>
        <v>0</v>
      </c>
      <c r="AJ37" s="519">
        <f t="shared" ca="1" si="10"/>
        <v>0</v>
      </c>
      <c r="AK37" s="519">
        <f t="shared" ca="1" si="11"/>
        <v>0</v>
      </c>
      <c r="AL37" s="519">
        <f t="shared" ca="1" si="12"/>
        <v>0</v>
      </c>
      <c r="AM37" s="519">
        <f t="shared" ca="1" si="13"/>
        <v>0</v>
      </c>
      <c r="AN37" s="519">
        <f t="shared" ca="1" si="14"/>
        <v>0</v>
      </c>
      <c r="AO37" s="519">
        <f t="shared" ca="1" si="15"/>
        <v>2.2148448829592111E-2</v>
      </c>
      <c r="AP37" s="519">
        <f t="shared" ca="1" si="16"/>
        <v>0</v>
      </c>
      <c r="AQ37" s="519">
        <f t="shared" ca="1" si="17"/>
        <v>0</v>
      </c>
      <c r="AS37" s="536"/>
      <c r="AT37" s="536"/>
      <c r="AU37" s="519" t="str">
        <f t="shared" si="24"/>
        <v>Rayonier</v>
      </c>
      <c r="AV37" s="519" t="str">
        <f t="shared" si="18"/>
        <v>BDE0111</v>
      </c>
      <c r="AW37" s="519">
        <f t="shared" si="19"/>
        <v>9.1181999999999999</v>
      </c>
      <c r="AX37" s="538"/>
      <c r="AY37" s="539">
        <f t="shared" ca="1" si="25"/>
        <v>0.27660099801113963</v>
      </c>
      <c r="AZ37" s="189"/>
      <c r="BC37" s="525"/>
      <c r="BD37" s="525"/>
      <c r="BE37" s="525"/>
      <c r="BF37" s="525"/>
      <c r="BG37" s="525"/>
      <c r="BH37" s="526"/>
      <c r="BI37" s="525"/>
    </row>
    <row r="38" spans="1:61" x14ac:dyDescent="0.3">
      <c r="A38" s="556">
        <v>1</v>
      </c>
      <c r="B38" s="519" t="str">
        <f t="shared" si="20"/>
        <v>BEN</v>
      </c>
      <c r="C38" s="519" t="str">
        <f>AMDs!C19</f>
        <v>Meridian</v>
      </c>
      <c r="D38" s="519" t="str">
        <f>AMDs!D19</f>
        <v>BEN2202</v>
      </c>
      <c r="E38" s="519">
        <f>IF(AMDs!C19="other",0,AMDs!E19)</f>
        <v>8.2928999999999995</v>
      </c>
      <c r="H38" s="519">
        <f ca="1">_xlfn.IFNA(IF(VLOOKUP($B38&amp;OFFSET(H$10,$A38*2,0),'Mapping A'!$B$6:$E$1011,4,0)=1,$E38,""),0)</f>
        <v>0</v>
      </c>
      <c r="I38" s="519">
        <f ca="1">_xlfn.IFNA(IF(VLOOKUP($B38&amp;OFFSET(I$10,$A38*2,0),'Mapping A'!$B$6:$E$1011,4,0)=1,$E38,""),0)</f>
        <v>0</v>
      </c>
      <c r="J38" s="519">
        <f ca="1">_xlfn.IFNA(IF(VLOOKUP($B38&amp;OFFSET(J$10,$A38*2,0),'Mapping A'!$B$6:$E$1011,4,0)=1,$E38,""),0)</f>
        <v>0</v>
      </c>
      <c r="K38" s="519">
        <f ca="1">_xlfn.IFNA(IF(VLOOKUP($B38&amp;OFFSET(K$10,$A38*2,0),'Mapping A'!$B$6:$E$1011,4,0)=1,$E38,""),0)</f>
        <v>0</v>
      </c>
      <c r="L38" s="519">
        <f ca="1">_xlfn.IFNA(IF(VLOOKUP($B38&amp;OFFSET(L$10,$A38*2,0),'Mapping A'!$B$6:$E$1011,4,0)=1,$E38,""),0)</f>
        <v>0</v>
      </c>
      <c r="M38" s="519">
        <f ca="1">_xlfn.IFNA(IF(VLOOKUP($B38&amp;OFFSET(M$10,$A38*2,0),'Mapping A'!$B$6:$E$1011,4,0)=1,$E38,""),0)</f>
        <v>0</v>
      </c>
      <c r="N38" s="519">
        <f ca="1">_xlfn.IFNA(IF(VLOOKUP($B38&amp;OFFSET(N$10,$A38*2,0),'Mapping A'!$B$6:$E$1011,4,0)=1,$E38,""),0)</f>
        <v>0</v>
      </c>
      <c r="O38" s="519">
        <f ca="1">_xlfn.IFNA(IF(VLOOKUP($B38&amp;OFFSET(O$10,$A38*2,0),'Mapping A'!$B$6:$E$1011,4,0)=1,$E38,""),0)</f>
        <v>0</v>
      </c>
      <c r="P38" s="519">
        <f ca="1">_xlfn.IFNA(IF(VLOOKUP($B38&amp;OFFSET(P$10,$A38*2,0),'Mapping A'!$B$6:$E$1011,4,0)=1,$E38,""),0)</f>
        <v>0</v>
      </c>
      <c r="Q38" s="519">
        <f ca="1">_xlfn.IFNA(IF(VLOOKUP($B38&amp;OFFSET(Q$10,$A38*2,0),'Mapping A'!$B$6:$E$1011,4,0)=1,$E38,""),0)</f>
        <v>0</v>
      </c>
      <c r="R38" s="519">
        <f ca="1">_xlfn.IFNA(IF(VLOOKUP($B38&amp;OFFSET(R$10,$A38*2,0),'Mapping A'!$B$6:$E$1011,4,0)=1,$E38,""),0)</f>
        <v>0</v>
      </c>
      <c r="S38" s="519">
        <f ca="1">_xlfn.IFNA(IF(VLOOKUP($B38&amp;OFFSET(S$10,$A38*2,0),'Mapping A'!$B$6:$E$1011,4,0)=1,$E38,""),0)</f>
        <v>0</v>
      </c>
      <c r="T38" s="519">
        <f ca="1">_xlfn.IFNA(IF(VLOOKUP($B38&amp;OFFSET(T$10,$A38*2,0),'Mapping A'!$B$6:$E$1011,4,0)=1,$E38,""),0)</f>
        <v>0</v>
      </c>
      <c r="Y38" s="534" t="str">
        <f t="shared" si="21"/>
        <v>MeridianBEN2202</v>
      </c>
      <c r="Z38" s="519" t="str">
        <f t="shared" si="4"/>
        <v>Meridian</v>
      </c>
      <c r="AA38" s="519" t="str">
        <f t="shared" si="5"/>
        <v>BEN2202</v>
      </c>
      <c r="AB38" s="519">
        <f t="shared" si="22"/>
        <v>8.2928999999999995</v>
      </c>
      <c r="AC38" s="324"/>
      <c r="AE38" s="519">
        <f t="shared" ca="1" si="6"/>
        <v>0</v>
      </c>
      <c r="AF38" s="519">
        <f t="shared" ca="1" si="7"/>
        <v>0</v>
      </c>
      <c r="AG38" s="519">
        <f t="shared" ca="1" si="8"/>
        <v>0</v>
      </c>
      <c r="AH38" s="519">
        <f t="shared" ca="1" si="9"/>
        <v>0</v>
      </c>
      <c r="AI38" s="519">
        <f t="shared" ca="1" si="23"/>
        <v>0</v>
      </c>
      <c r="AJ38" s="519">
        <f t="shared" ca="1" si="10"/>
        <v>0</v>
      </c>
      <c r="AK38" s="519">
        <f t="shared" ca="1" si="11"/>
        <v>0</v>
      </c>
      <c r="AL38" s="519">
        <f t="shared" ca="1" si="12"/>
        <v>0</v>
      </c>
      <c r="AM38" s="519">
        <f t="shared" ca="1" si="13"/>
        <v>0</v>
      </c>
      <c r="AN38" s="519">
        <f t="shared" ca="1" si="14"/>
        <v>0</v>
      </c>
      <c r="AO38" s="519">
        <f t="shared" ca="1" si="15"/>
        <v>0</v>
      </c>
      <c r="AP38" s="519">
        <f t="shared" ca="1" si="16"/>
        <v>0</v>
      </c>
      <c r="AQ38" s="519">
        <f t="shared" ca="1" si="17"/>
        <v>0</v>
      </c>
      <c r="AS38" s="536"/>
      <c r="AT38" s="536"/>
      <c r="AU38" s="519" t="str">
        <f t="shared" si="24"/>
        <v>Meridian</v>
      </c>
      <c r="AV38" s="519" t="str">
        <f t="shared" si="18"/>
        <v>BEN2202</v>
      </c>
      <c r="AW38" s="519">
        <f t="shared" si="19"/>
        <v>8.2928999999999995</v>
      </c>
      <c r="AX38" s="538"/>
      <c r="AY38" s="539">
        <f t="shared" ca="1" si="25"/>
        <v>0.25156548621510605</v>
      </c>
      <c r="AZ38" s="189"/>
      <c r="BC38" s="525"/>
      <c r="BD38" s="525"/>
      <c r="BE38" s="525"/>
      <c r="BF38" s="525"/>
      <c r="BG38" s="525"/>
      <c r="BH38" s="526"/>
      <c r="BI38" s="525"/>
    </row>
    <row r="39" spans="1:61" x14ac:dyDescent="0.3">
      <c r="A39" s="556">
        <v>1</v>
      </c>
      <c r="B39" s="519" t="str">
        <f t="shared" si="20"/>
        <v>BLN</v>
      </c>
      <c r="C39" s="519" t="str">
        <f>AMDs!C20</f>
        <v>Marlborough Lines</v>
      </c>
      <c r="D39" s="519" t="str">
        <f>AMDs!D20</f>
        <v>BLN0331</v>
      </c>
      <c r="E39" s="519">
        <f>IF(AMDs!C20="other",0,AMDs!E20)</f>
        <v>76.263599999999997</v>
      </c>
      <c r="H39" s="519">
        <f ca="1">_xlfn.IFNA(IF(VLOOKUP($B39&amp;OFFSET(H$10,$A39*2,0),'Mapping A'!$B$6:$E$1011,4,0)=1,$E39,""),0)</f>
        <v>0</v>
      </c>
      <c r="I39" s="519">
        <f ca="1">_xlfn.IFNA(IF(VLOOKUP($B39&amp;OFFSET(I$10,$A39*2,0),'Mapping A'!$B$6:$E$1011,4,0)=1,$E39,""),0)</f>
        <v>76.263599999999997</v>
      </c>
      <c r="J39" s="519">
        <f ca="1">_xlfn.IFNA(IF(VLOOKUP($B39&amp;OFFSET(J$10,$A39*2,0),'Mapping A'!$B$6:$E$1011,4,0)=1,$E39,""),0)</f>
        <v>0</v>
      </c>
      <c r="K39" s="519">
        <f ca="1">_xlfn.IFNA(IF(VLOOKUP($B39&amp;OFFSET(K$10,$A39*2,0),'Mapping A'!$B$6:$E$1011,4,0)=1,$E39,""),0)</f>
        <v>0</v>
      </c>
      <c r="L39" s="519">
        <f ca="1">_xlfn.IFNA(IF(VLOOKUP($B39&amp;OFFSET(L$10,$A39*2,0),'Mapping A'!$B$6:$E$1011,4,0)=1,$E39,""),0)</f>
        <v>0</v>
      </c>
      <c r="M39" s="519">
        <f ca="1">_xlfn.IFNA(IF(VLOOKUP($B39&amp;OFFSET(M$10,$A39*2,0),'Mapping A'!$B$6:$E$1011,4,0)=1,$E39,""),0)</f>
        <v>0</v>
      </c>
      <c r="N39" s="519">
        <f ca="1">_xlfn.IFNA(IF(VLOOKUP($B39&amp;OFFSET(N$10,$A39*2,0),'Mapping A'!$B$6:$E$1011,4,0)=1,$E39,""),0)</f>
        <v>0</v>
      </c>
      <c r="O39" s="519">
        <f ca="1">_xlfn.IFNA(IF(VLOOKUP($B39&amp;OFFSET(O$10,$A39*2,0),'Mapping A'!$B$6:$E$1011,4,0)=1,$E39,""),0)</f>
        <v>0</v>
      </c>
      <c r="P39" s="519">
        <f ca="1">_xlfn.IFNA(IF(VLOOKUP($B39&amp;OFFSET(P$10,$A39*2,0),'Mapping A'!$B$6:$E$1011,4,0)=1,$E39,""),0)</f>
        <v>76.263599999999997</v>
      </c>
      <c r="Q39" s="519">
        <f ca="1">_xlfn.IFNA(IF(VLOOKUP($B39&amp;OFFSET(Q$10,$A39*2,0),'Mapping A'!$B$6:$E$1011,4,0)=1,$E39,""),0)</f>
        <v>0</v>
      </c>
      <c r="R39" s="519">
        <f ca="1">_xlfn.IFNA(IF(VLOOKUP($B39&amp;OFFSET(R$10,$A39*2,0),'Mapping A'!$B$6:$E$1011,4,0)=1,$E39,""),0)</f>
        <v>0</v>
      </c>
      <c r="S39" s="519">
        <f ca="1">_xlfn.IFNA(IF(VLOOKUP($B39&amp;OFFSET(S$10,$A39*2,0),'Mapping A'!$B$6:$E$1011,4,0)=1,$E39,""),0)</f>
        <v>0</v>
      </c>
      <c r="T39" s="519">
        <f ca="1">_xlfn.IFNA(IF(VLOOKUP($B39&amp;OFFSET(T$10,$A39*2,0),'Mapping A'!$B$6:$E$1011,4,0)=1,$E39,""),0)</f>
        <v>76.263599999999997</v>
      </c>
      <c r="Y39" s="534" t="str">
        <f t="shared" si="21"/>
        <v>Marlborough LinesBLN0331</v>
      </c>
      <c r="Z39" s="519" t="str">
        <f t="shared" si="4"/>
        <v>Marlborough Lines</v>
      </c>
      <c r="AA39" s="519" t="str">
        <f t="shared" si="5"/>
        <v>BLN0331</v>
      </c>
      <c r="AB39" s="519">
        <f t="shared" si="22"/>
        <v>76.263599999999997</v>
      </c>
      <c r="AC39" s="324"/>
      <c r="AE39" s="519">
        <f t="shared" ca="1" si="6"/>
        <v>0</v>
      </c>
      <c r="AF39" s="519">
        <f t="shared" ca="1" si="7"/>
        <v>0</v>
      </c>
      <c r="AG39" s="519">
        <f t="shared" ca="1" si="8"/>
        <v>0</v>
      </c>
      <c r="AH39" s="519">
        <f t="shared" ca="1" si="9"/>
        <v>0</v>
      </c>
      <c r="AI39" s="519">
        <f t="shared" ca="1" si="23"/>
        <v>0</v>
      </c>
      <c r="AJ39" s="519">
        <f t="shared" ca="1" si="10"/>
        <v>0</v>
      </c>
      <c r="AK39" s="519">
        <f t="shared" ca="1" si="11"/>
        <v>0</v>
      </c>
      <c r="AL39" s="519">
        <f t="shared" ca="1" si="12"/>
        <v>0</v>
      </c>
      <c r="AM39" s="519">
        <f t="shared" ca="1" si="13"/>
        <v>0.203156328671764</v>
      </c>
      <c r="AN39" s="519">
        <f t="shared" ca="1" si="14"/>
        <v>0</v>
      </c>
      <c r="AO39" s="519">
        <f t="shared" ca="1" si="15"/>
        <v>0</v>
      </c>
      <c r="AP39" s="519">
        <f t="shared" ca="1" si="16"/>
        <v>0</v>
      </c>
      <c r="AQ39" s="519">
        <f t="shared" ca="1" si="17"/>
        <v>0</v>
      </c>
      <c r="AS39" s="536"/>
      <c r="AT39" s="536"/>
      <c r="AU39" s="519" t="str">
        <f t="shared" si="24"/>
        <v>Marlborough Lines</v>
      </c>
      <c r="AV39" s="519" t="str">
        <f t="shared" si="18"/>
        <v>BLN0331</v>
      </c>
      <c r="AW39" s="519">
        <f t="shared" si="19"/>
        <v>76.263599999999997</v>
      </c>
      <c r="AX39" s="538"/>
      <c r="AY39" s="539">
        <f t="shared" ca="1" si="25"/>
        <v>2.3134596600121018</v>
      </c>
      <c r="AZ39" s="189"/>
      <c r="BC39" s="525"/>
      <c r="BD39" s="525"/>
      <c r="BE39" s="525"/>
      <c r="BF39" s="525"/>
      <c r="BG39" s="525"/>
      <c r="BH39" s="525"/>
      <c r="BI39" s="525"/>
    </row>
    <row r="40" spans="1:61" x14ac:dyDescent="0.3">
      <c r="A40" s="556">
        <v>1</v>
      </c>
      <c r="B40" s="519" t="str">
        <f t="shared" si="20"/>
        <v>BOB</v>
      </c>
      <c r="C40" s="519" t="str">
        <f>AMDs!C21</f>
        <v>Counties Power</v>
      </c>
      <c r="D40" s="519" t="str">
        <f>AMDs!D21</f>
        <v>BOB0331</v>
      </c>
      <c r="E40" s="519">
        <f>IF(AMDs!C21="other",0,AMDs!E21)</f>
        <v>29.406300000000002</v>
      </c>
      <c r="H40" s="519">
        <f ca="1">_xlfn.IFNA(IF(VLOOKUP($B40&amp;OFFSET(H$10,$A40*2,0),'Mapping A'!$B$6:$E$1011,4,0)=1,$E40,""),0)</f>
        <v>29.406300000000002</v>
      </c>
      <c r="I40" s="519">
        <f ca="1">_xlfn.IFNA(IF(VLOOKUP($B40&amp;OFFSET(I$10,$A40*2,0),'Mapping A'!$B$6:$E$1011,4,0)=1,$E40,""),0)</f>
        <v>29.406300000000002</v>
      </c>
      <c r="J40" s="519">
        <f ca="1">_xlfn.IFNA(IF(VLOOKUP($B40&amp;OFFSET(J$10,$A40*2,0),'Mapping A'!$B$6:$E$1011,4,0)=1,$E40,""),0)</f>
        <v>29.406300000000002</v>
      </c>
      <c r="K40" s="519">
        <f ca="1">_xlfn.IFNA(IF(VLOOKUP($B40&amp;OFFSET(K$10,$A40*2,0),'Mapping A'!$B$6:$E$1011,4,0)=1,$E40,""),0)</f>
        <v>0</v>
      </c>
      <c r="L40" s="519">
        <f ca="1">_xlfn.IFNA(IF(VLOOKUP($B40&amp;OFFSET(L$10,$A40*2,0),'Mapping A'!$B$6:$E$1011,4,0)=1,$E40,""),0)</f>
        <v>0</v>
      </c>
      <c r="M40" s="519">
        <f ca="1">_xlfn.IFNA(IF(VLOOKUP($B40&amp;OFFSET(M$10,$A40*2,0),'Mapping A'!$B$6:$E$1011,4,0)=1,$E40,""),0)</f>
        <v>29.406300000000002</v>
      </c>
      <c r="N40" s="519">
        <f ca="1">_xlfn.IFNA(IF(VLOOKUP($B40&amp;OFFSET(N$10,$A40*2,0),'Mapping A'!$B$6:$E$1011,4,0)=1,$E40,""),0)</f>
        <v>29.406300000000002</v>
      </c>
      <c r="O40" s="519">
        <f ca="1">_xlfn.IFNA(IF(VLOOKUP($B40&amp;OFFSET(O$10,$A40*2,0),'Mapping A'!$B$6:$E$1011,4,0)=1,$E40,""),0)</f>
        <v>0</v>
      </c>
      <c r="P40" s="519">
        <f ca="1">_xlfn.IFNA(IF(VLOOKUP($B40&amp;OFFSET(P$10,$A40*2,0),'Mapping A'!$B$6:$E$1011,4,0)=1,$E40,""),0)</f>
        <v>0</v>
      </c>
      <c r="Q40" s="519">
        <f ca="1">_xlfn.IFNA(IF(VLOOKUP($B40&amp;OFFSET(Q$10,$A40*2,0),'Mapping A'!$B$6:$E$1011,4,0)=1,$E40,""),0)</f>
        <v>29.406300000000002</v>
      </c>
      <c r="R40" s="519">
        <f ca="1">_xlfn.IFNA(IF(VLOOKUP($B40&amp;OFFSET(R$10,$A40*2,0),'Mapping A'!$B$6:$E$1011,4,0)=1,$E40,""),0)</f>
        <v>0</v>
      </c>
      <c r="S40" s="519">
        <f ca="1">_xlfn.IFNA(IF(VLOOKUP($B40&amp;OFFSET(S$10,$A40*2,0),'Mapping A'!$B$6:$E$1011,4,0)=1,$E40,""),0)</f>
        <v>0</v>
      </c>
      <c r="T40" s="519">
        <f ca="1">_xlfn.IFNA(IF(VLOOKUP($B40&amp;OFFSET(T$10,$A40*2,0),'Mapping A'!$B$6:$E$1011,4,0)=1,$E40,""),0)</f>
        <v>0</v>
      </c>
      <c r="Y40" s="534" t="str">
        <f t="shared" si="21"/>
        <v>Counties PowerBOB0331</v>
      </c>
      <c r="Z40" s="519" t="str">
        <f t="shared" si="4"/>
        <v>Counties Power</v>
      </c>
      <c r="AA40" s="519" t="str">
        <f t="shared" si="5"/>
        <v>BOB0331</v>
      </c>
      <c r="AB40" s="519">
        <f t="shared" si="22"/>
        <v>29.406300000000002</v>
      </c>
      <c r="AC40" s="324"/>
      <c r="AE40" s="519">
        <f t="shared" ca="1" si="6"/>
        <v>0</v>
      </c>
      <c r="AF40" s="519">
        <f t="shared" ca="1" si="7"/>
        <v>0</v>
      </c>
      <c r="AG40" s="519">
        <f t="shared" ca="1" si="8"/>
        <v>0</v>
      </c>
      <c r="AH40" s="519">
        <f t="shared" ca="1" si="9"/>
        <v>0</v>
      </c>
      <c r="AI40" s="519">
        <f t="shared" ca="1" si="23"/>
        <v>0</v>
      </c>
      <c r="AJ40" s="519">
        <f t="shared" ca="1" si="10"/>
        <v>0</v>
      </c>
      <c r="AK40" s="519">
        <f t="shared" ca="1" si="11"/>
        <v>0.11777890618455673</v>
      </c>
      <c r="AL40" s="519">
        <f t="shared" ca="1" si="12"/>
        <v>0</v>
      </c>
      <c r="AM40" s="519">
        <f t="shared" ca="1" si="13"/>
        <v>0</v>
      </c>
      <c r="AN40" s="519">
        <f t="shared" ca="1" si="14"/>
        <v>5.431988625919653E-2</v>
      </c>
      <c r="AO40" s="519">
        <f t="shared" ca="1" si="15"/>
        <v>0</v>
      </c>
      <c r="AP40" s="519">
        <f t="shared" ca="1" si="16"/>
        <v>0</v>
      </c>
      <c r="AQ40" s="519">
        <f t="shared" ca="1" si="17"/>
        <v>0</v>
      </c>
      <c r="AS40" s="536"/>
      <c r="AT40" s="536"/>
      <c r="AU40" s="519" t="str">
        <f t="shared" si="24"/>
        <v>Counties Power</v>
      </c>
      <c r="AV40" s="519" t="str">
        <f t="shared" si="18"/>
        <v>BOB0331</v>
      </c>
      <c r="AW40" s="519">
        <f t="shared" si="19"/>
        <v>29.406300000000002</v>
      </c>
      <c r="AX40" s="538"/>
      <c r="AY40" s="539">
        <f t="shared" ca="1" si="25"/>
        <v>0.89204140376554308</v>
      </c>
      <c r="AZ40" s="189"/>
      <c r="BC40" s="525"/>
      <c r="BD40" s="525"/>
      <c r="BE40" s="525"/>
      <c r="BF40" s="525"/>
      <c r="BG40" s="525"/>
      <c r="BH40" s="526"/>
      <c r="BI40" s="525"/>
    </row>
    <row r="41" spans="1:61" x14ac:dyDescent="0.3">
      <c r="A41" s="556">
        <v>1</v>
      </c>
      <c r="B41" s="519" t="str">
        <f t="shared" si="20"/>
        <v>BOB</v>
      </c>
      <c r="C41" s="519" t="str">
        <f>AMDs!C22</f>
        <v>Counties Power</v>
      </c>
      <c r="D41" s="519" t="str">
        <f>AMDs!D22</f>
        <v>BOB1101</v>
      </c>
      <c r="E41" s="519">
        <f>IF(AMDs!C22="other",0,AMDs!E22)</f>
        <v>59.278799999999997</v>
      </c>
      <c r="H41" s="519">
        <f ca="1">_xlfn.IFNA(IF(VLOOKUP($B41&amp;OFFSET(H$10,$A41*2,0),'Mapping A'!$B$6:$E$1011,4,0)=1,$E41,""),0)</f>
        <v>59.278799999999997</v>
      </c>
      <c r="I41" s="519">
        <f ca="1">_xlfn.IFNA(IF(VLOOKUP($B41&amp;OFFSET(I$10,$A41*2,0),'Mapping A'!$B$6:$E$1011,4,0)=1,$E41,""),0)</f>
        <v>59.278799999999997</v>
      </c>
      <c r="J41" s="519">
        <f ca="1">_xlfn.IFNA(IF(VLOOKUP($B41&amp;OFFSET(J$10,$A41*2,0),'Mapping A'!$B$6:$E$1011,4,0)=1,$E41,""),0)</f>
        <v>59.278799999999997</v>
      </c>
      <c r="K41" s="519">
        <f ca="1">_xlfn.IFNA(IF(VLOOKUP($B41&amp;OFFSET(K$10,$A41*2,0),'Mapping A'!$B$6:$E$1011,4,0)=1,$E41,""),0)</f>
        <v>0</v>
      </c>
      <c r="L41" s="519">
        <f ca="1">_xlfn.IFNA(IF(VLOOKUP($B41&amp;OFFSET(L$10,$A41*2,0),'Mapping A'!$B$6:$E$1011,4,0)=1,$E41,""),0)</f>
        <v>0</v>
      </c>
      <c r="M41" s="519">
        <f ca="1">_xlfn.IFNA(IF(VLOOKUP($B41&amp;OFFSET(M$10,$A41*2,0),'Mapping A'!$B$6:$E$1011,4,0)=1,$E41,""),0)</f>
        <v>59.278799999999997</v>
      </c>
      <c r="N41" s="519">
        <f ca="1">_xlfn.IFNA(IF(VLOOKUP($B41&amp;OFFSET(N$10,$A41*2,0),'Mapping A'!$B$6:$E$1011,4,0)=1,$E41,""),0)</f>
        <v>59.278799999999997</v>
      </c>
      <c r="O41" s="519">
        <f ca="1">_xlfn.IFNA(IF(VLOOKUP($B41&amp;OFFSET(O$10,$A41*2,0),'Mapping A'!$B$6:$E$1011,4,0)=1,$E41,""),0)</f>
        <v>0</v>
      </c>
      <c r="P41" s="519">
        <f ca="1">_xlfn.IFNA(IF(VLOOKUP($B41&amp;OFFSET(P$10,$A41*2,0),'Mapping A'!$B$6:$E$1011,4,0)=1,$E41,""),0)</f>
        <v>0</v>
      </c>
      <c r="Q41" s="519">
        <f ca="1">_xlfn.IFNA(IF(VLOOKUP($B41&amp;OFFSET(Q$10,$A41*2,0),'Mapping A'!$B$6:$E$1011,4,0)=1,$E41,""),0)</f>
        <v>59.278799999999997</v>
      </c>
      <c r="R41" s="519">
        <f ca="1">_xlfn.IFNA(IF(VLOOKUP($B41&amp;OFFSET(R$10,$A41*2,0),'Mapping A'!$B$6:$E$1011,4,0)=1,$E41,""),0)</f>
        <v>0</v>
      </c>
      <c r="S41" s="519">
        <f ca="1">_xlfn.IFNA(IF(VLOOKUP($B41&amp;OFFSET(S$10,$A41*2,0),'Mapping A'!$B$6:$E$1011,4,0)=1,$E41,""),0)</f>
        <v>0</v>
      </c>
      <c r="T41" s="519">
        <f ca="1">_xlfn.IFNA(IF(VLOOKUP($B41&amp;OFFSET(T$10,$A41*2,0),'Mapping A'!$B$6:$E$1011,4,0)=1,$E41,""),0)</f>
        <v>0</v>
      </c>
      <c r="Y41" s="534" t="str">
        <f t="shared" si="21"/>
        <v>Counties PowerBOB1101</v>
      </c>
      <c r="Z41" s="519" t="str">
        <f t="shared" si="4"/>
        <v>Counties Power</v>
      </c>
      <c r="AA41" s="519" t="str">
        <f t="shared" si="5"/>
        <v>BOB1101</v>
      </c>
      <c r="AB41" s="519">
        <f t="shared" si="22"/>
        <v>59.278799999999997</v>
      </c>
      <c r="AC41" s="324"/>
      <c r="AE41" s="519">
        <f t="shared" ca="1" si="6"/>
        <v>0</v>
      </c>
      <c r="AF41" s="519">
        <f t="shared" ca="1" si="7"/>
        <v>0</v>
      </c>
      <c r="AG41" s="519">
        <f t="shared" ca="1" si="8"/>
        <v>0</v>
      </c>
      <c r="AH41" s="519">
        <f t="shared" ca="1" si="9"/>
        <v>0</v>
      </c>
      <c r="AI41" s="519">
        <f t="shared" ca="1" si="23"/>
        <v>0</v>
      </c>
      <c r="AJ41" s="519">
        <f t="shared" ca="1" si="10"/>
        <v>0</v>
      </c>
      <c r="AK41" s="519">
        <f t="shared" ca="1" si="11"/>
        <v>0.23742504918786453</v>
      </c>
      <c r="AL41" s="519">
        <f t="shared" ca="1" si="12"/>
        <v>0</v>
      </c>
      <c r="AM41" s="519">
        <f t="shared" ca="1" si="13"/>
        <v>0</v>
      </c>
      <c r="AN41" s="519">
        <f t="shared" ca="1" si="14"/>
        <v>0.10950094617757619</v>
      </c>
      <c r="AO41" s="519">
        <f t="shared" ca="1" si="15"/>
        <v>0</v>
      </c>
      <c r="AP41" s="519">
        <f t="shared" ca="1" si="16"/>
        <v>0</v>
      </c>
      <c r="AQ41" s="519">
        <f t="shared" ca="1" si="17"/>
        <v>0</v>
      </c>
      <c r="AS41" s="536"/>
      <c r="AT41" s="536"/>
      <c r="AU41" s="519" t="str">
        <f t="shared" si="24"/>
        <v>Counties Power</v>
      </c>
      <c r="AV41" s="519" t="str">
        <f t="shared" si="18"/>
        <v>BOB1101</v>
      </c>
      <c r="AW41" s="519">
        <f t="shared" si="19"/>
        <v>59.278799999999997</v>
      </c>
      <c r="AX41" s="538"/>
      <c r="AY41" s="539">
        <f t="shared" ca="1" si="25"/>
        <v>1.798225005034189</v>
      </c>
      <c r="AZ41" s="189"/>
      <c r="BC41" s="525"/>
      <c r="BD41" s="525"/>
      <c r="BE41" s="525"/>
      <c r="BF41" s="525"/>
      <c r="BG41" s="525"/>
      <c r="BH41" s="525"/>
      <c r="BI41" s="526"/>
    </row>
    <row r="42" spans="1:61" x14ac:dyDescent="0.3">
      <c r="A42" s="556">
        <v>1</v>
      </c>
      <c r="B42" s="519" t="str">
        <f t="shared" si="20"/>
        <v>BPD</v>
      </c>
      <c r="C42" s="519" t="str">
        <f>AMDs!C23</f>
        <v>Alpine Energy</v>
      </c>
      <c r="D42" s="519" t="str">
        <f>AMDs!D23</f>
        <v>BPD1101</v>
      </c>
      <c r="E42" s="519">
        <f>IF(AMDs!C23="other",0,AMDs!E23)</f>
        <v>10.7898</v>
      </c>
      <c r="H42" s="519">
        <f ca="1">_xlfn.IFNA(IF(VLOOKUP($B42&amp;OFFSET(H$10,$A42*2,0),'Mapping A'!$B$6:$E$1011,4,0)=1,$E42,""),0)</f>
        <v>0</v>
      </c>
      <c r="I42" s="519">
        <f ca="1">_xlfn.IFNA(IF(VLOOKUP($B42&amp;OFFSET(I$10,$A42*2,0),'Mapping A'!$B$6:$E$1011,4,0)=1,$E42,""),0)</f>
        <v>10.7898</v>
      </c>
      <c r="J42" s="519">
        <f ca="1">_xlfn.IFNA(IF(VLOOKUP($B42&amp;OFFSET(J$10,$A42*2,0),'Mapping A'!$B$6:$E$1011,4,0)=1,$E42,""),0)</f>
        <v>0</v>
      </c>
      <c r="K42" s="519">
        <f ca="1">_xlfn.IFNA(IF(VLOOKUP($B42&amp;OFFSET(K$10,$A42*2,0),'Mapping A'!$B$6:$E$1011,4,0)=1,$E42,""),0)</f>
        <v>0</v>
      </c>
      <c r="L42" s="519">
        <f ca="1">_xlfn.IFNA(IF(VLOOKUP($B42&amp;OFFSET(L$10,$A42*2,0),'Mapping A'!$B$6:$E$1011,4,0)=1,$E42,""),0)</f>
        <v>0</v>
      </c>
      <c r="M42" s="519">
        <f ca="1">_xlfn.IFNA(IF(VLOOKUP($B42&amp;OFFSET(M$10,$A42*2,0),'Mapping A'!$B$6:$E$1011,4,0)=1,$E42,""),0)</f>
        <v>0</v>
      </c>
      <c r="N42" s="519">
        <f ca="1">_xlfn.IFNA(IF(VLOOKUP($B42&amp;OFFSET(N$10,$A42*2,0),'Mapping A'!$B$6:$E$1011,4,0)=1,$E42,""),0)</f>
        <v>0</v>
      </c>
      <c r="O42" s="519">
        <f ca="1">_xlfn.IFNA(IF(VLOOKUP($B42&amp;OFFSET(O$10,$A42*2,0),'Mapping A'!$B$6:$E$1011,4,0)=1,$E42,""),0)</f>
        <v>0</v>
      </c>
      <c r="P42" s="519">
        <f ca="1">_xlfn.IFNA(IF(VLOOKUP($B42&amp;OFFSET(P$10,$A42*2,0),'Mapping A'!$B$6:$E$1011,4,0)=1,$E42,""),0)</f>
        <v>0</v>
      </c>
      <c r="Q42" s="519">
        <f ca="1">_xlfn.IFNA(IF(VLOOKUP($B42&amp;OFFSET(Q$10,$A42*2,0),'Mapping A'!$B$6:$E$1011,4,0)=1,$E42,""),0)</f>
        <v>0</v>
      </c>
      <c r="R42" s="519">
        <f ca="1">_xlfn.IFNA(IF(VLOOKUP($B42&amp;OFFSET(R$10,$A42*2,0),'Mapping A'!$B$6:$E$1011,4,0)=1,$E42,""),0)</f>
        <v>0</v>
      </c>
      <c r="S42" s="519">
        <f ca="1">_xlfn.IFNA(IF(VLOOKUP($B42&amp;OFFSET(S$10,$A42*2,0),'Mapping A'!$B$6:$E$1011,4,0)=1,$E42,""),0)</f>
        <v>0</v>
      </c>
      <c r="T42" s="519">
        <f ca="1">_xlfn.IFNA(IF(VLOOKUP($B42&amp;OFFSET(T$10,$A42*2,0),'Mapping A'!$B$6:$E$1011,4,0)=1,$E42,""),0)</f>
        <v>0</v>
      </c>
      <c r="Y42" s="534" t="str">
        <f t="shared" si="21"/>
        <v>Alpine EnergyBPD1101</v>
      </c>
      <c r="Z42" s="519" t="str">
        <f t="shared" si="4"/>
        <v>Alpine Energy</v>
      </c>
      <c r="AA42" s="519" t="str">
        <f t="shared" si="5"/>
        <v>BPD1101</v>
      </c>
      <c r="AB42" s="519">
        <f t="shared" si="22"/>
        <v>10.7898</v>
      </c>
      <c r="AC42" s="324"/>
      <c r="AE42" s="519">
        <f t="shared" ca="1" si="6"/>
        <v>0</v>
      </c>
      <c r="AF42" s="519">
        <f t="shared" ca="1" si="7"/>
        <v>0</v>
      </c>
      <c r="AG42" s="519">
        <f t="shared" ca="1" si="8"/>
        <v>0</v>
      </c>
      <c r="AH42" s="519">
        <f t="shared" ca="1" si="9"/>
        <v>0</v>
      </c>
      <c r="AI42" s="519">
        <f t="shared" ca="1" si="23"/>
        <v>0</v>
      </c>
      <c r="AJ42" s="519">
        <f t="shared" ca="1" si="10"/>
        <v>0</v>
      </c>
      <c r="AK42" s="519">
        <f t="shared" ca="1" si="11"/>
        <v>0</v>
      </c>
      <c r="AL42" s="519">
        <f t="shared" ca="1" si="12"/>
        <v>0</v>
      </c>
      <c r="AM42" s="519">
        <f t="shared" ca="1" si="13"/>
        <v>0</v>
      </c>
      <c r="AN42" s="519">
        <f t="shared" ca="1" si="14"/>
        <v>0</v>
      </c>
      <c r="AO42" s="519">
        <f t="shared" ca="1" si="15"/>
        <v>0</v>
      </c>
      <c r="AP42" s="519">
        <f t="shared" ca="1" si="16"/>
        <v>0</v>
      </c>
      <c r="AQ42" s="519">
        <f t="shared" ca="1" si="17"/>
        <v>0</v>
      </c>
      <c r="AS42" s="536"/>
      <c r="AT42" s="536"/>
      <c r="AU42" s="519" t="str">
        <f t="shared" si="24"/>
        <v>Alpine Energy</v>
      </c>
      <c r="AV42" s="519" t="str">
        <f t="shared" si="18"/>
        <v>BPD1101</v>
      </c>
      <c r="AW42" s="519">
        <f t="shared" si="19"/>
        <v>10.7898</v>
      </c>
      <c r="AX42" s="538"/>
      <c r="AY42" s="539">
        <f t="shared" ca="1" si="25"/>
        <v>0.32730905752677003</v>
      </c>
      <c r="AZ42" s="189"/>
      <c r="BC42" s="525"/>
      <c r="BD42" s="525"/>
      <c r="BE42" s="525"/>
      <c r="BF42" s="525"/>
      <c r="BG42" s="525"/>
      <c r="BH42" s="525"/>
      <c r="BI42" s="525"/>
    </row>
    <row r="43" spans="1:61" x14ac:dyDescent="0.3">
      <c r="A43" s="556">
        <v>1</v>
      </c>
      <c r="B43" s="519" t="str">
        <f t="shared" si="20"/>
        <v>BPE</v>
      </c>
      <c r="C43" s="519" t="str">
        <f>AMDs!C24</f>
        <v>Powerco</v>
      </c>
      <c r="D43" s="519" t="str">
        <f>AMDs!D24</f>
        <v>BPE0331</v>
      </c>
      <c r="E43" s="519">
        <f>IF(AMDs!C24="other",0,AMDs!E24)</f>
        <v>97.179599999999994</v>
      </c>
      <c r="H43" s="519">
        <f ca="1">_xlfn.IFNA(IF(VLOOKUP($B43&amp;OFFSET(H$10,$A43*2,0),'Mapping A'!$B$6:$E$1011,4,0)=1,$E43,""),0)</f>
        <v>0</v>
      </c>
      <c r="I43" s="519">
        <f ca="1">_xlfn.IFNA(IF(VLOOKUP($B43&amp;OFFSET(I$10,$A43*2,0),'Mapping A'!$B$6:$E$1011,4,0)=1,$E43,""),0)</f>
        <v>97.179599999999994</v>
      </c>
      <c r="J43" s="519">
        <f ca="1">_xlfn.IFNA(IF(VLOOKUP($B43&amp;OFFSET(J$10,$A43*2,0),'Mapping A'!$B$6:$E$1011,4,0)=1,$E43,""),0)</f>
        <v>97.179599999999994</v>
      </c>
      <c r="K43" s="519">
        <f ca="1">_xlfn.IFNA(IF(VLOOKUP($B43&amp;OFFSET(K$10,$A43*2,0),'Mapping A'!$B$6:$E$1011,4,0)=1,$E43,""),0)</f>
        <v>0</v>
      </c>
      <c r="L43" s="519">
        <f ca="1">_xlfn.IFNA(IF(VLOOKUP($B43&amp;OFFSET(L$10,$A43*2,0),'Mapping A'!$B$6:$E$1011,4,0)=1,$E43,""),0)</f>
        <v>0</v>
      </c>
      <c r="M43" s="519">
        <f ca="1">_xlfn.IFNA(IF(VLOOKUP($B43&amp;OFFSET(M$10,$A43*2,0),'Mapping A'!$B$6:$E$1011,4,0)=1,$E43,""),0)</f>
        <v>0</v>
      </c>
      <c r="N43" s="519">
        <f ca="1">_xlfn.IFNA(IF(VLOOKUP($B43&amp;OFFSET(N$10,$A43*2,0),'Mapping A'!$B$6:$E$1011,4,0)=1,$E43,""),0)</f>
        <v>0</v>
      </c>
      <c r="O43" s="519">
        <f ca="1">_xlfn.IFNA(IF(VLOOKUP($B43&amp;OFFSET(O$10,$A43*2,0),'Mapping A'!$B$6:$E$1011,4,0)=1,$E43,""),0)</f>
        <v>0</v>
      </c>
      <c r="P43" s="519">
        <f ca="1">_xlfn.IFNA(IF(VLOOKUP($B43&amp;OFFSET(P$10,$A43*2,0),'Mapping A'!$B$6:$E$1011,4,0)=1,$E43,""),0)</f>
        <v>0</v>
      </c>
      <c r="Q43" s="519">
        <f ca="1">_xlfn.IFNA(IF(VLOOKUP($B43&amp;OFFSET(Q$10,$A43*2,0),'Mapping A'!$B$6:$E$1011,4,0)=1,$E43,""),0)</f>
        <v>0</v>
      </c>
      <c r="R43" s="519">
        <f ca="1">_xlfn.IFNA(IF(VLOOKUP($B43&amp;OFFSET(R$10,$A43*2,0),'Mapping A'!$B$6:$E$1011,4,0)=1,$E43,""),0)</f>
        <v>0</v>
      </c>
      <c r="S43" s="519">
        <f ca="1">_xlfn.IFNA(IF(VLOOKUP($B43&amp;OFFSET(S$10,$A43*2,0),'Mapping A'!$B$6:$E$1011,4,0)=1,$E43,""),0)</f>
        <v>0</v>
      </c>
      <c r="T43" s="519">
        <f ca="1">_xlfn.IFNA(IF(VLOOKUP($B43&amp;OFFSET(T$10,$A43*2,0),'Mapping A'!$B$6:$E$1011,4,0)=1,$E43,""),0)</f>
        <v>0</v>
      </c>
      <c r="Y43" s="534" t="str">
        <f t="shared" si="21"/>
        <v>PowercoBPE0331</v>
      </c>
      <c r="Z43" s="519" t="str">
        <f t="shared" si="4"/>
        <v>Powerco</v>
      </c>
      <c r="AA43" s="519" t="str">
        <f t="shared" si="5"/>
        <v>BPE0331</v>
      </c>
      <c r="AB43" s="519">
        <f t="shared" si="22"/>
        <v>97.179599999999994</v>
      </c>
      <c r="AC43" s="324"/>
      <c r="AE43" s="519">
        <f t="shared" ca="1" si="6"/>
        <v>0</v>
      </c>
      <c r="AF43" s="519">
        <f t="shared" ca="1" si="7"/>
        <v>0</v>
      </c>
      <c r="AG43" s="519">
        <f t="shared" ca="1" si="8"/>
        <v>0</v>
      </c>
      <c r="AH43" s="519">
        <f t="shared" ca="1" si="9"/>
        <v>0</v>
      </c>
      <c r="AI43" s="519">
        <f t="shared" ca="1" si="23"/>
        <v>0</v>
      </c>
      <c r="AJ43" s="519">
        <f t="shared" ca="1" si="10"/>
        <v>0</v>
      </c>
      <c r="AK43" s="519">
        <f t="shared" ca="1" si="11"/>
        <v>0</v>
      </c>
      <c r="AL43" s="519">
        <f t="shared" ca="1" si="12"/>
        <v>0</v>
      </c>
      <c r="AM43" s="519">
        <f t="shared" ca="1" si="13"/>
        <v>0</v>
      </c>
      <c r="AN43" s="519">
        <f t="shared" ca="1" si="14"/>
        <v>0</v>
      </c>
      <c r="AO43" s="519">
        <f t="shared" ca="1" si="15"/>
        <v>0</v>
      </c>
      <c r="AP43" s="519">
        <f t="shared" ca="1" si="16"/>
        <v>0</v>
      </c>
      <c r="AQ43" s="519">
        <f t="shared" ca="1" si="17"/>
        <v>0</v>
      </c>
      <c r="AS43" s="536"/>
      <c r="AT43" s="536"/>
      <c r="AU43" s="519" t="str">
        <f t="shared" si="24"/>
        <v>Powerco</v>
      </c>
      <c r="AV43" s="519" t="str">
        <f t="shared" si="18"/>
        <v>BPE0331</v>
      </c>
      <c r="AW43" s="519">
        <f t="shared" si="19"/>
        <v>97.179599999999994</v>
      </c>
      <c r="AX43" s="538"/>
      <c r="AY43" s="539">
        <f t="shared" ca="1" si="25"/>
        <v>2.947947439881045</v>
      </c>
      <c r="AZ43" s="189"/>
      <c r="BC43" s="525"/>
      <c r="BD43" s="525"/>
      <c r="BE43" s="525"/>
      <c r="BF43" s="525"/>
      <c r="BG43" s="525"/>
      <c r="BH43" s="525"/>
      <c r="BI43" s="525"/>
    </row>
    <row r="44" spans="1:61" x14ac:dyDescent="0.3">
      <c r="A44" s="556">
        <v>1</v>
      </c>
      <c r="B44" s="519" t="str">
        <f t="shared" si="20"/>
        <v>BPE</v>
      </c>
      <c r="C44" s="519" t="str">
        <f>AMDs!C25</f>
        <v>Kiwirail</v>
      </c>
      <c r="D44" s="519" t="str">
        <f>AMDs!D25</f>
        <v>BPE0551</v>
      </c>
      <c r="E44" s="519">
        <f>IF(AMDs!C25="other",0,AMDs!E25)</f>
        <v>5.9535</v>
      </c>
      <c r="H44" s="519">
        <f ca="1">_xlfn.IFNA(IF(VLOOKUP($B44&amp;OFFSET(H$10,$A44*2,0),'Mapping A'!$B$6:$E$1011,4,0)=1,$E44,""),0)</f>
        <v>0</v>
      </c>
      <c r="I44" s="519">
        <f ca="1">_xlfn.IFNA(IF(VLOOKUP($B44&amp;OFFSET(I$10,$A44*2,0),'Mapping A'!$B$6:$E$1011,4,0)=1,$E44,""),0)</f>
        <v>5.9535</v>
      </c>
      <c r="J44" s="519">
        <f ca="1">_xlfn.IFNA(IF(VLOOKUP($B44&amp;OFFSET(J$10,$A44*2,0),'Mapping A'!$B$6:$E$1011,4,0)=1,$E44,""),0)</f>
        <v>5.9535</v>
      </c>
      <c r="K44" s="519">
        <f ca="1">_xlfn.IFNA(IF(VLOOKUP($B44&amp;OFFSET(K$10,$A44*2,0),'Mapping A'!$B$6:$E$1011,4,0)=1,$E44,""),0)</f>
        <v>0</v>
      </c>
      <c r="L44" s="519">
        <f ca="1">_xlfn.IFNA(IF(VLOOKUP($B44&amp;OFFSET(L$10,$A44*2,0),'Mapping A'!$B$6:$E$1011,4,0)=1,$E44,""),0)</f>
        <v>0</v>
      </c>
      <c r="M44" s="519">
        <f ca="1">_xlfn.IFNA(IF(VLOOKUP($B44&amp;OFFSET(M$10,$A44*2,0),'Mapping A'!$B$6:$E$1011,4,0)=1,$E44,""),0)</f>
        <v>0</v>
      </c>
      <c r="N44" s="519">
        <f ca="1">_xlfn.IFNA(IF(VLOOKUP($B44&amp;OFFSET(N$10,$A44*2,0),'Mapping A'!$B$6:$E$1011,4,0)=1,$E44,""),0)</f>
        <v>0</v>
      </c>
      <c r="O44" s="519">
        <f ca="1">_xlfn.IFNA(IF(VLOOKUP($B44&amp;OFFSET(O$10,$A44*2,0),'Mapping A'!$B$6:$E$1011,4,0)=1,$E44,""),0)</f>
        <v>0</v>
      </c>
      <c r="P44" s="519">
        <f ca="1">_xlfn.IFNA(IF(VLOOKUP($B44&amp;OFFSET(P$10,$A44*2,0),'Mapping A'!$B$6:$E$1011,4,0)=1,$E44,""),0)</f>
        <v>0</v>
      </c>
      <c r="Q44" s="519">
        <f ca="1">_xlfn.IFNA(IF(VLOOKUP($B44&amp;OFFSET(Q$10,$A44*2,0),'Mapping A'!$B$6:$E$1011,4,0)=1,$E44,""),0)</f>
        <v>0</v>
      </c>
      <c r="R44" s="519">
        <f ca="1">_xlfn.IFNA(IF(VLOOKUP($B44&amp;OFFSET(R$10,$A44*2,0),'Mapping A'!$B$6:$E$1011,4,0)=1,$E44,""),0)</f>
        <v>0</v>
      </c>
      <c r="S44" s="519">
        <f ca="1">_xlfn.IFNA(IF(VLOOKUP($B44&amp;OFFSET(S$10,$A44*2,0),'Mapping A'!$B$6:$E$1011,4,0)=1,$E44,""),0)</f>
        <v>0</v>
      </c>
      <c r="T44" s="519">
        <f ca="1">_xlfn.IFNA(IF(VLOOKUP($B44&amp;OFFSET(T$10,$A44*2,0),'Mapping A'!$B$6:$E$1011,4,0)=1,$E44,""),0)</f>
        <v>0</v>
      </c>
      <c r="Y44" s="534" t="str">
        <f t="shared" si="21"/>
        <v>KiwirailBPE0551</v>
      </c>
      <c r="Z44" s="519" t="str">
        <f t="shared" si="4"/>
        <v>Kiwirail</v>
      </c>
      <c r="AA44" s="519" t="str">
        <f t="shared" si="5"/>
        <v>BPE0551</v>
      </c>
      <c r="AB44" s="519">
        <f t="shared" si="22"/>
        <v>5.9535</v>
      </c>
      <c r="AC44" s="324"/>
      <c r="AE44" s="519">
        <f t="shared" ca="1" si="6"/>
        <v>0</v>
      </c>
      <c r="AF44" s="519">
        <f t="shared" ca="1" si="7"/>
        <v>0</v>
      </c>
      <c r="AG44" s="519">
        <f t="shared" ca="1" si="8"/>
        <v>0</v>
      </c>
      <c r="AH44" s="519">
        <f t="shared" ca="1" si="9"/>
        <v>0</v>
      </c>
      <c r="AI44" s="519">
        <f t="shared" ca="1" si="23"/>
        <v>0</v>
      </c>
      <c r="AJ44" s="519">
        <f t="shared" ca="1" si="10"/>
        <v>0</v>
      </c>
      <c r="AK44" s="519">
        <f t="shared" ca="1" si="11"/>
        <v>0</v>
      </c>
      <c r="AL44" s="519">
        <f t="shared" ca="1" si="12"/>
        <v>0</v>
      </c>
      <c r="AM44" s="519">
        <f t="shared" ca="1" si="13"/>
        <v>0</v>
      </c>
      <c r="AN44" s="519">
        <f t="shared" ca="1" si="14"/>
        <v>0</v>
      </c>
      <c r="AO44" s="519">
        <f t="shared" ca="1" si="15"/>
        <v>0</v>
      </c>
      <c r="AP44" s="519">
        <f t="shared" ca="1" si="16"/>
        <v>0</v>
      </c>
      <c r="AQ44" s="519">
        <f t="shared" ca="1" si="17"/>
        <v>0</v>
      </c>
      <c r="AS44" s="536"/>
      <c r="AT44" s="536"/>
      <c r="AU44" s="519" t="str">
        <f t="shared" si="24"/>
        <v>Kiwirail</v>
      </c>
      <c r="AV44" s="519" t="str">
        <f t="shared" si="18"/>
        <v>BPE0551</v>
      </c>
      <c r="AW44" s="519">
        <f t="shared" si="19"/>
        <v>5.9535</v>
      </c>
      <c r="AX44" s="538"/>
      <c r="AY44" s="539">
        <f t="shared" ca="1" si="25"/>
        <v>0.18059968433016602</v>
      </c>
      <c r="AZ44" s="189"/>
      <c r="BC44" s="525"/>
      <c r="BD44" s="525"/>
      <c r="BE44" s="525"/>
      <c r="BF44" s="525"/>
      <c r="BG44" s="525"/>
      <c r="BH44" s="526"/>
      <c r="BI44" s="525"/>
    </row>
    <row r="45" spans="1:61" x14ac:dyDescent="0.3">
      <c r="A45" s="556">
        <v>1</v>
      </c>
      <c r="B45" s="519" t="str">
        <f t="shared" si="20"/>
        <v>BPT</v>
      </c>
      <c r="C45" s="519" t="str">
        <f>AMDs!C26</f>
        <v>Network Waitaki</v>
      </c>
      <c r="D45" s="519" t="str">
        <f>AMDs!D26</f>
        <v>BPT1101</v>
      </c>
      <c r="E45" s="519">
        <f>IF(AMDs!C26="other",0,AMDs!E26)</f>
        <v>11.4366</v>
      </c>
      <c r="H45" s="519">
        <f ca="1">_xlfn.IFNA(IF(VLOOKUP($B45&amp;OFFSET(H$10,$A45*2,0),'Mapping A'!$B$6:$E$1011,4,0)=1,$E45,""),0)</f>
        <v>0</v>
      </c>
      <c r="I45" s="519">
        <f ca="1">_xlfn.IFNA(IF(VLOOKUP($B45&amp;OFFSET(I$10,$A45*2,0),'Mapping A'!$B$6:$E$1011,4,0)=1,$E45,""),0)</f>
        <v>11.4366</v>
      </c>
      <c r="J45" s="519">
        <f ca="1">_xlfn.IFNA(IF(VLOOKUP($B45&amp;OFFSET(J$10,$A45*2,0),'Mapping A'!$B$6:$E$1011,4,0)=1,$E45,""),0)</f>
        <v>0</v>
      </c>
      <c r="K45" s="519">
        <f ca="1">_xlfn.IFNA(IF(VLOOKUP($B45&amp;OFFSET(K$10,$A45*2,0),'Mapping A'!$B$6:$E$1011,4,0)=1,$E45,""),0)</f>
        <v>0</v>
      </c>
      <c r="L45" s="519">
        <f ca="1">_xlfn.IFNA(IF(VLOOKUP($B45&amp;OFFSET(L$10,$A45*2,0),'Mapping A'!$B$6:$E$1011,4,0)=1,$E45,""),0)</f>
        <v>0</v>
      </c>
      <c r="M45" s="519">
        <f ca="1">_xlfn.IFNA(IF(VLOOKUP($B45&amp;OFFSET(M$10,$A45*2,0),'Mapping A'!$B$6:$E$1011,4,0)=1,$E45,""),0)</f>
        <v>0</v>
      </c>
      <c r="N45" s="519">
        <f ca="1">_xlfn.IFNA(IF(VLOOKUP($B45&amp;OFFSET(N$10,$A45*2,0),'Mapping A'!$B$6:$E$1011,4,0)=1,$E45,""),0)</f>
        <v>0</v>
      </c>
      <c r="O45" s="519">
        <f ca="1">_xlfn.IFNA(IF(VLOOKUP($B45&amp;OFFSET(O$10,$A45*2,0),'Mapping A'!$B$6:$E$1011,4,0)=1,$E45,""),0)</f>
        <v>0</v>
      </c>
      <c r="P45" s="519">
        <f ca="1">_xlfn.IFNA(IF(VLOOKUP($B45&amp;OFFSET(P$10,$A45*2,0),'Mapping A'!$B$6:$E$1011,4,0)=1,$E45,""),0)</f>
        <v>0</v>
      </c>
      <c r="Q45" s="519">
        <f ca="1">_xlfn.IFNA(IF(VLOOKUP($B45&amp;OFFSET(Q$10,$A45*2,0),'Mapping A'!$B$6:$E$1011,4,0)=1,$E45,""),0)</f>
        <v>0</v>
      </c>
      <c r="R45" s="519">
        <f ca="1">_xlfn.IFNA(IF(VLOOKUP($B45&amp;OFFSET(R$10,$A45*2,0),'Mapping A'!$B$6:$E$1011,4,0)=1,$E45,""),0)</f>
        <v>0</v>
      </c>
      <c r="S45" s="519">
        <f ca="1">_xlfn.IFNA(IF(VLOOKUP($B45&amp;OFFSET(S$10,$A45*2,0),'Mapping A'!$B$6:$E$1011,4,0)=1,$E45,""),0)</f>
        <v>0</v>
      </c>
      <c r="T45" s="519">
        <f ca="1">_xlfn.IFNA(IF(VLOOKUP($B45&amp;OFFSET(T$10,$A45*2,0),'Mapping A'!$B$6:$E$1011,4,0)=1,$E45,""),0)</f>
        <v>0</v>
      </c>
      <c r="Y45" s="534" t="str">
        <f t="shared" si="21"/>
        <v>Network WaitakiBPT1101</v>
      </c>
      <c r="Z45" s="519" t="str">
        <f t="shared" si="4"/>
        <v>Network Waitaki</v>
      </c>
      <c r="AA45" s="519" t="str">
        <f t="shared" si="5"/>
        <v>BPT1101</v>
      </c>
      <c r="AB45" s="519">
        <f t="shared" si="22"/>
        <v>11.4366</v>
      </c>
      <c r="AC45" s="324"/>
      <c r="AE45" s="519">
        <f t="shared" ca="1" si="6"/>
        <v>0</v>
      </c>
      <c r="AF45" s="519">
        <f t="shared" ca="1" si="7"/>
        <v>0</v>
      </c>
      <c r="AG45" s="519">
        <f t="shared" ca="1" si="8"/>
        <v>0</v>
      </c>
      <c r="AH45" s="519">
        <f t="shared" ca="1" si="9"/>
        <v>0</v>
      </c>
      <c r="AI45" s="519">
        <f t="shared" ca="1" si="23"/>
        <v>0</v>
      </c>
      <c r="AJ45" s="519">
        <f t="shared" ca="1" si="10"/>
        <v>0</v>
      </c>
      <c r="AK45" s="519">
        <f t="shared" ca="1" si="11"/>
        <v>0</v>
      </c>
      <c r="AL45" s="519">
        <f t="shared" ca="1" si="12"/>
        <v>0</v>
      </c>
      <c r="AM45" s="519">
        <f t="shared" ca="1" si="13"/>
        <v>0</v>
      </c>
      <c r="AN45" s="519">
        <f t="shared" ca="1" si="14"/>
        <v>0</v>
      </c>
      <c r="AO45" s="519">
        <f t="shared" ca="1" si="15"/>
        <v>0</v>
      </c>
      <c r="AP45" s="519">
        <f t="shared" ca="1" si="16"/>
        <v>0</v>
      </c>
      <c r="AQ45" s="519">
        <f t="shared" ca="1" si="17"/>
        <v>0</v>
      </c>
      <c r="AS45" s="536"/>
      <c r="AT45" s="536"/>
      <c r="AU45" s="519" t="str">
        <f t="shared" si="24"/>
        <v>Network Waitaki</v>
      </c>
      <c r="AV45" s="519" t="str">
        <f t="shared" si="18"/>
        <v>BPT1101</v>
      </c>
      <c r="AW45" s="519">
        <f t="shared" si="19"/>
        <v>11.4366</v>
      </c>
      <c r="AX45" s="538"/>
      <c r="AY45" s="539">
        <f t="shared" ca="1" si="25"/>
        <v>0.34692976397251646</v>
      </c>
      <c r="AZ45" s="189"/>
      <c r="BC45" s="525"/>
      <c r="BD45" s="525"/>
      <c r="BE45" s="525"/>
      <c r="BF45" s="525"/>
      <c r="BG45" s="525"/>
      <c r="BH45" s="525"/>
      <c r="BI45" s="526"/>
    </row>
    <row r="46" spans="1:61" x14ac:dyDescent="0.3">
      <c r="A46" s="556">
        <v>1</v>
      </c>
      <c r="B46" s="519" t="str">
        <f t="shared" si="20"/>
        <v>BRB</v>
      </c>
      <c r="C46" s="519" t="str">
        <f>AMDs!C27</f>
        <v>Northpower</v>
      </c>
      <c r="D46" s="519" t="str">
        <f>AMDs!D27</f>
        <v>BRB0331</v>
      </c>
      <c r="E46" s="519">
        <f>IF(AMDs!C27="other",0,AMDs!E27)</f>
        <v>48.148800000000001</v>
      </c>
      <c r="H46" s="519">
        <f ca="1">_xlfn.IFNA(IF(VLOOKUP($B46&amp;OFFSET(H$10,$A46*2,0),'Mapping A'!$B$6:$E$1011,4,0)=1,$E46,""),0)</f>
        <v>48.148800000000001</v>
      </c>
      <c r="I46" s="519">
        <f ca="1">_xlfn.IFNA(IF(VLOOKUP($B46&amp;OFFSET(I$10,$A46*2,0),'Mapping A'!$B$6:$E$1011,4,0)=1,$E46,""),0)</f>
        <v>48.148800000000001</v>
      </c>
      <c r="J46" s="519">
        <f ca="1">_xlfn.IFNA(IF(VLOOKUP($B46&amp;OFFSET(J$10,$A46*2,0),'Mapping A'!$B$6:$E$1011,4,0)=1,$E46,""),0)</f>
        <v>48.148800000000001</v>
      </c>
      <c r="K46" s="519">
        <f ca="1">_xlfn.IFNA(IF(VLOOKUP($B46&amp;OFFSET(K$10,$A46*2,0),'Mapping A'!$B$6:$E$1011,4,0)=1,$E46,""),0)</f>
        <v>48.148800000000001</v>
      </c>
      <c r="L46" s="519">
        <f ca="1">_xlfn.IFNA(IF(VLOOKUP($B46&amp;OFFSET(L$10,$A46*2,0),'Mapping A'!$B$6:$E$1011,4,0)=1,$E46,""),0)</f>
        <v>0</v>
      </c>
      <c r="M46" s="519">
        <f ca="1">_xlfn.IFNA(IF(VLOOKUP($B46&amp;OFFSET(M$10,$A46*2,0),'Mapping A'!$B$6:$E$1011,4,0)=1,$E46,""),0)</f>
        <v>48.148800000000001</v>
      </c>
      <c r="N46" s="519">
        <f ca="1">_xlfn.IFNA(IF(VLOOKUP($B46&amp;OFFSET(N$10,$A46*2,0),'Mapping A'!$B$6:$E$1011,4,0)=1,$E46,""),0)</f>
        <v>48.148800000000001</v>
      </c>
      <c r="O46" s="519">
        <f ca="1">_xlfn.IFNA(IF(VLOOKUP($B46&amp;OFFSET(O$10,$A46*2,0),'Mapping A'!$B$6:$E$1011,4,0)=1,$E46,""),0)</f>
        <v>0</v>
      </c>
      <c r="P46" s="519">
        <f ca="1">_xlfn.IFNA(IF(VLOOKUP($B46&amp;OFFSET(P$10,$A46*2,0),'Mapping A'!$B$6:$E$1011,4,0)=1,$E46,""),0)</f>
        <v>0</v>
      </c>
      <c r="Q46" s="519">
        <f ca="1">_xlfn.IFNA(IF(VLOOKUP($B46&amp;OFFSET(Q$10,$A46*2,0),'Mapping A'!$B$6:$E$1011,4,0)=1,$E46,""),0)</f>
        <v>48.148800000000001</v>
      </c>
      <c r="R46" s="519">
        <f ca="1">_xlfn.IFNA(IF(VLOOKUP($B46&amp;OFFSET(R$10,$A46*2,0),'Mapping A'!$B$6:$E$1011,4,0)=1,$E46,""),0)</f>
        <v>0</v>
      </c>
      <c r="S46" s="519">
        <f ca="1">_xlfn.IFNA(IF(VLOOKUP($B46&amp;OFFSET(S$10,$A46*2,0),'Mapping A'!$B$6:$E$1011,4,0)=1,$E46,""),0)</f>
        <v>0</v>
      </c>
      <c r="T46" s="519">
        <f ca="1">_xlfn.IFNA(IF(VLOOKUP($B46&amp;OFFSET(T$10,$A46*2,0),'Mapping A'!$B$6:$E$1011,4,0)=1,$E46,""),0)</f>
        <v>0</v>
      </c>
      <c r="Y46" s="534" t="str">
        <f t="shared" si="21"/>
        <v>NorthpowerBRB0331</v>
      </c>
      <c r="Z46" s="519" t="str">
        <f t="shared" si="4"/>
        <v>Northpower</v>
      </c>
      <c r="AA46" s="519" t="str">
        <f t="shared" si="5"/>
        <v>BRB0331</v>
      </c>
      <c r="AB46" s="519">
        <f t="shared" si="22"/>
        <v>48.148800000000001</v>
      </c>
      <c r="AC46" s="324"/>
      <c r="AE46" s="519">
        <f t="shared" ca="1" si="6"/>
        <v>0</v>
      </c>
      <c r="AF46" s="519">
        <f t="shared" ca="1" si="7"/>
        <v>0</v>
      </c>
      <c r="AG46" s="519">
        <f t="shared" ca="1" si="8"/>
        <v>0</v>
      </c>
      <c r="AH46" s="519">
        <f t="shared" ca="1" si="9"/>
        <v>0.84511355055204718</v>
      </c>
      <c r="AI46" s="519">
        <f t="shared" ca="1" si="23"/>
        <v>0</v>
      </c>
      <c r="AJ46" s="519">
        <f t="shared" ca="1" si="10"/>
        <v>0</v>
      </c>
      <c r="AK46" s="519">
        <f t="shared" ca="1" si="11"/>
        <v>0.1928468728843474</v>
      </c>
      <c r="AL46" s="519">
        <f t="shared" ca="1" si="12"/>
        <v>0</v>
      </c>
      <c r="AM46" s="519">
        <f t="shared" ca="1" si="13"/>
        <v>0</v>
      </c>
      <c r="AN46" s="519">
        <f t="shared" ca="1" si="14"/>
        <v>8.8941394854735262E-2</v>
      </c>
      <c r="AO46" s="519">
        <f t="shared" ca="1" si="15"/>
        <v>0</v>
      </c>
      <c r="AP46" s="519">
        <f t="shared" ca="1" si="16"/>
        <v>0</v>
      </c>
      <c r="AQ46" s="519">
        <f t="shared" ca="1" si="17"/>
        <v>0</v>
      </c>
      <c r="AS46" s="536"/>
      <c r="AT46" s="536"/>
      <c r="AU46" s="519" t="str">
        <f t="shared" si="24"/>
        <v>Northpower</v>
      </c>
      <c r="AV46" s="519" t="str">
        <f t="shared" si="18"/>
        <v>BRB0331</v>
      </c>
      <c r="AW46" s="519">
        <f t="shared" si="19"/>
        <v>48.148800000000001</v>
      </c>
      <c r="AX46" s="538"/>
      <c r="AY46" s="539">
        <f t="shared" ca="1" si="25"/>
        <v>1.4605959655456955</v>
      </c>
      <c r="AZ46" s="189"/>
      <c r="BC46" s="525"/>
      <c r="BD46" s="525"/>
      <c r="BE46" s="525"/>
      <c r="BF46" s="525"/>
      <c r="BG46" s="525"/>
      <c r="BH46" s="525"/>
      <c r="BI46" s="525"/>
    </row>
    <row r="47" spans="1:61" x14ac:dyDescent="0.3">
      <c r="A47" s="556">
        <v>1</v>
      </c>
      <c r="B47" s="519" t="str">
        <f t="shared" si="20"/>
        <v>BRB</v>
      </c>
      <c r="C47" s="519" t="str">
        <f>AMDs!C28</f>
        <v>Refinery</v>
      </c>
      <c r="D47" s="519" t="str">
        <f>AMDs!D28</f>
        <v>BRB0331</v>
      </c>
      <c r="E47" s="519">
        <f>IF(AMDs!C28="other",0,AMDs!E28)</f>
        <v>0</v>
      </c>
      <c r="H47" s="519">
        <f ca="1">_xlfn.IFNA(IF(VLOOKUP($B47&amp;OFFSET(H$10,$A47*2,0),'Mapping A'!$B$6:$E$1011,4,0)=1,$E47,""),0)</f>
        <v>0</v>
      </c>
      <c r="I47" s="519">
        <f ca="1">_xlfn.IFNA(IF(VLOOKUP($B47&amp;OFFSET(I$10,$A47*2,0),'Mapping A'!$B$6:$E$1011,4,0)=1,$E47,""),0)</f>
        <v>0</v>
      </c>
      <c r="J47" s="519">
        <f ca="1">_xlfn.IFNA(IF(VLOOKUP($B47&amp;OFFSET(J$10,$A47*2,0),'Mapping A'!$B$6:$E$1011,4,0)=1,$E47,""),0)</f>
        <v>0</v>
      </c>
      <c r="K47" s="519">
        <f ca="1">_xlfn.IFNA(IF(VLOOKUP($B47&amp;OFFSET(K$10,$A47*2,0),'Mapping A'!$B$6:$E$1011,4,0)=1,$E47,""),0)</f>
        <v>0</v>
      </c>
      <c r="L47" s="519">
        <f ca="1">_xlfn.IFNA(IF(VLOOKUP($B47&amp;OFFSET(L$10,$A47*2,0),'Mapping A'!$B$6:$E$1011,4,0)=1,$E47,""),0)</f>
        <v>0</v>
      </c>
      <c r="M47" s="519">
        <f ca="1">_xlfn.IFNA(IF(VLOOKUP($B47&amp;OFFSET(M$10,$A47*2,0),'Mapping A'!$B$6:$E$1011,4,0)=1,$E47,""),0)</f>
        <v>0</v>
      </c>
      <c r="N47" s="519">
        <f ca="1">_xlfn.IFNA(IF(VLOOKUP($B47&amp;OFFSET(N$10,$A47*2,0),'Mapping A'!$B$6:$E$1011,4,0)=1,$E47,""),0)</f>
        <v>0</v>
      </c>
      <c r="O47" s="519">
        <f ca="1">_xlfn.IFNA(IF(VLOOKUP($B47&amp;OFFSET(O$10,$A47*2,0),'Mapping A'!$B$6:$E$1011,4,0)=1,$E47,""),0)</f>
        <v>0</v>
      </c>
      <c r="P47" s="519">
        <f ca="1">_xlfn.IFNA(IF(VLOOKUP($B47&amp;OFFSET(P$10,$A47*2,0),'Mapping A'!$B$6:$E$1011,4,0)=1,$E47,""),0)</f>
        <v>0</v>
      </c>
      <c r="Q47" s="519">
        <f ca="1">_xlfn.IFNA(IF(VLOOKUP($B47&amp;OFFSET(Q$10,$A47*2,0),'Mapping A'!$B$6:$E$1011,4,0)=1,$E47,""),0)</f>
        <v>0</v>
      </c>
      <c r="R47" s="519">
        <f ca="1">_xlfn.IFNA(IF(VLOOKUP($B47&amp;OFFSET(R$10,$A47*2,0),'Mapping A'!$B$6:$E$1011,4,0)=1,$E47,""),0)</f>
        <v>0</v>
      </c>
      <c r="S47" s="519">
        <f ca="1">_xlfn.IFNA(IF(VLOOKUP($B47&amp;OFFSET(S$10,$A47*2,0),'Mapping A'!$B$6:$E$1011,4,0)=1,$E47,""),0)</f>
        <v>0</v>
      </c>
      <c r="T47" s="519">
        <f ca="1">_xlfn.IFNA(IF(VLOOKUP($B47&amp;OFFSET(T$10,$A47*2,0),'Mapping A'!$B$6:$E$1011,4,0)=1,$E47,""),0)</f>
        <v>0</v>
      </c>
      <c r="Y47" s="534" t="str">
        <f t="shared" si="21"/>
        <v>RefineryBRB0331</v>
      </c>
      <c r="Z47" s="519" t="str">
        <f t="shared" si="4"/>
        <v>Refinery</v>
      </c>
      <c r="AA47" s="519" t="str">
        <f t="shared" si="5"/>
        <v>BRB0331</v>
      </c>
      <c r="AB47" s="519">
        <f t="shared" si="22"/>
        <v>0</v>
      </c>
      <c r="AC47" s="324"/>
      <c r="AE47" s="519">
        <f t="shared" ca="1" si="6"/>
        <v>0</v>
      </c>
      <c r="AF47" s="519">
        <f t="shared" ca="1" si="7"/>
        <v>0</v>
      </c>
      <c r="AG47" s="519">
        <f t="shared" ca="1" si="8"/>
        <v>0</v>
      </c>
      <c r="AH47" s="519">
        <f t="shared" ca="1" si="9"/>
        <v>0</v>
      </c>
      <c r="AI47" s="519">
        <f t="shared" ca="1" si="23"/>
        <v>0</v>
      </c>
      <c r="AJ47" s="519">
        <f t="shared" ca="1" si="10"/>
        <v>0</v>
      </c>
      <c r="AK47" s="519">
        <f t="shared" ca="1" si="11"/>
        <v>0</v>
      </c>
      <c r="AL47" s="519">
        <f t="shared" ca="1" si="12"/>
        <v>0</v>
      </c>
      <c r="AM47" s="519">
        <f t="shared" ca="1" si="13"/>
        <v>0</v>
      </c>
      <c r="AN47" s="519">
        <f t="shared" ca="1" si="14"/>
        <v>0</v>
      </c>
      <c r="AO47" s="519">
        <f t="shared" ca="1" si="15"/>
        <v>0</v>
      </c>
      <c r="AP47" s="519">
        <f t="shared" ca="1" si="16"/>
        <v>0</v>
      </c>
      <c r="AQ47" s="519">
        <f t="shared" ca="1" si="17"/>
        <v>0</v>
      </c>
      <c r="AS47" s="536"/>
      <c r="AT47" s="536"/>
      <c r="AU47" s="519" t="str">
        <f t="shared" si="24"/>
        <v>Refinery</v>
      </c>
      <c r="AV47" s="519" t="str">
        <f t="shared" si="18"/>
        <v>BRB0331</v>
      </c>
      <c r="AW47" s="519">
        <f t="shared" si="19"/>
        <v>0</v>
      </c>
      <c r="AX47" s="538"/>
      <c r="AY47" s="539">
        <f t="shared" ca="1" si="25"/>
        <v>0</v>
      </c>
      <c r="AZ47" s="189"/>
      <c r="BC47" s="525"/>
      <c r="BD47" s="525"/>
      <c r="BE47" s="525"/>
      <c r="BF47" s="525"/>
      <c r="BG47" s="525"/>
      <c r="BH47" s="526"/>
      <c r="BI47" s="526"/>
    </row>
    <row r="48" spans="1:61" x14ac:dyDescent="0.3">
      <c r="A48" s="556">
        <v>1</v>
      </c>
      <c r="B48" s="519" t="str">
        <f t="shared" si="20"/>
        <v>BRK</v>
      </c>
      <c r="C48" s="519" t="str">
        <f>AMDs!C29</f>
        <v>Powerco</v>
      </c>
      <c r="D48" s="519" t="str">
        <f>AMDs!D29</f>
        <v>BRK0331</v>
      </c>
      <c r="E48" s="519">
        <f>IF(AMDs!C29="other",0,AMDs!E29)</f>
        <v>29.8431</v>
      </c>
      <c r="H48" s="519">
        <f ca="1">_xlfn.IFNA(IF(VLOOKUP($B48&amp;OFFSET(H$10,$A48*2,0),'Mapping A'!$B$6:$E$1011,4,0)=1,$E48,""),0)</f>
        <v>0</v>
      </c>
      <c r="I48" s="519">
        <f ca="1">_xlfn.IFNA(IF(VLOOKUP($B48&amp;OFFSET(I$10,$A48*2,0),'Mapping A'!$B$6:$E$1011,4,0)=1,$E48,""),0)</f>
        <v>29.8431</v>
      </c>
      <c r="J48" s="519">
        <f ca="1">_xlfn.IFNA(IF(VLOOKUP($B48&amp;OFFSET(J$10,$A48*2,0),'Mapping A'!$B$6:$E$1011,4,0)=1,$E48,""),0)</f>
        <v>29.8431</v>
      </c>
      <c r="K48" s="519">
        <f ca="1">_xlfn.IFNA(IF(VLOOKUP($B48&amp;OFFSET(K$10,$A48*2,0),'Mapping A'!$B$6:$E$1011,4,0)=1,$E48,""),0)</f>
        <v>0</v>
      </c>
      <c r="L48" s="519">
        <f ca="1">_xlfn.IFNA(IF(VLOOKUP($B48&amp;OFFSET(L$10,$A48*2,0),'Mapping A'!$B$6:$E$1011,4,0)=1,$E48,""),0)</f>
        <v>0</v>
      </c>
      <c r="M48" s="519">
        <f ca="1">_xlfn.IFNA(IF(VLOOKUP($B48&amp;OFFSET(M$10,$A48*2,0),'Mapping A'!$B$6:$E$1011,4,0)=1,$E48,""),0)</f>
        <v>0</v>
      </c>
      <c r="N48" s="519">
        <f ca="1">_xlfn.IFNA(IF(VLOOKUP($B48&amp;OFFSET(N$10,$A48*2,0),'Mapping A'!$B$6:$E$1011,4,0)=1,$E48,""),0)</f>
        <v>0</v>
      </c>
      <c r="O48" s="519">
        <f ca="1">_xlfn.IFNA(IF(VLOOKUP($B48&amp;OFFSET(O$10,$A48*2,0),'Mapping A'!$B$6:$E$1011,4,0)=1,$E48,""),0)</f>
        <v>0</v>
      </c>
      <c r="P48" s="519">
        <f ca="1">_xlfn.IFNA(IF(VLOOKUP($B48&amp;OFFSET(P$10,$A48*2,0),'Mapping A'!$B$6:$E$1011,4,0)=1,$E48,""),0)</f>
        <v>0</v>
      </c>
      <c r="Q48" s="519">
        <f ca="1">_xlfn.IFNA(IF(VLOOKUP($B48&amp;OFFSET(Q$10,$A48*2,0),'Mapping A'!$B$6:$E$1011,4,0)=1,$E48,""),0)</f>
        <v>0</v>
      </c>
      <c r="R48" s="519">
        <f ca="1">_xlfn.IFNA(IF(VLOOKUP($B48&amp;OFFSET(R$10,$A48*2,0),'Mapping A'!$B$6:$E$1011,4,0)=1,$E48,""),0)</f>
        <v>0</v>
      </c>
      <c r="S48" s="519">
        <f ca="1">_xlfn.IFNA(IF(VLOOKUP($B48&amp;OFFSET(S$10,$A48*2,0),'Mapping A'!$B$6:$E$1011,4,0)=1,$E48,""),0)</f>
        <v>0</v>
      </c>
      <c r="T48" s="519">
        <f ca="1">_xlfn.IFNA(IF(VLOOKUP($B48&amp;OFFSET(T$10,$A48*2,0),'Mapping A'!$B$6:$E$1011,4,0)=1,$E48,""),0)</f>
        <v>0</v>
      </c>
      <c r="Y48" s="534" t="str">
        <f t="shared" si="21"/>
        <v>PowercoBRK0331</v>
      </c>
      <c r="Z48" s="519" t="str">
        <f t="shared" si="4"/>
        <v>Powerco</v>
      </c>
      <c r="AA48" s="519" t="str">
        <f t="shared" si="5"/>
        <v>BRK0331</v>
      </c>
      <c r="AB48" s="519">
        <f t="shared" si="22"/>
        <v>29.8431</v>
      </c>
      <c r="AC48" s="324"/>
      <c r="AE48" s="519">
        <f t="shared" ca="1" si="6"/>
        <v>0</v>
      </c>
      <c r="AF48" s="519">
        <f t="shared" ca="1" si="7"/>
        <v>0</v>
      </c>
      <c r="AG48" s="519">
        <f t="shared" ca="1" si="8"/>
        <v>0</v>
      </c>
      <c r="AH48" s="519">
        <f t="shared" ca="1" si="9"/>
        <v>0</v>
      </c>
      <c r="AI48" s="519">
        <f t="shared" ca="1" si="23"/>
        <v>0</v>
      </c>
      <c r="AJ48" s="519">
        <f t="shared" ca="1" si="10"/>
        <v>0</v>
      </c>
      <c r="AK48" s="519">
        <f t="shared" ca="1" si="11"/>
        <v>0</v>
      </c>
      <c r="AL48" s="519">
        <f t="shared" ca="1" si="12"/>
        <v>0</v>
      </c>
      <c r="AM48" s="519">
        <f t="shared" ca="1" si="13"/>
        <v>0</v>
      </c>
      <c r="AN48" s="519">
        <f t="shared" ca="1" si="14"/>
        <v>0</v>
      </c>
      <c r="AO48" s="519">
        <f t="shared" ca="1" si="15"/>
        <v>0</v>
      </c>
      <c r="AP48" s="519">
        <f t="shared" ca="1" si="16"/>
        <v>0</v>
      </c>
      <c r="AQ48" s="519">
        <f t="shared" ca="1" si="17"/>
        <v>0</v>
      </c>
      <c r="AS48" s="536"/>
      <c r="AT48" s="536"/>
      <c r="AU48" s="519" t="str">
        <f t="shared" si="24"/>
        <v>Powerco</v>
      </c>
      <c r="AV48" s="519" t="str">
        <f t="shared" si="18"/>
        <v>BRK0331</v>
      </c>
      <c r="AW48" s="519">
        <f t="shared" si="19"/>
        <v>29.8431</v>
      </c>
      <c r="AX48" s="538"/>
      <c r="AY48" s="539">
        <f t="shared" ca="1" si="25"/>
        <v>0.90529175097565762</v>
      </c>
      <c r="AZ48" s="189"/>
      <c r="BC48" s="525"/>
      <c r="BD48" s="525"/>
      <c r="BE48" s="525"/>
      <c r="BF48" s="525"/>
      <c r="BG48" s="525"/>
      <c r="BH48" s="526"/>
      <c r="BI48" s="526"/>
    </row>
    <row r="49" spans="1:61" x14ac:dyDescent="0.3">
      <c r="A49" s="556">
        <v>1</v>
      </c>
      <c r="B49" s="519" t="str">
        <f t="shared" si="20"/>
        <v>BRY</v>
      </c>
      <c r="C49" s="519" t="str">
        <f>AMDs!C30</f>
        <v>Orion</v>
      </c>
      <c r="D49" s="519" t="str">
        <f>AMDs!D30</f>
        <v>BRY0661</v>
      </c>
      <c r="E49" s="519">
        <f>IF(AMDs!C30="other",0,AMDs!E30)</f>
        <v>179.95529999999999</v>
      </c>
      <c r="H49" s="519">
        <f ca="1">_xlfn.IFNA(IF(VLOOKUP($B49&amp;OFFSET(H$10,$A49*2,0),'Mapping A'!$B$6:$E$1011,4,0)=1,$E49,""),0)</f>
        <v>0</v>
      </c>
      <c r="I49" s="519">
        <f ca="1">_xlfn.IFNA(IF(VLOOKUP($B49&amp;OFFSET(I$10,$A49*2,0),'Mapping A'!$B$6:$E$1011,4,0)=1,$E49,""),0)</f>
        <v>179.95529999999999</v>
      </c>
      <c r="J49" s="519">
        <f ca="1">_xlfn.IFNA(IF(VLOOKUP($B49&amp;OFFSET(J$10,$A49*2,0),'Mapping A'!$B$6:$E$1011,4,0)=1,$E49,""),0)</f>
        <v>0</v>
      </c>
      <c r="K49" s="519">
        <f ca="1">_xlfn.IFNA(IF(VLOOKUP($B49&amp;OFFSET(K$10,$A49*2,0),'Mapping A'!$B$6:$E$1011,4,0)=1,$E49,""),0)</f>
        <v>0</v>
      </c>
      <c r="L49" s="519">
        <f ca="1">_xlfn.IFNA(IF(VLOOKUP($B49&amp;OFFSET(L$10,$A49*2,0),'Mapping A'!$B$6:$E$1011,4,0)=1,$E49,""),0)</f>
        <v>0</v>
      </c>
      <c r="M49" s="519">
        <f ca="1">_xlfn.IFNA(IF(VLOOKUP($B49&amp;OFFSET(M$10,$A49*2,0),'Mapping A'!$B$6:$E$1011,4,0)=1,$E49,""),0)</f>
        <v>0</v>
      </c>
      <c r="N49" s="519">
        <f ca="1">_xlfn.IFNA(IF(VLOOKUP($B49&amp;OFFSET(N$10,$A49*2,0),'Mapping A'!$B$6:$E$1011,4,0)=1,$E49,""),0)</f>
        <v>0</v>
      </c>
      <c r="O49" s="519">
        <f ca="1">_xlfn.IFNA(IF(VLOOKUP($B49&amp;OFFSET(O$10,$A49*2,0),'Mapping A'!$B$6:$E$1011,4,0)=1,$E49,""),0)</f>
        <v>0</v>
      </c>
      <c r="P49" s="519">
        <f ca="1">_xlfn.IFNA(IF(VLOOKUP($B49&amp;OFFSET(P$10,$A49*2,0),'Mapping A'!$B$6:$E$1011,4,0)=1,$E49,""),0)</f>
        <v>179.95529999999999</v>
      </c>
      <c r="Q49" s="519">
        <f ca="1">_xlfn.IFNA(IF(VLOOKUP($B49&amp;OFFSET(Q$10,$A49*2,0),'Mapping A'!$B$6:$E$1011,4,0)=1,$E49,""),0)</f>
        <v>0</v>
      </c>
      <c r="R49" s="519">
        <f ca="1">_xlfn.IFNA(IF(VLOOKUP($B49&amp;OFFSET(R$10,$A49*2,0),'Mapping A'!$B$6:$E$1011,4,0)=1,$E49,""),0)</f>
        <v>0</v>
      </c>
      <c r="S49" s="519">
        <f ca="1">_xlfn.IFNA(IF(VLOOKUP($B49&amp;OFFSET(S$10,$A49*2,0),'Mapping A'!$B$6:$E$1011,4,0)=1,$E49,""),0)</f>
        <v>0</v>
      </c>
      <c r="T49" s="519">
        <f ca="1">_xlfn.IFNA(IF(VLOOKUP($B49&amp;OFFSET(T$10,$A49*2,0),'Mapping A'!$B$6:$E$1011,4,0)=1,$E49,""),0)</f>
        <v>0</v>
      </c>
      <c r="Y49" s="534" t="str">
        <f t="shared" si="21"/>
        <v>OrionBRY0661</v>
      </c>
      <c r="Z49" s="519" t="str">
        <f t="shared" si="4"/>
        <v>Orion</v>
      </c>
      <c r="AA49" s="519" t="str">
        <f t="shared" si="5"/>
        <v>BRY0661</v>
      </c>
      <c r="AB49" s="519">
        <f t="shared" si="22"/>
        <v>179.95529999999999</v>
      </c>
      <c r="AC49" s="324"/>
      <c r="AE49" s="519">
        <f t="shared" ca="1" si="6"/>
        <v>0</v>
      </c>
      <c r="AF49" s="519">
        <f t="shared" ca="1" si="7"/>
        <v>0</v>
      </c>
      <c r="AG49" s="519">
        <f t="shared" ca="1" si="8"/>
        <v>0</v>
      </c>
      <c r="AH49" s="519">
        <f t="shared" ca="1" si="9"/>
        <v>0</v>
      </c>
      <c r="AI49" s="519">
        <f t="shared" ca="1" si="23"/>
        <v>0</v>
      </c>
      <c r="AJ49" s="519">
        <f t="shared" ca="1" si="10"/>
        <v>0</v>
      </c>
      <c r="AK49" s="519">
        <f t="shared" ca="1" si="11"/>
        <v>0</v>
      </c>
      <c r="AL49" s="519">
        <f t="shared" ca="1" si="12"/>
        <v>0</v>
      </c>
      <c r="AM49" s="519">
        <f t="shared" ca="1" si="13"/>
        <v>0.47937755460043702</v>
      </c>
      <c r="AN49" s="519">
        <f t="shared" ca="1" si="14"/>
        <v>0</v>
      </c>
      <c r="AO49" s="519">
        <f t="shared" ca="1" si="15"/>
        <v>0</v>
      </c>
      <c r="AP49" s="519">
        <f t="shared" ca="1" si="16"/>
        <v>0</v>
      </c>
      <c r="AQ49" s="519">
        <f t="shared" ca="1" si="17"/>
        <v>0</v>
      </c>
      <c r="AS49" s="536"/>
      <c r="AT49" s="536"/>
      <c r="AU49" s="519" t="str">
        <f t="shared" si="24"/>
        <v>Orion</v>
      </c>
      <c r="AV49" s="519" t="str">
        <f t="shared" si="18"/>
        <v>BRY0661</v>
      </c>
      <c r="AW49" s="519">
        <f t="shared" si="19"/>
        <v>179.95529999999999</v>
      </c>
      <c r="AX49" s="538"/>
      <c r="AY49" s="539">
        <f t="shared" ca="1" si="25"/>
        <v>5.4589519397900936</v>
      </c>
      <c r="AZ49" s="189"/>
      <c r="BC49" s="525"/>
      <c r="BD49" s="525"/>
      <c r="BE49" s="525"/>
      <c r="BF49" s="525"/>
      <c r="BG49" s="525"/>
      <c r="BH49" s="526"/>
      <c r="BI49" s="526"/>
    </row>
    <row r="50" spans="1:61" x14ac:dyDescent="0.3">
      <c r="A50" s="556">
        <v>1</v>
      </c>
      <c r="B50" s="519" t="str">
        <f t="shared" si="20"/>
        <v>BWK</v>
      </c>
      <c r="C50" s="519" t="str">
        <f>AMDs!C31</f>
        <v>TrustPower</v>
      </c>
      <c r="D50" s="519" t="str">
        <f>AMDs!D31</f>
        <v>BWK1101</v>
      </c>
      <c r="E50" s="519">
        <f>IF(AMDs!C31="other",0,AMDs!E31)</f>
        <v>0.1008</v>
      </c>
      <c r="H50" s="519">
        <f ca="1">_xlfn.IFNA(IF(VLOOKUP($B50&amp;OFFSET(H$10,$A50*2,0),'Mapping A'!$B$6:$E$1011,4,0)=1,$E50,""),0)</f>
        <v>0</v>
      </c>
      <c r="I50" s="519">
        <f ca="1">_xlfn.IFNA(IF(VLOOKUP($B50&amp;OFFSET(I$10,$A50*2,0),'Mapping A'!$B$6:$E$1011,4,0)=1,$E50,""),0)</f>
        <v>0.1008</v>
      </c>
      <c r="J50" s="519">
        <f ca="1">_xlfn.IFNA(IF(VLOOKUP($B50&amp;OFFSET(J$10,$A50*2,0),'Mapping A'!$B$6:$E$1011,4,0)=1,$E50,""),0)</f>
        <v>0</v>
      </c>
      <c r="K50" s="519">
        <f ca="1">_xlfn.IFNA(IF(VLOOKUP($B50&amp;OFFSET(K$10,$A50*2,0),'Mapping A'!$B$6:$E$1011,4,0)=1,$E50,""),0)</f>
        <v>0</v>
      </c>
      <c r="L50" s="519">
        <f ca="1">_xlfn.IFNA(IF(VLOOKUP($B50&amp;OFFSET(L$10,$A50*2,0),'Mapping A'!$B$6:$E$1011,4,0)=1,$E50,""),0)</f>
        <v>0</v>
      </c>
      <c r="M50" s="519">
        <f ca="1">_xlfn.IFNA(IF(VLOOKUP($B50&amp;OFFSET(M$10,$A50*2,0),'Mapping A'!$B$6:$E$1011,4,0)=1,$E50,""),0)</f>
        <v>0</v>
      </c>
      <c r="N50" s="519">
        <f ca="1">_xlfn.IFNA(IF(VLOOKUP($B50&amp;OFFSET(N$10,$A50*2,0),'Mapping A'!$B$6:$E$1011,4,0)=1,$E50,""),0)</f>
        <v>0</v>
      </c>
      <c r="O50" s="519">
        <f ca="1">_xlfn.IFNA(IF(VLOOKUP($B50&amp;OFFSET(O$10,$A50*2,0),'Mapping A'!$B$6:$E$1011,4,0)=1,$E50,""),0)</f>
        <v>0</v>
      </c>
      <c r="P50" s="519">
        <f ca="1">_xlfn.IFNA(IF(VLOOKUP($B50&amp;OFFSET(P$10,$A50*2,0),'Mapping A'!$B$6:$E$1011,4,0)=1,$E50,""),0)</f>
        <v>0</v>
      </c>
      <c r="Q50" s="519">
        <f ca="1">_xlfn.IFNA(IF(VLOOKUP($B50&amp;OFFSET(Q$10,$A50*2,0),'Mapping A'!$B$6:$E$1011,4,0)=1,$E50,""),0)</f>
        <v>0</v>
      </c>
      <c r="R50" s="519">
        <f ca="1">_xlfn.IFNA(IF(VLOOKUP($B50&amp;OFFSET(R$10,$A50*2,0),'Mapping A'!$B$6:$E$1011,4,0)=1,$E50,""),0)</f>
        <v>0.1008</v>
      </c>
      <c r="S50" s="519">
        <f ca="1">_xlfn.IFNA(IF(VLOOKUP($B50&amp;OFFSET(S$10,$A50*2,0),'Mapping A'!$B$6:$E$1011,4,0)=1,$E50,""),0)</f>
        <v>0</v>
      </c>
      <c r="T50" s="519">
        <f ca="1">_xlfn.IFNA(IF(VLOOKUP($B50&amp;OFFSET(T$10,$A50*2,0),'Mapping A'!$B$6:$E$1011,4,0)=1,$E50,""),0)</f>
        <v>0</v>
      </c>
      <c r="Y50" s="534" t="str">
        <f t="shared" si="21"/>
        <v>TrustPowerBWK1101</v>
      </c>
      <c r="Z50" s="519" t="str">
        <f t="shared" si="4"/>
        <v>TrustPower</v>
      </c>
      <c r="AA50" s="519" t="str">
        <f t="shared" si="5"/>
        <v>BWK1101</v>
      </c>
      <c r="AB50" s="519">
        <f t="shared" si="22"/>
        <v>0.1008</v>
      </c>
      <c r="AC50" s="324"/>
      <c r="AE50" s="519">
        <f t="shared" ca="1" si="6"/>
        <v>0</v>
      </c>
      <c r="AF50" s="519">
        <f t="shared" ca="1" si="7"/>
        <v>0</v>
      </c>
      <c r="AG50" s="519">
        <f t="shared" ca="1" si="8"/>
        <v>0</v>
      </c>
      <c r="AH50" s="519">
        <f t="shared" ca="1" si="9"/>
        <v>0</v>
      </c>
      <c r="AI50" s="519">
        <f t="shared" ca="1" si="23"/>
        <v>0</v>
      </c>
      <c r="AJ50" s="519">
        <f t="shared" ca="1" si="10"/>
        <v>0</v>
      </c>
      <c r="AK50" s="519">
        <f t="shared" ca="1" si="11"/>
        <v>0</v>
      </c>
      <c r="AL50" s="519">
        <f t="shared" ca="1" si="12"/>
        <v>0</v>
      </c>
      <c r="AM50" s="519">
        <f t="shared" ca="1" si="13"/>
        <v>0</v>
      </c>
      <c r="AN50" s="519">
        <f t="shared" ca="1" si="14"/>
        <v>0</v>
      </c>
      <c r="AO50" s="519">
        <f t="shared" ca="1" si="15"/>
        <v>2.4484697001852173E-4</v>
      </c>
      <c r="AP50" s="519">
        <f t="shared" ca="1" si="16"/>
        <v>0</v>
      </c>
      <c r="AQ50" s="519">
        <f t="shared" ca="1" si="17"/>
        <v>0</v>
      </c>
      <c r="AS50" s="536"/>
      <c r="AT50" s="536"/>
      <c r="AU50" s="519" t="str">
        <f t="shared" si="24"/>
        <v>TrustPower</v>
      </c>
      <c r="AV50" s="519" t="str">
        <f t="shared" si="18"/>
        <v>BWK1101</v>
      </c>
      <c r="AW50" s="519">
        <f t="shared" si="19"/>
        <v>0.1008</v>
      </c>
      <c r="AX50" s="538"/>
      <c r="AY50" s="539">
        <f t="shared" ca="1" si="25"/>
        <v>3.0577724331033399E-3</v>
      </c>
      <c r="AZ50" s="189"/>
      <c r="BC50" s="525"/>
      <c r="BD50" s="525"/>
      <c r="BE50" s="525"/>
      <c r="BF50" s="525"/>
      <c r="BG50" s="525"/>
      <c r="BH50" s="526"/>
      <c r="BI50" s="526"/>
    </row>
    <row r="51" spans="1:61" x14ac:dyDescent="0.3">
      <c r="A51" s="556">
        <v>1</v>
      </c>
      <c r="B51" s="519" t="str">
        <f t="shared" si="20"/>
        <v>CBG</v>
      </c>
      <c r="C51" s="519" t="str">
        <f>AMDs!C32</f>
        <v>Waipa Power</v>
      </c>
      <c r="D51" s="519" t="str">
        <f>AMDs!D32</f>
        <v>CBG0111</v>
      </c>
      <c r="E51" s="519">
        <f>IF(AMDs!C32="other",0,AMDs!E32)</f>
        <v>41.208300000000001</v>
      </c>
      <c r="H51" s="519">
        <f ca="1">_xlfn.IFNA(IF(VLOOKUP($B51&amp;OFFSET(H$10,$A51*2,0),'Mapping A'!$B$6:$E$1011,4,0)=1,$E51,""),0)</f>
        <v>0</v>
      </c>
      <c r="I51" s="519">
        <f ca="1">_xlfn.IFNA(IF(VLOOKUP($B51&amp;OFFSET(I$10,$A51*2,0),'Mapping A'!$B$6:$E$1011,4,0)=1,$E51,""),0)</f>
        <v>41.208300000000001</v>
      </c>
      <c r="J51" s="519">
        <f ca="1">_xlfn.IFNA(IF(VLOOKUP($B51&amp;OFFSET(J$10,$A51*2,0),'Mapping A'!$B$6:$E$1011,4,0)=1,$E51,""),0)</f>
        <v>41.208300000000001</v>
      </c>
      <c r="K51" s="519">
        <f ca="1">_xlfn.IFNA(IF(VLOOKUP($B51&amp;OFFSET(K$10,$A51*2,0),'Mapping A'!$B$6:$E$1011,4,0)=1,$E51,""),0)</f>
        <v>0</v>
      </c>
      <c r="L51" s="519">
        <f ca="1">_xlfn.IFNA(IF(VLOOKUP($B51&amp;OFFSET(L$10,$A51*2,0),'Mapping A'!$B$6:$E$1011,4,0)=1,$E51,""),0)</f>
        <v>0</v>
      </c>
      <c r="M51" s="519">
        <f ca="1">_xlfn.IFNA(IF(VLOOKUP($B51&amp;OFFSET(M$10,$A51*2,0),'Mapping A'!$B$6:$E$1011,4,0)=1,$E51,""),0)</f>
        <v>41.208300000000001</v>
      </c>
      <c r="N51" s="519">
        <f ca="1">_xlfn.IFNA(IF(VLOOKUP($B51&amp;OFFSET(N$10,$A51*2,0),'Mapping A'!$B$6:$E$1011,4,0)=1,$E51,""),0)</f>
        <v>0</v>
      </c>
      <c r="O51" s="519">
        <f ca="1">_xlfn.IFNA(IF(VLOOKUP($B51&amp;OFFSET(O$10,$A51*2,0),'Mapping A'!$B$6:$E$1011,4,0)=1,$E51,""),0)</f>
        <v>0</v>
      </c>
      <c r="P51" s="519">
        <f ca="1">_xlfn.IFNA(IF(VLOOKUP($B51&amp;OFFSET(P$10,$A51*2,0),'Mapping A'!$B$6:$E$1011,4,0)=1,$E51,""),0)</f>
        <v>0</v>
      </c>
      <c r="Q51" s="519">
        <f ca="1">_xlfn.IFNA(IF(VLOOKUP($B51&amp;OFFSET(Q$10,$A51*2,0),'Mapping A'!$B$6:$E$1011,4,0)=1,$E51,""),0)</f>
        <v>0</v>
      </c>
      <c r="R51" s="519">
        <f ca="1">_xlfn.IFNA(IF(VLOOKUP($B51&amp;OFFSET(R$10,$A51*2,0),'Mapping A'!$B$6:$E$1011,4,0)=1,$E51,""),0)</f>
        <v>0</v>
      </c>
      <c r="S51" s="519">
        <f ca="1">_xlfn.IFNA(IF(VLOOKUP($B51&amp;OFFSET(S$10,$A51*2,0),'Mapping A'!$B$6:$E$1011,4,0)=1,$E51,""),0)</f>
        <v>0</v>
      </c>
      <c r="T51" s="519">
        <f ca="1">_xlfn.IFNA(IF(VLOOKUP($B51&amp;OFFSET(T$10,$A51*2,0),'Mapping A'!$B$6:$E$1011,4,0)=1,$E51,""),0)</f>
        <v>0</v>
      </c>
      <c r="Y51" s="534" t="str">
        <f t="shared" si="21"/>
        <v>Waipa PowerCBG0111</v>
      </c>
      <c r="Z51" s="519" t="str">
        <f t="shared" si="4"/>
        <v>Waipa Power</v>
      </c>
      <c r="AA51" s="519" t="str">
        <f t="shared" si="5"/>
        <v>CBG0111</v>
      </c>
      <c r="AB51" s="519">
        <f t="shared" si="22"/>
        <v>41.208300000000001</v>
      </c>
      <c r="AC51" s="324"/>
      <c r="AE51" s="519">
        <f t="shared" ca="1" si="6"/>
        <v>0</v>
      </c>
      <c r="AF51" s="519">
        <f t="shared" ca="1" si="7"/>
        <v>0</v>
      </c>
      <c r="AG51" s="519">
        <f t="shared" ca="1" si="8"/>
        <v>0</v>
      </c>
      <c r="AH51" s="519">
        <f t="shared" ca="1" si="9"/>
        <v>0</v>
      </c>
      <c r="AI51" s="519">
        <f t="shared" ca="1" si="23"/>
        <v>0</v>
      </c>
      <c r="AJ51" s="519">
        <f t="shared" ca="1" si="10"/>
        <v>0</v>
      </c>
      <c r="AK51" s="519">
        <f t="shared" ca="1" si="11"/>
        <v>0</v>
      </c>
      <c r="AL51" s="519">
        <f t="shared" ca="1" si="12"/>
        <v>0</v>
      </c>
      <c r="AM51" s="519">
        <f t="shared" ca="1" si="13"/>
        <v>0</v>
      </c>
      <c r="AN51" s="519">
        <f t="shared" ca="1" si="14"/>
        <v>0</v>
      </c>
      <c r="AO51" s="519">
        <f t="shared" ca="1" si="15"/>
        <v>0</v>
      </c>
      <c r="AP51" s="519">
        <f t="shared" ca="1" si="16"/>
        <v>0</v>
      </c>
      <c r="AQ51" s="519">
        <f t="shared" ca="1" si="17"/>
        <v>0</v>
      </c>
      <c r="AS51" s="536"/>
      <c r="AT51" s="536"/>
      <c r="AU51" s="519" t="str">
        <f t="shared" si="24"/>
        <v>Waipa Power</v>
      </c>
      <c r="AV51" s="519" t="str">
        <f t="shared" si="18"/>
        <v>CBG0111</v>
      </c>
      <c r="AW51" s="519">
        <f t="shared" si="19"/>
        <v>41.208300000000001</v>
      </c>
      <c r="AX51" s="538"/>
      <c r="AY51" s="539">
        <f t="shared" ca="1" si="25"/>
        <v>1.2500555928080592</v>
      </c>
      <c r="AZ51" s="189"/>
      <c r="BC51" s="525"/>
      <c r="BD51" s="525"/>
      <c r="BE51" s="525"/>
      <c r="BF51" s="525"/>
      <c r="BG51" s="525"/>
      <c r="BH51" s="526"/>
      <c r="BI51" s="526"/>
    </row>
    <row r="52" spans="1:61" x14ac:dyDescent="0.3">
      <c r="A52" s="556">
        <v>1</v>
      </c>
      <c r="B52" s="519" t="str">
        <f t="shared" si="20"/>
        <v>CLH</v>
      </c>
      <c r="C52" s="519" t="str">
        <f>AMDs!C33</f>
        <v>Orion</v>
      </c>
      <c r="D52" s="519" t="str">
        <f>AMDs!D33</f>
        <v>CLH0111</v>
      </c>
      <c r="E52" s="519">
        <f>IF(AMDs!C33="other",0,AMDs!E33)</f>
        <v>0.61529999999999996</v>
      </c>
      <c r="H52" s="519">
        <f ca="1">_xlfn.IFNA(IF(VLOOKUP($B52&amp;OFFSET(H$10,$A52*2,0),'Mapping A'!$B$6:$E$1011,4,0)=1,$E52,""),0)</f>
        <v>0</v>
      </c>
      <c r="I52" s="519">
        <f ca="1">_xlfn.IFNA(IF(VLOOKUP($B52&amp;OFFSET(I$10,$A52*2,0),'Mapping A'!$B$6:$E$1011,4,0)=1,$E52,""),0)</f>
        <v>0.61529999999999996</v>
      </c>
      <c r="J52" s="519">
        <f ca="1">_xlfn.IFNA(IF(VLOOKUP($B52&amp;OFFSET(J$10,$A52*2,0),'Mapping A'!$B$6:$E$1011,4,0)=1,$E52,""),0)</f>
        <v>0</v>
      </c>
      <c r="K52" s="519">
        <f ca="1">_xlfn.IFNA(IF(VLOOKUP($B52&amp;OFFSET(K$10,$A52*2,0),'Mapping A'!$B$6:$E$1011,4,0)=1,$E52,""),0)</f>
        <v>0</v>
      </c>
      <c r="L52" s="519">
        <f ca="1">_xlfn.IFNA(IF(VLOOKUP($B52&amp;OFFSET(L$10,$A52*2,0),'Mapping A'!$B$6:$E$1011,4,0)=1,$E52,""),0)</f>
        <v>0</v>
      </c>
      <c r="M52" s="519">
        <f ca="1">_xlfn.IFNA(IF(VLOOKUP($B52&amp;OFFSET(M$10,$A52*2,0),'Mapping A'!$B$6:$E$1011,4,0)=1,$E52,""),0)</f>
        <v>0</v>
      </c>
      <c r="N52" s="519">
        <f ca="1">_xlfn.IFNA(IF(VLOOKUP($B52&amp;OFFSET(N$10,$A52*2,0),'Mapping A'!$B$6:$E$1011,4,0)=1,$E52,""),0)</f>
        <v>0</v>
      </c>
      <c r="O52" s="519">
        <f ca="1">_xlfn.IFNA(IF(VLOOKUP($B52&amp;OFFSET(O$10,$A52*2,0),'Mapping A'!$B$6:$E$1011,4,0)=1,$E52,""),0)</f>
        <v>0</v>
      </c>
      <c r="P52" s="519">
        <f ca="1">_xlfn.IFNA(IF(VLOOKUP($B52&amp;OFFSET(P$10,$A52*2,0),'Mapping A'!$B$6:$E$1011,4,0)=1,$E52,""),0)</f>
        <v>0.61529999999999996</v>
      </c>
      <c r="Q52" s="519">
        <f ca="1">_xlfn.IFNA(IF(VLOOKUP($B52&amp;OFFSET(Q$10,$A52*2,0),'Mapping A'!$B$6:$E$1011,4,0)=1,$E52,""),0)</f>
        <v>0</v>
      </c>
      <c r="R52" s="519">
        <f ca="1">_xlfn.IFNA(IF(VLOOKUP($B52&amp;OFFSET(R$10,$A52*2,0),'Mapping A'!$B$6:$E$1011,4,0)=1,$E52,""),0)</f>
        <v>0</v>
      </c>
      <c r="S52" s="519">
        <f ca="1">_xlfn.IFNA(IF(VLOOKUP($B52&amp;OFFSET(S$10,$A52*2,0),'Mapping A'!$B$6:$E$1011,4,0)=1,$E52,""),0)</f>
        <v>0</v>
      </c>
      <c r="T52" s="519">
        <f ca="1">_xlfn.IFNA(IF(VLOOKUP($B52&amp;OFFSET(T$10,$A52*2,0),'Mapping A'!$B$6:$E$1011,4,0)=1,$E52,""),0)</f>
        <v>0.61529999999999996</v>
      </c>
      <c r="Y52" s="534" t="str">
        <f t="shared" si="21"/>
        <v>OrionCLH0111</v>
      </c>
      <c r="Z52" s="519" t="str">
        <f t="shared" si="4"/>
        <v>Orion</v>
      </c>
      <c r="AA52" s="519" t="str">
        <f t="shared" si="5"/>
        <v>CLH0111</v>
      </c>
      <c r="AB52" s="519">
        <f t="shared" si="22"/>
        <v>0.61529999999999996</v>
      </c>
      <c r="AC52" s="324"/>
      <c r="AE52" s="519">
        <f t="shared" ca="1" si="6"/>
        <v>0</v>
      </c>
      <c r="AF52" s="519">
        <f t="shared" ca="1" si="7"/>
        <v>0</v>
      </c>
      <c r="AG52" s="519">
        <f t="shared" ca="1" si="8"/>
        <v>0</v>
      </c>
      <c r="AH52" s="519">
        <f t="shared" ca="1" si="9"/>
        <v>0</v>
      </c>
      <c r="AI52" s="519">
        <f t="shared" ca="1" si="23"/>
        <v>0</v>
      </c>
      <c r="AJ52" s="519">
        <f t="shared" ca="1" si="10"/>
        <v>0</v>
      </c>
      <c r="AK52" s="519">
        <f t="shared" ca="1" si="11"/>
        <v>0</v>
      </c>
      <c r="AL52" s="519">
        <f t="shared" ca="1" si="12"/>
        <v>0</v>
      </c>
      <c r="AM52" s="519">
        <f t="shared" ca="1" si="13"/>
        <v>1.6390793121716831E-3</v>
      </c>
      <c r="AN52" s="519">
        <f t="shared" ca="1" si="14"/>
        <v>0</v>
      </c>
      <c r="AO52" s="519">
        <f t="shared" ca="1" si="15"/>
        <v>0</v>
      </c>
      <c r="AP52" s="519">
        <f t="shared" ca="1" si="16"/>
        <v>0</v>
      </c>
      <c r="AQ52" s="519">
        <f t="shared" ca="1" si="17"/>
        <v>0</v>
      </c>
      <c r="AS52" s="536"/>
      <c r="AT52" s="536"/>
      <c r="AU52" s="519" t="str">
        <f t="shared" si="24"/>
        <v>Orion</v>
      </c>
      <c r="AV52" s="519" t="str">
        <f t="shared" si="18"/>
        <v>CLH0111</v>
      </c>
      <c r="AW52" s="519">
        <f t="shared" si="19"/>
        <v>0.61529999999999996</v>
      </c>
      <c r="AX52" s="538"/>
      <c r="AY52" s="539">
        <f t="shared" ca="1" si="25"/>
        <v>1.8665152560401636E-2</v>
      </c>
      <c r="AZ52" s="189"/>
      <c r="BC52" s="525"/>
      <c r="BD52" s="525"/>
      <c r="BE52" s="525"/>
      <c r="BF52" s="525"/>
      <c r="BG52" s="525"/>
      <c r="BH52" s="526"/>
      <c r="BI52" s="526"/>
    </row>
    <row r="53" spans="1:61" x14ac:dyDescent="0.3">
      <c r="A53" s="556">
        <v>1</v>
      </c>
      <c r="B53" s="519" t="str">
        <f t="shared" si="20"/>
        <v>CML</v>
      </c>
      <c r="C53" s="519" t="str">
        <f>AMDs!C34</f>
        <v>Aurora Energy</v>
      </c>
      <c r="D53" s="519" t="str">
        <f>AMDs!D34</f>
        <v>CML0331</v>
      </c>
      <c r="E53" s="519">
        <f>IF(AMDs!C34="other",0,AMDs!E34)</f>
        <v>33.232500000000002</v>
      </c>
      <c r="H53" s="519">
        <f ca="1">_xlfn.IFNA(IF(VLOOKUP($B53&amp;OFFSET(H$10,$A53*2,0),'Mapping A'!$B$6:$E$1011,4,0)=1,$E53,""),0)</f>
        <v>0</v>
      </c>
      <c r="I53" s="519">
        <f ca="1">_xlfn.IFNA(IF(VLOOKUP($B53&amp;OFFSET(I$10,$A53*2,0),'Mapping A'!$B$6:$E$1011,4,0)=1,$E53,""),0)</f>
        <v>33.232500000000002</v>
      </c>
      <c r="J53" s="519">
        <f ca="1">_xlfn.IFNA(IF(VLOOKUP($B53&amp;OFFSET(J$10,$A53*2,0),'Mapping A'!$B$6:$E$1011,4,0)=1,$E53,""),0)</f>
        <v>0</v>
      </c>
      <c r="K53" s="519">
        <f ca="1">_xlfn.IFNA(IF(VLOOKUP($B53&amp;OFFSET(K$10,$A53*2,0),'Mapping A'!$B$6:$E$1011,4,0)=1,$E53,""),0)</f>
        <v>0</v>
      </c>
      <c r="L53" s="519">
        <f ca="1">_xlfn.IFNA(IF(VLOOKUP($B53&amp;OFFSET(L$10,$A53*2,0),'Mapping A'!$B$6:$E$1011,4,0)=1,$E53,""),0)</f>
        <v>0</v>
      </c>
      <c r="M53" s="519">
        <f ca="1">_xlfn.IFNA(IF(VLOOKUP($B53&amp;OFFSET(M$10,$A53*2,0),'Mapping A'!$B$6:$E$1011,4,0)=1,$E53,""),0)</f>
        <v>0</v>
      </c>
      <c r="N53" s="519">
        <f ca="1">_xlfn.IFNA(IF(VLOOKUP($B53&amp;OFFSET(N$10,$A53*2,0),'Mapping A'!$B$6:$E$1011,4,0)=1,$E53,""),0)</f>
        <v>0</v>
      </c>
      <c r="O53" s="519">
        <f ca="1">_xlfn.IFNA(IF(VLOOKUP($B53&amp;OFFSET(O$10,$A53*2,0),'Mapping A'!$B$6:$E$1011,4,0)=1,$E53,""),0)</f>
        <v>0</v>
      </c>
      <c r="P53" s="519">
        <f ca="1">_xlfn.IFNA(IF(VLOOKUP($B53&amp;OFFSET(P$10,$A53*2,0),'Mapping A'!$B$6:$E$1011,4,0)=1,$E53,""),0)</f>
        <v>0</v>
      </c>
      <c r="Q53" s="519">
        <f ca="1">_xlfn.IFNA(IF(VLOOKUP($B53&amp;OFFSET(Q$10,$A53*2,0),'Mapping A'!$B$6:$E$1011,4,0)=1,$E53,""),0)</f>
        <v>0</v>
      </c>
      <c r="R53" s="519">
        <f ca="1">_xlfn.IFNA(IF(VLOOKUP($B53&amp;OFFSET(R$10,$A53*2,0),'Mapping A'!$B$6:$E$1011,4,0)=1,$E53,""),0)</f>
        <v>0</v>
      </c>
      <c r="S53" s="519">
        <f ca="1">_xlfn.IFNA(IF(VLOOKUP($B53&amp;OFFSET(S$10,$A53*2,0),'Mapping A'!$B$6:$E$1011,4,0)=1,$E53,""),0)</f>
        <v>0</v>
      </c>
      <c r="T53" s="519">
        <f ca="1">_xlfn.IFNA(IF(VLOOKUP($B53&amp;OFFSET(T$10,$A53*2,0),'Mapping A'!$B$6:$E$1011,4,0)=1,$E53,""),0)</f>
        <v>0</v>
      </c>
      <c r="Y53" s="534" t="str">
        <f t="shared" si="21"/>
        <v>Aurora EnergyCML0331</v>
      </c>
      <c r="Z53" s="519" t="str">
        <f t="shared" si="4"/>
        <v>Aurora Energy</v>
      </c>
      <c r="AA53" s="519" t="str">
        <f t="shared" si="5"/>
        <v>CML0331</v>
      </c>
      <c r="AB53" s="519">
        <f t="shared" si="22"/>
        <v>33.232500000000002</v>
      </c>
      <c r="AC53" s="324"/>
      <c r="AE53" s="519">
        <f t="shared" ca="1" si="6"/>
        <v>0</v>
      </c>
      <c r="AF53" s="519">
        <f t="shared" ca="1" si="7"/>
        <v>0</v>
      </c>
      <c r="AG53" s="519">
        <f t="shared" ca="1" si="8"/>
        <v>0</v>
      </c>
      <c r="AH53" s="519">
        <f t="shared" ca="1" si="9"/>
        <v>0</v>
      </c>
      <c r="AI53" s="519">
        <f t="shared" ca="1" si="23"/>
        <v>0</v>
      </c>
      <c r="AJ53" s="519">
        <f t="shared" ca="1" si="10"/>
        <v>0</v>
      </c>
      <c r="AK53" s="519">
        <f t="shared" ca="1" si="11"/>
        <v>0</v>
      </c>
      <c r="AL53" s="519">
        <f t="shared" ca="1" si="12"/>
        <v>0</v>
      </c>
      <c r="AM53" s="519">
        <f t="shared" ca="1" si="13"/>
        <v>0</v>
      </c>
      <c r="AN53" s="519">
        <f t="shared" ca="1" si="14"/>
        <v>0</v>
      </c>
      <c r="AO53" s="519">
        <f t="shared" ca="1" si="15"/>
        <v>0</v>
      </c>
      <c r="AP53" s="519">
        <f t="shared" ca="1" si="16"/>
        <v>0</v>
      </c>
      <c r="AQ53" s="519">
        <f t="shared" ca="1" si="17"/>
        <v>0</v>
      </c>
      <c r="AS53" s="536"/>
      <c r="AT53" s="536"/>
      <c r="AU53" s="519" t="str">
        <f t="shared" si="24"/>
        <v>Aurora Energy</v>
      </c>
      <c r="AV53" s="519" t="str">
        <f t="shared" si="18"/>
        <v>CML0331</v>
      </c>
      <c r="AW53" s="519">
        <f t="shared" si="19"/>
        <v>33.232500000000002</v>
      </c>
      <c r="AX53" s="538"/>
      <c r="AY53" s="539">
        <f t="shared" ca="1" si="25"/>
        <v>1.0081093490387574</v>
      </c>
      <c r="AZ53" s="189"/>
      <c r="BC53" s="525"/>
      <c r="BD53" s="525"/>
      <c r="BE53" s="525"/>
      <c r="BF53" s="525"/>
      <c r="BG53" s="525"/>
      <c r="BH53" s="526"/>
      <c r="BI53" s="526"/>
    </row>
    <row r="54" spans="1:61" x14ac:dyDescent="0.3">
      <c r="A54" s="556">
        <v>1</v>
      </c>
      <c r="B54" s="519" t="str">
        <f t="shared" si="20"/>
        <v>COB</v>
      </c>
      <c r="C54" s="519" t="str">
        <f>AMDs!C35</f>
        <v>TrustPower</v>
      </c>
      <c r="D54" s="519" t="str">
        <f>AMDs!D35</f>
        <v>COB0661</v>
      </c>
      <c r="E54" s="519">
        <f>IF(AMDs!C35="other",0,AMDs!E35)</f>
        <v>0.12180000000000001</v>
      </c>
      <c r="H54" s="519">
        <f ca="1">_xlfn.IFNA(IF(VLOOKUP($B54&amp;OFFSET(H$10,$A54*2,0),'Mapping A'!$B$6:$E$1011,4,0)=1,$E54,""),0)</f>
        <v>0</v>
      </c>
      <c r="I54" s="519">
        <f ca="1">_xlfn.IFNA(IF(VLOOKUP($B54&amp;OFFSET(I$10,$A54*2,0),'Mapping A'!$B$6:$E$1011,4,0)=1,$E54,""),0)</f>
        <v>0</v>
      </c>
      <c r="J54" s="519">
        <f ca="1">_xlfn.IFNA(IF(VLOOKUP($B54&amp;OFFSET(J$10,$A54*2,0),'Mapping A'!$B$6:$E$1011,4,0)=1,$E54,""),0)</f>
        <v>0</v>
      </c>
      <c r="K54" s="519">
        <f ca="1">_xlfn.IFNA(IF(VLOOKUP($B54&amp;OFFSET(K$10,$A54*2,0),'Mapping A'!$B$6:$E$1011,4,0)=1,$E54,""),0)</f>
        <v>0</v>
      </c>
      <c r="L54" s="519">
        <f ca="1">_xlfn.IFNA(IF(VLOOKUP($B54&amp;OFFSET(L$10,$A54*2,0),'Mapping A'!$B$6:$E$1011,4,0)=1,$E54,""),0)</f>
        <v>0</v>
      </c>
      <c r="M54" s="519">
        <f ca="1">_xlfn.IFNA(IF(VLOOKUP($B54&amp;OFFSET(M$10,$A54*2,0),'Mapping A'!$B$6:$E$1011,4,0)=1,$E54,""),0)</f>
        <v>0</v>
      </c>
      <c r="N54" s="519">
        <f ca="1">_xlfn.IFNA(IF(VLOOKUP($B54&amp;OFFSET(N$10,$A54*2,0),'Mapping A'!$B$6:$E$1011,4,0)=1,$E54,""),0)</f>
        <v>0</v>
      </c>
      <c r="O54" s="519">
        <f ca="1">_xlfn.IFNA(IF(VLOOKUP($B54&amp;OFFSET(O$10,$A54*2,0),'Mapping A'!$B$6:$E$1011,4,0)=1,$E54,""),0)</f>
        <v>0</v>
      </c>
      <c r="P54" s="519">
        <f ca="1">_xlfn.IFNA(IF(VLOOKUP($B54&amp;OFFSET(P$10,$A54*2,0),'Mapping A'!$B$6:$E$1011,4,0)=1,$E54,""),0)</f>
        <v>0</v>
      </c>
      <c r="Q54" s="519">
        <f ca="1">_xlfn.IFNA(IF(VLOOKUP($B54&amp;OFFSET(Q$10,$A54*2,0),'Mapping A'!$B$6:$E$1011,4,0)=1,$E54,""),0)</f>
        <v>0</v>
      </c>
      <c r="R54" s="519">
        <f ca="1">_xlfn.IFNA(IF(VLOOKUP($B54&amp;OFFSET(R$10,$A54*2,0),'Mapping A'!$B$6:$E$1011,4,0)=1,$E54,""),0)</f>
        <v>0</v>
      </c>
      <c r="S54" s="519">
        <f ca="1">_xlfn.IFNA(IF(VLOOKUP($B54&amp;OFFSET(S$10,$A54*2,0),'Mapping A'!$B$6:$E$1011,4,0)=1,$E54,""),0)</f>
        <v>0</v>
      </c>
      <c r="T54" s="519">
        <f ca="1">_xlfn.IFNA(IF(VLOOKUP($B54&amp;OFFSET(T$10,$A54*2,0),'Mapping A'!$B$6:$E$1011,4,0)=1,$E54,""),0)</f>
        <v>0</v>
      </c>
      <c r="Y54" s="534" t="str">
        <f t="shared" si="21"/>
        <v>TrustPowerCOB0661</v>
      </c>
      <c r="Z54" s="519" t="str">
        <f t="shared" si="4"/>
        <v>TrustPower</v>
      </c>
      <c r="AA54" s="519" t="str">
        <f t="shared" si="5"/>
        <v>COB0661</v>
      </c>
      <c r="AB54" s="519">
        <f t="shared" si="22"/>
        <v>0.12180000000000001</v>
      </c>
      <c r="AC54" s="324"/>
      <c r="AE54" s="519">
        <f t="shared" ca="1" si="6"/>
        <v>0</v>
      </c>
      <c r="AF54" s="519">
        <f t="shared" ca="1" si="7"/>
        <v>0</v>
      </c>
      <c r="AG54" s="519">
        <f t="shared" ca="1" si="8"/>
        <v>0</v>
      </c>
      <c r="AH54" s="519">
        <f t="shared" ca="1" si="9"/>
        <v>0</v>
      </c>
      <c r="AI54" s="519">
        <f t="shared" ca="1" si="23"/>
        <v>0</v>
      </c>
      <c r="AJ54" s="519">
        <f t="shared" ca="1" si="10"/>
        <v>0</v>
      </c>
      <c r="AK54" s="519">
        <f t="shared" ca="1" si="11"/>
        <v>0</v>
      </c>
      <c r="AL54" s="519">
        <f t="shared" ca="1" si="12"/>
        <v>0</v>
      </c>
      <c r="AM54" s="519">
        <f t="shared" ca="1" si="13"/>
        <v>0</v>
      </c>
      <c r="AN54" s="519">
        <f t="shared" ca="1" si="14"/>
        <v>0</v>
      </c>
      <c r="AO54" s="519">
        <f t="shared" ca="1" si="15"/>
        <v>0</v>
      </c>
      <c r="AP54" s="519">
        <f t="shared" ca="1" si="16"/>
        <v>0</v>
      </c>
      <c r="AQ54" s="519">
        <f t="shared" ca="1" si="17"/>
        <v>0</v>
      </c>
      <c r="AS54" s="536"/>
      <c r="AT54" s="536"/>
      <c r="AU54" s="519" t="str">
        <f t="shared" si="24"/>
        <v>TrustPower</v>
      </c>
      <c r="AV54" s="519" t="str">
        <f t="shared" si="18"/>
        <v>COB0661</v>
      </c>
      <c r="AW54" s="519">
        <f t="shared" si="19"/>
        <v>0.12180000000000001</v>
      </c>
      <c r="AX54" s="538"/>
      <c r="AY54" s="539">
        <f t="shared" ca="1" si="25"/>
        <v>3.6948083566665361E-3</v>
      </c>
      <c r="AZ54" s="189"/>
      <c r="BC54" s="525"/>
      <c r="BD54" s="525"/>
      <c r="BE54" s="525"/>
      <c r="BF54" s="525"/>
      <c r="BG54" s="525"/>
      <c r="BH54" s="526"/>
      <c r="BI54" s="526"/>
    </row>
    <row r="55" spans="1:61" x14ac:dyDescent="0.3">
      <c r="A55" s="556">
        <v>1</v>
      </c>
      <c r="B55" s="519" t="str">
        <f t="shared" si="20"/>
        <v>COL</v>
      </c>
      <c r="C55" s="519" t="str">
        <f>AMDs!C36</f>
        <v>Orion</v>
      </c>
      <c r="D55" s="519" t="str">
        <f>AMDs!D36</f>
        <v>COL0111</v>
      </c>
      <c r="E55" s="519">
        <f>IF(AMDs!C36="other",0,AMDs!E36)</f>
        <v>0.40110000000000001</v>
      </c>
      <c r="H55" s="519">
        <f ca="1">_xlfn.IFNA(IF(VLOOKUP($B55&amp;OFFSET(H$10,$A55*2,0),'Mapping A'!$B$6:$E$1011,4,0)=1,$E55,""),0)</f>
        <v>0</v>
      </c>
      <c r="I55" s="519">
        <f ca="1">_xlfn.IFNA(IF(VLOOKUP($B55&amp;OFFSET(I$10,$A55*2,0),'Mapping A'!$B$6:$E$1011,4,0)=1,$E55,""),0)</f>
        <v>0.40110000000000001</v>
      </c>
      <c r="J55" s="519">
        <f ca="1">_xlfn.IFNA(IF(VLOOKUP($B55&amp;OFFSET(J$10,$A55*2,0),'Mapping A'!$B$6:$E$1011,4,0)=1,$E55,""),0)</f>
        <v>0</v>
      </c>
      <c r="K55" s="519">
        <f ca="1">_xlfn.IFNA(IF(VLOOKUP($B55&amp;OFFSET(K$10,$A55*2,0),'Mapping A'!$B$6:$E$1011,4,0)=1,$E55,""),0)</f>
        <v>0</v>
      </c>
      <c r="L55" s="519">
        <f ca="1">_xlfn.IFNA(IF(VLOOKUP($B55&amp;OFFSET(L$10,$A55*2,0),'Mapping A'!$B$6:$E$1011,4,0)=1,$E55,""),0)</f>
        <v>0</v>
      </c>
      <c r="M55" s="519">
        <f ca="1">_xlfn.IFNA(IF(VLOOKUP($B55&amp;OFFSET(M$10,$A55*2,0),'Mapping A'!$B$6:$E$1011,4,0)=1,$E55,""),0)</f>
        <v>0</v>
      </c>
      <c r="N55" s="519">
        <f ca="1">_xlfn.IFNA(IF(VLOOKUP($B55&amp;OFFSET(N$10,$A55*2,0),'Mapping A'!$B$6:$E$1011,4,0)=1,$E55,""),0)</f>
        <v>0</v>
      </c>
      <c r="O55" s="519">
        <f ca="1">_xlfn.IFNA(IF(VLOOKUP($B55&amp;OFFSET(O$10,$A55*2,0),'Mapping A'!$B$6:$E$1011,4,0)=1,$E55,""),0)</f>
        <v>0</v>
      </c>
      <c r="P55" s="519">
        <f ca="1">_xlfn.IFNA(IF(VLOOKUP($B55&amp;OFFSET(P$10,$A55*2,0),'Mapping A'!$B$6:$E$1011,4,0)=1,$E55,""),0)</f>
        <v>0.40110000000000001</v>
      </c>
      <c r="Q55" s="519">
        <f ca="1">_xlfn.IFNA(IF(VLOOKUP($B55&amp;OFFSET(Q$10,$A55*2,0),'Mapping A'!$B$6:$E$1011,4,0)=1,$E55,""),0)</f>
        <v>0</v>
      </c>
      <c r="R55" s="519">
        <f ca="1">_xlfn.IFNA(IF(VLOOKUP($B55&amp;OFFSET(R$10,$A55*2,0),'Mapping A'!$B$6:$E$1011,4,0)=1,$E55,""),0)</f>
        <v>0</v>
      </c>
      <c r="S55" s="519">
        <f ca="1">_xlfn.IFNA(IF(VLOOKUP($B55&amp;OFFSET(S$10,$A55*2,0),'Mapping A'!$B$6:$E$1011,4,0)=1,$E55,""),0)</f>
        <v>0</v>
      </c>
      <c r="T55" s="519">
        <f ca="1">_xlfn.IFNA(IF(VLOOKUP($B55&amp;OFFSET(T$10,$A55*2,0),'Mapping A'!$B$6:$E$1011,4,0)=1,$E55,""),0)</f>
        <v>0</v>
      </c>
      <c r="Y55" s="534" t="str">
        <f t="shared" si="21"/>
        <v>OrionCOL0111</v>
      </c>
      <c r="Z55" s="519" t="str">
        <f t="shared" si="4"/>
        <v>Orion</v>
      </c>
      <c r="AA55" s="519" t="str">
        <f t="shared" si="5"/>
        <v>COL0111</v>
      </c>
      <c r="AB55" s="519">
        <f t="shared" si="22"/>
        <v>0.40110000000000001</v>
      </c>
      <c r="AC55" s="324"/>
      <c r="AE55" s="519">
        <f t="shared" ca="1" si="6"/>
        <v>0</v>
      </c>
      <c r="AF55" s="519">
        <f t="shared" ca="1" si="7"/>
        <v>0</v>
      </c>
      <c r="AG55" s="519">
        <f t="shared" ca="1" si="8"/>
        <v>0</v>
      </c>
      <c r="AH55" s="519">
        <f t="shared" ca="1" si="9"/>
        <v>0</v>
      </c>
      <c r="AI55" s="519">
        <f t="shared" ca="1" si="23"/>
        <v>0</v>
      </c>
      <c r="AJ55" s="519">
        <f t="shared" ca="1" si="10"/>
        <v>0</v>
      </c>
      <c r="AK55" s="519">
        <f t="shared" ca="1" si="11"/>
        <v>0</v>
      </c>
      <c r="AL55" s="519">
        <f t="shared" ca="1" si="12"/>
        <v>0</v>
      </c>
      <c r="AM55" s="519">
        <f t="shared" ca="1" si="13"/>
        <v>1.0684783229515068E-3</v>
      </c>
      <c r="AN55" s="519">
        <f t="shared" ca="1" si="14"/>
        <v>0</v>
      </c>
      <c r="AO55" s="519">
        <f t="shared" ca="1" si="15"/>
        <v>0</v>
      </c>
      <c r="AP55" s="519">
        <f t="shared" ca="1" si="16"/>
        <v>0</v>
      </c>
      <c r="AQ55" s="519">
        <f t="shared" ca="1" si="17"/>
        <v>0</v>
      </c>
      <c r="AS55" s="536"/>
      <c r="AT55" s="536"/>
      <c r="AU55" s="519" t="str">
        <f t="shared" si="24"/>
        <v>Orion</v>
      </c>
      <c r="AV55" s="519" t="str">
        <f t="shared" si="18"/>
        <v>COL0111</v>
      </c>
      <c r="AW55" s="519">
        <f t="shared" si="19"/>
        <v>0.40110000000000001</v>
      </c>
      <c r="AX55" s="538"/>
      <c r="AY55" s="539">
        <f t="shared" ca="1" si="25"/>
        <v>1.2167386140057039E-2</v>
      </c>
      <c r="AZ55" s="189"/>
      <c r="BC55" s="525"/>
      <c r="BD55" s="525"/>
      <c r="BE55" s="525"/>
      <c r="BF55" s="525"/>
      <c r="BG55" s="525"/>
      <c r="BH55" s="526"/>
      <c r="BI55" s="526"/>
    </row>
    <row r="56" spans="1:61" x14ac:dyDescent="0.3">
      <c r="A56" s="556">
        <v>1</v>
      </c>
      <c r="B56" s="519" t="str">
        <f t="shared" si="20"/>
        <v>COL</v>
      </c>
      <c r="C56" s="519" t="str">
        <f>AMDs!C37</f>
        <v>TrustPower</v>
      </c>
      <c r="D56" s="519" t="str">
        <f>AMDs!D37</f>
        <v>COL0661</v>
      </c>
      <c r="E56" s="519">
        <f>IF(AMDs!C37="other",0,AMDs!E37)</f>
        <v>9.6600000000000005E-2</v>
      </c>
      <c r="H56" s="519">
        <f ca="1">_xlfn.IFNA(IF(VLOOKUP($B56&amp;OFFSET(H$10,$A56*2,0),'Mapping A'!$B$6:$E$1011,4,0)=1,$E56,""),0)</f>
        <v>0</v>
      </c>
      <c r="I56" s="519">
        <f ca="1">_xlfn.IFNA(IF(VLOOKUP($B56&amp;OFFSET(I$10,$A56*2,0),'Mapping A'!$B$6:$E$1011,4,0)=1,$E56,""),0)</f>
        <v>9.6600000000000005E-2</v>
      </c>
      <c r="J56" s="519">
        <f ca="1">_xlfn.IFNA(IF(VLOOKUP($B56&amp;OFFSET(J$10,$A56*2,0),'Mapping A'!$B$6:$E$1011,4,0)=1,$E56,""),0)</f>
        <v>0</v>
      </c>
      <c r="K56" s="519">
        <f ca="1">_xlfn.IFNA(IF(VLOOKUP($B56&amp;OFFSET(K$10,$A56*2,0),'Mapping A'!$B$6:$E$1011,4,0)=1,$E56,""),0)</f>
        <v>0</v>
      </c>
      <c r="L56" s="519">
        <f ca="1">_xlfn.IFNA(IF(VLOOKUP($B56&amp;OFFSET(L$10,$A56*2,0),'Mapping A'!$B$6:$E$1011,4,0)=1,$E56,""),0)</f>
        <v>0</v>
      </c>
      <c r="M56" s="519">
        <f ca="1">_xlfn.IFNA(IF(VLOOKUP($B56&amp;OFFSET(M$10,$A56*2,0),'Mapping A'!$B$6:$E$1011,4,0)=1,$E56,""),0)</f>
        <v>0</v>
      </c>
      <c r="N56" s="519">
        <f ca="1">_xlfn.IFNA(IF(VLOOKUP($B56&amp;OFFSET(N$10,$A56*2,0),'Mapping A'!$B$6:$E$1011,4,0)=1,$E56,""),0)</f>
        <v>0</v>
      </c>
      <c r="O56" s="519">
        <f ca="1">_xlfn.IFNA(IF(VLOOKUP($B56&amp;OFFSET(O$10,$A56*2,0),'Mapping A'!$B$6:$E$1011,4,0)=1,$E56,""),0)</f>
        <v>0</v>
      </c>
      <c r="P56" s="519">
        <f ca="1">_xlfn.IFNA(IF(VLOOKUP($B56&amp;OFFSET(P$10,$A56*2,0),'Mapping A'!$B$6:$E$1011,4,0)=1,$E56,""),0)</f>
        <v>9.6600000000000005E-2</v>
      </c>
      <c r="Q56" s="519">
        <f ca="1">_xlfn.IFNA(IF(VLOOKUP($B56&amp;OFFSET(Q$10,$A56*2,0),'Mapping A'!$B$6:$E$1011,4,0)=1,$E56,""),0)</f>
        <v>0</v>
      </c>
      <c r="R56" s="519">
        <f ca="1">_xlfn.IFNA(IF(VLOOKUP($B56&amp;OFFSET(R$10,$A56*2,0),'Mapping A'!$B$6:$E$1011,4,0)=1,$E56,""),0)</f>
        <v>0</v>
      </c>
      <c r="S56" s="519">
        <f ca="1">_xlfn.IFNA(IF(VLOOKUP($B56&amp;OFFSET(S$10,$A56*2,0),'Mapping A'!$B$6:$E$1011,4,0)=1,$E56,""),0)</f>
        <v>0</v>
      </c>
      <c r="T56" s="519">
        <f ca="1">_xlfn.IFNA(IF(VLOOKUP($B56&amp;OFFSET(T$10,$A56*2,0),'Mapping A'!$B$6:$E$1011,4,0)=1,$E56,""),0)</f>
        <v>0</v>
      </c>
      <c r="Y56" s="534" t="str">
        <f t="shared" si="21"/>
        <v>TrustPowerCOL0661</v>
      </c>
      <c r="Z56" s="519" t="str">
        <f t="shared" si="4"/>
        <v>TrustPower</v>
      </c>
      <c r="AA56" s="519" t="str">
        <f t="shared" si="5"/>
        <v>COL0661</v>
      </c>
      <c r="AB56" s="519">
        <f t="shared" si="22"/>
        <v>9.6600000000000005E-2</v>
      </c>
      <c r="AC56" s="324"/>
      <c r="AE56" s="519">
        <f t="shared" ca="1" si="6"/>
        <v>0</v>
      </c>
      <c r="AF56" s="519">
        <f t="shared" ca="1" si="7"/>
        <v>0</v>
      </c>
      <c r="AG56" s="519">
        <f t="shared" ca="1" si="8"/>
        <v>0</v>
      </c>
      <c r="AH56" s="519">
        <f t="shared" ca="1" si="9"/>
        <v>0</v>
      </c>
      <c r="AI56" s="519">
        <f t="shared" ca="1" si="23"/>
        <v>0</v>
      </c>
      <c r="AJ56" s="519">
        <f t="shared" ca="1" si="10"/>
        <v>0</v>
      </c>
      <c r="AK56" s="519">
        <f t="shared" ca="1" si="11"/>
        <v>0</v>
      </c>
      <c r="AL56" s="519">
        <f t="shared" ca="1" si="12"/>
        <v>0</v>
      </c>
      <c r="AM56" s="519">
        <f t="shared" ca="1" si="13"/>
        <v>2.5732985788360903E-4</v>
      </c>
      <c r="AN56" s="519">
        <f t="shared" ca="1" si="14"/>
        <v>0</v>
      </c>
      <c r="AO56" s="519">
        <f t="shared" ca="1" si="15"/>
        <v>0</v>
      </c>
      <c r="AP56" s="519">
        <f t="shared" ca="1" si="16"/>
        <v>0</v>
      </c>
      <c r="AQ56" s="519">
        <f t="shared" ca="1" si="17"/>
        <v>0</v>
      </c>
      <c r="AS56" s="536"/>
      <c r="AT56" s="536"/>
      <c r="AU56" s="519" t="str">
        <f t="shared" si="24"/>
        <v>TrustPower</v>
      </c>
      <c r="AV56" s="519" t="str">
        <f t="shared" si="18"/>
        <v>COL0661</v>
      </c>
      <c r="AW56" s="519">
        <f t="shared" si="19"/>
        <v>9.6600000000000005E-2</v>
      </c>
      <c r="AX56" s="538"/>
      <c r="AY56" s="539">
        <f t="shared" ca="1" si="25"/>
        <v>2.9303652483907011E-3</v>
      </c>
      <c r="AZ56" s="189"/>
      <c r="BC56" s="525"/>
      <c r="BD56" s="525"/>
      <c r="BE56" s="525"/>
      <c r="BF56" s="525"/>
      <c r="BG56" s="525"/>
      <c r="BH56" s="526"/>
      <c r="BI56" s="526"/>
    </row>
    <row r="57" spans="1:61" x14ac:dyDescent="0.3">
      <c r="A57" s="556">
        <v>1</v>
      </c>
      <c r="B57" s="519" t="str">
        <f t="shared" si="20"/>
        <v>CPK</v>
      </c>
      <c r="C57" s="519" t="str">
        <f>AMDs!C38</f>
        <v>Wellington Electricity</v>
      </c>
      <c r="D57" s="519" t="str">
        <f>AMDs!D38</f>
        <v>CPK0111</v>
      </c>
      <c r="E57" s="519">
        <f>IF(AMDs!C38="other",0,AMDs!E38)</f>
        <v>24.2193</v>
      </c>
      <c r="H57" s="519">
        <f ca="1">_xlfn.IFNA(IF(VLOOKUP($B57&amp;OFFSET(H$10,$A57*2,0),'Mapping A'!$B$6:$E$1011,4,0)=1,$E57,""),0)</f>
        <v>0</v>
      </c>
      <c r="I57" s="519">
        <f ca="1">_xlfn.IFNA(IF(VLOOKUP($B57&amp;OFFSET(I$10,$A57*2,0),'Mapping A'!$B$6:$E$1011,4,0)=1,$E57,""),0)</f>
        <v>24.2193</v>
      </c>
      <c r="J57" s="519">
        <f ca="1">_xlfn.IFNA(IF(VLOOKUP($B57&amp;OFFSET(J$10,$A57*2,0),'Mapping A'!$B$6:$E$1011,4,0)=1,$E57,""),0)</f>
        <v>24.2193</v>
      </c>
      <c r="K57" s="519">
        <f ca="1">_xlfn.IFNA(IF(VLOOKUP($B57&amp;OFFSET(K$10,$A57*2,0),'Mapping A'!$B$6:$E$1011,4,0)=1,$E57,""),0)</f>
        <v>0</v>
      </c>
      <c r="L57" s="519">
        <f ca="1">_xlfn.IFNA(IF(VLOOKUP($B57&amp;OFFSET(L$10,$A57*2,0),'Mapping A'!$B$6:$E$1011,4,0)=1,$E57,""),0)</f>
        <v>0</v>
      </c>
      <c r="M57" s="519">
        <f ca="1">_xlfn.IFNA(IF(VLOOKUP($B57&amp;OFFSET(M$10,$A57*2,0),'Mapping A'!$B$6:$E$1011,4,0)=1,$E57,""),0)</f>
        <v>0</v>
      </c>
      <c r="N57" s="519">
        <f ca="1">_xlfn.IFNA(IF(VLOOKUP($B57&amp;OFFSET(N$10,$A57*2,0),'Mapping A'!$B$6:$E$1011,4,0)=1,$E57,""),0)</f>
        <v>0</v>
      </c>
      <c r="O57" s="519">
        <f ca="1">_xlfn.IFNA(IF(VLOOKUP($B57&amp;OFFSET(O$10,$A57*2,0),'Mapping A'!$B$6:$E$1011,4,0)=1,$E57,""),0)</f>
        <v>0</v>
      </c>
      <c r="P57" s="519">
        <f ca="1">_xlfn.IFNA(IF(VLOOKUP($B57&amp;OFFSET(P$10,$A57*2,0),'Mapping A'!$B$6:$E$1011,4,0)=1,$E57,""),0)</f>
        <v>0</v>
      </c>
      <c r="Q57" s="519">
        <f ca="1">_xlfn.IFNA(IF(VLOOKUP($B57&amp;OFFSET(Q$10,$A57*2,0),'Mapping A'!$B$6:$E$1011,4,0)=1,$E57,""),0)</f>
        <v>0</v>
      </c>
      <c r="R57" s="519">
        <f ca="1">_xlfn.IFNA(IF(VLOOKUP($B57&amp;OFFSET(R$10,$A57*2,0),'Mapping A'!$B$6:$E$1011,4,0)=1,$E57,""),0)</f>
        <v>0</v>
      </c>
      <c r="S57" s="519">
        <f ca="1">_xlfn.IFNA(IF(VLOOKUP($B57&amp;OFFSET(S$10,$A57*2,0),'Mapping A'!$B$6:$E$1011,4,0)=1,$E57,""),0)</f>
        <v>0</v>
      </c>
      <c r="T57" s="519">
        <f ca="1">_xlfn.IFNA(IF(VLOOKUP($B57&amp;OFFSET(T$10,$A57*2,0),'Mapping A'!$B$6:$E$1011,4,0)=1,$E57,""),0)</f>
        <v>0</v>
      </c>
      <c r="Y57" s="534" t="str">
        <f t="shared" si="21"/>
        <v>Wellington ElectricityCPK0111</v>
      </c>
      <c r="Z57" s="519" t="str">
        <f t="shared" si="4"/>
        <v>Wellington Electricity</v>
      </c>
      <c r="AA57" s="519" t="str">
        <f t="shared" si="5"/>
        <v>CPK0111</v>
      </c>
      <c r="AB57" s="519">
        <f t="shared" si="22"/>
        <v>24.2193</v>
      </c>
      <c r="AC57" s="324"/>
      <c r="AE57" s="519">
        <f t="shared" ca="1" si="6"/>
        <v>0</v>
      </c>
      <c r="AF57" s="519">
        <f t="shared" ca="1" si="7"/>
        <v>0</v>
      </c>
      <c r="AG57" s="519">
        <f t="shared" ca="1" si="8"/>
        <v>0</v>
      </c>
      <c r="AH57" s="519">
        <f t="shared" ca="1" si="9"/>
        <v>0</v>
      </c>
      <c r="AI57" s="519">
        <f t="shared" ca="1" si="23"/>
        <v>0</v>
      </c>
      <c r="AJ57" s="519">
        <f t="shared" ca="1" si="10"/>
        <v>0</v>
      </c>
      <c r="AK57" s="519">
        <f t="shared" ca="1" si="11"/>
        <v>0</v>
      </c>
      <c r="AL57" s="519">
        <f t="shared" ca="1" si="12"/>
        <v>0</v>
      </c>
      <c r="AM57" s="519">
        <f t="shared" ca="1" si="13"/>
        <v>0</v>
      </c>
      <c r="AN57" s="519">
        <f t="shared" ca="1" si="14"/>
        <v>0</v>
      </c>
      <c r="AO57" s="519">
        <f t="shared" ca="1" si="15"/>
        <v>0</v>
      </c>
      <c r="AP57" s="519">
        <f t="shared" ca="1" si="16"/>
        <v>0</v>
      </c>
      <c r="AQ57" s="519">
        <f t="shared" ca="1" si="17"/>
        <v>0</v>
      </c>
      <c r="AS57" s="536"/>
      <c r="AT57" s="536"/>
      <c r="AU57" s="519" t="str">
        <f t="shared" si="24"/>
        <v>Wellington Electricity</v>
      </c>
      <c r="AV57" s="519" t="str">
        <f t="shared" si="18"/>
        <v>CPK0111</v>
      </c>
      <c r="AW57" s="519">
        <f t="shared" si="19"/>
        <v>24.2193</v>
      </c>
      <c r="AX57" s="538"/>
      <c r="AY57" s="539">
        <f t="shared" ca="1" si="25"/>
        <v>0.73469353064543375</v>
      </c>
      <c r="AZ57" s="189"/>
      <c r="BC57" s="525"/>
      <c r="BD57" s="525"/>
      <c r="BE57" s="525"/>
      <c r="BF57" s="525"/>
      <c r="BG57" s="525"/>
      <c r="BH57" s="526"/>
      <c r="BI57" s="526"/>
    </row>
    <row r="58" spans="1:61" x14ac:dyDescent="0.3">
      <c r="A58" s="556">
        <v>1</v>
      </c>
      <c r="B58" s="519" t="str">
        <f t="shared" si="20"/>
        <v>CPK</v>
      </c>
      <c r="C58" s="519" t="str">
        <f>AMDs!C39</f>
        <v>Wellington Electricity</v>
      </c>
      <c r="D58" s="519" t="str">
        <f>AMDs!D39</f>
        <v>CPK0331</v>
      </c>
      <c r="E58" s="519">
        <f>IF(AMDs!C39="other",0,AMDs!E39)</f>
        <v>165.72149999999999</v>
      </c>
      <c r="H58" s="519">
        <f ca="1">_xlfn.IFNA(IF(VLOOKUP($B58&amp;OFFSET(H$10,$A58*2,0),'Mapping A'!$B$6:$E$1011,4,0)=1,$E58,""),0)</f>
        <v>0</v>
      </c>
      <c r="I58" s="519">
        <f ca="1">_xlfn.IFNA(IF(VLOOKUP($B58&amp;OFFSET(I$10,$A58*2,0),'Mapping A'!$B$6:$E$1011,4,0)=1,$E58,""),0)</f>
        <v>165.72149999999999</v>
      </c>
      <c r="J58" s="519">
        <f ca="1">_xlfn.IFNA(IF(VLOOKUP($B58&amp;OFFSET(J$10,$A58*2,0),'Mapping A'!$B$6:$E$1011,4,0)=1,$E58,""),0)</f>
        <v>165.72149999999999</v>
      </c>
      <c r="K58" s="519">
        <f ca="1">_xlfn.IFNA(IF(VLOOKUP($B58&amp;OFFSET(K$10,$A58*2,0),'Mapping A'!$B$6:$E$1011,4,0)=1,$E58,""),0)</f>
        <v>0</v>
      </c>
      <c r="L58" s="519">
        <f ca="1">_xlfn.IFNA(IF(VLOOKUP($B58&amp;OFFSET(L$10,$A58*2,0),'Mapping A'!$B$6:$E$1011,4,0)=1,$E58,""),0)</f>
        <v>0</v>
      </c>
      <c r="M58" s="519">
        <f ca="1">_xlfn.IFNA(IF(VLOOKUP($B58&amp;OFFSET(M$10,$A58*2,0),'Mapping A'!$B$6:$E$1011,4,0)=1,$E58,""),0)</f>
        <v>0</v>
      </c>
      <c r="N58" s="519">
        <f ca="1">_xlfn.IFNA(IF(VLOOKUP($B58&amp;OFFSET(N$10,$A58*2,0),'Mapping A'!$B$6:$E$1011,4,0)=1,$E58,""),0)</f>
        <v>0</v>
      </c>
      <c r="O58" s="519">
        <f ca="1">_xlfn.IFNA(IF(VLOOKUP($B58&amp;OFFSET(O$10,$A58*2,0),'Mapping A'!$B$6:$E$1011,4,0)=1,$E58,""),0)</f>
        <v>0</v>
      </c>
      <c r="P58" s="519">
        <f ca="1">_xlfn.IFNA(IF(VLOOKUP($B58&amp;OFFSET(P$10,$A58*2,0),'Mapping A'!$B$6:$E$1011,4,0)=1,$E58,""),0)</f>
        <v>0</v>
      </c>
      <c r="Q58" s="519">
        <f ca="1">_xlfn.IFNA(IF(VLOOKUP($B58&amp;OFFSET(Q$10,$A58*2,0),'Mapping A'!$B$6:$E$1011,4,0)=1,$E58,""),0)</f>
        <v>0</v>
      </c>
      <c r="R58" s="519">
        <f ca="1">_xlfn.IFNA(IF(VLOOKUP($B58&amp;OFFSET(R$10,$A58*2,0),'Mapping A'!$B$6:$E$1011,4,0)=1,$E58,""),0)</f>
        <v>0</v>
      </c>
      <c r="S58" s="519">
        <f ca="1">_xlfn.IFNA(IF(VLOOKUP($B58&amp;OFFSET(S$10,$A58*2,0),'Mapping A'!$B$6:$E$1011,4,0)=1,$E58,""),0)</f>
        <v>0</v>
      </c>
      <c r="T58" s="519">
        <f ca="1">_xlfn.IFNA(IF(VLOOKUP($B58&amp;OFFSET(T$10,$A58*2,0),'Mapping A'!$B$6:$E$1011,4,0)=1,$E58,""),0)</f>
        <v>0</v>
      </c>
      <c r="Y58" s="534" t="str">
        <f t="shared" si="21"/>
        <v>Wellington ElectricityCPK0331</v>
      </c>
      <c r="Z58" s="519" t="str">
        <f t="shared" si="4"/>
        <v>Wellington Electricity</v>
      </c>
      <c r="AA58" s="519" t="str">
        <f t="shared" si="5"/>
        <v>CPK0331</v>
      </c>
      <c r="AB58" s="519">
        <f t="shared" si="22"/>
        <v>165.72149999999999</v>
      </c>
      <c r="AC58" s="324"/>
      <c r="AE58" s="519">
        <f t="shared" ca="1" si="6"/>
        <v>0</v>
      </c>
      <c r="AF58" s="519">
        <f t="shared" ca="1" si="7"/>
        <v>0</v>
      </c>
      <c r="AG58" s="519">
        <f t="shared" ca="1" si="8"/>
        <v>0</v>
      </c>
      <c r="AH58" s="519">
        <f t="shared" ca="1" si="9"/>
        <v>0</v>
      </c>
      <c r="AI58" s="519">
        <f t="shared" ca="1" si="23"/>
        <v>0</v>
      </c>
      <c r="AJ58" s="519">
        <f t="shared" ca="1" si="10"/>
        <v>0</v>
      </c>
      <c r="AK58" s="519">
        <f t="shared" ca="1" si="11"/>
        <v>0</v>
      </c>
      <c r="AL58" s="519">
        <f t="shared" ca="1" si="12"/>
        <v>0</v>
      </c>
      <c r="AM58" s="519">
        <f t="shared" ca="1" si="13"/>
        <v>0</v>
      </c>
      <c r="AN58" s="519">
        <f t="shared" ca="1" si="14"/>
        <v>0</v>
      </c>
      <c r="AO58" s="519">
        <f t="shared" ca="1" si="15"/>
        <v>0</v>
      </c>
      <c r="AP58" s="519">
        <f t="shared" ca="1" si="16"/>
        <v>0</v>
      </c>
      <c r="AQ58" s="519">
        <f t="shared" ca="1" si="17"/>
        <v>0</v>
      </c>
      <c r="AS58" s="536"/>
      <c r="AT58" s="536"/>
      <c r="AU58" s="519" t="str">
        <f t="shared" si="24"/>
        <v>Wellington Electricity</v>
      </c>
      <c r="AV58" s="519" t="str">
        <f t="shared" si="18"/>
        <v>CPK0331</v>
      </c>
      <c r="AW58" s="519">
        <f t="shared" si="19"/>
        <v>165.72149999999999</v>
      </c>
      <c r="AX58" s="538"/>
      <c r="AY58" s="539">
        <f t="shared" ca="1" si="25"/>
        <v>5.0271689907989598</v>
      </c>
      <c r="AZ58" s="189"/>
      <c r="BC58" s="525"/>
      <c r="BD58" s="525"/>
      <c r="BE58" s="525"/>
      <c r="BF58" s="525"/>
      <c r="BG58" s="525"/>
      <c r="BH58" s="526"/>
      <c r="BI58" s="526"/>
    </row>
    <row r="59" spans="1:61" x14ac:dyDescent="0.3">
      <c r="A59" s="556">
        <v>1</v>
      </c>
      <c r="B59" s="519" t="str">
        <f t="shared" si="20"/>
        <v>CST</v>
      </c>
      <c r="C59" s="519" t="str">
        <f>AMDs!C40</f>
        <v>Powerco</v>
      </c>
      <c r="D59" s="519" t="str">
        <f>AMDs!D40</f>
        <v>CST0331</v>
      </c>
      <c r="E59" s="519">
        <f>IF(AMDs!C40="other",0,AMDs!E40)</f>
        <v>60.456899999999997</v>
      </c>
      <c r="H59" s="519">
        <f ca="1">_xlfn.IFNA(IF(VLOOKUP($B59&amp;OFFSET(H$10,$A59*2,0),'Mapping A'!$B$6:$E$1011,4,0)=1,$E59,""),0)</f>
        <v>0</v>
      </c>
      <c r="I59" s="519">
        <f ca="1">_xlfn.IFNA(IF(VLOOKUP($B59&amp;OFFSET(I$10,$A59*2,0),'Mapping A'!$B$6:$E$1011,4,0)=1,$E59,""),0)</f>
        <v>60.456899999999997</v>
      </c>
      <c r="J59" s="519">
        <f ca="1">_xlfn.IFNA(IF(VLOOKUP($B59&amp;OFFSET(J$10,$A59*2,0),'Mapping A'!$B$6:$E$1011,4,0)=1,$E59,""),0)</f>
        <v>60.456899999999997</v>
      </c>
      <c r="K59" s="519">
        <f ca="1">_xlfn.IFNA(IF(VLOOKUP($B59&amp;OFFSET(K$10,$A59*2,0),'Mapping A'!$B$6:$E$1011,4,0)=1,$E59,""),0)</f>
        <v>0</v>
      </c>
      <c r="L59" s="519">
        <f ca="1">_xlfn.IFNA(IF(VLOOKUP($B59&amp;OFFSET(L$10,$A59*2,0),'Mapping A'!$B$6:$E$1011,4,0)=1,$E59,""),0)</f>
        <v>0</v>
      </c>
      <c r="M59" s="519">
        <f ca="1">_xlfn.IFNA(IF(VLOOKUP($B59&amp;OFFSET(M$10,$A59*2,0),'Mapping A'!$B$6:$E$1011,4,0)=1,$E59,""),0)</f>
        <v>0</v>
      </c>
      <c r="N59" s="519">
        <f ca="1">_xlfn.IFNA(IF(VLOOKUP($B59&amp;OFFSET(N$10,$A59*2,0),'Mapping A'!$B$6:$E$1011,4,0)=1,$E59,""),0)</f>
        <v>0</v>
      </c>
      <c r="O59" s="519">
        <f ca="1">_xlfn.IFNA(IF(VLOOKUP($B59&amp;OFFSET(O$10,$A59*2,0),'Mapping A'!$B$6:$E$1011,4,0)=1,$E59,""),0)</f>
        <v>0</v>
      </c>
      <c r="P59" s="519">
        <f ca="1">_xlfn.IFNA(IF(VLOOKUP($B59&amp;OFFSET(P$10,$A59*2,0),'Mapping A'!$B$6:$E$1011,4,0)=1,$E59,""),0)</f>
        <v>0</v>
      </c>
      <c r="Q59" s="519">
        <f ca="1">_xlfn.IFNA(IF(VLOOKUP($B59&amp;OFFSET(Q$10,$A59*2,0),'Mapping A'!$B$6:$E$1011,4,0)=1,$E59,""),0)</f>
        <v>0</v>
      </c>
      <c r="R59" s="519">
        <f ca="1">_xlfn.IFNA(IF(VLOOKUP($B59&amp;OFFSET(R$10,$A59*2,0),'Mapping A'!$B$6:$E$1011,4,0)=1,$E59,""),0)</f>
        <v>0</v>
      </c>
      <c r="S59" s="519">
        <f ca="1">_xlfn.IFNA(IF(VLOOKUP($B59&amp;OFFSET(S$10,$A59*2,0),'Mapping A'!$B$6:$E$1011,4,0)=1,$E59,""),0)</f>
        <v>0</v>
      </c>
      <c r="T59" s="519">
        <f ca="1">_xlfn.IFNA(IF(VLOOKUP($B59&amp;OFFSET(T$10,$A59*2,0),'Mapping A'!$B$6:$E$1011,4,0)=1,$E59,""),0)</f>
        <v>0</v>
      </c>
      <c r="Y59" s="534" t="str">
        <f t="shared" si="21"/>
        <v>PowercoCST0331</v>
      </c>
      <c r="Z59" s="519" t="str">
        <f t="shared" si="4"/>
        <v>Powerco</v>
      </c>
      <c r="AA59" s="519" t="str">
        <f t="shared" si="5"/>
        <v>CST0331</v>
      </c>
      <c r="AB59" s="519">
        <f t="shared" si="22"/>
        <v>60.456899999999997</v>
      </c>
      <c r="AC59" s="324"/>
      <c r="AE59" s="519">
        <f t="shared" ca="1" si="6"/>
        <v>0</v>
      </c>
      <c r="AF59" s="519">
        <f t="shared" ca="1" si="7"/>
        <v>0</v>
      </c>
      <c r="AG59" s="519">
        <f t="shared" ca="1" si="8"/>
        <v>0</v>
      </c>
      <c r="AH59" s="519">
        <f t="shared" ca="1" si="9"/>
        <v>0</v>
      </c>
      <c r="AI59" s="519">
        <f t="shared" ca="1" si="23"/>
        <v>0</v>
      </c>
      <c r="AJ59" s="519">
        <f t="shared" ca="1" si="10"/>
        <v>0</v>
      </c>
      <c r="AK59" s="519">
        <f t="shared" ca="1" si="11"/>
        <v>0</v>
      </c>
      <c r="AL59" s="519">
        <f t="shared" ca="1" si="12"/>
        <v>0</v>
      </c>
      <c r="AM59" s="519">
        <f t="shared" ca="1" si="13"/>
        <v>0</v>
      </c>
      <c r="AN59" s="519">
        <f t="shared" ca="1" si="14"/>
        <v>0</v>
      </c>
      <c r="AO59" s="519">
        <f t="shared" ca="1" si="15"/>
        <v>0</v>
      </c>
      <c r="AP59" s="519">
        <f t="shared" ca="1" si="16"/>
        <v>0</v>
      </c>
      <c r="AQ59" s="519">
        <f t="shared" ca="1" si="17"/>
        <v>0</v>
      </c>
      <c r="AS59" s="536"/>
      <c r="AT59" s="536"/>
      <c r="AU59" s="519" t="str">
        <f t="shared" si="24"/>
        <v>Powerco</v>
      </c>
      <c r="AV59" s="519" t="str">
        <f t="shared" si="18"/>
        <v>CST0331</v>
      </c>
      <c r="AW59" s="519">
        <f t="shared" si="19"/>
        <v>60.456899999999997</v>
      </c>
      <c r="AX59" s="538"/>
      <c r="AY59" s="539">
        <f t="shared" ca="1" si="25"/>
        <v>1.8339627203460844</v>
      </c>
      <c r="AZ59" s="189"/>
      <c r="BC59" s="525"/>
      <c r="BD59" s="525"/>
      <c r="BE59" s="525"/>
      <c r="BF59" s="525"/>
      <c r="BG59" s="525"/>
      <c r="BH59" s="526"/>
      <c r="BI59" s="526"/>
    </row>
    <row r="60" spans="1:61" x14ac:dyDescent="0.3">
      <c r="A60" s="556">
        <v>1</v>
      </c>
      <c r="B60" s="519" t="str">
        <f t="shared" si="20"/>
        <v>CUL</v>
      </c>
      <c r="C60" s="519" t="str">
        <f>AMDs!C41</f>
        <v>Mainpower</v>
      </c>
      <c r="D60" s="519" t="str">
        <f>AMDs!D41</f>
        <v>CUL0331</v>
      </c>
      <c r="E60" s="519">
        <f>IF(AMDs!C41="other",0,AMDs!E41)</f>
        <v>21.054600000000001</v>
      </c>
      <c r="H60" s="519">
        <f ca="1">_xlfn.IFNA(IF(VLOOKUP($B60&amp;OFFSET(H$10,$A60*2,0),'Mapping A'!$B$6:$E$1011,4,0)=1,$E60,""),0)</f>
        <v>0</v>
      </c>
      <c r="I60" s="519">
        <f ca="1">_xlfn.IFNA(IF(VLOOKUP($B60&amp;OFFSET(I$10,$A60*2,0),'Mapping A'!$B$6:$E$1011,4,0)=1,$E60,""),0)</f>
        <v>21.054600000000001</v>
      </c>
      <c r="J60" s="519">
        <f ca="1">_xlfn.IFNA(IF(VLOOKUP($B60&amp;OFFSET(J$10,$A60*2,0),'Mapping A'!$B$6:$E$1011,4,0)=1,$E60,""),0)</f>
        <v>0</v>
      </c>
      <c r="K60" s="519">
        <f ca="1">_xlfn.IFNA(IF(VLOOKUP($B60&amp;OFFSET(K$10,$A60*2,0),'Mapping A'!$B$6:$E$1011,4,0)=1,$E60,""),0)</f>
        <v>0</v>
      </c>
      <c r="L60" s="519">
        <f ca="1">_xlfn.IFNA(IF(VLOOKUP($B60&amp;OFFSET(L$10,$A60*2,0),'Mapping A'!$B$6:$E$1011,4,0)=1,$E60,""),0)</f>
        <v>0</v>
      </c>
      <c r="M60" s="519">
        <f ca="1">_xlfn.IFNA(IF(VLOOKUP($B60&amp;OFFSET(M$10,$A60*2,0),'Mapping A'!$B$6:$E$1011,4,0)=1,$E60,""),0)</f>
        <v>0</v>
      </c>
      <c r="N60" s="519">
        <f ca="1">_xlfn.IFNA(IF(VLOOKUP($B60&amp;OFFSET(N$10,$A60*2,0),'Mapping A'!$B$6:$E$1011,4,0)=1,$E60,""),0)</f>
        <v>0</v>
      </c>
      <c r="O60" s="519">
        <f ca="1">_xlfn.IFNA(IF(VLOOKUP($B60&amp;OFFSET(O$10,$A60*2,0),'Mapping A'!$B$6:$E$1011,4,0)=1,$E60,""),0)</f>
        <v>0</v>
      </c>
      <c r="P60" s="519">
        <f ca="1">_xlfn.IFNA(IF(VLOOKUP($B60&amp;OFFSET(P$10,$A60*2,0),'Mapping A'!$B$6:$E$1011,4,0)=1,$E60,""),0)</f>
        <v>21.054600000000001</v>
      </c>
      <c r="Q60" s="519">
        <f ca="1">_xlfn.IFNA(IF(VLOOKUP($B60&amp;OFFSET(Q$10,$A60*2,0),'Mapping A'!$B$6:$E$1011,4,0)=1,$E60,""),0)</f>
        <v>0</v>
      </c>
      <c r="R60" s="519">
        <f ca="1">_xlfn.IFNA(IF(VLOOKUP($B60&amp;OFFSET(R$10,$A60*2,0),'Mapping A'!$B$6:$E$1011,4,0)=1,$E60,""),0)</f>
        <v>0</v>
      </c>
      <c r="S60" s="519">
        <f ca="1">_xlfn.IFNA(IF(VLOOKUP($B60&amp;OFFSET(S$10,$A60*2,0),'Mapping A'!$B$6:$E$1011,4,0)=1,$E60,""),0)</f>
        <v>0</v>
      </c>
      <c r="T60" s="519">
        <f ca="1">_xlfn.IFNA(IF(VLOOKUP($B60&amp;OFFSET(T$10,$A60*2,0),'Mapping A'!$B$6:$E$1011,4,0)=1,$E60,""),0)</f>
        <v>0</v>
      </c>
      <c r="Y60" s="534" t="str">
        <f t="shared" si="21"/>
        <v>MainpowerCUL0331</v>
      </c>
      <c r="Z60" s="519" t="str">
        <f t="shared" si="4"/>
        <v>Mainpower</v>
      </c>
      <c r="AA60" s="519" t="str">
        <f t="shared" si="5"/>
        <v>CUL0331</v>
      </c>
      <c r="AB60" s="519">
        <f t="shared" si="22"/>
        <v>21.054600000000001</v>
      </c>
      <c r="AC60" s="324"/>
      <c r="AE60" s="519">
        <f t="shared" ca="1" si="6"/>
        <v>0</v>
      </c>
      <c r="AF60" s="519">
        <f t="shared" ca="1" si="7"/>
        <v>0</v>
      </c>
      <c r="AG60" s="519">
        <f t="shared" ca="1" si="8"/>
        <v>0</v>
      </c>
      <c r="AH60" s="519">
        <f t="shared" ca="1" si="9"/>
        <v>0</v>
      </c>
      <c r="AI60" s="519">
        <f t="shared" ca="1" si="23"/>
        <v>0</v>
      </c>
      <c r="AJ60" s="519">
        <f t="shared" ca="1" si="10"/>
        <v>0</v>
      </c>
      <c r="AK60" s="519">
        <f t="shared" ca="1" si="11"/>
        <v>0</v>
      </c>
      <c r="AL60" s="519">
        <f t="shared" ca="1" si="12"/>
        <v>0</v>
      </c>
      <c r="AM60" s="519">
        <f t="shared" ca="1" si="13"/>
        <v>5.6086720763936171E-2</v>
      </c>
      <c r="AN60" s="519">
        <f t="shared" ca="1" si="14"/>
        <v>0</v>
      </c>
      <c r="AO60" s="519">
        <f t="shared" ca="1" si="15"/>
        <v>0</v>
      </c>
      <c r="AP60" s="519">
        <f t="shared" ca="1" si="16"/>
        <v>0</v>
      </c>
      <c r="AQ60" s="519">
        <f t="shared" ca="1" si="17"/>
        <v>0</v>
      </c>
      <c r="AS60" s="536"/>
      <c r="AT60" s="536"/>
      <c r="AU60" s="519" t="str">
        <f t="shared" si="24"/>
        <v>Mainpower</v>
      </c>
      <c r="AV60" s="519" t="str">
        <f t="shared" si="18"/>
        <v>CUL0331</v>
      </c>
      <c r="AW60" s="519">
        <f t="shared" si="19"/>
        <v>21.054600000000001</v>
      </c>
      <c r="AX60" s="538"/>
      <c r="AY60" s="539">
        <f t="shared" ca="1" si="25"/>
        <v>0.63869221696446021</v>
      </c>
      <c r="AZ60" s="189"/>
      <c r="BC60" s="525"/>
      <c r="BD60" s="525"/>
      <c r="BE60" s="525"/>
      <c r="BF60" s="525"/>
      <c r="BG60" s="525"/>
      <c r="BH60" s="526"/>
      <c r="BI60" s="526"/>
    </row>
    <row r="61" spans="1:61" x14ac:dyDescent="0.3">
      <c r="A61" s="556">
        <v>1</v>
      </c>
      <c r="B61" s="519" t="str">
        <f t="shared" si="20"/>
        <v>CUL</v>
      </c>
      <c r="C61" s="519" t="str">
        <f>AMDs!C42</f>
        <v>Mainpower</v>
      </c>
      <c r="D61" s="519" t="str">
        <f>AMDs!D42</f>
        <v>CUL0661</v>
      </c>
      <c r="E61" s="519">
        <f>IF(AMDs!C42="other",0,AMDs!E42)</f>
        <v>10.357200000000001</v>
      </c>
      <c r="H61" s="519">
        <f ca="1">_xlfn.IFNA(IF(VLOOKUP($B61&amp;OFFSET(H$10,$A61*2,0),'Mapping A'!$B$6:$E$1011,4,0)=1,$E61,""),0)</f>
        <v>0</v>
      </c>
      <c r="I61" s="519">
        <f ca="1">_xlfn.IFNA(IF(VLOOKUP($B61&amp;OFFSET(I$10,$A61*2,0),'Mapping A'!$B$6:$E$1011,4,0)=1,$E61,""),0)</f>
        <v>10.357200000000001</v>
      </c>
      <c r="J61" s="519">
        <f ca="1">_xlfn.IFNA(IF(VLOOKUP($B61&amp;OFFSET(J$10,$A61*2,0),'Mapping A'!$B$6:$E$1011,4,0)=1,$E61,""),0)</f>
        <v>0</v>
      </c>
      <c r="K61" s="519">
        <f ca="1">_xlfn.IFNA(IF(VLOOKUP($B61&amp;OFFSET(K$10,$A61*2,0),'Mapping A'!$B$6:$E$1011,4,0)=1,$E61,""),0)</f>
        <v>0</v>
      </c>
      <c r="L61" s="519">
        <f ca="1">_xlfn.IFNA(IF(VLOOKUP($B61&amp;OFFSET(L$10,$A61*2,0),'Mapping A'!$B$6:$E$1011,4,0)=1,$E61,""),0)</f>
        <v>0</v>
      </c>
      <c r="M61" s="519">
        <f ca="1">_xlfn.IFNA(IF(VLOOKUP($B61&amp;OFFSET(M$10,$A61*2,0),'Mapping A'!$B$6:$E$1011,4,0)=1,$E61,""),0)</f>
        <v>0</v>
      </c>
      <c r="N61" s="519">
        <f ca="1">_xlfn.IFNA(IF(VLOOKUP($B61&amp;OFFSET(N$10,$A61*2,0),'Mapping A'!$B$6:$E$1011,4,0)=1,$E61,""),0)</f>
        <v>0</v>
      </c>
      <c r="O61" s="519">
        <f ca="1">_xlfn.IFNA(IF(VLOOKUP($B61&amp;OFFSET(O$10,$A61*2,0),'Mapping A'!$B$6:$E$1011,4,0)=1,$E61,""),0)</f>
        <v>0</v>
      </c>
      <c r="P61" s="519">
        <f ca="1">_xlfn.IFNA(IF(VLOOKUP($B61&amp;OFFSET(P$10,$A61*2,0),'Mapping A'!$B$6:$E$1011,4,0)=1,$E61,""),0)</f>
        <v>10.357200000000001</v>
      </c>
      <c r="Q61" s="519">
        <f ca="1">_xlfn.IFNA(IF(VLOOKUP($B61&amp;OFFSET(Q$10,$A61*2,0),'Mapping A'!$B$6:$E$1011,4,0)=1,$E61,""),0)</f>
        <v>0</v>
      </c>
      <c r="R61" s="519">
        <f ca="1">_xlfn.IFNA(IF(VLOOKUP($B61&amp;OFFSET(R$10,$A61*2,0),'Mapping A'!$B$6:$E$1011,4,0)=1,$E61,""),0)</f>
        <v>0</v>
      </c>
      <c r="S61" s="519">
        <f ca="1">_xlfn.IFNA(IF(VLOOKUP($B61&amp;OFFSET(S$10,$A61*2,0),'Mapping A'!$B$6:$E$1011,4,0)=1,$E61,""),0)</f>
        <v>0</v>
      </c>
      <c r="T61" s="519">
        <f ca="1">_xlfn.IFNA(IF(VLOOKUP($B61&amp;OFFSET(T$10,$A61*2,0),'Mapping A'!$B$6:$E$1011,4,0)=1,$E61,""),0)</f>
        <v>0</v>
      </c>
      <c r="Y61" s="534" t="str">
        <f t="shared" si="21"/>
        <v>MainpowerCUL0661</v>
      </c>
      <c r="Z61" s="519" t="str">
        <f t="shared" si="4"/>
        <v>Mainpower</v>
      </c>
      <c r="AA61" s="519" t="str">
        <f t="shared" si="5"/>
        <v>CUL0661</v>
      </c>
      <c r="AB61" s="519">
        <f t="shared" si="22"/>
        <v>10.357200000000001</v>
      </c>
      <c r="AC61" s="324"/>
      <c r="AE61" s="519">
        <f t="shared" ca="1" si="6"/>
        <v>0</v>
      </c>
      <c r="AF61" s="519">
        <f t="shared" ca="1" si="7"/>
        <v>0</v>
      </c>
      <c r="AG61" s="519">
        <f t="shared" ca="1" si="8"/>
        <v>0</v>
      </c>
      <c r="AH61" s="519">
        <f t="shared" ca="1" si="9"/>
        <v>0</v>
      </c>
      <c r="AI61" s="519">
        <f t="shared" ca="1" si="23"/>
        <v>0</v>
      </c>
      <c r="AJ61" s="519">
        <f t="shared" ca="1" si="10"/>
        <v>0</v>
      </c>
      <c r="AK61" s="519">
        <f t="shared" ca="1" si="11"/>
        <v>0</v>
      </c>
      <c r="AL61" s="519">
        <f t="shared" ca="1" si="12"/>
        <v>0</v>
      </c>
      <c r="AM61" s="519">
        <f t="shared" ca="1" si="13"/>
        <v>2.7590236066999122E-2</v>
      </c>
      <c r="AN61" s="519">
        <f t="shared" ca="1" si="14"/>
        <v>0</v>
      </c>
      <c r="AO61" s="519">
        <f t="shared" ca="1" si="15"/>
        <v>0</v>
      </c>
      <c r="AP61" s="519">
        <f t="shared" ca="1" si="16"/>
        <v>0</v>
      </c>
      <c r="AQ61" s="519">
        <f t="shared" ca="1" si="17"/>
        <v>0</v>
      </c>
      <c r="AS61" s="536"/>
      <c r="AT61" s="536"/>
      <c r="AU61" s="519" t="str">
        <f t="shared" si="24"/>
        <v>Mainpower</v>
      </c>
      <c r="AV61" s="519" t="str">
        <f t="shared" si="18"/>
        <v>CUL0661</v>
      </c>
      <c r="AW61" s="519">
        <f t="shared" si="19"/>
        <v>10.357200000000001</v>
      </c>
      <c r="AX61" s="538"/>
      <c r="AY61" s="539">
        <f t="shared" ca="1" si="25"/>
        <v>0.31418611750136821</v>
      </c>
      <c r="AZ61" s="189"/>
      <c r="BC61" s="525"/>
      <c r="BD61" s="525"/>
      <c r="BE61" s="525"/>
      <c r="BF61" s="525"/>
      <c r="BG61" s="525"/>
      <c r="BH61" s="526"/>
      <c r="BI61" s="525"/>
    </row>
    <row r="62" spans="1:61" x14ac:dyDescent="0.3">
      <c r="A62" s="556">
        <v>1</v>
      </c>
      <c r="B62" s="519" t="str">
        <f t="shared" si="20"/>
        <v>CYD</v>
      </c>
      <c r="C62" s="519" t="str">
        <f>AMDs!C43</f>
        <v>Aurora Energy</v>
      </c>
      <c r="D62" s="519" t="str">
        <f>AMDs!D43</f>
        <v>CYD0331</v>
      </c>
      <c r="E62" s="519">
        <f>IF(AMDs!C43="other",0,AMDs!E43)</f>
        <v>18.156600000000001</v>
      </c>
      <c r="H62" s="519">
        <f ca="1">_xlfn.IFNA(IF(VLOOKUP($B62&amp;OFFSET(H$10,$A62*2,0),'Mapping A'!$B$6:$E$1011,4,0)=1,$E62,""),0)</f>
        <v>0</v>
      </c>
      <c r="I62" s="519">
        <f ca="1">_xlfn.IFNA(IF(VLOOKUP($B62&amp;OFFSET(I$10,$A62*2,0),'Mapping A'!$B$6:$E$1011,4,0)=1,$E62,""),0)</f>
        <v>18.156600000000001</v>
      </c>
      <c r="J62" s="519">
        <f ca="1">_xlfn.IFNA(IF(VLOOKUP($B62&amp;OFFSET(J$10,$A62*2,0),'Mapping A'!$B$6:$E$1011,4,0)=1,$E62,""),0)</f>
        <v>0</v>
      </c>
      <c r="K62" s="519">
        <f ca="1">_xlfn.IFNA(IF(VLOOKUP($B62&amp;OFFSET(K$10,$A62*2,0),'Mapping A'!$B$6:$E$1011,4,0)=1,$E62,""),0)</f>
        <v>0</v>
      </c>
      <c r="L62" s="519">
        <f ca="1">_xlfn.IFNA(IF(VLOOKUP($B62&amp;OFFSET(L$10,$A62*2,0),'Mapping A'!$B$6:$E$1011,4,0)=1,$E62,""),0)</f>
        <v>0</v>
      </c>
      <c r="M62" s="519">
        <f ca="1">_xlfn.IFNA(IF(VLOOKUP($B62&amp;OFFSET(M$10,$A62*2,0),'Mapping A'!$B$6:$E$1011,4,0)=1,$E62,""),0)</f>
        <v>0</v>
      </c>
      <c r="N62" s="519">
        <f ca="1">_xlfn.IFNA(IF(VLOOKUP($B62&amp;OFFSET(N$10,$A62*2,0),'Mapping A'!$B$6:$E$1011,4,0)=1,$E62,""),0)</f>
        <v>0</v>
      </c>
      <c r="O62" s="519">
        <f ca="1">_xlfn.IFNA(IF(VLOOKUP($B62&amp;OFFSET(O$10,$A62*2,0),'Mapping A'!$B$6:$E$1011,4,0)=1,$E62,""),0)</f>
        <v>0</v>
      </c>
      <c r="P62" s="519">
        <f ca="1">_xlfn.IFNA(IF(VLOOKUP($B62&amp;OFFSET(P$10,$A62*2,0),'Mapping A'!$B$6:$E$1011,4,0)=1,$E62,""),0)</f>
        <v>0</v>
      </c>
      <c r="Q62" s="519">
        <f ca="1">_xlfn.IFNA(IF(VLOOKUP($B62&amp;OFFSET(Q$10,$A62*2,0),'Mapping A'!$B$6:$E$1011,4,0)=1,$E62,""),0)</f>
        <v>0</v>
      </c>
      <c r="R62" s="519">
        <f ca="1">_xlfn.IFNA(IF(VLOOKUP($B62&amp;OFFSET(R$10,$A62*2,0),'Mapping A'!$B$6:$E$1011,4,0)=1,$E62,""),0)</f>
        <v>0</v>
      </c>
      <c r="S62" s="519">
        <f ca="1">_xlfn.IFNA(IF(VLOOKUP($B62&amp;OFFSET(S$10,$A62*2,0),'Mapping A'!$B$6:$E$1011,4,0)=1,$E62,""),0)</f>
        <v>0</v>
      </c>
      <c r="T62" s="519">
        <f ca="1">_xlfn.IFNA(IF(VLOOKUP($B62&amp;OFFSET(T$10,$A62*2,0),'Mapping A'!$B$6:$E$1011,4,0)=1,$E62,""),0)</f>
        <v>0</v>
      </c>
      <c r="Y62" s="534" t="str">
        <f t="shared" si="21"/>
        <v>Aurora EnergyCYD0331</v>
      </c>
      <c r="Z62" s="519" t="str">
        <f t="shared" si="4"/>
        <v>Aurora Energy</v>
      </c>
      <c r="AA62" s="519" t="str">
        <f t="shared" si="5"/>
        <v>CYD0331</v>
      </c>
      <c r="AB62" s="519">
        <f t="shared" si="22"/>
        <v>18.156600000000001</v>
      </c>
      <c r="AC62" s="324"/>
      <c r="AE62" s="519">
        <f t="shared" ca="1" si="6"/>
        <v>0</v>
      </c>
      <c r="AF62" s="519">
        <f t="shared" ca="1" si="7"/>
        <v>0</v>
      </c>
      <c r="AG62" s="519">
        <f t="shared" ca="1" si="8"/>
        <v>0</v>
      </c>
      <c r="AH62" s="519">
        <f t="shared" ca="1" si="9"/>
        <v>0</v>
      </c>
      <c r="AI62" s="519">
        <f t="shared" ca="1" si="23"/>
        <v>0</v>
      </c>
      <c r="AJ62" s="519">
        <f t="shared" ca="1" si="10"/>
        <v>0</v>
      </c>
      <c r="AK62" s="519">
        <f t="shared" ca="1" si="11"/>
        <v>0</v>
      </c>
      <c r="AL62" s="519">
        <f t="shared" ca="1" si="12"/>
        <v>0</v>
      </c>
      <c r="AM62" s="519">
        <f t="shared" ca="1" si="13"/>
        <v>0</v>
      </c>
      <c r="AN62" s="519">
        <f t="shared" ca="1" si="14"/>
        <v>0</v>
      </c>
      <c r="AO62" s="519">
        <f t="shared" ca="1" si="15"/>
        <v>0</v>
      </c>
      <c r="AP62" s="519">
        <f t="shared" ca="1" si="16"/>
        <v>0</v>
      </c>
      <c r="AQ62" s="519">
        <f t="shared" ca="1" si="17"/>
        <v>0</v>
      </c>
      <c r="AS62" s="536"/>
      <c r="AT62" s="536"/>
      <c r="AU62" s="519" t="str">
        <f t="shared" si="24"/>
        <v>Aurora Energy</v>
      </c>
      <c r="AV62" s="519" t="str">
        <f t="shared" si="18"/>
        <v>CYD0331</v>
      </c>
      <c r="AW62" s="519">
        <f t="shared" si="19"/>
        <v>18.156600000000001</v>
      </c>
      <c r="AX62" s="538"/>
      <c r="AY62" s="539">
        <f t="shared" ca="1" si="25"/>
        <v>0.55078125951273915</v>
      </c>
      <c r="AZ62" s="189"/>
      <c r="BC62" s="525"/>
      <c r="BD62" s="525"/>
      <c r="BE62" s="525"/>
      <c r="BF62" s="525"/>
      <c r="BG62" s="525"/>
      <c r="BH62" s="526"/>
      <c r="BI62" s="525"/>
    </row>
    <row r="63" spans="1:61" x14ac:dyDescent="0.3">
      <c r="A63" s="556">
        <v>1</v>
      </c>
      <c r="B63" s="519" t="str">
        <f t="shared" si="20"/>
        <v>CYD</v>
      </c>
      <c r="C63" s="519" t="str">
        <f>AMDs!C44</f>
        <v>Contact</v>
      </c>
      <c r="D63" s="519" t="str">
        <f>AMDs!D44</f>
        <v>CYD0331</v>
      </c>
      <c r="E63" s="519">
        <f>IF(AMDs!C44="other",0,AMDs!E44)</f>
        <v>0.47460000000000002</v>
      </c>
      <c r="H63" s="519">
        <f ca="1">_xlfn.IFNA(IF(VLOOKUP($B63&amp;OFFSET(H$10,$A63*2,0),'Mapping A'!$B$6:$E$1011,4,0)=1,$E63,""),0)</f>
        <v>0</v>
      </c>
      <c r="I63" s="519">
        <f ca="1">_xlfn.IFNA(IF(VLOOKUP($B63&amp;OFFSET(I$10,$A63*2,0),'Mapping A'!$B$6:$E$1011,4,0)=1,$E63,""),0)</f>
        <v>0.47460000000000002</v>
      </c>
      <c r="J63" s="519">
        <f ca="1">_xlfn.IFNA(IF(VLOOKUP($B63&amp;OFFSET(J$10,$A63*2,0),'Mapping A'!$B$6:$E$1011,4,0)=1,$E63,""),0)</f>
        <v>0</v>
      </c>
      <c r="K63" s="519">
        <f ca="1">_xlfn.IFNA(IF(VLOOKUP($B63&amp;OFFSET(K$10,$A63*2,0),'Mapping A'!$B$6:$E$1011,4,0)=1,$E63,""),0)</f>
        <v>0</v>
      </c>
      <c r="L63" s="519">
        <f ca="1">_xlfn.IFNA(IF(VLOOKUP($B63&amp;OFFSET(L$10,$A63*2,0),'Mapping A'!$B$6:$E$1011,4,0)=1,$E63,""),0)</f>
        <v>0</v>
      </c>
      <c r="M63" s="519">
        <f ca="1">_xlfn.IFNA(IF(VLOOKUP($B63&amp;OFFSET(M$10,$A63*2,0),'Mapping A'!$B$6:$E$1011,4,0)=1,$E63,""),0)</f>
        <v>0</v>
      </c>
      <c r="N63" s="519">
        <f ca="1">_xlfn.IFNA(IF(VLOOKUP($B63&amp;OFFSET(N$10,$A63*2,0),'Mapping A'!$B$6:$E$1011,4,0)=1,$E63,""),0)</f>
        <v>0</v>
      </c>
      <c r="O63" s="519">
        <f ca="1">_xlfn.IFNA(IF(VLOOKUP($B63&amp;OFFSET(O$10,$A63*2,0),'Mapping A'!$B$6:$E$1011,4,0)=1,$E63,""),0)</f>
        <v>0</v>
      </c>
      <c r="P63" s="519">
        <f ca="1">_xlfn.IFNA(IF(VLOOKUP($B63&amp;OFFSET(P$10,$A63*2,0),'Mapping A'!$B$6:$E$1011,4,0)=1,$E63,""),0)</f>
        <v>0</v>
      </c>
      <c r="Q63" s="519">
        <f ca="1">_xlfn.IFNA(IF(VLOOKUP($B63&amp;OFFSET(Q$10,$A63*2,0),'Mapping A'!$B$6:$E$1011,4,0)=1,$E63,""),0)</f>
        <v>0</v>
      </c>
      <c r="R63" s="519">
        <f ca="1">_xlfn.IFNA(IF(VLOOKUP($B63&amp;OFFSET(R$10,$A63*2,0),'Mapping A'!$B$6:$E$1011,4,0)=1,$E63,""),0)</f>
        <v>0</v>
      </c>
      <c r="S63" s="519">
        <f ca="1">_xlfn.IFNA(IF(VLOOKUP($B63&amp;OFFSET(S$10,$A63*2,0),'Mapping A'!$B$6:$E$1011,4,0)=1,$E63,""),0)</f>
        <v>0</v>
      </c>
      <c r="T63" s="519">
        <f ca="1">_xlfn.IFNA(IF(VLOOKUP($B63&amp;OFFSET(T$10,$A63*2,0),'Mapping A'!$B$6:$E$1011,4,0)=1,$E63,""),0)</f>
        <v>0</v>
      </c>
      <c r="Y63" s="534" t="str">
        <f t="shared" si="21"/>
        <v>ContactCYD0331</v>
      </c>
      <c r="Z63" s="519" t="str">
        <f t="shared" si="4"/>
        <v>Contact</v>
      </c>
      <c r="AA63" s="519" t="str">
        <f t="shared" si="5"/>
        <v>CYD0331</v>
      </c>
      <c r="AB63" s="519">
        <f t="shared" si="22"/>
        <v>0.47460000000000002</v>
      </c>
      <c r="AC63" s="324"/>
      <c r="AE63" s="519">
        <f t="shared" ca="1" si="6"/>
        <v>0</v>
      </c>
      <c r="AF63" s="519">
        <f t="shared" ca="1" si="7"/>
        <v>0</v>
      </c>
      <c r="AG63" s="519">
        <f t="shared" ca="1" si="8"/>
        <v>0</v>
      </c>
      <c r="AH63" s="519">
        <f t="shared" ca="1" si="9"/>
        <v>0</v>
      </c>
      <c r="AI63" s="519">
        <f t="shared" ca="1" si="23"/>
        <v>0</v>
      </c>
      <c r="AJ63" s="519">
        <f t="shared" ca="1" si="10"/>
        <v>0</v>
      </c>
      <c r="AK63" s="519">
        <f t="shared" ca="1" si="11"/>
        <v>0</v>
      </c>
      <c r="AL63" s="519">
        <f t="shared" ca="1" si="12"/>
        <v>0</v>
      </c>
      <c r="AM63" s="519">
        <f t="shared" ca="1" si="13"/>
        <v>0</v>
      </c>
      <c r="AN63" s="519">
        <f t="shared" ca="1" si="14"/>
        <v>0</v>
      </c>
      <c r="AO63" s="519">
        <f t="shared" ca="1" si="15"/>
        <v>0</v>
      </c>
      <c r="AP63" s="519">
        <f t="shared" ca="1" si="16"/>
        <v>0</v>
      </c>
      <c r="AQ63" s="519">
        <f t="shared" ca="1" si="17"/>
        <v>0</v>
      </c>
      <c r="AS63" s="536"/>
      <c r="AT63" s="536"/>
      <c r="AU63" s="519" t="str">
        <f t="shared" si="24"/>
        <v>Contact</v>
      </c>
      <c r="AV63" s="519" t="str">
        <f t="shared" si="18"/>
        <v>CYD0331</v>
      </c>
      <c r="AW63" s="519">
        <f t="shared" si="19"/>
        <v>0.47460000000000002</v>
      </c>
      <c r="AX63" s="538"/>
      <c r="AY63" s="539">
        <f t="shared" ca="1" si="25"/>
        <v>1.4397011872528228E-2</v>
      </c>
      <c r="AZ63" s="189"/>
      <c r="BC63" s="525"/>
      <c r="BD63" s="525"/>
      <c r="BE63" s="525"/>
      <c r="BF63" s="525"/>
      <c r="BG63" s="525"/>
      <c r="BH63" s="525"/>
      <c r="BI63" s="525"/>
    </row>
    <row r="64" spans="1:61" x14ac:dyDescent="0.3">
      <c r="A64" s="556">
        <v>1</v>
      </c>
      <c r="B64" s="519" t="str">
        <f t="shared" si="20"/>
        <v>CYD</v>
      </c>
      <c r="C64" s="519" t="str">
        <f>AMDs!C45</f>
        <v>Contact</v>
      </c>
      <c r="D64" s="519" t="str">
        <f>AMDs!D45</f>
        <v>CYD2201</v>
      </c>
      <c r="E64" s="519">
        <f>IF(AMDs!C45="other",0,AMDs!E45)</f>
        <v>6.51</v>
      </c>
      <c r="H64" s="519">
        <f ca="1">_xlfn.IFNA(IF(VLOOKUP($B64&amp;OFFSET(H$10,$A64*2,0),'Mapping A'!$B$6:$E$1011,4,0)=1,$E64,""),0)</f>
        <v>0</v>
      </c>
      <c r="I64" s="519">
        <f ca="1">_xlfn.IFNA(IF(VLOOKUP($B64&amp;OFFSET(I$10,$A64*2,0),'Mapping A'!$B$6:$E$1011,4,0)=1,$E64,""),0)</f>
        <v>6.51</v>
      </c>
      <c r="J64" s="519">
        <f ca="1">_xlfn.IFNA(IF(VLOOKUP($B64&amp;OFFSET(J$10,$A64*2,0),'Mapping A'!$B$6:$E$1011,4,0)=1,$E64,""),0)</f>
        <v>0</v>
      </c>
      <c r="K64" s="519">
        <f ca="1">_xlfn.IFNA(IF(VLOOKUP($B64&amp;OFFSET(K$10,$A64*2,0),'Mapping A'!$B$6:$E$1011,4,0)=1,$E64,""),0)</f>
        <v>0</v>
      </c>
      <c r="L64" s="519">
        <f ca="1">_xlfn.IFNA(IF(VLOOKUP($B64&amp;OFFSET(L$10,$A64*2,0),'Mapping A'!$B$6:$E$1011,4,0)=1,$E64,""),0)</f>
        <v>0</v>
      </c>
      <c r="M64" s="519">
        <f ca="1">_xlfn.IFNA(IF(VLOOKUP($B64&amp;OFFSET(M$10,$A64*2,0),'Mapping A'!$B$6:$E$1011,4,0)=1,$E64,""),0)</f>
        <v>0</v>
      </c>
      <c r="N64" s="519">
        <f ca="1">_xlfn.IFNA(IF(VLOOKUP($B64&amp;OFFSET(N$10,$A64*2,0),'Mapping A'!$B$6:$E$1011,4,0)=1,$E64,""),0)</f>
        <v>0</v>
      </c>
      <c r="O64" s="519">
        <f ca="1">_xlfn.IFNA(IF(VLOOKUP($B64&amp;OFFSET(O$10,$A64*2,0),'Mapping A'!$B$6:$E$1011,4,0)=1,$E64,""),0)</f>
        <v>0</v>
      </c>
      <c r="P64" s="519">
        <f ca="1">_xlfn.IFNA(IF(VLOOKUP($B64&amp;OFFSET(P$10,$A64*2,0),'Mapping A'!$B$6:$E$1011,4,0)=1,$E64,""),0)</f>
        <v>0</v>
      </c>
      <c r="Q64" s="519">
        <f ca="1">_xlfn.IFNA(IF(VLOOKUP($B64&amp;OFFSET(Q$10,$A64*2,0),'Mapping A'!$B$6:$E$1011,4,0)=1,$E64,""),0)</f>
        <v>0</v>
      </c>
      <c r="R64" s="519">
        <f ca="1">_xlfn.IFNA(IF(VLOOKUP($B64&amp;OFFSET(R$10,$A64*2,0),'Mapping A'!$B$6:$E$1011,4,0)=1,$E64,""),0)</f>
        <v>0</v>
      </c>
      <c r="S64" s="519">
        <f ca="1">_xlfn.IFNA(IF(VLOOKUP($B64&amp;OFFSET(S$10,$A64*2,0),'Mapping A'!$B$6:$E$1011,4,0)=1,$E64,""),0)</f>
        <v>0</v>
      </c>
      <c r="T64" s="519">
        <f ca="1">_xlfn.IFNA(IF(VLOOKUP($B64&amp;OFFSET(T$10,$A64*2,0),'Mapping A'!$B$6:$E$1011,4,0)=1,$E64,""),0)</f>
        <v>0</v>
      </c>
      <c r="Y64" s="534" t="str">
        <f t="shared" si="21"/>
        <v>ContactCYD2201</v>
      </c>
      <c r="Z64" s="519" t="str">
        <f t="shared" si="4"/>
        <v>Contact</v>
      </c>
      <c r="AA64" s="519" t="str">
        <f t="shared" si="5"/>
        <v>CYD2201</v>
      </c>
      <c r="AB64" s="519">
        <f t="shared" si="22"/>
        <v>6.51</v>
      </c>
      <c r="AC64" s="324"/>
      <c r="AE64" s="519">
        <f t="shared" ca="1" si="6"/>
        <v>0</v>
      </c>
      <c r="AF64" s="519">
        <f t="shared" ca="1" si="7"/>
        <v>0</v>
      </c>
      <c r="AG64" s="519">
        <f t="shared" ca="1" si="8"/>
        <v>0</v>
      </c>
      <c r="AH64" s="519">
        <f t="shared" ca="1" si="9"/>
        <v>0</v>
      </c>
      <c r="AI64" s="519">
        <f t="shared" ca="1" si="23"/>
        <v>0</v>
      </c>
      <c r="AJ64" s="519">
        <f t="shared" ca="1" si="10"/>
        <v>0</v>
      </c>
      <c r="AK64" s="519">
        <f t="shared" ca="1" si="11"/>
        <v>0</v>
      </c>
      <c r="AL64" s="519">
        <f t="shared" ca="1" si="12"/>
        <v>0</v>
      </c>
      <c r="AM64" s="519">
        <f t="shared" ca="1" si="13"/>
        <v>0</v>
      </c>
      <c r="AN64" s="519">
        <f t="shared" ca="1" si="14"/>
        <v>0</v>
      </c>
      <c r="AO64" s="519">
        <f t="shared" ca="1" si="15"/>
        <v>0</v>
      </c>
      <c r="AP64" s="519">
        <f t="shared" ca="1" si="16"/>
        <v>0</v>
      </c>
      <c r="AQ64" s="519">
        <f t="shared" ca="1" si="17"/>
        <v>0</v>
      </c>
      <c r="AS64" s="536"/>
      <c r="AT64" s="536"/>
      <c r="AU64" s="519" t="str">
        <f t="shared" si="24"/>
        <v>Contact</v>
      </c>
      <c r="AV64" s="519" t="str">
        <f t="shared" si="18"/>
        <v>CYD2201</v>
      </c>
      <c r="AW64" s="519">
        <f t="shared" si="19"/>
        <v>6.51</v>
      </c>
      <c r="AX64" s="538"/>
      <c r="AY64" s="539">
        <f t="shared" ca="1" si="25"/>
        <v>0.19748113630459069</v>
      </c>
      <c r="AZ64" s="189"/>
      <c r="BC64" s="525"/>
      <c r="BD64" s="525"/>
      <c r="BE64" s="525"/>
      <c r="BF64" s="525"/>
      <c r="BG64" s="525"/>
      <c r="BH64" s="525"/>
      <c r="BI64" s="525"/>
    </row>
    <row r="65" spans="1:61" x14ac:dyDescent="0.3">
      <c r="A65" s="556">
        <v>1</v>
      </c>
      <c r="B65" s="519" t="str">
        <f t="shared" si="20"/>
        <v>DOB</v>
      </c>
      <c r="C65" s="519" t="str">
        <f>AMDs!C46</f>
        <v>Westpower</v>
      </c>
      <c r="D65" s="519" t="str">
        <f>AMDs!D46</f>
        <v>DOB0331</v>
      </c>
      <c r="E65" s="519">
        <f>IF(AMDs!C46="other",0,AMDs!E46)</f>
        <v>9.7670999999999992</v>
      </c>
      <c r="H65" s="519">
        <f ca="1">_xlfn.IFNA(IF(VLOOKUP($B65&amp;OFFSET(H$10,$A65*2,0),'Mapping A'!$B$6:$E$1011,4,0)=1,$E65,""),0)</f>
        <v>0</v>
      </c>
      <c r="I65" s="519">
        <f ca="1">_xlfn.IFNA(IF(VLOOKUP($B65&amp;OFFSET(I$10,$A65*2,0),'Mapping A'!$B$6:$E$1011,4,0)=1,$E65,""),0)</f>
        <v>9.7670999999999992</v>
      </c>
      <c r="J65" s="519">
        <f ca="1">_xlfn.IFNA(IF(VLOOKUP($B65&amp;OFFSET(J$10,$A65*2,0),'Mapping A'!$B$6:$E$1011,4,0)=1,$E65,""),0)</f>
        <v>0</v>
      </c>
      <c r="K65" s="519">
        <f ca="1">_xlfn.IFNA(IF(VLOOKUP($B65&amp;OFFSET(K$10,$A65*2,0),'Mapping A'!$B$6:$E$1011,4,0)=1,$E65,""),0)</f>
        <v>0</v>
      </c>
      <c r="L65" s="519">
        <f ca="1">_xlfn.IFNA(IF(VLOOKUP($B65&amp;OFFSET(L$10,$A65*2,0),'Mapping A'!$B$6:$E$1011,4,0)=1,$E65,""),0)</f>
        <v>0</v>
      </c>
      <c r="M65" s="519">
        <f ca="1">_xlfn.IFNA(IF(VLOOKUP($B65&amp;OFFSET(M$10,$A65*2,0),'Mapping A'!$B$6:$E$1011,4,0)=1,$E65,""),0)</f>
        <v>0</v>
      </c>
      <c r="N65" s="519">
        <f ca="1">_xlfn.IFNA(IF(VLOOKUP($B65&amp;OFFSET(N$10,$A65*2,0),'Mapping A'!$B$6:$E$1011,4,0)=1,$E65,""),0)</f>
        <v>0</v>
      </c>
      <c r="O65" s="519">
        <f ca="1">_xlfn.IFNA(IF(VLOOKUP($B65&amp;OFFSET(O$10,$A65*2,0),'Mapping A'!$B$6:$E$1011,4,0)=1,$E65,""),0)</f>
        <v>0</v>
      </c>
      <c r="P65" s="519">
        <f ca="1">_xlfn.IFNA(IF(VLOOKUP($B65&amp;OFFSET(P$10,$A65*2,0),'Mapping A'!$B$6:$E$1011,4,0)=1,$E65,""),0)</f>
        <v>9.7670999999999992</v>
      </c>
      <c r="Q65" s="519">
        <f ca="1">_xlfn.IFNA(IF(VLOOKUP($B65&amp;OFFSET(Q$10,$A65*2,0),'Mapping A'!$B$6:$E$1011,4,0)=1,$E65,""),0)</f>
        <v>0</v>
      </c>
      <c r="R65" s="519">
        <f ca="1">_xlfn.IFNA(IF(VLOOKUP($B65&amp;OFFSET(R$10,$A65*2,0),'Mapping A'!$B$6:$E$1011,4,0)=1,$E65,""),0)</f>
        <v>0</v>
      </c>
      <c r="S65" s="519">
        <f ca="1">_xlfn.IFNA(IF(VLOOKUP($B65&amp;OFFSET(S$10,$A65*2,0),'Mapping A'!$B$6:$E$1011,4,0)=1,$E65,""),0)</f>
        <v>0</v>
      </c>
      <c r="T65" s="519">
        <f ca="1">_xlfn.IFNA(IF(VLOOKUP($B65&amp;OFFSET(T$10,$A65*2,0),'Mapping A'!$B$6:$E$1011,4,0)=1,$E65,""),0)</f>
        <v>9.7670999999999992</v>
      </c>
      <c r="Y65" s="534" t="str">
        <f t="shared" si="21"/>
        <v>WestpowerDOB0331</v>
      </c>
      <c r="Z65" s="519" t="str">
        <f t="shared" si="4"/>
        <v>Westpower</v>
      </c>
      <c r="AA65" s="519" t="str">
        <f t="shared" si="5"/>
        <v>DOB0331</v>
      </c>
      <c r="AB65" s="519">
        <f t="shared" si="22"/>
        <v>9.7670999999999992</v>
      </c>
      <c r="AC65" s="324"/>
      <c r="AE65" s="519">
        <f t="shared" ca="1" si="6"/>
        <v>0</v>
      </c>
      <c r="AF65" s="519">
        <f t="shared" ca="1" si="7"/>
        <v>0</v>
      </c>
      <c r="AG65" s="519">
        <f t="shared" ca="1" si="8"/>
        <v>0</v>
      </c>
      <c r="AH65" s="519">
        <f t="shared" ca="1" si="9"/>
        <v>0</v>
      </c>
      <c r="AI65" s="519">
        <f t="shared" ca="1" si="23"/>
        <v>0</v>
      </c>
      <c r="AJ65" s="519">
        <f t="shared" ca="1" si="10"/>
        <v>0</v>
      </c>
      <c r="AK65" s="519">
        <f t="shared" ca="1" si="11"/>
        <v>0</v>
      </c>
      <c r="AL65" s="519">
        <f t="shared" ca="1" si="12"/>
        <v>0</v>
      </c>
      <c r="AM65" s="519">
        <f t="shared" ca="1" si="13"/>
        <v>2.6018286282970985E-2</v>
      </c>
      <c r="AN65" s="519">
        <f t="shared" ca="1" si="14"/>
        <v>0</v>
      </c>
      <c r="AO65" s="519">
        <f t="shared" ca="1" si="15"/>
        <v>0</v>
      </c>
      <c r="AP65" s="519">
        <f t="shared" ca="1" si="16"/>
        <v>0</v>
      </c>
      <c r="AQ65" s="519">
        <f t="shared" ca="1" si="17"/>
        <v>0</v>
      </c>
      <c r="AS65" s="536"/>
      <c r="AT65" s="536"/>
      <c r="AU65" s="519" t="str">
        <f t="shared" si="24"/>
        <v>Westpower</v>
      </c>
      <c r="AV65" s="519" t="str">
        <f t="shared" si="18"/>
        <v>DOB0331</v>
      </c>
      <c r="AW65" s="519">
        <f t="shared" si="19"/>
        <v>9.7670999999999992</v>
      </c>
      <c r="AX65" s="538"/>
      <c r="AY65" s="539">
        <f t="shared" ca="1" si="25"/>
        <v>0.29628540804924236</v>
      </c>
      <c r="AZ65" s="189"/>
      <c r="BC65" s="525"/>
      <c r="BD65" s="525"/>
      <c r="BE65" s="525"/>
      <c r="BF65" s="525"/>
      <c r="BG65" s="525"/>
      <c r="BH65" s="525"/>
      <c r="BI65" s="525"/>
    </row>
    <row r="66" spans="1:61" x14ac:dyDescent="0.3">
      <c r="A66" s="556">
        <v>1</v>
      </c>
      <c r="B66" s="519" t="str">
        <f t="shared" si="20"/>
        <v>DVK</v>
      </c>
      <c r="C66" s="519" t="str">
        <f>AMDs!C47</f>
        <v>Scanpower</v>
      </c>
      <c r="D66" s="519" t="str">
        <f>AMDs!D47</f>
        <v>DVK0111</v>
      </c>
      <c r="E66" s="519">
        <f>IF(AMDs!C47="other",0,AMDs!E47)</f>
        <v>12.673500000000001</v>
      </c>
      <c r="H66" s="519">
        <f ca="1">_xlfn.IFNA(IF(VLOOKUP($B66&amp;OFFSET(H$10,$A66*2,0),'Mapping A'!$B$6:$E$1011,4,0)=1,$E66,""),0)</f>
        <v>0</v>
      </c>
      <c r="I66" s="519">
        <f ca="1">_xlfn.IFNA(IF(VLOOKUP($B66&amp;OFFSET(I$10,$A66*2,0),'Mapping A'!$B$6:$E$1011,4,0)=1,$E66,""),0)</f>
        <v>12.673500000000001</v>
      </c>
      <c r="J66" s="519">
        <f ca="1">_xlfn.IFNA(IF(VLOOKUP($B66&amp;OFFSET(J$10,$A66*2,0),'Mapping A'!$B$6:$E$1011,4,0)=1,$E66,""),0)</f>
        <v>12.673500000000001</v>
      </c>
      <c r="K66" s="519">
        <f ca="1">_xlfn.IFNA(IF(VLOOKUP($B66&amp;OFFSET(K$10,$A66*2,0),'Mapping A'!$B$6:$E$1011,4,0)=1,$E66,""),0)</f>
        <v>0</v>
      </c>
      <c r="L66" s="519">
        <f ca="1">_xlfn.IFNA(IF(VLOOKUP($B66&amp;OFFSET(L$10,$A66*2,0),'Mapping A'!$B$6:$E$1011,4,0)=1,$E66,""),0)</f>
        <v>0</v>
      </c>
      <c r="M66" s="519">
        <f ca="1">_xlfn.IFNA(IF(VLOOKUP($B66&amp;OFFSET(M$10,$A66*2,0),'Mapping A'!$B$6:$E$1011,4,0)=1,$E66,""),0)</f>
        <v>0</v>
      </c>
      <c r="N66" s="519">
        <f ca="1">_xlfn.IFNA(IF(VLOOKUP($B66&amp;OFFSET(N$10,$A66*2,0),'Mapping A'!$B$6:$E$1011,4,0)=1,$E66,""),0)</f>
        <v>0</v>
      </c>
      <c r="O66" s="519">
        <f ca="1">_xlfn.IFNA(IF(VLOOKUP($B66&amp;OFFSET(O$10,$A66*2,0),'Mapping A'!$B$6:$E$1011,4,0)=1,$E66,""),0)</f>
        <v>0</v>
      </c>
      <c r="P66" s="519">
        <f ca="1">_xlfn.IFNA(IF(VLOOKUP($B66&amp;OFFSET(P$10,$A66*2,0),'Mapping A'!$B$6:$E$1011,4,0)=1,$E66,""),0)</f>
        <v>0</v>
      </c>
      <c r="Q66" s="519">
        <f ca="1">_xlfn.IFNA(IF(VLOOKUP($B66&amp;OFFSET(Q$10,$A66*2,0),'Mapping A'!$B$6:$E$1011,4,0)=1,$E66,""),0)</f>
        <v>0</v>
      </c>
      <c r="R66" s="519">
        <f ca="1">_xlfn.IFNA(IF(VLOOKUP($B66&amp;OFFSET(R$10,$A66*2,0),'Mapping A'!$B$6:$E$1011,4,0)=1,$E66,""),0)</f>
        <v>0</v>
      </c>
      <c r="S66" s="519">
        <f ca="1">_xlfn.IFNA(IF(VLOOKUP($B66&amp;OFFSET(S$10,$A66*2,0),'Mapping A'!$B$6:$E$1011,4,0)=1,$E66,""),0)</f>
        <v>0</v>
      </c>
      <c r="T66" s="519">
        <f ca="1">_xlfn.IFNA(IF(VLOOKUP($B66&amp;OFFSET(T$10,$A66*2,0),'Mapping A'!$B$6:$E$1011,4,0)=1,$E66,""),0)</f>
        <v>0</v>
      </c>
      <c r="Y66" s="534" t="str">
        <f t="shared" si="21"/>
        <v>ScanpowerDVK0111</v>
      </c>
      <c r="Z66" s="519" t="str">
        <f t="shared" si="4"/>
        <v>Scanpower</v>
      </c>
      <c r="AA66" s="519" t="str">
        <f t="shared" si="5"/>
        <v>DVK0111</v>
      </c>
      <c r="AB66" s="519">
        <f t="shared" si="22"/>
        <v>12.673500000000001</v>
      </c>
      <c r="AC66" s="324"/>
      <c r="AE66" s="519">
        <f t="shared" ca="1" si="6"/>
        <v>0</v>
      </c>
      <c r="AF66" s="519">
        <f t="shared" ca="1" si="7"/>
        <v>0</v>
      </c>
      <c r="AG66" s="519">
        <f t="shared" ca="1" si="8"/>
        <v>0</v>
      </c>
      <c r="AH66" s="519">
        <f t="shared" ca="1" si="9"/>
        <v>0</v>
      </c>
      <c r="AI66" s="519">
        <f t="shared" ca="1" si="23"/>
        <v>0</v>
      </c>
      <c r="AJ66" s="519">
        <f t="shared" ca="1" si="10"/>
        <v>0</v>
      </c>
      <c r="AK66" s="519">
        <f t="shared" ca="1" si="11"/>
        <v>0</v>
      </c>
      <c r="AL66" s="519">
        <f t="shared" ca="1" si="12"/>
        <v>0</v>
      </c>
      <c r="AM66" s="519">
        <f t="shared" ca="1" si="13"/>
        <v>0</v>
      </c>
      <c r="AN66" s="519">
        <f t="shared" ca="1" si="14"/>
        <v>0</v>
      </c>
      <c r="AO66" s="519">
        <f t="shared" ca="1" si="15"/>
        <v>0</v>
      </c>
      <c r="AP66" s="519">
        <f t="shared" ca="1" si="16"/>
        <v>0</v>
      </c>
      <c r="AQ66" s="519">
        <f t="shared" ca="1" si="17"/>
        <v>0</v>
      </c>
      <c r="AS66" s="536"/>
      <c r="AT66" s="536"/>
      <c r="AU66" s="519" t="str">
        <f t="shared" si="24"/>
        <v>Scanpower</v>
      </c>
      <c r="AV66" s="519" t="str">
        <f t="shared" si="18"/>
        <v>DVK0111</v>
      </c>
      <c r="AW66" s="519">
        <f t="shared" si="19"/>
        <v>12.673500000000001</v>
      </c>
      <c r="AX66" s="538"/>
      <c r="AY66" s="539">
        <f t="shared" ca="1" si="25"/>
        <v>0.38445117987038874</v>
      </c>
      <c r="AZ66" s="189"/>
      <c r="BC66" s="525"/>
      <c r="BD66" s="525"/>
      <c r="BE66" s="525"/>
      <c r="BF66" s="525"/>
      <c r="BG66" s="525"/>
      <c r="BH66" s="525"/>
      <c r="BI66" s="525"/>
    </row>
    <row r="67" spans="1:61" x14ac:dyDescent="0.3">
      <c r="A67" s="556">
        <v>1</v>
      </c>
      <c r="B67" s="519" t="str">
        <f t="shared" si="20"/>
        <v>EDG</v>
      </c>
      <c r="C67" s="519" t="str">
        <f>AMDs!C48</f>
        <v>Horizon</v>
      </c>
      <c r="D67" s="519" t="str">
        <f>AMDs!D48</f>
        <v>EDG0331</v>
      </c>
      <c r="E67" s="519">
        <f>IF(AMDs!C48="other",0,AMDs!E48)</f>
        <v>64.562399999999997</v>
      </c>
      <c r="H67" s="519">
        <f ca="1">_xlfn.IFNA(IF(VLOOKUP($B67&amp;OFFSET(H$10,$A67*2,0),'Mapping A'!$B$6:$E$1011,4,0)=1,$E67,""),0)</f>
        <v>0</v>
      </c>
      <c r="I67" s="519">
        <f ca="1">_xlfn.IFNA(IF(VLOOKUP($B67&amp;OFFSET(I$10,$A67*2,0),'Mapping A'!$B$6:$E$1011,4,0)=1,$E67,""),0)</f>
        <v>64.562399999999997</v>
      </c>
      <c r="J67" s="519">
        <f ca="1">_xlfn.IFNA(IF(VLOOKUP($B67&amp;OFFSET(J$10,$A67*2,0),'Mapping A'!$B$6:$E$1011,4,0)=1,$E67,""),0)</f>
        <v>64.562399999999997</v>
      </c>
      <c r="K67" s="519">
        <f ca="1">_xlfn.IFNA(IF(VLOOKUP($B67&amp;OFFSET(K$10,$A67*2,0),'Mapping A'!$B$6:$E$1011,4,0)=1,$E67,""),0)</f>
        <v>0</v>
      </c>
      <c r="L67" s="519">
        <f ca="1">_xlfn.IFNA(IF(VLOOKUP($B67&amp;OFFSET(L$10,$A67*2,0),'Mapping A'!$B$6:$E$1011,4,0)=1,$E67,""),0)</f>
        <v>0</v>
      </c>
      <c r="M67" s="519">
        <f ca="1">_xlfn.IFNA(IF(VLOOKUP($B67&amp;OFFSET(M$10,$A67*2,0),'Mapping A'!$B$6:$E$1011,4,0)=1,$E67,""),0)</f>
        <v>64.562399999999997</v>
      </c>
      <c r="N67" s="519">
        <f ca="1">_xlfn.IFNA(IF(VLOOKUP($B67&amp;OFFSET(N$10,$A67*2,0),'Mapping A'!$B$6:$E$1011,4,0)=1,$E67,""),0)</f>
        <v>0</v>
      </c>
      <c r="O67" s="519">
        <f ca="1">_xlfn.IFNA(IF(VLOOKUP($B67&amp;OFFSET(O$10,$A67*2,0),'Mapping A'!$B$6:$E$1011,4,0)=1,$E67,""),0)</f>
        <v>0</v>
      </c>
      <c r="P67" s="519">
        <f ca="1">_xlfn.IFNA(IF(VLOOKUP($B67&amp;OFFSET(P$10,$A67*2,0),'Mapping A'!$B$6:$E$1011,4,0)=1,$E67,""),0)</f>
        <v>0</v>
      </c>
      <c r="Q67" s="519">
        <f ca="1">_xlfn.IFNA(IF(VLOOKUP($B67&amp;OFFSET(Q$10,$A67*2,0),'Mapping A'!$B$6:$E$1011,4,0)=1,$E67,""),0)</f>
        <v>0</v>
      </c>
      <c r="R67" s="519">
        <f ca="1">_xlfn.IFNA(IF(VLOOKUP($B67&amp;OFFSET(R$10,$A67*2,0),'Mapping A'!$B$6:$E$1011,4,0)=1,$E67,""),0)</f>
        <v>0</v>
      </c>
      <c r="S67" s="519">
        <f ca="1">_xlfn.IFNA(IF(VLOOKUP($B67&amp;OFFSET(S$10,$A67*2,0),'Mapping A'!$B$6:$E$1011,4,0)=1,$E67,""),0)</f>
        <v>0</v>
      </c>
      <c r="T67" s="519">
        <f ca="1">_xlfn.IFNA(IF(VLOOKUP($B67&amp;OFFSET(T$10,$A67*2,0),'Mapping A'!$B$6:$E$1011,4,0)=1,$E67,""),0)</f>
        <v>0</v>
      </c>
      <c r="Y67" s="534" t="str">
        <f t="shared" si="21"/>
        <v>HorizonEDG0331</v>
      </c>
      <c r="Z67" s="519" t="str">
        <f t="shared" si="4"/>
        <v>Horizon</v>
      </c>
      <c r="AA67" s="519" t="str">
        <f t="shared" si="5"/>
        <v>EDG0331</v>
      </c>
      <c r="AB67" s="519">
        <f t="shared" si="22"/>
        <v>64.562399999999997</v>
      </c>
      <c r="AC67" s="324"/>
      <c r="AE67" s="519">
        <f t="shared" ca="1" si="6"/>
        <v>0</v>
      </c>
      <c r="AF67" s="519">
        <f t="shared" ca="1" si="7"/>
        <v>0</v>
      </c>
      <c r="AG67" s="519">
        <f t="shared" ca="1" si="8"/>
        <v>0</v>
      </c>
      <c r="AH67" s="519">
        <f t="shared" ca="1" si="9"/>
        <v>0</v>
      </c>
      <c r="AI67" s="519">
        <f t="shared" ca="1" si="23"/>
        <v>0</v>
      </c>
      <c r="AJ67" s="519">
        <f t="shared" ca="1" si="10"/>
        <v>0</v>
      </c>
      <c r="AK67" s="519">
        <f t="shared" ca="1" si="11"/>
        <v>0</v>
      </c>
      <c r="AL67" s="519">
        <f t="shared" ca="1" si="12"/>
        <v>0</v>
      </c>
      <c r="AM67" s="519">
        <f t="shared" ca="1" si="13"/>
        <v>0</v>
      </c>
      <c r="AN67" s="519">
        <f t="shared" ca="1" si="14"/>
        <v>0</v>
      </c>
      <c r="AO67" s="519">
        <f t="shared" ca="1" si="15"/>
        <v>0</v>
      </c>
      <c r="AP67" s="519">
        <f t="shared" ca="1" si="16"/>
        <v>0</v>
      </c>
      <c r="AQ67" s="519">
        <f t="shared" ca="1" si="17"/>
        <v>0</v>
      </c>
      <c r="AS67" s="536"/>
      <c r="AT67" s="536"/>
      <c r="AU67" s="519" t="str">
        <f t="shared" si="24"/>
        <v>Horizon</v>
      </c>
      <c r="AV67" s="519" t="str">
        <f t="shared" si="18"/>
        <v>EDG0331</v>
      </c>
      <c r="AW67" s="519">
        <f t="shared" si="19"/>
        <v>64.562399999999997</v>
      </c>
      <c r="AX67" s="538"/>
      <c r="AY67" s="539">
        <f t="shared" ca="1" si="25"/>
        <v>1.958503243402689</v>
      </c>
      <c r="AZ67" s="189"/>
      <c r="BC67" s="525"/>
      <c r="BD67" s="525"/>
      <c r="BE67" s="525"/>
      <c r="BF67" s="525"/>
      <c r="BG67" s="525"/>
      <c r="BH67" s="525"/>
      <c r="BI67" s="525"/>
    </row>
    <row r="68" spans="1:61" x14ac:dyDescent="0.3">
      <c r="A68" s="556">
        <v>1</v>
      </c>
      <c r="B68" s="519" t="str">
        <f t="shared" si="20"/>
        <v>EDN</v>
      </c>
      <c r="C68" s="519" t="str">
        <f>AMDs!C49</f>
        <v>The Power Company</v>
      </c>
      <c r="D68" s="519" t="str">
        <f>AMDs!D49</f>
        <v>EDN0331</v>
      </c>
      <c r="E68" s="519">
        <f>IF(AMDs!C49="other",0,AMDs!E49)</f>
        <v>28.740600000000001</v>
      </c>
      <c r="H68" s="519">
        <f ca="1">_xlfn.IFNA(IF(VLOOKUP($B68&amp;OFFSET(H$10,$A68*2,0),'Mapping A'!$B$6:$E$1011,4,0)=1,$E68,""),0)</f>
        <v>0</v>
      </c>
      <c r="I68" s="519">
        <f ca="1">_xlfn.IFNA(IF(VLOOKUP($B68&amp;OFFSET(I$10,$A68*2,0),'Mapping A'!$B$6:$E$1011,4,0)=1,$E68,""),0)</f>
        <v>28.740600000000001</v>
      </c>
      <c r="J68" s="519">
        <f ca="1">_xlfn.IFNA(IF(VLOOKUP($B68&amp;OFFSET(J$10,$A68*2,0),'Mapping A'!$B$6:$E$1011,4,0)=1,$E68,""),0)</f>
        <v>0</v>
      </c>
      <c r="K68" s="519">
        <f ca="1">_xlfn.IFNA(IF(VLOOKUP($B68&amp;OFFSET(K$10,$A68*2,0),'Mapping A'!$B$6:$E$1011,4,0)=1,$E68,""),0)</f>
        <v>0</v>
      </c>
      <c r="L68" s="519">
        <f ca="1">_xlfn.IFNA(IF(VLOOKUP($B68&amp;OFFSET(L$10,$A68*2,0),'Mapping A'!$B$6:$E$1011,4,0)=1,$E68,""),0)</f>
        <v>0</v>
      </c>
      <c r="M68" s="519">
        <f ca="1">_xlfn.IFNA(IF(VLOOKUP($B68&amp;OFFSET(M$10,$A68*2,0),'Mapping A'!$B$6:$E$1011,4,0)=1,$E68,""),0)</f>
        <v>0</v>
      </c>
      <c r="N68" s="519">
        <f ca="1">_xlfn.IFNA(IF(VLOOKUP($B68&amp;OFFSET(N$10,$A68*2,0),'Mapping A'!$B$6:$E$1011,4,0)=1,$E68,""),0)</f>
        <v>0</v>
      </c>
      <c r="O68" s="519">
        <f ca="1">_xlfn.IFNA(IF(VLOOKUP($B68&amp;OFFSET(O$10,$A68*2,0),'Mapping A'!$B$6:$E$1011,4,0)=1,$E68,""),0)</f>
        <v>0</v>
      </c>
      <c r="P68" s="519">
        <f ca="1">_xlfn.IFNA(IF(VLOOKUP($B68&amp;OFFSET(P$10,$A68*2,0),'Mapping A'!$B$6:$E$1011,4,0)=1,$E68,""),0)</f>
        <v>0</v>
      </c>
      <c r="Q68" s="519">
        <f ca="1">_xlfn.IFNA(IF(VLOOKUP($B68&amp;OFFSET(Q$10,$A68*2,0),'Mapping A'!$B$6:$E$1011,4,0)=1,$E68,""),0)</f>
        <v>0</v>
      </c>
      <c r="R68" s="519">
        <f ca="1">_xlfn.IFNA(IF(VLOOKUP($B68&amp;OFFSET(R$10,$A68*2,0),'Mapping A'!$B$6:$E$1011,4,0)=1,$E68,""),0)</f>
        <v>28.740600000000001</v>
      </c>
      <c r="S68" s="519">
        <f ca="1">_xlfn.IFNA(IF(VLOOKUP($B68&amp;OFFSET(S$10,$A68*2,0),'Mapping A'!$B$6:$E$1011,4,0)=1,$E68,""),0)</f>
        <v>0</v>
      </c>
      <c r="T68" s="519">
        <f ca="1">_xlfn.IFNA(IF(VLOOKUP($B68&amp;OFFSET(T$10,$A68*2,0),'Mapping A'!$B$6:$E$1011,4,0)=1,$E68,""),0)</f>
        <v>0</v>
      </c>
      <c r="Y68" s="534" t="str">
        <f t="shared" si="21"/>
        <v>The Power CompanyEDN0331</v>
      </c>
      <c r="Z68" s="519" t="str">
        <f t="shared" si="4"/>
        <v>The Power Company</v>
      </c>
      <c r="AA68" s="519" t="str">
        <f t="shared" si="5"/>
        <v>EDN0331</v>
      </c>
      <c r="AB68" s="519">
        <f t="shared" si="22"/>
        <v>28.740600000000001</v>
      </c>
      <c r="AC68" s="324"/>
      <c r="AE68" s="519">
        <f t="shared" ca="1" si="6"/>
        <v>0</v>
      </c>
      <c r="AF68" s="519">
        <f t="shared" ca="1" si="7"/>
        <v>0</v>
      </c>
      <c r="AG68" s="519">
        <f t="shared" ca="1" si="8"/>
        <v>0</v>
      </c>
      <c r="AH68" s="519">
        <f t="shared" ca="1" si="9"/>
        <v>0</v>
      </c>
      <c r="AI68" s="519">
        <f t="shared" ca="1" si="23"/>
        <v>0</v>
      </c>
      <c r="AJ68" s="519">
        <f t="shared" ca="1" si="10"/>
        <v>0</v>
      </c>
      <c r="AK68" s="519">
        <f t="shared" ca="1" si="11"/>
        <v>0</v>
      </c>
      <c r="AL68" s="519">
        <f t="shared" ca="1" si="12"/>
        <v>0</v>
      </c>
      <c r="AM68" s="519">
        <f t="shared" ca="1" si="13"/>
        <v>0</v>
      </c>
      <c r="AN68" s="519">
        <f t="shared" ca="1" si="14"/>
        <v>0</v>
      </c>
      <c r="AO68" s="519">
        <f t="shared" ca="1" si="15"/>
        <v>6.9811992326531014E-2</v>
      </c>
      <c r="AP68" s="519">
        <f t="shared" ca="1" si="16"/>
        <v>0</v>
      </c>
      <c r="AQ68" s="519">
        <f t="shared" ca="1" si="17"/>
        <v>0</v>
      </c>
      <c r="AS68" s="536"/>
      <c r="AT68" s="536"/>
      <c r="AU68" s="519" t="str">
        <f t="shared" si="24"/>
        <v>The Power Company</v>
      </c>
      <c r="AV68" s="519" t="str">
        <f t="shared" si="18"/>
        <v>EDN0331</v>
      </c>
      <c r="AW68" s="519">
        <f t="shared" si="19"/>
        <v>28.740600000000001</v>
      </c>
      <c r="AX68" s="538"/>
      <c r="AY68" s="539">
        <f t="shared" ca="1" si="25"/>
        <v>0.87184736498858983</v>
      </c>
      <c r="AZ68" s="189"/>
      <c r="BC68" s="525"/>
      <c r="BD68" s="525"/>
      <c r="BE68" s="525"/>
      <c r="BF68" s="525"/>
      <c r="BG68" s="525"/>
      <c r="BH68" s="525"/>
      <c r="BI68" s="525"/>
    </row>
    <row r="69" spans="1:61" x14ac:dyDescent="0.3">
      <c r="A69" s="556">
        <v>1</v>
      </c>
      <c r="B69" s="519" t="str">
        <f t="shared" si="20"/>
        <v>FHL</v>
      </c>
      <c r="C69" s="519" t="str">
        <f>AMDs!C50</f>
        <v>Unison</v>
      </c>
      <c r="D69" s="519" t="str">
        <f>AMDs!D50</f>
        <v>FHL0331</v>
      </c>
      <c r="E69" s="519">
        <f>IF(AMDs!C50="other",0,AMDs!E50)</f>
        <v>52.592399999999998</v>
      </c>
      <c r="H69" s="519">
        <f ca="1">_xlfn.IFNA(IF(VLOOKUP($B69&amp;OFFSET(H$10,$A69*2,0),'Mapping A'!$B$6:$E$1011,4,0)=1,$E69,""),0)</f>
        <v>0</v>
      </c>
      <c r="I69" s="519">
        <f ca="1">_xlfn.IFNA(IF(VLOOKUP($B69&amp;OFFSET(I$10,$A69*2,0),'Mapping A'!$B$6:$E$1011,4,0)=1,$E69,""),0)</f>
        <v>52.592399999999998</v>
      </c>
      <c r="J69" s="519">
        <f ca="1">_xlfn.IFNA(IF(VLOOKUP($B69&amp;OFFSET(J$10,$A69*2,0),'Mapping A'!$B$6:$E$1011,4,0)=1,$E69,""),0)</f>
        <v>52.592399999999998</v>
      </c>
      <c r="K69" s="519">
        <f ca="1">_xlfn.IFNA(IF(VLOOKUP($B69&amp;OFFSET(K$10,$A69*2,0),'Mapping A'!$B$6:$E$1011,4,0)=1,$E69,""),0)</f>
        <v>0</v>
      </c>
      <c r="L69" s="519">
        <f ca="1">_xlfn.IFNA(IF(VLOOKUP($B69&amp;OFFSET(L$10,$A69*2,0),'Mapping A'!$B$6:$E$1011,4,0)=1,$E69,""),0)</f>
        <v>0</v>
      </c>
      <c r="M69" s="519">
        <f ca="1">_xlfn.IFNA(IF(VLOOKUP($B69&amp;OFFSET(M$10,$A69*2,0),'Mapping A'!$B$6:$E$1011,4,0)=1,$E69,""),0)</f>
        <v>52.592399999999998</v>
      </c>
      <c r="N69" s="519">
        <f ca="1">_xlfn.IFNA(IF(VLOOKUP($B69&amp;OFFSET(N$10,$A69*2,0),'Mapping A'!$B$6:$E$1011,4,0)=1,$E69,""),0)</f>
        <v>0</v>
      </c>
      <c r="O69" s="519">
        <f ca="1">_xlfn.IFNA(IF(VLOOKUP($B69&amp;OFFSET(O$10,$A69*2,0),'Mapping A'!$B$6:$E$1011,4,0)=1,$E69,""),0)</f>
        <v>0</v>
      </c>
      <c r="P69" s="519">
        <f ca="1">_xlfn.IFNA(IF(VLOOKUP($B69&amp;OFFSET(P$10,$A69*2,0),'Mapping A'!$B$6:$E$1011,4,0)=1,$E69,""),0)</f>
        <v>0</v>
      </c>
      <c r="Q69" s="519">
        <f ca="1">_xlfn.IFNA(IF(VLOOKUP($B69&amp;OFFSET(Q$10,$A69*2,0),'Mapping A'!$B$6:$E$1011,4,0)=1,$E69,""),0)</f>
        <v>0</v>
      </c>
      <c r="R69" s="519">
        <f ca="1">_xlfn.IFNA(IF(VLOOKUP($B69&amp;OFFSET(R$10,$A69*2,0),'Mapping A'!$B$6:$E$1011,4,0)=1,$E69,""),0)</f>
        <v>0</v>
      </c>
      <c r="S69" s="519">
        <f ca="1">_xlfn.IFNA(IF(VLOOKUP($B69&amp;OFFSET(S$10,$A69*2,0),'Mapping A'!$B$6:$E$1011,4,0)=1,$E69,""),0)</f>
        <v>0</v>
      </c>
      <c r="T69" s="519">
        <f ca="1">_xlfn.IFNA(IF(VLOOKUP($B69&amp;OFFSET(T$10,$A69*2,0),'Mapping A'!$B$6:$E$1011,4,0)=1,$E69,""),0)</f>
        <v>0</v>
      </c>
      <c r="Y69" s="534" t="str">
        <f t="shared" si="21"/>
        <v>UnisonFHL0331</v>
      </c>
      <c r="Z69" s="519" t="str">
        <f t="shared" si="4"/>
        <v>Unison</v>
      </c>
      <c r="AA69" s="519" t="str">
        <f t="shared" si="5"/>
        <v>FHL0331</v>
      </c>
      <c r="AB69" s="519">
        <f t="shared" si="22"/>
        <v>52.592399999999998</v>
      </c>
      <c r="AC69" s="324"/>
      <c r="AE69" s="519">
        <f t="shared" ca="1" si="6"/>
        <v>0</v>
      </c>
      <c r="AF69" s="519">
        <f t="shared" ca="1" si="7"/>
        <v>0</v>
      </c>
      <c r="AG69" s="519">
        <f t="shared" ca="1" si="8"/>
        <v>0</v>
      </c>
      <c r="AH69" s="519">
        <f t="shared" ca="1" si="9"/>
        <v>0</v>
      </c>
      <c r="AI69" s="519">
        <f t="shared" ca="1" si="23"/>
        <v>0</v>
      </c>
      <c r="AJ69" s="519">
        <f t="shared" ca="1" si="10"/>
        <v>0</v>
      </c>
      <c r="AK69" s="519">
        <f t="shared" ca="1" si="11"/>
        <v>0</v>
      </c>
      <c r="AL69" s="519">
        <f t="shared" ca="1" si="12"/>
        <v>0</v>
      </c>
      <c r="AM69" s="519">
        <f t="shared" ca="1" si="13"/>
        <v>0</v>
      </c>
      <c r="AN69" s="519">
        <f t="shared" ca="1" si="14"/>
        <v>0</v>
      </c>
      <c r="AO69" s="519">
        <f t="shared" ca="1" si="15"/>
        <v>0</v>
      </c>
      <c r="AP69" s="519">
        <f t="shared" ca="1" si="16"/>
        <v>0</v>
      </c>
      <c r="AQ69" s="519">
        <f t="shared" ca="1" si="17"/>
        <v>0</v>
      </c>
      <c r="AS69" s="536"/>
      <c r="AT69" s="536"/>
      <c r="AU69" s="519" t="str">
        <f t="shared" si="24"/>
        <v>Unison</v>
      </c>
      <c r="AV69" s="519" t="str">
        <f t="shared" si="18"/>
        <v>FHL0331</v>
      </c>
      <c r="AW69" s="519">
        <f t="shared" si="19"/>
        <v>52.592399999999998</v>
      </c>
      <c r="AX69" s="538"/>
      <c r="AY69" s="539">
        <f t="shared" ca="1" si="25"/>
        <v>1.5953927669716674</v>
      </c>
      <c r="AZ69" s="189"/>
      <c r="BC69" s="525"/>
      <c r="BD69" s="525"/>
      <c r="BE69" s="525"/>
      <c r="BF69" s="525"/>
      <c r="BG69" s="525"/>
      <c r="BH69" s="525"/>
      <c r="BI69" s="525"/>
    </row>
    <row r="70" spans="1:61" x14ac:dyDescent="0.3">
      <c r="A70" s="556">
        <v>1</v>
      </c>
      <c r="B70" s="519" t="str">
        <f t="shared" si="20"/>
        <v>FKN</v>
      </c>
      <c r="C70" s="519" t="str">
        <f>AMDs!C51</f>
        <v>Aurora Energy</v>
      </c>
      <c r="D70" s="519" t="str">
        <f>AMDs!D51</f>
        <v>FKN0331</v>
      </c>
      <c r="E70" s="519">
        <f>IF(AMDs!C51="other",0,AMDs!E51)</f>
        <v>56.477399999999903</v>
      </c>
      <c r="H70" s="519">
        <f ca="1">_xlfn.IFNA(IF(VLOOKUP($B70&amp;OFFSET(H$10,$A70*2,0),'Mapping A'!$B$6:$E$1011,4,0)=1,$E70,""),0)</f>
        <v>0</v>
      </c>
      <c r="I70" s="519">
        <f ca="1">_xlfn.IFNA(IF(VLOOKUP($B70&amp;OFFSET(I$10,$A70*2,0),'Mapping A'!$B$6:$E$1011,4,0)=1,$E70,""),0)</f>
        <v>56.477399999999903</v>
      </c>
      <c r="J70" s="519">
        <f ca="1">_xlfn.IFNA(IF(VLOOKUP($B70&amp;OFFSET(J$10,$A70*2,0),'Mapping A'!$B$6:$E$1011,4,0)=1,$E70,""),0)</f>
        <v>0</v>
      </c>
      <c r="K70" s="519">
        <f ca="1">_xlfn.IFNA(IF(VLOOKUP($B70&amp;OFFSET(K$10,$A70*2,0),'Mapping A'!$B$6:$E$1011,4,0)=1,$E70,""),0)</f>
        <v>0</v>
      </c>
      <c r="L70" s="519">
        <f ca="1">_xlfn.IFNA(IF(VLOOKUP($B70&amp;OFFSET(L$10,$A70*2,0),'Mapping A'!$B$6:$E$1011,4,0)=1,$E70,""),0)</f>
        <v>0</v>
      </c>
      <c r="M70" s="519">
        <f ca="1">_xlfn.IFNA(IF(VLOOKUP($B70&amp;OFFSET(M$10,$A70*2,0),'Mapping A'!$B$6:$E$1011,4,0)=1,$E70,""),0)</f>
        <v>0</v>
      </c>
      <c r="N70" s="519">
        <f ca="1">_xlfn.IFNA(IF(VLOOKUP($B70&amp;OFFSET(N$10,$A70*2,0),'Mapping A'!$B$6:$E$1011,4,0)=1,$E70,""),0)</f>
        <v>0</v>
      </c>
      <c r="O70" s="519">
        <f ca="1">_xlfn.IFNA(IF(VLOOKUP($B70&amp;OFFSET(O$10,$A70*2,0),'Mapping A'!$B$6:$E$1011,4,0)=1,$E70,""),0)</f>
        <v>0</v>
      </c>
      <c r="P70" s="519">
        <f ca="1">_xlfn.IFNA(IF(VLOOKUP($B70&amp;OFFSET(P$10,$A70*2,0),'Mapping A'!$B$6:$E$1011,4,0)=1,$E70,""),0)</f>
        <v>0</v>
      </c>
      <c r="Q70" s="519">
        <f ca="1">_xlfn.IFNA(IF(VLOOKUP($B70&amp;OFFSET(Q$10,$A70*2,0),'Mapping A'!$B$6:$E$1011,4,0)=1,$E70,""),0)</f>
        <v>0</v>
      </c>
      <c r="R70" s="519">
        <f ca="1">_xlfn.IFNA(IF(VLOOKUP($B70&amp;OFFSET(R$10,$A70*2,0),'Mapping A'!$B$6:$E$1011,4,0)=1,$E70,""),0)</f>
        <v>0</v>
      </c>
      <c r="S70" s="519">
        <f ca="1">_xlfn.IFNA(IF(VLOOKUP($B70&amp;OFFSET(S$10,$A70*2,0),'Mapping A'!$B$6:$E$1011,4,0)=1,$E70,""),0)</f>
        <v>0</v>
      </c>
      <c r="T70" s="519">
        <f ca="1">_xlfn.IFNA(IF(VLOOKUP($B70&amp;OFFSET(T$10,$A70*2,0),'Mapping A'!$B$6:$E$1011,4,0)=1,$E70,""),0)</f>
        <v>0</v>
      </c>
      <c r="Y70" s="534" t="str">
        <f t="shared" si="21"/>
        <v>Aurora EnergyFKN0331</v>
      </c>
      <c r="Z70" s="519" t="str">
        <f t="shared" si="4"/>
        <v>Aurora Energy</v>
      </c>
      <c r="AA70" s="519" t="str">
        <f t="shared" si="5"/>
        <v>FKN0331</v>
      </c>
      <c r="AB70" s="519">
        <f t="shared" si="22"/>
        <v>56.477399999999903</v>
      </c>
      <c r="AC70" s="324"/>
      <c r="AE70" s="519">
        <f t="shared" ca="1" si="6"/>
        <v>0</v>
      </c>
      <c r="AF70" s="519">
        <f t="shared" ca="1" si="7"/>
        <v>0</v>
      </c>
      <c r="AG70" s="519">
        <f t="shared" ca="1" si="8"/>
        <v>0</v>
      </c>
      <c r="AH70" s="519">
        <f t="shared" ca="1" si="9"/>
        <v>0</v>
      </c>
      <c r="AI70" s="519">
        <f t="shared" ca="1" si="23"/>
        <v>0</v>
      </c>
      <c r="AJ70" s="519">
        <f t="shared" ca="1" si="10"/>
        <v>0</v>
      </c>
      <c r="AK70" s="519">
        <f t="shared" ca="1" si="11"/>
        <v>0</v>
      </c>
      <c r="AL70" s="519">
        <f t="shared" ca="1" si="12"/>
        <v>0</v>
      </c>
      <c r="AM70" s="519">
        <f t="shared" ca="1" si="13"/>
        <v>0</v>
      </c>
      <c r="AN70" s="519">
        <f t="shared" ca="1" si="14"/>
        <v>0</v>
      </c>
      <c r="AO70" s="519">
        <f t="shared" ca="1" si="15"/>
        <v>0</v>
      </c>
      <c r="AP70" s="519">
        <f t="shared" ca="1" si="16"/>
        <v>0</v>
      </c>
      <c r="AQ70" s="519">
        <f t="shared" ca="1" si="17"/>
        <v>0</v>
      </c>
      <c r="AS70" s="536"/>
      <c r="AT70" s="536"/>
      <c r="AU70" s="519" t="str">
        <f t="shared" si="24"/>
        <v>Aurora Energy</v>
      </c>
      <c r="AV70" s="519" t="str">
        <f t="shared" si="18"/>
        <v>FKN0331</v>
      </c>
      <c r="AW70" s="519">
        <f t="shared" si="19"/>
        <v>56.477399999999903</v>
      </c>
      <c r="AX70" s="538"/>
      <c r="AY70" s="539">
        <f t="shared" ca="1" si="25"/>
        <v>1.7132444128308559</v>
      </c>
      <c r="AZ70" s="189"/>
      <c r="BC70" s="525"/>
      <c r="BD70" s="525"/>
      <c r="BE70" s="525"/>
      <c r="BF70" s="525"/>
      <c r="BG70" s="525"/>
      <c r="BH70" s="525"/>
      <c r="BI70" s="525"/>
    </row>
    <row r="71" spans="1:61" x14ac:dyDescent="0.3">
      <c r="A71" s="556">
        <v>1</v>
      </c>
      <c r="B71" s="519" t="str">
        <f t="shared" si="20"/>
        <v>FKN</v>
      </c>
      <c r="C71" s="519" t="str">
        <f>AMDs!C52</f>
        <v>Lakeland Network</v>
      </c>
      <c r="D71" s="519" t="str">
        <f>AMDs!D52</f>
        <v>FKN0331</v>
      </c>
      <c r="E71" s="519">
        <f>IF(AMDs!C52="other",0,AMDs!E52)</f>
        <v>2.7846000000000002</v>
      </c>
      <c r="H71" s="519">
        <f ca="1">_xlfn.IFNA(IF(VLOOKUP($B71&amp;OFFSET(H$10,$A71*2,0),'Mapping A'!$B$6:$E$1011,4,0)=1,$E71,""),0)</f>
        <v>0</v>
      </c>
      <c r="I71" s="519">
        <f ca="1">_xlfn.IFNA(IF(VLOOKUP($B71&amp;OFFSET(I$10,$A71*2,0),'Mapping A'!$B$6:$E$1011,4,0)=1,$E71,""),0)</f>
        <v>2.7846000000000002</v>
      </c>
      <c r="J71" s="519">
        <f ca="1">_xlfn.IFNA(IF(VLOOKUP($B71&amp;OFFSET(J$10,$A71*2,0),'Mapping A'!$B$6:$E$1011,4,0)=1,$E71,""),0)</f>
        <v>0</v>
      </c>
      <c r="K71" s="519">
        <f ca="1">_xlfn.IFNA(IF(VLOOKUP($B71&amp;OFFSET(K$10,$A71*2,0),'Mapping A'!$B$6:$E$1011,4,0)=1,$E71,""),0)</f>
        <v>0</v>
      </c>
      <c r="L71" s="519">
        <f ca="1">_xlfn.IFNA(IF(VLOOKUP($B71&amp;OFFSET(L$10,$A71*2,0),'Mapping A'!$B$6:$E$1011,4,0)=1,$E71,""),0)</f>
        <v>0</v>
      </c>
      <c r="M71" s="519">
        <f ca="1">_xlfn.IFNA(IF(VLOOKUP($B71&amp;OFFSET(M$10,$A71*2,0),'Mapping A'!$B$6:$E$1011,4,0)=1,$E71,""),0)</f>
        <v>0</v>
      </c>
      <c r="N71" s="519">
        <f ca="1">_xlfn.IFNA(IF(VLOOKUP($B71&amp;OFFSET(N$10,$A71*2,0),'Mapping A'!$B$6:$E$1011,4,0)=1,$E71,""),0)</f>
        <v>0</v>
      </c>
      <c r="O71" s="519">
        <f ca="1">_xlfn.IFNA(IF(VLOOKUP($B71&amp;OFFSET(O$10,$A71*2,0),'Mapping A'!$B$6:$E$1011,4,0)=1,$E71,""),0)</f>
        <v>0</v>
      </c>
      <c r="P71" s="519">
        <f ca="1">_xlfn.IFNA(IF(VLOOKUP($B71&amp;OFFSET(P$10,$A71*2,0),'Mapping A'!$B$6:$E$1011,4,0)=1,$E71,""),0)</f>
        <v>0</v>
      </c>
      <c r="Q71" s="519">
        <f ca="1">_xlfn.IFNA(IF(VLOOKUP($B71&amp;OFFSET(Q$10,$A71*2,0),'Mapping A'!$B$6:$E$1011,4,0)=1,$E71,""),0)</f>
        <v>0</v>
      </c>
      <c r="R71" s="519">
        <f ca="1">_xlfn.IFNA(IF(VLOOKUP($B71&amp;OFFSET(R$10,$A71*2,0),'Mapping A'!$B$6:$E$1011,4,0)=1,$E71,""),0)</f>
        <v>0</v>
      </c>
      <c r="S71" s="519">
        <f ca="1">_xlfn.IFNA(IF(VLOOKUP($B71&amp;OFFSET(S$10,$A71*2,0),'Mapping A'!$B$6:$E$1011,4,0)=1,$E71,""),0)</f>
        <v>0</v>
      </c>
      <c r="T71" s="519">
        <f ca="1">_xlfn.IFNA(IF(VLOOKUP($B71&amp;OFFSET(T$10,$A71*2,0),'Mapping A'!$B$6:$E$1011,4,0)=1,$E71,""),0)</f>
        <v>0</v>
      </c>
      <c r="Y71" s="534" t="str">
        <f t="shared" si="21"/>
        <v>Lakeland NetworkFKN0331</v>
      </c>
      <c r="Z71" s="519" t="str">
        <f t="shared" si="4"/>
        <v>Lakeland Network</v>
      </c>
      <c r="AA71" s="519" t="str">
        <f t="shared" si="5"/>
        <v>FKN0331</v>
      </c>
      <c r="AB71" s="519">
        <f t="shared" si="22"/>
        <v>2.7846000000000002</v>
      </c>
      <c r="AC71" s="324"/>
      <c r="AE71" s="519">
        <f t="shared" ca="1" si="6"/>
        <v>0</v>
      </c>
      <c r="AF71" s="519">
        <f t="shared" ca="1" si="7"/>
        <v>0</v>
      </c>
      <c r="AG71" s="519">
        <f t="shared" ca="1" si="8"/>
        <v>0</v>
      </c>
      <c r="AH71" s="519">
        <f t="shared" ca="1" si="9"/>
        <v>0</v>
      </c>
      <c r="AI71" s="519">
        <f t="shared" ca="1" si="23"/>
        <v>0</v>
      </c>
      <c r="AJ71" s="519">
        <f t="shared" ca="1" si="10"/>
        <v>0</v>
      </c>
      <c r="AK71" s="519">
        <f t="shared" ca="1" si="11"/>
        <v>0</v>
      </c>
      <c r="AL71" s="519">
        <f t="shared" ca="1" si="12"/>
        <v>0</v>
      </c>
      <c r="AM71" s="519">
        <f t="shared" ca="1" si="13"/>
        <v>0</v>
      </c>
      <c r="AN71" s="519">
        <f t="shared" ca="1" si="14"/>
        <v>0</v>
      </c>
      <c r="AO71" s="519">
        <f t="shared" ca="1" si="15"/>
        <v>0</v>
      </c>
      <c r="AP71" s="519">
        <f t="shared" ca="1" si="16"/>
        <v>0</v>
      </c>
      <c r="AQ71" s="519">
        <f t="shared" ca="1" si="17"/>
        <v>0</v>
      </c>
      <c r="AS71" s="536"/>
      <c r="AT71" s="536"/>
      <c r="AU71" s="519" t="str">
        <f t="shared" si="24"/>
        <v>Lakeland Network</v>
      </c>
      <c r="AV71" s="519" t="str">
        <f t="shared" si="18"/>
        <v>FKN0331</v>
      </c>
      <c r="AW71" s="519">
        <f t="shared" si="19"/>
        <v>2.7846000000000002</v>
      </c>
      <c r="AX71" s="538"/>
      <c r="AY71" s="539">
        <f t="shared" ca="1" si="25"/>
        <v>8.447096346447977E-2</v>
      </c>
      <c r="AZ71" s="189"/>
      <c r="BC71" s="525"/>
      <c r="BD71" s="525"/>
      <c r="BE71" s="525"/>
      <c r="BF71" s="525"/>
      <c r="BG71" s="525"/>
      <c r="BH71" s="525"/>
      <c r="BI71" s="525"/>
    </row>
    <row r="72" spans="1:61" x14ac:dyDescent="0.3">
      <c r="A72" s="556">
        <v>1</v>
      </c>
      <c r="B72" s="519" t="str">
        <f t="shared" si="20"/>
        <v>GFD</v>
      </c>
      <c r="C72" s="519" t="str">
        <f>AMDs!C53</f>
        <v>Wellington Electricity</v>
      </c>
      <c r="D72" s="519" t="str">
        <f>AMDs!D53</f>
        <v>GFD0331</v>
      </c>
      <c r="E72" s="519">
        <f>IF(AMDs!C53="other",0,AMDs!E53)</f>
        <v>62.397300000000001</v>
      </c>
      <c r="H72" s="519">
        <f ca="1">_xlfn.IFNA(IF(VLOOKUP($B72&amp;OFFSET(H$10,$A72*2,0),'Mapping A'!$B$6:$E$1011,4,0)=1,$E72,""),0)</f>
        <v>0</v>
      </c>
      <c r="I72" s="519">
        <f ca="1">_xlfn.IFNA(IF(VLOOKUP($B72&amp;OFFSET(I$10,$A72*2,0),'Mapping A'!$B$6:$E$1011,4,0)=1,$E72,""),0)</f>
        <v>62.397300000000001</v>
      </c>
      <c r="J72" s="519">
        <f ca="1">_xlfn.IFNA(IF(VLOOKUP($B72&amp;OFFSET(J$10,$A72*2,0),'Mapping A'!$B$6:$E$1011,4,0)=1,$E72,""),0)</f>
        <v>62.397300000000001</v>
      </c>
      <c r="K72" s="519">
        <f ca="1">_xlfn.IFNA(IF(VLOOKUP($B72&amp;OFFSET(K$10,$A72*2,0),'Mapping A'!$B$6:$E$1011,4,0)=1,$E72,""),0)</f>
        <v>0</v>
      </c>
      <c r="L72" s="519">
        <f ca="1">_xlfn.IFNA(IF(VLOOKUP($B72&amp;OFFSET(L$10,$A72*2,0),'Mapping A'!$B$6:$E$1011,4,0)=1,$E72,""),0)</f>
        <v>0</v>
      </c>
      <c r="M72" s="519">
        <f ca="1">_xlfn.IFNA(IF(VLOOKUP($B72&amp;OFFSET(M$10,$A72*2,0),'Mapping A'!$B$6:$E$1011,4,0)=1,$E72,""),0)</f>
        <v>0</v>
      </c>
      <c r="N72" s="519">
        <f ca="1">_xlfn.IFNA(IF(VLOOKUP($B72&amp;OFFSET(N$10,$A72*2,0),'Mapping A'!$B$6:$E$1011,4,0)=1,$E72,""),0)</f>
        <v>0</v>
      </c>
      <c r="O72" s="519">
        <f ca="1">_xlfn.IFNA(IF(VLOOKUP($B72&amp;OFFSET(O$10,$A72*2,0),'Mapping A'!$B$6:$E$1011,4,0)=1,$E72,""),0)</f>
        <v>0</v>
      </c>
      <c r="P72" s="519">
        <f ca="1">_xlfn.IFNA(IF(VLOOKUP($B72&amp;OFFSET(P$10,$A72*2,0),'Mapping A'!$B$6:$E$1011,4,0)=1,$E72,""),0)</f>
        <v>0</v>
      </c>
      <c r="Q72" s="519">
        <f ca="1">_xlfn.IFNA(IF(VLOOKUP($B72&amp;OFFSET(Q$10,$A72*2,0),'Mapping A'!$B$6:$E$1011,4,0)=1,$E72,""),0)</f>
        <v>0</v>
      </c>
      <c r="R72" s="519">
        <f ca="1">_xlfn.IFNA(IF(VLOOKUP($B72&amp;OFFSET(R$10,$A72*2,0),'Mapping A'!$B$6:$E$1011,4,0)=1,$E72,""),0)</f>
        <v>0</v>
      </c>
      <c r="S72" s="519">
        <f ca="1">_xlfn.IFNA(IF(VLOOKUP($B72&amp;OFFSET(S$10,$A72*2,0),'Mapping A'!$B$6:$E$1011,4,0)=1,$E72,""),0)</f>
        <v>0</v>
      </c>
      <c r="T72" s="519">
        <f ca="1">_xlfn.IFNA(IF(VLOOKUP($B72&amp;OFFSET(T$10,$A72*2,0),'Mapping A'!$B$6:$E$1011,4,0)=1,$E72,""),0)</f>
        <v>0</v>
      </c>
      <c r="Y72" s="534" t="str">
        <f t="shared" si="21"/>
        <v>Wellington ElectricityGFD0331</v>
      </c>
      <c r="Z72" s="519" t="str">
        <f t="shared" si="4"/>
        <v>Wellington Electricity</v>
      </c>
      <c r="AA72" s="519" t="str">
        <f t="shared" si="5"/>
        <v>GFD0331</v>
      </c>
      <c r="AB72" s="519">
        <f t="shared" si="22"/>
        <v>62.397300000000001</v>
      </c>
      <c r="AC72" s="324"/>
      <c r="AE72" s="519">
        <f t="shared" ca="1" si="6"/>
        <v>0</v>
      </c>
      <c r="AF72" s="519">
        <f t="shared" ca="1" si="7"/>
        <v>0</v>
      </c>
      <c r="AG72" s="519">
        <f t="shared" ca="1" si="8"/>
        <v>0</v>
      </c>
      <c r="AH72" s="519">
        <f t="shared" ca="1" si="9"/>
        <v>0</v>
      </c>
      <c r="AI72" s="519">
        <f t="shared" ca="1" si="23"/>
        <v>0</v>
      </c>
      <c r="AJ72" s="519">
        <f t="shared" ca="1" si="10"/>
        <v>0</v>
      </c>
      <c r="AK72" s="519">
        <f t="shared" ca="1" si="11"/>
        <v>0</v>
      </c>
      <c r="AL72" s="519">
        <f t="shared" ca="1" si="12"/>
        <v>0</v>
      </c>
      <c r="AM72" s="519">
        <f t="shared" ca="1" si="13"/>
        <v>0</v>
      </c>
      <c r="AN72" s="519">
        <f t="shared" ca="1" si="14"/>
        <v>0</v>
      </c>
      <c r="AO72" s="519">
        <f t="shared" ca="1" si="15"/>
        <v>0</v>
      </c>
      <c r="AP72" s="519">
        <f t="shared" ca="1" si="16"/>
        <v>0</v>
      </c>
      <c r="AQ72" s="519">
        <f t="shared" ca="1" si="17"/>
        <v>0</v>
      </c>
      <c r="AS72" s="536"/>
      <c r="AT72" s="536"/>
      <c r="AU72" s="519" t="str">
        <f t="shared" si="24"/>
        <v>Wellington Electricity</v>
      </c>
      <c r="AV72" s="519" t="str">
        <f t="shared" si="18"/>
        <v>GFD0331</v>
      </c>
      <c r="AW72" s="519">
        <f t="shared" si="19"/>
        <v>62.397300000000001</v>
      </c>
      <c r="AX72" s="538"/>
      <c r="AY72" s="539">
        <f t="shared" ca="1" si="25"/>
        <v>1.8928248396833238</v>
      </c>
      <c r="AZ72" s="189"/>
      <c r="BC72" s="525"/>
      <c r="BD72" s="525"/>
      <c r="BE72" s="525"/>
      <c r="BF72" s="525"/>
      <c r="BG72" s="525"/>
      <c r="BH72" s="525"/>
      <c r="BI72" s="525"/>
    </row>
    <row r="73" spans="1:61" x14ac:dyDescent="0.3">
      <c r="A73" s="556">
        <v>1</v>
      </c>
      <c r="B73" s="519" t="str">
        <f t="shared" si="20"/>
        <v>GLN</v>
      </c>
      <c r="C73" s="519" t="str">
        <f>AMDs!C54</f>
        <v>Counties Power</v>
      </c>
      <c r="D73" s="519" t="str">
        <f>AMDs!D54</f>
        <v>GLN</v>
      </c>
      <c r="E73" s="519">
        <f>IF(AMDs!C54="other",0,AMDs!E54)</f>
        <v>38.625300000000003</v>
      </c>
      <c r="H73" s="519">
        <f ca="1">_xlfn.IFNA(IF(VLOOKUP($B73&amp;OFFSET(H$10,$A73*2,0),'Mapping A'!$B$6:$E$1011,4,0)=1,$E73,""),0)</f>
        <v>38.625300000000003</v>
      </c>
      <c r="I73" s="519">
        <f ca="1">_xlfn.IFNA(IF(VLOOKUP($B73&amp;OFFSET(I$10,$A73*2,0),'Mapping A'!$B$6:$E$1011,4,0)=1,$E73,""),0)</f>
        <v>38.625300000000003</v>
      </c>
      <c r="J73" s="519">
        <f ca="1">_xlfn.IFNA(IF(VLOOKUP($B73&amp;OFFSET(J$10,$A73*2,0),'Mapping A'!$B$6:$E$1011,4,0)=1,$E73,""),0)</f>
        <v>38.625300000000003</v>
      </c>
      <c r="K73" s="519">
        <f ca="1">_xlfn.IFNA(IF(VLOOKUP($B73&amp;OFFSET(K$10,$A73*2,0),'Mapping A'!$B$6:$E$1011,4,0)=1,$E73,""),0)</f>
        <v>0</v>
      </c>
      <c r="L73" s="519">
        <f ca="1">_xlfn.IFNA(IF(VLOOKUP($B73&amp;OFFSET(L$10,$A73*2,0),'Mapping A'!$B$6:$E$1011,4,0)=1,$E73,""),0)</f>
        <v>0</v>
      </c>
      <c r="M73" s="519">
        <f ca="1">_xlfn.IFNA(IF(VLOOKUP($B73&amp;OFFSET(M$10,$A73*2,0),'Mapping A'!$B$6:$E$1011,4,0)=1,$E73,""),0)</f>
        <v>38.625300000000003</v>
      </c>
      <c r="N73" s="519">
        <f ca="1">_xlfn.IFNA(IF(VLOOKUP($B73&amp;OFFSET(N$10,$A73*2,0),'Mapping A'!$B$6:$E$1011,4,0)=1,$E73,""),0)</f>
        <v>38.625300000000003</v>
      </c>
      <c r="O73" s="519">
        <f ca="1">_xlfn.IFNA(IF(VLOOKUP($B73&amp;OFFSET(O$10,$A73*2,0),'Mapping A'!$B$6:$E$1011,4,0)=1,$E73,""),0)</f>
        <v>0</v>
      </c>
      <c r="P73" s="519">
        <f ca="1">_xlfn.IFNA(IF(VLOOKUP($B73&amp;OFFSET(P$10,$A73*2,0),'Mapping A'!$B$6:$E$1011,4,0)=1,$E73,""),0)</f>
        <v>0</v>
      </c>
      <c r="Q73" s="519">
        <f ca="1">_xlfn.IFNA(IF(VLOOKUP($B73&amp;OFFSET(Q$10,$A73*2,0),'Mapping A'!$B$6:$E$1011,4,0)=1,$E73,""),0)</f>
        <v>38.625300000000003</v>
      </c>
      <c r="R73" s="519">
        <f ca="1">_xlfn.IFNA(IF(VLOOKUP($B73&amp;OFFSET(R$10,$A73*2,0),'Mapping A'!$B$6:$E$1011,4,0)=1,$E73,""),0)</f>
        <v>0</v>
      </c>
      <c r="S73" s="519">
        <f ca="1">_xlfn.IFNA(IF(VLOOKUP($B73&amp;OFFSET(S$10,$A73*2,0),'Mapping A'!$B$6:$E$1011,4,0)=1,$E73,""),0)</f>
        <v>0</v>
      </c>
      <c r="T73" s="519">
        <f ca="1">_xlfn.IFNA(IF(VLOOKUP($B73&amp;OFFSET(T$10,$A73*2,0),'Mapping A'!$B$6:$E$1011,4,0)=1,$E73,""),0)</f>
        <v>0</v>
      </c>
      <c r="Y73" s="534" t="str">
        <f t="shared" si="21"/>
        <v>Counties PowerGLN</v>
      </c>
      <c r="Z73" s="519" t="str">
        <f t="shared" si="4"/>
        <v>Counties Power</v>
      </c>
      <c r="AA73" s="519" t="str">
        <f t="shared" si="5"/>
        <v>GLN</v>
      </c>
      <c r="AB73" s="519">
        <f t="shared" si="22"/>
        <v>38.625300000000003</v>
      </c>
      <c r="AC73" s="324"/>
      <c r="AE73" s="519">
        <f t="shared" ca="1" si="6"/>
        <v>0</v>
      </c>
      <c r="AF73" s="519">
        <f t="shared" ca="1" si="7"/>
        <v>0</v>
      </c>
      <c r="AG73" s="519">
        <f t="shared" ca="1" si="8"/>
        <v>0</v>
      </c>
      <c r="AH73" s="519">
        <f t="shared" ca="1" si="9"/>
        <v>0</v>
      </c>
      <c r="AI73" s="519">
        <f t="shared" ca="1" si="23"/>
        <v>0</v>
      </c>
      <c r="AJ73" s="519">
        <f t="shared" ca="1" si="10"/>
        <v>0</v>
      </c>
      <c r="AK73" s="519">
        <f t="shared" ca="1" si="11"/>
        <v>0.1547030937265266</v>
      </c>
      <c r="AL73" s="519">
        <f t="shared" ca="1" si="12"/>
        <v>0</v>
      </c>
      <c r="AM73" s="519">
        <f t="shared" ca="1" si="13"/>
        <v>0</v>
      </c>
      <c r="AN73" s="519">
        <f t="shared" ca="1" si="14"/>
        <v>7.1349401411511942E-2</v>
      </c>
      <c r="AO73" s="519">
        <f t="shared" ca="1" si="15"/>
        <v>0</v>
      </c>
      <c r="AP73" s="519">
        <f t="shared" ca="1" si="16"/>
        <v>0</v>
      </c>
      <c r="AQ73" s="519">
        <f t="shared" ca="1" si="17"/>
        <v>0</v>
      </c>
      <c r="AS73" s="536"/>
      <c r="AT73" s="536"/>
      <c r="AU73" s="519" t="str">
        <f t="shared" si="24"/>
        <v>Counties Power</v>
      </c>
      <c r="AV73" s="519" t="str">
        <f t="shared" si="18"/>
        <v>GLN</v>
      </c>
      <c r="AW73" s="519">
        <f t="shared" si="19"/>
        <v>38.625300000000003</v>
      </c>
      <c r="AX73" s="538"/>
      <c r="AY73" s="539">
        <f t="shared" ca="1" si="25"/>
        <v>1.1717001742097861</v>
      </c>
      <c r="AZ73" s="189"/>
      <c r="BC73" s="525"/>
      <c r="BD73" s="525"/>
      <c r="BE73" s="525"/>
      <c r="BF73" s="525"/>
      <c r="BG73" s="525"/>
      <c r="BH73" s="525"/>
      <c r="BI73" s="525"/>
    </row>
    <row r="74" spans="1:61" x14ac:dyDescent="0.3">
      <c r="A74" s="556">
        <v>1</v>
      </c>
      <c r="B74" s="519" t="str">
        <f t="shared" si="20"/>
        <v>GLN</v>
      </c>
      <c r="C74" s="519" t="str">
        <f>AMDs!C55</f>
        <v>NZ Steel</v>
      </c>
      <c r="D74" s="519" t="str">
        <f>AMDs!D55</f>
        <v>GLN</v>
      </c>
      <c r="E74" s="519">
        <f>IF(AMDs!C55="other",0,AMDs!E55)</f>
        <v>136.75409999999999</v>
      </c>
      <c r="H74" s="519">
        <f ca="1">_xlfn.IFNA(IF(VLOOKUP($B74&amp;OFFSET(H$10,$A74*2,0),'Mapping A'!$B$6:$E$1011,4,0)=1,$E74,""),0)</f>
        <v>136.75409999999999</v>
      </c>
      <c r="I74" s="519">
        <f ca="1">_xlfn.IFNA(IF(VLOOKUP($B74&amp;OFFSET(I$10,$A74*2,0),'Mapping A'!$B$6:$E$1011,4,0)=1,$E74,""),0)</f>
        <v>136.75409999999999</v>
      </c>
      <c r="J74" s="519">
        <f ca="1">_xlfn.IFNA(IF(VLOOKUP($B74&amp;OFFSET(J$10,$A74*2,0),'Mapping A'!$B$6:$E$1011,4,0)=1,$E74,""),0)</f>
        <v>136.75409999999999</v>
      </c>
      <c r="K74" s="519">
        <f ca="1">_xlfn.IFNA(IF(VLOOKUP($B74&amp;OFFSET(K$10,$A74*2,0),'Mapping A'!$B$6:$E$1011,4,0)=1,$E74,""),0)</f>
        <v>0</v>
      </c>
      <c r="L74" s="519">
        <f ca="1">_xlfn.IFNA(IF(VLOOKUP($B74&amp;OFFSET(L$10,$A74*2,0),'Mapping A'!$B$6:$E$1011,4,0)=1,$E74,""),0)</f>
        <v>0</v>
      </c>
      <c r="M74" s="519">
        <f ca="1">_xlfn.IFNA(IF(VLOOKUP($B74&amp;OFFSET(M$10,$A74*2,0),'Mapping A'!$B$6:$E$1011,4,0)=1,$E74,""),0)</f>
        <v>136.75409999999999</v>
      </c>
      <c r="N74" s="519">
        <f ca="1">_xlfn.IFNA(IF(VLOOKUP($B74&amp;OFFSET(N$10,$A74*2,0),'Mapping A'!$B$6:$E$1011,4,0)=1,$E74,""),0)</f>
        <v>136.75409999999999</v>
      </c>
      <c r="O74" s="519">
        <f ca="1">_xlfn.IFNA(IF(VLOOKUP($B74&amp;OFFSET(O$10,$A74*2,0),'Mapping A'!$B$6:$E$1011,4,0)=1,$E74,""),0)</f>
        <v>0</v>
      </c>
      <c r="P74" s="519">
        <f ca="1">_xlfn.IFNA(IF(VLOOKUP($B74&amp;OFFSET(P$10,$A74*2,0),'Mapping A'!$B$6:$E$1011,4,0)=1,$E74,""),0)</f>
        <v>0</v>
      </c>
      <c r="Q74" s="519">
        <f ca="1">_xlfn.IFNA(IF(VLOOKUP($B74&amp;OFFSET(Q$10,$A74*2,0),'Mapping A'!$B$6:$E$1011,4,0)=1,$E74,""),0)</f>
        <v>136.75409999999999</v>
      </c>
      <c r="R74" s="519">
        <f ca="1">_xlfn.IFNA(IF(VLOOKUP($B74&amp;OFFSET(R$10,$A74*2,0),'Mapping A'!$B$6:$E$1011,4,0)=1,$E74,""),0)</f>
        <v>0</v>
      </c>
      <c r="S74" s="519">
        <f ca="1">_xlfn.IFNA(IF(VLOOKUP($B74&amp;OFFSET(S$10,$A74*2,0),'Mapping A'!$B$6:$E$1011,4,0)=1,$E74,""),0)</f>
        <v>0</v>
      </c>
      <c r="T74" s="519">
        <f ca="1">_xlfn.IFNA(IF(VLOOKUP($B74&amp;OFFSET(T$10,$A74*2,0),'Mapping A'!$B$6:$E$1011,4,0)=1,$E74,""),0)</f>
        <v>0</v>
      </c>
      <c r="Y74" s="534" t="str">
        <f t="shared" si="21"/>
        <v>NZ SteelGLN</v>
      </c>
      <c r="Z74" s="519" t="str">
        <f t="shared" si="4"/>
        <v>NZ Steel</v>
      </c>
      <c r="AA74" s="519" t="str">
        <f t="shared" si="5"/>
        <v>GLN</v>
      </c>
      <c r="AB74" s="519">
        <f t="shared" si="22"/>
        <v>136.75409999999999</v>
      </c>
      <c r="AC74" s="324"/>
      <c r="AE74" s="519">
        <f t="shared" ca="1" si="6"/>
        <v>0</v>
      </c>
      <c r="AF74" s="519">
        <f t="shared" ca="1" si="7"/>
        <v>0</v>
      </c>
      <c r="AG74" s="519">
        <f t="shared" ca="1" si="8"/>
        <v>0</v>
      </c>
      <c r="AH74" s="519">
        <f t="shared" ca="1" si="9"/>
        <v>0</v>
      </c>
      <c r="AI74" s="519">
        <f t="shared" ca="1" si="23"/>
        <v>0</v>
      </c>
      <c r="AJ74" s="519">
        <f t="shared" ca="1" si="10"/>
        <v>0</v>
      </c>
      <c r="AK74" s="519">
        <f t="shared" ca="1" si="11"/>
        <v>0.54773121114364909</v>
      </c>
      <c r="AL74" s="519">
        <f t="shared" ca="1" si="12"/>
        <v>0</v>
      </c>
      <c r="AM74" s="519">
        <f t="shared" ca="1" si="13"/>
        <v>0</v>
      </c>
      <c r="AN74" s="519">
        <f t="shared" ca="1" si="14"/>
        <v>0.25261481918768386</v>
      </c>
      <c r="AO74" s="519">
        <f t="shared" ca="1" si="15"/>
        <v>0</v>
      </c>
      <c r="AP74" s="519">
        <f t="shared" ca="1" si="16"/>
        <v>0</v>
      </c>
      <c r="AQ74" s="519">
        <f t="shared" ca="1" si="17"/>
        <v>0</v>
      </c>
      <c r="AS74" s="536"/>
      <c r="AT74" s="536"/>
      <c r="AU74" s="519" t="str">
        <f t="shared" si="24"/>
        <v>NZ Steel</v>
      </c>
      <c r="AV74" s="519" t="str">
        <f t="shared" si="18"/>
        <v>GLN</v>
      </c>
      <c r="AW74" s="519">
        <f t="shared" si="19"/>
        <v>136.75409999999999</v>
      </c>
      <c r="AX74" s="538"/>
      <c r="AY74" s="539">
        <f t="shared" ca="1" si="25"/>
        <v>4.1484416378358873</v>
      </c>
      <c r="AZ74" s="189"/>
      <c r="BC74" s="525"/>
      <c r="BD74" s="525"/>
      <c r="BE74" s="525"/>
      <c r="BF74" s="525"/>
      <c r="BG74" s="525"/>
      <c r="BH74" s="525"/>
      <c r="BI74" s="525"/>
    </row>
    <row r="75" spans="1:61" x14ac:dyDescent="0.3">
      <c r="A75" s="556">
        <v>1</v>
      </c>
      <c r="B75" s="519" t="str">
        <f t="shared" si="20"/>
        <v>GOR</v>
      </c>
      <c r="C75" s="519" t="str">
        <f>AMDs!C56</f>
        <v>The Power Company</v>
      </c>
      <c r="D75" s="519" t="str">
        <f>AMDs!D56</f>
        <v>GOR0331</v>
      </c>
      <c r="E75" s="519">
        <f>IF(AMDs!C56="other",0,AMDs!E56)</f>
        <v>29.563800000000001</v>
      </c>
      <c r="H75" s="519">
        <f ca="1">_xlfn.IFNA(IF(VLOOKUP($B75&amp;OFFSET(H$10,$A75*2,0),'Mapping A'!$B$6:$E$1011,4,0)=1,$E75,""),0)</f>
        <v>0</v>
      </c>
      <c r="I75" s="519">
        <f ca="1">_xlfn.IFNA(IF(VLOOKUP($B75&amp;OFFSET(I$10,$A75*2,0),'Mapping A'!$B$6:$E$1011,4,0)=1,$E75,""),0)</f>
        <v>29.563800000000001</v>
      </c>
      <c r="J75" s="519">
        <f ca="1">_xlfn.IFNA(IF(VLOOKUP($B75&amp;OFFSET(J$10,$A75*2,0),'Mapping A'!$B$6:$E$1011,4,0)=1,$E75,""),0)</f>
        <v>0</v>
      </c>
      <c r="K75" s="519">
        <f ca="1">_xlfn.IFNA(IF(VLOOKUP($B75&amp;OFFSET(K$10,$A75*2,0),'Mapping A'!$B$6:$E$1011,4,0)=1,$E75,""),0)</f>
        <v>0</v>
      </c>
      <c r="L75" s="519">
        <f ca="1">_xlfn.IFNA(IF(VLOOKUP($B75&amp;OFFSET(L$10,$A75*2,0),'Mapping A'!$B$6:$E$1011,4,0)=1,$E75,""),0)</f>
        <v>0</v>
      </c>
      <c r="M75" s="519">
        <f ca="1">_xlfn.IFNA(IF(VLOOKUP($B75&amp;OFFSET(M$10,$A75*2,0),'Mapping A'!$B$6:$E$1011,4,0)=1,$E75,""),0)</f>
        <v>0</v>
      </c>
      <c r="N75" s="519">
        <f ca="1">_xlfn.IFNA(IF(VLOOKUP($B75&amp;OFFSET(N$10,$A75*2,0),'Mapping A'!$B$6:$E$1011,4,0)=1,$E75,""),0)</f>
        <v>0</v>
      </c>
      <c r="O75" s="519">
        <f ca="1">_xlfn.IFNA(IF(VLOOKUP($B75&amp;OFFSET(O$10,$A75*2,0),'Mapping A'!$B$6:$E$1011,4,0)=1,$E75,""),0)</f>
        <v>0</v>
      </c>
      <c r="P75" s="519">
        <f ca="1">_xlfn.IFNA(IF(VLOOKUP($B75&amp;OFFSET(P$10,$A75*2,0),'Mapping A'!$B$6:$E$1011,4,0)=1,$E75,""),0)</f>
        <v>0</v>
      </c>
      <c r="Q75" s="519">
        <f ca="1">_xlfn.IFNA(IF(VLOOKUP($B75&amp;OFFSET(Q$10,$A75*2,0),'Mapping A'!$B$6:$E$1011,4,0)=1,$E75,""),0)</f>
        <v>0</v>
      </c>
      <c r="R75" s="519">
        <f ca="1">_xlfn.IFNA(IF(VLOOKUP($B75&amp;OFFSET(R$10,$A75*2,0),'Mapping A'!$B$6:$E$1011,4,0)=1,$E75,""),0)</f>
        <v>29.563800000000001</v>
      </c>
      <c r="S75" s="519">
        <f ca="1">_xlfn.IFNA(IF(VLOOKUP($B75&amp;OFFSET(S$10,$A75*2,0),'Mapping A'!$B$6:$E$1011,4,0)=1,$E75,""),0)</f>
        <v>0</v>
      </c>
      <c r="T75" s="519">
        <f ca="1">_xlfn.IFNA(IF(VLOOKUP($B75&amp;OFFSET(T$10,$A75*2,0),'Mapping A'!$B$6:$E$1011,4,0)=1,$E75,""),0)</f>
        <v>0</v>
      </c>
      <c r="Y75" s="534" t="str">
        <f t="shared" si="21"/>
        <v>The Power CompanyGOR0331</v>
      </c>
      <c r="Z75" s="519" t="str">
        <f t="shared" si="4"/>
        <v>The Power Company</v>
      </c>
      <c r="AA75" s="519" t="str">
        <f t="shared" si="5"/>
        <v>GOR0331</v>
      </c>
      <c r="AB75" s="519">
        <f t="shared" si="22"/>
        <v>29.563800000000001</v>
      </c>
      <c r="AC75" s="324"/>
      <c r="AE75" s="519">
        <f t="shared" ca="1" si="6"/>
        <v>0</v>
      </c>
      <c r="AF75" s="519">
        <f t="shared" ca="1" si="7"/>
        <v>0</v>
      </c>
      <c r="AG75" s="519">
        <f t="shared" ca="1" si="8"/>
        <v>0</v>
      </c>
      <c r="AH75" s="519">
        <f t="shared" ca="1" si="9"/>
        <v>0</v>
      </c>
      <c r="AI75" s="519">
        <f t="shared" ca="1" si="23"/>
        <v>0</v>
      </c>
      <c r="AJ75" s="519">
        <f t="shared" ca="1" si="10"/>
        <v>0</v>
      </c>
      <c r="AK75" s="519">
        <f t="shared" ca="1" si="11"/>
        <v>0</v>
      </c>
      <c r="AL75" s="519">
        <f t="shared" ca="1" si="12"/>
        <v>0</v>
      </c>
      <c r="AM75" s="519">
        <f t="shared" ca="1" si="13"/>
        <v>0</v>
      </c>
      <c r="AN75" s="519">
        <f t="shared" ca="1" si="14"/>
        <v>0</v>
      </c>
      <c r="AO75" s="519">
        <f t="shared" ca="1" si="15"/>
        <v>7.1811575915015607E-2</v>
      </c>
      <c r="AP75" s="519">
        <f t="shared" ca="1" si="16"/>
        <v>0</v>
      </c>
      <c r="AQ75" s="519">
        <f t="shared" ca="1" si="17"/>
        <v>0</v>
      </c>
      <c r="AS75" s="536"/>
      <c r="AT75" s="536"/>
      <c r="AU75" s="519" t="str">
        <f t="shared" si="24"/>
        <v>The Power Company</v>
      </c>
      <c r="AV75" s="519" t="str">
        <f t="shared" si="18"/>
        <v>GOR0331</v>
      </c>
      <c r="AW75" s="519">
        <f t="shared" si="19"/>
        <v>29.563800000000001</v>
      </c>
      <c r="AX75" s="538"/>
      <c r="AY75" s="539">
        <f t="shared" ca="1" si="25"/>
        <v>0.89681917319226712</v>
      </c>
      <c r="AZ75" s="189"/>
      <c r="BC75" s="525"/>
      <c r="BD75" s="525"/>
      <c r="BE75" s="525"/>
      <c r="BF75" s="525"/>
      <c r="BG75" s="525"/>
      <c r="BH75" s="525"/>
      <c r="BI75" s="525"/>
    </row>
    <row r="76" spans="1:61" x14ac:dyDescent="0.3">
      <c r="A76" s="556">
        <v>1</v>
      </c>
      <c r="B76" s="519" t="str">
        <f t="shared" si="20"/>
        <v>GYM</v>
      </c>
      <c r="C76" s="519" t="str">
        <f>AMDs!C57</f>
        <v>Westpower</v>
      </c>
      <c r="D76" s="519" t="str">
        <f>AMDs!D57</f>
        <v>GYM0661</v>
      </c>
      <c r="E76" s="519">
        <f>IF(AMDs!C57="other",0,AMDs!E57)</f>
        <v>13.6395</v>
      </c>
      <c r="H76" s="519">
        <f ca="1">_xlfn.IFNA(IF(VLOOKUP($B76&amp;OFFSET(H$10,$A76*2,0),'Mapping A'!$B$6:$E$1011,4,0)=1,$E76,""),0)</f>
        <v>0</v>
      </c>
      <c r="I76" s="519">
        <f ca="1">_xlfn.IFNA(IF(VLOOKUP($B76&amp;OFFSET(I$10,$A76*2,0),'Mapping A'!$B$6:$E$1011,4,0)=1,$E76,""),0)</f>
        <v>13.6395</v>
      </c>
      <c r="J76" s="519">
        <f ca="1">_xlfn.IFNA(IF(VLOOKUP($B76&amp;OFFSET(J$10,$A76*2,0),'Mapping A'!$B$6:$E$1011,4,0)=1,$E76,""),0)</f>
        <v>0</v>
      </c>
      <c r="K76" s="519">
        <f ca="1">_xlfn.IFNA(IF(VLOOKUP($B76&amp;OFFSET(K$10,$A76*2,0),'Mapping A'!$B$6:$E$1011,4,0)=1,$E76,""),0)</f>
        <v>0</v>
      </c>
      <c r="L76" s="519">
        <f ca="1">_xlfn.IFNA(IF(VLOOKUP($B76&amp;OFFSET(L$10,$A76*2,0),'Mapping A'!$B$6:$E$1011,4,0)=1,$E76,""),0)</f>
        <v>0</v>
      </c>
      <c r="M76" s="519">
        <f ca="1">_xlfn.IFNA(IF(VLOOKUP($B76&amp;OFFSET(M$10,$A76*2,0),'Mapping A'!$B$6:$E$1011,4,0)=1,$E76,""),0)</f>
        <v>0</v>
      </c>
      <c r="N76" s="519">
        <f ca="1">_xlfn.IFNA(IF(VLOOKUP($B76&amp;OFFSET(N$10,$A76*2,0),'Mapping A'!$B$6:$E$1011,4,0)=1,$E76,""),0)</f>
        <v>0</v>
      </c>
      <c r="O76" s="519">
        <f ca="1">_xlfn.IFNA(IF(VLOOKUP($B76&amp;OFFSET(O$10,$A76*2,0),'Mapping A'!$B$6:$E$1011,4,0)=1,$E76,""),0)</f>
        <v>0</v>
      </c>
      <c r="P76" s="519">
        <f ca="1">_xlfn.IFNA(IF(VLOOKUP($B76&amp;OFFSET(P$10,$A76*2,0),'Mapping A'!$B$6:$E$1011,4,0)=1,$E76,""),0)</f>
        <v>13.6395</v>
      </c>
      <c r="Q76" s="519">
        <f ca="1">_xlfn.IFNA(IF(VLOOKUP($B76&amp;OFFSET(Q$10,$A76*2,0),'Mapping A'!$B$6:$E$1011,4,0)=1,$E76,""),0)</f>
        <v>0</v>
      </c>
      <c r="R76" s="519">
        <f ca="1">_xlfn.IFNA(IF(VLOOKUP($B76&amp;OFFSET(R$10,$A76*2,0),'Mapping A'!$B$6:$E$1011,4,0)=1,$E76,""),0)</f>
        <v>0</v>
      </c>
      <c r="S76" s="519">
        <f ca="1">_xlfn.IFNA(IF(VLOOKUP($B76&amp;OFFSET(S$10,$A76*2,0),'Mapping A'!$B$6:$E$1011,4,0)=1,$E76,""),0)</f>
        <v>0</v>
      </c>
      <c r="T76" s="519">
        <f ca="1">_xlfn.IFNA(IF(VLOOKUP($B76&amp;OFFSET(T$10,$A76*2,0),'Mapping A'!$B$6:$E$1011,4,0)=1,$E76,""),0)</f>
        <v>13.6395</v>
      </c>
      <c r="Y76" s="534" t="str">
        <f t="shared" si="21"/>
        <v>WestpowerGYM0661</v>
      </c>
      <c r="Z76" s="519" t="str">
        <f t="shared" si="4"/>
        <v>Westpower</v>
      </c>
      <c r="AA76" s="519" t="str">
        <f t="shared" si="5"/>
        <v>GYM0661</v>
      </c>
      <c r="AB76" s="519">
        <f t="shared" si="22"/>
        <v>13.6395</v>
      </c>
      <c r="AC76" s="324"/>
      <c r="AE76" s="519">
        <f t="shared" ca="1" si="6"/>
        <v>0</v>
      </c>
      <c r="AF76" s="519">
        <f t="shared" ca="1" si="7"/>
        <v>0</v>
      </c>
      <c r="AG76" s="519">
        <f t="shared" ca="1" si="8"/>
        <v>0</v>
      </c>
      <c r="AH76" s="519">
        <f t="shared" ca="1" si="9"/>
        <v>0</v>
      </c>
      <c r="AI76" s="519">
        <f t="shared" ca="1" si="23"/>
        <v>0</v>
      </c>
      <c r="AJ76" s="519">
        <f t="shared" ca="1" si="10"/>
        <v>0</v>
      </c>
      <c r="AK76" s="519">
        <f t="shared" ca="1" si="11"/>
        <v>0</v>
      </c>
      <c r="AL76" s="519">
        <f t="shared" ca="1" si="12"/>
        <v>0</v>
      </c>
      <c r="AM76" s="519">
        <f t="shared" ca="1" si="13"/>
        <v>3.6333857107696529E-2</v>
      </c>
      <c r="AN76" s="519">
        <f t="shared" ca="1" si="14"/>
        <v>0</v>
      </c>
      <c r="AO76" s="519">
        <f t="shared" ca="1" si="15"/>
        <v>0</v>
      </c>
      <c r="AP76" s="519">
        <f t="shared" ca="1" si="16"/>
        <v>0</v>
      </c>
      <c r="AQ76" s="519">
        <f t="shared" ca="1" si="17"/>
        <v>0</v>
      </c>
      <c r="AS76" s="536"/>
      <c r="AT76" s="536"/>
      <c r="AU76" s="519" t="str">
        <f t="shared" si="24"/>
        <v>Westpower</v>
      </c>
      <c r="AV76" s="519" t="str">
        <f t="shared" si="18"/>
        <v>GYM0661</v>
      </c>
      <c r="AW76" s="519">
        <f t="shared" si="19"/>
        <v>13.6395</v>
      </c>
      <c r="AX76" s="538"/>
      <c r="AY76" s="539">
        <f t="shared" ca="1" si="25"/>
        <v>0.41375483235429572</v>
      </c>
      <c r="AZ76" s="189"/>
      <c r="BC76" s="525"/>
      <c r="BD76" s="525"/>
      <c r="BE76" s="525"/>
      <c r="BF76" s="525"/>
      <c r="BG76" s="525"/>
      <c r="BH76" s="525"/>
      <c r="BI76" s="525"/>
    </row>
    <row r="77" spans="1:61" x14ac:dyDescent="0.3">
      <c r="A77" s="556">
        <v>1</v>
      </c>
      <c r="B77" s="519" t="str">
        <f t="shared" si="20"/>
        <v>GYT</v>
      </c>
      <c r="C77" s="519" t="str">
        <f>AMDs!C58</f>
        <v>Powerco</v>
      </c>
      <c r="D77" s="519" t="str">
        <f>AMDs!D58</f>
        <v>GYT0331</v>
      </c>
      <c r="E77" s="519">
        <f>IF(AMDs!C58="other",0,AMDs!E58)</f>
        <v>13.2447</v>
      </c>
      <c r="H77" s="519">
        <f ca="1">_xlfn.IFNA(IF(VLOOKUP($B77&amp;OFFSET(H$10,$A77*2,0),'Mapping A'!$B$6:$E$1011,4,0)=1,$E77,""),0)</f>
        <v>0</v>
      </c>
      <c r="I77" s="519">
        <f ca="1">_xlfn.IFNA(IF(VLOOKUP($B77&amp;OFFSET(I$10,$A77*2,0),'Mapping A'!$B$6:$E$1011,4,0)=1,$E77,""),0)</f>
        <v>13.2447</v>
      </c>
      <c r="J77" s="519">
        <f ca="1">_xlfn.IFNA(IF(VLOOKUP($B77&amp;OFFSET(J$10,$A77*2,0),'Mapping A'!$B$6:$E$1011,4,0)=1,$E77,""),0)</f>
        <v>13.2447</v>
      </c>
      <c r="K77" s="519">
        <f ca="1">_xlfn.IFNA(IF(VLOOKUP($B77&amp;OFFSET(K$10,$A77*2,0),'Mapping A'!$B$6:$E$1011,4,0)=1,$E77,""),0)</f>
        <v>0</v>
      </c>
      <c r="L77" s="519">
        <f ca="1">_xlfn.IFNA(IF(VLOOKUP($B77&amp;OFFSET(L$10,$A77*2,0),'Mapping A'!$B$6:$E$1011,4,0)=1,$E77,""),0)</f>
        <v>0</v>
      </c>
      <c r="M77" s="519">
        <f ca="1">_xlfn.IFNA(IF(VLOOKUP($B77&amp;OFFSET(M$10,$A77*2,0),'Mapping A'!$B$6:$E$1011,4,0)=1,$E77,""),0)</f>
        <v>0</v>
      </c>
      <c r="N77" s="519">
        <f ca="1">_xlfn.IFNA(IF(VLOOKUP($B77&amp;OFFSET(N$10,$A77*2,0),'Mapping A'!$B$6:$E$1011,4,0)=1,$E77,""),0)</f>
        <v>0</v>
      </c>
      <c r="O77" s="519">
        <f ca="1">_xlfn.IFNA(IF(VLOOKUP($B77&amp;OFFSET(O$10,$A77*2,0),'Mapping A'!$B$6:$E$1011,4,0)=1,$E77,""),0)</f>
        <v>0</v>
      </c>
      <c r="P77" s="519">
        <f ca="1">_xlfn.IFNA(IF(VLOOKUP($B77&amp;OFFSET(P$10,$A77*2,0),'Mapping A'!$B$6:$E$1011,4,0)=1,$E77,""),0)</f>
        <v>0</v>
      </c>
      <c r="Q77" s="519">
        <f ca="1">_xlfn.IFNA(IF(VLOOKUP($B77&amp;OFFSET(Q$10,$A77*2,0),'Mapping A'!$B$6:$E$1011,4,0)=1,$E77,""),0)</f>
        <v>0</v>
      </c>
      <c r="R77" s="519">
        <f ca="1">_xlfn.IFNA(IF(VLOOKUP($B77&amp;OFFSET(R$10,$A77*2,0),'Mapping A'!$B$6:$E$1011,4,0)=1,$E77,""),0)</f>
        <v>0</v>
      </c>
      <c r="S77" s="519">
        <f ca="1">_xlfn.IFNA(IF(VLOOKUP($B77&amp;OFFSET(S$10,$A77*2,0),'Mapping A'!$B$6:$E$1011,4,0)=1,$E77,""),0)</f>
        <v>0</v>
      </c>
      <c r="T77" s="519">
        <f ca="1">_xlfn.IFNA(IF(VLOOKUP($B77&amp;OFFSET(T$10,$A77*2,0),'Mapping A'!$B$6:$E$1011,4,0)=1,$E77,""),0)</f>
        <v>0</v>
      </c>
      <c r="Y77" s="534" t="str">
        <f t="shared" si="21"/>
        <v>PowercoGYT0331</v>
      </c>
      <c r="Z77" s="519" t="str">
        <f t="shared" si="4"/>
        <v>Powerco</v>
      </c>
      <c r="AA77" s="519" t="str">
        <f t="shared" si="5"/>
        <v>GYT0331</v>
      </c>
      <c r="AB77" s="519">
        <f t="shared" si="22"/>
        <v>13.2447</v>
      </c>
      <c r="AC77" s="324"/>
      <c r="AE77" s="519">
        <f t="shared" ca="1" si="6"/>
        <v>0</v>
      </c>
      <c r="AF77" s="519">
        <f t="shared" ca="1" si="7"/>
        <v>0</v>
      </c>
      <c r="AG77" s="519">
        <f t="shared" ca="1" si="8"/>
        <v>0</v>
      </c>
      <c r="AH77" s="519">
        <f t="shared" ca="1" si="9"/>
        <v>0</v>
      </c>
      <c r="AI77" s="519">
        <f t="shared" ca="1" si="23"/>
        <v>0</v>
      </c>
      <c r="AJ77" s="519">
        <f t="shared" ca="1" si="10"/>
        <v>0</v>
      </c>
      <c r="AK77" s="519">
        <f t="shared" ca="1" si="11"/>
        <v>0</v>
      </c>
      <c r="AL77" s="519">
        <f t="shared" ca="1" si="12"/>
        <v>0</v>
      </c>
      <c r="AM77" s="519">
        <f t="shared" ca="1" si="13"/>
        <v>0</v>
      </c>
      <c r="AN77" s="519">
        <f t="shared" ca="1" si="14"/>
        <v>0</v>
      </c>
      <c r="AO77" s="519">
        <f t="shared" ca="1" si="15"/>
        <v>0</v>
      </c>
      <c r="AP77" s="519">
        <f t="shared" ca="1" si="16"/>
        <v>0</v>
      </c>
      <c r="AQ77" s="519">
        <f t="shared" ca="1" si="17"/>
        <v>0</v>
      </c>
      <c r="AS77" s="536"/>
      <c r="AT77" s="536"/>
      <c r="AU77" s="519" t="str">
        <f t="shared" si="24"/>
        <v>Powerco</v>
      </c>
      <c r="AV77" s="519" t="str">
        <f t="shared" si="18"/>
        <v>GYT0331</v>
      </c>
      <c r="AW77" s="519">
        <f t="shared" si="19"/>
        <v>13.2447</v>
      </c>
      <c r="AX77" s="538"/>
      <c r="AY77" s="539">
        <f t="shared" ca="1" si="25"/>
        <v>0.4017785569913076</v>
      </c>
      <c r="AZ77" s="189"/>
      <c r="BC77" s="525"/>
      <c r="BD77" s="525"/>
      <c r="BE77" s="525"/>
      <c r="BF77" s="525"/>
      <c r="BG77" s="525"/>
      <c r="BH77" s="525"/>
      <c r="BI77" s="525"/>
    </row>
    <row r="78" spans="1:61" x14ac:dyDescent="0.3">
      <c r="A78" s="556">
        <v>1</v>
      </c>
      <c r="B78" s="519" t="str">
        <f t="shared" si="20"/>
        <v>HAM</v>
      </c>
      <c r="C78" s="519" t="str">
        <f>AMDs!C59</f>
        <v>WEL</v>
      </c>
      <c r="D78" s="519" t="str">
        <f>AMDs!D59</f>
        <v>HAM0111</v>
      </c>
      <c r="E78" s="519">
        <f>IF(AMDs!C59="other",0,AMDs!E59)</f>
        <v>37.663499999999999</v>
      </c>
      <c r="H78" s="519">
        <f ca="1">_xlfn.IFNA(IF(VLOOKUP($B78&amp;OFFSET(H$10,$A78*2,0),'Mapping A'!$B$6:$E$1011,4,0)=1,$E78,""),0)</f>
        <v>0</v>
      </c>
      <c r="I78" s="519">
        <f ca="1">_xlfn.IFNA(IF(VLOOKUP($B78&amp;OFFSET(I$10,$A78*2,0),'Mapping A'!$B$6:$E$1011,4,0)=1,$E78,""),0)</f>
        <v>37.663499999999999</v>
      </c>
      <c r="J78" s="519">
        <f ca="1">_xlfn.IFNA(IF(VLOOKUP($B78&amp;OFFSET(J$10,$A78*2,0),'Mapping A'!$B$6:$E$1011,4,0)=1,$E78,""),0)</f>
        <v>37.663499999999999</v>
      </c>
      <c r="K78" s="519">
        <f ca="1">_xlfn.IFNA(IF(VLOOKUP($B78&amp;OFFSET(K$10,$A78*2,0),'Mapping A'!$B$6:$E$1011,4,0)=1,$E78,""),0)</f>
        <v>0</v>
      </c>
      <c r="L78" s="519">
        <f ca="1">_xlfn.IFNA(IF(VLOOKUP($B78&amp;OFFSET(L$10,$A78*2,0),'Mapping A'!$B$6:$E$1011,4,0)=1,$E78,""),0)</f>
        <v>0</v>
      </c>
      <c r="M78" s="519">
        <f ca="1">_xlfn.IFNA(IF(VLOOKUP($B78&amp;OFFSET(M$10,$A78*2,0),'Mapping A'!$B$6:$E$1011,4,0)=1,$E78,""),0)</f>
        <v>37.663499999999999</v>
      </c>
      <c r="N78" s="519">
        <f ca="1">_xlfn.IFNA(IF(VLOOKUP($B78&amp;OFFSET(N$10,$A78*2,0),'Mapping A'!$B$6:$E$1011,4,0)=1,$E78,""),0)</f>
        <v>0</v>
      </c>
      <c r="O78" s="519">
        <f ca="1">_xlfn.IFNA(IF(VLOOKUP($B78&amp;OFFSET(O$10,$A78*2,0),'Mapping A'!$B$6:$E$1011,4,0)=1,$E78,""),0)</f>
        <v>0</v>
      </c>
      <c r="P78" s="519">
        <f ca="1">_xlfn.IFNA(IF(VLOOKUP($B78&amp;OFFSET(P$10,$A78*2,0),'Mapping A'!$B$6:$E$1011,4,0)=1,$E78,""),0)</f>
        <v>0</v>
      </c>
      <c r="Q78" s="519">
        <f ca="1">_xlfn.IFNA(IF(VLOOKUP($B78&amp;OFFSET(Q$10,$A78*2,0),'Mapping A'!$B$6:$E$1011,4,0)=1,$E78,""),0)</f>
        <v>0</v>
      </c>
      <c r="R78" s="519">
        <f ca="1">_xlfn.IFNA(IF(VLOOKUP($B78&amp;OFFSET(R$10,$A78*2,0),'Mapping A'!$B$6:$E$1011,4,0)=1,$E78,""),0)</f>
        <v>0</v>
      </c>
      <c r="S78" s="519">
        <f ca="1">_xlfn.IFNA(IF(VLOOKUP($B78&amp;OFFSET(S$10,$A78*2,0),'Mapping A'!$B$6:$E$1011,4,0)=1,$E78,""),0)</f>
        <v>0</v>
      </c>
      <c r="T78" s="519">
        <f ca="1">_xlfn.IFNA(IF(VLOOKUP($B78&amp;OFFSET(T$10,$A78*2,0),'Mapping A'!$B$6:$E$1011,4,0)=1,$E78,""),0)</f>
        <v>0</v>
      </c>
      <c r="Y78" s="534" t="str">
        <f t="shared" si="21"/>
        <v>WELHAM0111</v>
      </c>
      <c r="Z78" s="519" t="str">
        <f t="shared" si="4"/>
        <v>WEL</v>
      </c>
      <c r="AA78" s="519" t="str">
        <f t="shared" si="5"/>
        <v>HAM0111</v>
      </c>
      <c r="AB78" s="519">
        <f t="shared" si="22"/>
        <v>37.663499999999999</v>
      </c>
      <c r="AC78" s="324"/>
      <c r="AE78" s="519">
        <f t="shared" ca="1" si="6"/>
        <v>0</v>
      </c>
      <c r="AF78" s="519">
        <f t="shared" ca="1" si="7"/>
        <v>0</v>
      </c>
      <c r="AG78" s="519">
        <f t="shared" ca="1" si="8"/>
        <v>0</v>
      </c>
      <c r="AH78" s="519">
        <f t="shared" ca="1" si="9"/>
        <v>0</v>
      </c>
      <c r="AI78" s="519">
        <f t="shared" ca="1" si="23"/>
        <v>0</v>
      </c>
      <c r="AJ78" s="519">
        <f t="shared" ca="1" si="10"/>
        <v>0</v>
      </c>
      <c r="AK78" s="519">
        <f t="shared" ca="1" si="11"/>
        <v>0</v>
      </c>
      <c r="AL78" s="519">
        <f t="shared" ca="1" si="12"/>
        <v>0</v>
      </c>
      <c r="AM78" s="519">
        <f t="shared" ca="1" si="13"/>
        <v>0</v>
      </c>
      <c r="AN78" s="519">
        <f t="shared" ca="1" si="14"/>
        <v>0</v>
      </c>
      <c r="AO78" s="519">
        <f t="shared" ca="1" si="15"/>
        <v>0</v>
      </c>
      <c r="AP78" s="519">
        <f t="shared" ca="1" si="16"/>
        <v>0</v>
      </c>
      <c r="AQ78" s="519">
        <f t="shared" ca="1" si="17"/>
        <v>0</v>
      </c>
      <c r="AS78" s="536"/>
      <c r="AT78" s="536"/>
      <c r="AU78" s="519" t="str">
        <f t="shared" si="24"/>
        <v>WEL</v>
      </c>
      <c r="AV78" s="519" t="str">
        <f t="shared" si="18"/>
        <v>HAM0111</v>
      </c>
      <c r="AW78" s="519">
        <f t="shared" si="19"/>
        <v>37.663499999999999</v>
      </c>
      <c r="AX78" s="538"/>
      <c r="AY78" s="539">
        <f t="shared" ca="1" si="25"/>
        <v>1.1425239289105915</v>
      </c>
      <c r="AZ78" s="189"/>
      <c r="BC78" s="525"/>
      <c r="BD78" s="525"/>
      <c r="BE78" s="525"/>
      <c r="BF78" s="525"/>
      <c r="BG78" s="525"/>
      <c r="BH78" s="525"/>
      <c r="BI78" s="525"/>
    </row>
    <row r="79" spans="1:61" x14ac:dyDescent="0.3">
      <c r="A79" s="556">
        <v>1</v>
      </c>
      <c r="B79" s="519" t="str">
        <f t="shared" si="20"/>
        <v>HAM</v>
      </c>
      <c r="C79" s="519" t="str">
        <f>AMDs!C60</f>
        <v>WEL</v>
      </c>
      <c r="D79" s="519" t="str">
        <f>AMDs!D60</f>
        <v>HAM0331</v>
      </c>
      <c r="E79" s="519">
        <f>IF(AMDs!C60="other",0,AMDs!E60)</f>
        <v>137.0103</v>
      </c>
      <c r="H79" s="519">
        <f ca="1">_xlfn.IFNA(IF(VLOOKUP($B79&amp;OFFSET(H$10,$A79*2,0),'Mapping A'!$B$6:$E$1011,4,0)=1,$E79,""),0)</f>
        <v>0</v>
      </c>
      <c r="I79" s="519">
        <f ca="1">_xlfn.IFNA(IF(VLOOKUP($B79&amp;OFFSET(I$10,$A79*2,0),'Mapping A'!$B$6:$E$1011,4,0)=1,$E79,""),0)</f>
        <v>137.0103</v>
      </c>
      <c r="J79" s="519">
        <f ca="1">_xlfn.IFNA(IF(VLOOKUP($B79&amp;OFFSET(J$10,$A79*2,0),'Mapping A'!$B$6:$E$1011,4,0)=1,$E79,""),0)</f>
        <v>137.0103</v>
      </c>
      <c r="K79" s="519">
        <f ca="1">_xlfn.IFNA(IF(VLOOKUP($B79&amp;OFFSET(K$10,$A79*2,0),'Mapping A'!$B$6:$E$1011,4,0)=1,$E79,""),0)</f>
        <v>0</v>
      </c>
      <c r="L79" s="519">
        <f ca="1">_xlfn.IFNA(IF(VLOOKUP($B79&amp;OFFSET(L$10,$A79*2,0),'Mapping A'!$B$6:$E$1011,4,0)=1,$E79,""),0)</f>
        <v>0</v>
      </c>
      <c r="M79" s="519">
        <f ca="1">_xlfn.IFNA(IF(VLOOKUP($B79&amp;OFFSET(M$10,$A79*2,0),'Mapping A'!$B$6:$E$1011,4,0)=1,$E79,""),0)</f>
        <v>137.0103</v>
      </c>
      <c r="N79" s="519">
        <f ca="1">_xlfn.IFNA(IF(VLOOKUP($B79&amp;OFFSET(N$10,$A79*2,0),'Mapping A'!$B$6:$E$1011,4,0)=1,$E79,""),0)</f>
        <v>0</v>
      </c>
      <c r="O79" s="519">
        <f ca="1">_xlfn.IFNA(IF(VLOOKUP($B79&amp;OFFSET(O$10,$A79*2,0),'Mapping A'!$B$6:$E$1011,4,0)=1,$E79,""),0)</f>
        <v>0</v>
      </c>
      <c r="P79" s="519">
        <f ca="1">_xlfn.IFNA(IF(VLOOKUP($B79&amp;OFFSET(P$10,$A79*2,0),'Mapping A'!$B$6:$E$1011,4,0)=1,$E79,""),0)</f>
        <v>0</v>
      </c>
      <c r="Q79" s="519">
        <f ca="1">_xlfn.IFNA(IF(VLOOKUP($B79&amp;OFFSET(Q$10,$A79*2,0),'Mapping A'!$B$6:$E$1011,4,0)=1,$E79,""),0)</f>
        <v>0</v>
      </c>
      <c r="R79" s="519">
        <f ca="1">_xlfn.IFNA(IF(VLOOKUP($B79&amp;OFFSET(R$10,$A79*2,0),'Mapping A'!$B$6:$E$1011,4,0)=1,$E79,""),0)</f>
        <v>0</v>
      </c>
      <c r="S79" s="519">
        <f ca="1">_xlfn.IFNA(IF(VLOOKUP($B79&amp;OFFSET(S$10,$A79*2,0),'Mapping A'!$B$6:$E$1011,4,0)=1,$E79,""),0)</f>
        <v>0</v>
      </c>
      <c r="T79" s="519">
        <f ca="1">_xlfn.IFNA(IF(VLOOKUP($B79&amp;OFFSET(T$10,$A79*2,0),'Mapping A'!$B$6:$E$1011,4,0)=1,$E79,""),0)</f>
        <v>0</v>
      </c>
      <c r="Y79" s="534" t="str">
        <f t="shared" si="21"/>
        <v>WELHAM0331</v>
      </c>
      <c r="Z79" s="519" t="str">
        <f t="shared" si="4"/>
        <v>WEL</v>
      </c>
      <c r="AA79" s="519" t="str">
        <f t="shared" si="5"/>
        <v>HAM0331</v>
      </c>
      <c r="AB79" s="519">
        <f t="shared" si="22"/>
        <v>137.0103</v>
      </c>
      <c r="AC79" s="324"/>
      <c r="AE79" s="519">
        <f t="shared" ca="1" si="6"/>
        <v>0</v>
      </c>
      <c r="AF79" s="519">
        <f t="shared" ca="1" si="7"/>
        <v>0</v>
      </c>
      <c r="AG79" s="519">
        <f t="shared" ca="1" si="8"/>
        <v>0</v>
      </c>
      <c r="AH79" s="519">
        <f t="shared" ca="1" si="9"/>
        <v>0</v>
      </c>
      <c r="AI79" s="519">
        <f t="shared" ca="1" si="23"/>
        <v>0</v>
      </c>
      <c r="AJ79" s="519">
        <f t="shared" ca="1" si="10"/>
        <v>0</v>
      </c>
      <c r="AK79" s="519">
        <f t="shared" ca="1" si="11"/>
        <v>0</v>
      </c>
      <c r="AL79" s="519">
        <f t="shared" ca="1" si="12"/>
        <v>0</v>
      </c>
      <c r="AM79" s="519">
        <f t="shared" ca="1" si="13"/>
        <v>0</v>
      </c>
      <c r="AN79" s="519">
        <f t="shared" ca="1" si="14"/>
        <v>0</v>
      </c>
      <c r="AO79" s="519">
        <f t="shared" ca="1" si="15"/>
        <v>0</v>
      </c>
      <c r="AP79" s="519">
        <f t="shared" ca="1" si="16"/>
        <v>0</v>
      </c>
      <c r="AQ79" s="519">
        <f t="shared" ca="1" si="17"/>
        <v>0</v>
      </c>
      <c r="AS79" s="536"/>
      <c r="AT79" s="536"/>
      <c r="AU79" s="519" t="str">
        <f t="shared" si="24"/>
        <v>WEL</v>
      </c>
      <c r="AV79" s="519" t="str">
        <f t="shared" si="18"/>
        <v>HAM0331</v>
      </c>
      <c r="AW79" s="519">
        <f t="shared" si="19"/>
        <v>137.0103</v>
      </c>
      <c r="AX79" s="538"/>
      <c r="AY79" s="539">
        <f t="shared" ca="1" si="25"/>
        <v>4.1562134761033587</v>
      </c>
      <c r="AZ79" s="189"/>
      <c r="BC79" s="525"/>
      <c r="BD79" s="525"/>
      <c r="BE79" s="525"/>
      <c r="BF79" s="525"/>
      <c r="BG79" s="525"/>
      <c r="BH79" s="525"/>
      <c r="BI79" s="525"/>
    </row>
    <row r="80" spans="1:61" x14ac:dyDescent="0.3">
      <c r="A80" s="556">
        <v>1</v>
      </c>
      <c r="B80" s="519" t="str">
        <f t="shared" si="20"/>
        <v>HAM</v>
      </c>
      <c r="C80" s="519" t="str">
        <f>AMDs!C61</f>
        <v>Kiwirail</v>
      </c>
      <c r="D80" s="519" t="str">
        <f>AMDs!D61</f>
        <v>HAM0551</v>
      </c>
      <c r="E80" s="519">
        <f>IF(AMDs!C61="other",0,AMDs!E61)</f>
        <v>6.6464999999999996</v>
      </c>
      <c r="H80" s="519">
        <f ca="1">_xlfn.IFNA(IF(VLOOKUP($B80&amp;OFFSET(H$10,$A80*2,0),'Mapping A'!$B$6:$E$1011,4,0)=1,$E80,""),0)</f>
        <v>0</v>
      </c>
      <c r="I80" s="519">
        <f ca="1">_xlfn.IFNA(IF(VLOOKUP($B80&amp;OFFSET(I$10,$A80*2,0),'Mapping A'!$B$6:$E$1011,4,0)=1,$E80,""),0)</f>
        <v>6.6464999999999996</v>
      </c>
      <c r="J80" s="519">
        <f ca="1">_xlfn.IFNA(IF(VLOOKUP($B80&amp;OFFSET(J$10,$A80*2,0),'Mapping A'!$B$6:$E$1011,4,0)=1,$E80,""),0)</f>
        <v>6.6464999999999996</v>
      </c>
      <c r="K80" s="519">
        <f ca="1">_xlfn.IFNA(IF(VLOOKUP($B80&amp;OFFSET(K$10,$A80*2,0),'Mapping A'!$B$6:$E$1011,4,0)=1,$E80,""),0)</f>
        <v>0</v>
      </c>
      <c r="L80" s="519">
        <f ca="1">_xlfn.IFNA(IF(VLOOKUP($B80&amp;OFFSET(L$10,$A80*2,0),'Mapping A'!$B$6:$E$1011,4,0)=1,$E80,""),0)</f>
        <v>0</v>
      </c>
      <c r="M80" s="519">
        <f ca="1">_xlfn.IFNA(IF(VLOOKUP($B80&amp;OFFSET(M$10,$A80*2,0),'Mapping A'!$B$6:$E$1011,4,0)=1,$E80,""),0)</f>
        <v>6.6464999999999996</v>
      </c>
      <c r="N80" s="519">
        <f ca="1">_xlfn.IFNA(IF(VLOOKUP($B80&amp;OFFSET(N$10,$A80*2,0),'Mapping A'!$B$6:$E$1011,4,0)=1,$E80,""),0)</f>
        <v>0</v>
      </c>
      <c r="O80" s="519">
        <f ca="1">_xlfn.IFNA(IF(VLOOKUP($B80&amp;OFFSET(O$10,$A80*2,0),'Mapping A'!$B$6:$E$1011,4,0)=1,$E80,""),0)</f>
        <v>0</v>
      </c>
      <c r="P80" s="519">
        <f ca="1">_xlfn.IFNA(IF(VLOOKUP($B80&amp;OFFSET(P$10,$A80*2,0),'Mapping A'!$B$6:$E$1011,4,0)=1,$E80,""),0)</f>
        <v>0</v>
      </c>
      <c r="Q80" s="519">
        <f ca="1">_xlfn.IFNA(IF(VLOOKUP($B80&amp;OFFSET(Q$10,$A80*2,0),'Mapping A'!$B$6:$E$1011,4,0)=1,$E80,""),0)</f>
        <v>0</v>
      </c>
      <c r="R80" s="519">
        <f ca="1">_xlfn.IFNA(IF(VLOOKUP($B80&amp;OFFSET(R$10,$A80*2,0),'Mapping A'!$B$6:$E$1011,4,0)=1,$E80,""),0)</f>
        <v>0</v>
      </c>
      <c r="S80" s="519">
        <f ca="1">_xlfn.IFNA(IF(VLOOKUP($B80&amp;OFFSET(S$10,$A80*2,0),'Mapping A'!$B$6:$E$1011,4,0)=1,$E80,""),0)</f>
        <v>0</v>
      </c>
      <c r="T80" s="519">
        <f ca="1">_xlfn.IFNA(IF(VLOOKUP($B80&amp;OFFSET(T$10,$A80*2,0),'Mapping A'!$B$6:$E$1011,4,0)=1,$E80,""),0)</f>
        <v>0</v>
      </c>
      <c r="Y80" s="534" t="str">
        <f t="shared" si="21"/>
        <v>KiwirailHAM0551</v>
      </c>
      <c r="Z80" s="519" t="str">
        <f t="shared" si="4"/>
        <v>Kiwirail</v>
      </c>
      <c r="AA80" s="519" t="str">
        <f t="shared" si="5"/>
        <v>HAM0551</v>
      </c>
      <c r="AB80" s="519">
        <f t="shared" si="22"/>
        <v>6.6464999999999996</v>
      </c>
      <c r="AC80" s="324"/>
      <c r="AE80" s="519">
        <f t="shared" ca="1" si="6"/>
        <v>0</v>
      </c>
      <c r="AF80" s="519">
        <f t="shared" ca="1" si="7"/>
        <v>0</v>
      </c>
      <c r="AG80" s="519">
        <f t="shared" ca="1" si="8"/>
        <v>0</v>
      </c>
      <c r="AH80" s="519">
        <f t="shared" ca="1" si="9"/>
        <v>0</v>
      </c>
      <c r="AI80" s="519">
        <f t="shared" ca="1" si="23"/>
        <v>0</v>
      </c>
      <c r="AJ80" s="519">
        <f t="shared" ca="1" si="10"/>
        <v>0</v>
      </c>
      <c r="AK80" s="519">
        <f t="shared" ca="1" si="11"/>
        <v>0</v>
      </c>
      <c r="AL80" s="519">
        <f t="shared" ca="1" si="12"/>
        <v>0</v>
      </c>
      <c r="AM80" s="519">
        <f t="shared" ca="1" si="13"/>
        <v>0</v>
      </c>
      <c r="AN80" s="519">
        <f t="shared" ca="1" si="14"/>
        <v>0</v>
      </c>
      <c r="AO80" s="519">
        <f t="shared" ca="1" si="15"/>
        <v>0</v>
      </c>
      <c r="AP80" s="519">
        <f t="shared" ca="1" si="16"/>
        <v>0</v>
      </c>
      <c r="AQ80" s="519">
        <f t="shared" ca="1" si="17"/>
        <v>0</v>
      </c>
      <c r="AS80" s="536"/>
      <c r="AT80" s="536"/>
      <c r="AU80" s="519" t="str">
        <f t="shared" si="24"/>
        <v>Kiwirail</v>
      </c>
      <c r="AV80" s="519" t="str">
        <f t="shared" si="18"/>
        <v>HAM0551</v>
      </c>
      <c r="AW80" s="519">
        <f t="shared" si="19"/>
        <v>6.6464999999999996</v>
      </c>
      <c r="AX80" s="538"/>
      <c r="AY80" s="539">
        <f t="shared" ca="1" si="25"/>
        <v>0.20162186980775146</v>
      </c>
      <c r="AZ80" s="189"/>
      <c r="BC80" s="525"/>
      <c r="BD80" s="525"/>
      <c r="BE80" s="525"/>
      <c r="BF80" s="525"/>
      <c r="BG80" s="525"/>
      <c r="BH80" s="525"/>
      <c r="BI80" s="525"/>
    </row>
    <row r="81" spans="1:61" x14ac:dyDescent="0.3">
      <c r="A81" s="556">
        <v>1</v>
      </c>
      <c r="B81" s="519" t="str">
        <f t="shared" si="20"/>
        <v>HAY</v>
      </c>
      <c r="C81" s="519" t="str">
        <f>AMDs!C62</f>
        <v>Wellington Electricity</v>
      </c>
      <c r="D81" s="519" t="str">
        <f>AMDs!D62</f>
        <v>HAY0111</v>
      </c>
      <c r="E81" s="519">
        <f>IF(AMDs!C62="other",0,AMDs!E62)</f>
        <v>17.940300000000001</v>
      </c>
      <c r="H81" s="519">
        <f ca="1">_xlfn.IFNA(IF(VLOOKUP($B81&amp;OFFSET(H$10,$A81*2,0),'Mapping A'!$B$6:$E$1011,4,0)=1,$E81,""),0)</f>
        <v>0</v>
      </c>
      <c r="I81" s="519">
        <f ca="1">_xlfn.IFNA(IF(VLOOKUP($B81&amp;OFFSET(I$10,$A81*2,0),'Mapping A'!$B$6:$E$1011,4,0)=1,$E81,""),0)</f>
        <v>17.940300000000001</v>
      </c>
      <c r="J81" s="519">
        <f ca="1">_xlfn.IFNA(IF(VLOOKUP($B81&amp;OFFSET(J$10,$A81*2,0),'Mapping A'!$B$6:$E$1011,4,0)=1,$E81,""),0)</f>
        <v>17.940300000000001</v>
      </c>
      <c r="K81" s="519">
        <f ca="1">_xlfn.IFNA(IF(VLOOKUP($B81&amp;OFFSET(K$10,$A81*2,0),'Mapping A'!$B$6:$E$1011,4,0)=1,$E81,""),0)</f>
        <v>0</v>
      </c>
      <c r="L81" s="519">
        <f ca="1">_xlfn.IFNA(IF(VLOOKUP($B81&amp;OFFSET(L$10,$A81*2,0),'Mapping A'!$B$6:$E$1011,4,0)=1,$E81,""),0)</f>
        <v>0</v>
      </c>
      <c r="M81" s="519">
        <f ca="1">_xlfn.IFNA(IF(VLOOKUP($B81&amp;OFFSET(M$10,$A81*2,0),'Mapping A'!$B$6:$E$1011,4,0)=1,$E81,""),0)</f>
        <v>0</v>
      </c>
      <c r="N81" s="519">
        <f ca="1">_xlfn.IFNA(IF(VLOOKUP($B81&amp;OFFSET(N$10,$A81*2,0),'Mapping A'!$B$6:$E$1011,4,0)=1,$E81,""),0)</f>
        <v>0</v>
      </c>
      <c r="O81" s="519">
        <f ca="1">_xlfn.IFNA(IF(VLOOKUP($B81&amp;OFFSET(O$10,$A81*2,0),'Mapping A'!$B$6:$E$1011,4,0)=1,$E81,""),0)</f>
        <v>0</v>
      </c>
      <c r="P81" s="519">
        <f ca="1">_xlfn.IFNA(IF(VLOOKUP($B81&amp;OFFSET(P$10,$A81*2,0),'Mapping A'!$B$6:$E$1011,4,0)=1,$E81,""),0)</f>
        <v>0</v>
      </c>
      <c r="Q81" s="519">
        <f ca="1">_xlfn.IFNA(IF(VLOOKUP($B81&amp;OFFSET(Q$10,$A81*2,0),'Mapping A'!$B$6:$E$1011,4,0)=1,$E81,""),0)</f>
        <v>0</v>
      </c>
      <c r="R81" s="519">
        <f ca="1">_xlfn.IFNA(IF(VLOOKUP($B81&amp;OFFSET(R$10,$A81*2,0),'Mapping A'!$B$6:$E$1011,4,0)=1,$E81,""),0)</f>
        <v>0</v>
      </c>
      <c r="S81" s="519">
        <f ca="1">_xlfn.IFNA(IF(VLOOKUP($B81&amp;OFFSET(S$10,$A81*2,0),'Mapping A'!$B$6:$E$1011,4,0)=1,$E81,""),0)</f>
        <v>0</v>
      </c>
      <c r="T81" s="519">
        <f ca="1">_xlfn.IFNA(IF(VLOOKUP($B81&amp;OFFSET(T$10,$A81*2,0),'Mapping A'!$B$6:$E$1011,4,0)=1,$E81,""),0)</f>
        <v>0</v>
      </c>
      <c r="Y81" s="534" t="str">
        <f t="shared" si="21"/>
        <v>Wellington ElectricityHAY0111</v>
      </c>
      <c r="Z81" s="519" t="str">
        <f t="shared" si="4"/>
        <v>Wellington Electricity</v>
      </c>
      <c r="AA81" s="519" t="str">
        <f t="shared" si="5"/>
        <v>HAY0111</v>
      </c>
      <c r="AB81" s="519">
        <f t="shared" si="22"/>
        <v>17.940300000000001</v>
      </c>
      <c r="AC81" s="324"/>
      <c r="AE81" s="519">
        <f t="shared" ca="1" si="6"/>
        <v>0</v>
      </c>
      <c r="AF81" s="519">
        <f t="shared" ca="1" si="7"/>
        <v>0</v>
      </c>
      <c r="AG81" s="519">
        <f t="shared" ca="1" si="8"/>
        <v>0</v>
      </c>
      <c r="AH81" s="519">
        <f t="shared" ca="1" si="9"/>
        <v>0</v>
      </c>
      <c r="AI81" s="519">
        <f t="shared" ca="1" si="23"/>
        <v>0</v>
      </c>
      <c r="AJ81" s="519">
        <f t="shared" ca="1" si="10"/>
        <v>0</v>
      </c>
      <c r="AK81" s="519">
        <f t="shared" ca="1" si="11"/>
        <v>0</v>
      </c>
      <c r="AL81" s="519">
        <f t="shared" ca="1" si="12"/>
        <v>0</v>
      </c>
      <c r="AM81" s="519">
        <f t="shared" ca="1" si="13"/>
        <v>0</v>
      </c>
      <c r="AN81" s="519">
        <f t="shared" ca="1" si="14"/>
        <v>0</v>
      </c>
      <c r="AO81" s="519">
        <f t="shared" ca="1" si="15"/>
        <v>0</v>
      </c>
      <c r="AP81" s="519">
        <f t="shared" ca="1" si="16"/>
        <v>0</v>
      </c>
      <c r="AQ81" s="519">
        <f t="shared" ca="1" si="17"/>
        <v>0</v>
      </c>
      <c r="AS81" s="536"/>
      <c r="AT81" s="536"/>
      <c r="AU81" s="519" t="str">
        <f t="shared" si="24"/>
        <v>Wellington Electricity</v>
      </c>
      <c r="AV81" s="519" t="str">
        <f t="shared" si="18"/>
        <v>HAY0111</v>
      </c>
      <c r="AW81" s="519">
        <f t="shared" si="19"/>
        <v>17.940300000000001</v>
      </c>
      <c r="AX81" s="538"/>
      <c r="AY81" s="539">
        <f t="shared" ca="1" si="25"/>
        <v>0.54421978950003824</v>
      </c>
      <c r="AZ81" s="189"/>
      <c r="BC81" s="525"/>
      <c r="BD81" s="525"/>
      <c r="BE81" s="525"/>
      <c r="BF81" s="525"/>
      <c r="BG81" s="525"/>
      <c r="BH81" s="525"/>
      <c r="BI81" s="525"/>
    </row>
    <row r="82" spans="1:61" x14ac:dyDescent="0.3">
      <c r="A82" s="556">
        <v>1</v>
      </c>
      <c r="B82" s="519" t="str">
        <f t="shared" si="20"/>
        <v>HAY</v>
      </c>
      <c r="C82" s="519" t="str">
        <f>AMDs!C63</f>
        <v>Wellington Electricity</v>
      </c>
      <c r="D82" s="519" t="str">
        <f>AMDs!D63</f>
        <v>HAY0331</v>
      </c>
      <c r="E82" s="519">
        <f>IF(AMDs!C63="other",0,AMDs!E63)</f>
        <v>19.611899999999999</v>
      </c>
      <c r="H82" s="519">
        <f ca="1">_xlfn.IFNA(IF(VLOOKUP($B82&amp;OFFSET(H$10,$A82*2,0),'Mapping A'!$B$6:$E$1011,4,0)=1,$E82,""),0)</f>
        <v>0</v>
      </c>
      <c r="I82" s="519">
        <f ca="1">_xlfn.IFNA(IF(VLOOKUP($B82&amp;OFFSET(I$10,$A82*2,0),'Mapping A'!$B$6:$E$1011,4,0)=1,$E82,""),0)</f>
        <v>19.611899999999999</v>
      </c>
      <c r="J82" s="519">
        <f ca="1">_xlfn.IFNA(IF(VLOOKUP($B82&amp;OFFSET(J$10,$A82*2,0),'Mapping A'!$B$6:$E$1011,4,0)=1,$E82,""),0)</f>
        <v>19.611899999999999</v>
      </c>
      <c r="K82" s="519">
        <f ca="1">_xlfn.IFNA(IF(VLOOKUP($B82&amp;OFFSET(K$10,$A82*2,0),'Mapping A'!$B$6:$E$1011,4,0)=1,$E82,""),0)</f>
        <v>0</v>
      </c>
      <c r="L82" s="519">
        <f ca="1">_xlfn.IFNA(IF(VLOOKUP($B82&amp;OFFSET(L$10,$A82*2,0),'Mapping A'!$B$6:$E$1011,4,0)=1,$E82,""),0)</f>
        <v>0</v>
      </c>
      <c r="M82" s="519">
        <f ca="1">_xlfn.IFNA(IF(VLOOKUP($B82&amp;OFFSET(M$10,$A82*2,0),'Mapping A'!$B$6:$E$1011,4,0)=1,$E82,""),0)</f>
        <v>0</v>
      </c>
      <c r="N82" s="519">
        <f ca="1">_xlfn.IFNA(IF(VLOOKUP($B82&amp;OFFSET(N$10,$A82*2,0),'Mapping A'!$B$6:$E$1011,4,0)=1,$E82,""),0)</f>
        <v>0</v>
      </c>
      <c r="O82" s="519">
        <f ca="1">_xlfn.IFNA(IF(VLOOKUP($B82&amp;OFFSET(O$10,$A82*2,0),'Mapping A'!$B$6:$E$1011,4,0)=1,$E82,""),0)</f>
        <v>0</v>
      </c>
      <c r="P82" s="519">
        <f ca="1">_xlfn.IFNA(IF(VLOOKUP($B82&amp;OFFSET(P$10,$A82*2,0),'Mapping A'!$B$6:$E$1011,4,0)=1,$E82,""),0)</f>
        <v>0</v>
      </c>
      <c r="Q82" s="519">
        <f ca="1">_xlfn.IFNA(IF(VLOOKUP($B82&amp;OFFSET(Q$10,$A82*2,0),'Mapping A'!$B$6:$E$1011,4,0)=1,$E82,""),0)</f>
        <v>0</v>
      </c>
      <c r="R82" s="519">
        <f ca="1">_xlfn.IFNA(IF(VLOOKUP($B82&amp;OFFSET(R$10,$A82*2,0),'Mapping A'!$B$6:$E$1011,4,0)=1,$E82,""),0)</f>
        <v>0</v>
      </c>
      <c r="S82" s="519">
        <f ca="1">_xlfn.IFNA(IF(VLOOKUP($B82&amp;OFFSET(S$10,$A82*2,0),'Mapping A'!$B$6:$E$1011,4,0)=1,$E82,""),0)</f>
        <v>0</v>
      </c>
      <c r="T82" s="519">
        <f ca="1">_xlfn.IFNA(IF(VLOOKUP($B82&amp;OFFSET(T$10,$A82*2,0),'Mapping A'!$B$6:$E$1011,4,0)=1,$E82,""),0)</f>
        <v>0</v>
      </c>
      <c r="Y82" s="534" t="str">
        <f t="shared" si="21"/>
        <v>Wellington ElectricityHAY0331</v>
      </c>
      <c r="Z82" s="519" t="str">
        <f t="shared" si="4"/>
        <v>Wellington Electricity</v>
      </c>
      <c r="AA82" s="519" t="str">
        <f t="shared" si="5"/>
        <v>HAY0331</v>
      </c>
      <c r="AB82" s="519">
        <f t="shared" si="22"/>
        <v>19.611899999999999</v>
      </c>
      <c r="AC82" s="324"/>
      <c r="AE82" s="519">
        <f t="shared" ca="1" si="6"/>
        <v>0</v>
      </c>
      <c r="AF82" s="519">
        <f t="shared" ca="1" si="7"/>
        <v>0</v>
      </c>
      <c r="AG82" s="519">
        <f t="shared" ca="1" si="8"/>
        <v>0</v>
      </c>
      <c r="AH82" s="519">
        <f t="shared" ca="1" si="9"/>
        <v>0</v>
      </c>
      <c r="AI82" s="519">
        <f t="shared" ca="1" si="23"/>
        <v>0</v>
      </c>
      <c r="AJ82" s="519">
        <f t="shared" ca="1" si="10"/>
        <v>0</v>
      </c>
      <c r="AK82" s="519">
        <f t="shared" ca="1" si="11"/>
        <v>0</v>
      </c>
      <c r="AL82" s="519">
        <f t="shared" ca="1" si="12"/>
        <v>0</v>
      </c>
      <c r="AM82" s="519">
        <f t="shared" ca="1" si="13"/>
        <v>0</v>
      </c>
      <c r="AN82" s="519">
        <f t="shared" ca="1" si="14"/>
        <v>0</v>
      </c>
      <c r="AO82" s="519">
        <f t="shared" ca="1" si="15"/>
        <v>0</v>
      </c>
      <c r="AP82" s="519">
        <f t="shared" ca="1" si="16"/>
        <v>0</v>
      </c>
      <c r="AQ82" s="519">
        <f t="shared" ca="1" si="17"/>
        <v>0</v>
      </c>
      <c r="AS82" s="536"/>
      <c r="AT82" s="536"/>
      <c r="AU82" s="519" t="str">
        <f t="shared" si="24"/>
        <v>Wellington Electricity</v>
      </c>
      <c r="AV82" s="519" t="str">
        <f t="shared" si="18"/>
        <v>HAY0331</v>
      </c>
      <c r="AW82" s="519">
        <f t="shared" si="19"/>
        <v>19.611899999999999</v>
      </c>
      <c r="AX82" s="538"/>
      <c r="AY82" s="539">
        <f t="shared" ca="1" si="25"/>
        <v>0.59492784901566853</v>
      </c>
      <c r="AZ82" s="189"/>
      <c r="BC82" s="525"/>
      <c r="BD82" s="525"/>
      <c r="BE82" s="525"/>
      <c r="BF82" s="525"/>
      <c r="BG82" s="525"/>
      <c r="BH82" s="525"/>
      <c r="BI82" s="525"/>
    </row>
    <row r="83" spans="1:61" x14ac:dyDescent="0.3">
      <c r="A83" s="556">
        <v>1</v>
      </c>
      <c r="B83" s="519" t="str">
        <f t="shared" si="20"/>
        <v>HEN</v>
      </c>
      <c r="C83" s="519" t="str">
        <f>AMDs!C64</f>
        <v>Vector</v>
      </c>
      <c r="D83" s="519" t="str">
        <f>AMDs!D64</f>
        <v>HEN0331</v>
      </c>
      <c r="E83" s="519">
        <f>IF(AMDs!C64="other",0,AMDs!E64)</f>
        <v>122.8206</v>
      </c>
      <c r="H83" s="519">
        <f ca="1">_xlfn.IFNA(IF(VLOOKUP($B83&amp;OFFSET(H$10,$A83*2,0),'Mapping A'!$B$6:$E$1011,4,0)=1,$E83,""),0)</f>
        <v>122.8206</v>
      </c>
      <c r="I83" s="519">
        <f ca="1">_xlfn.IFNA(IF(VLOOKUP($B83&amp;OFFSET(I$10,$A83*2,0),'Mapping A'!$B$6:$E$1011,4,0)=1,$E83,""),0)</f>
        <v>122.8206</v>
      </c>
      <c r="J83" s="519">
        <f ca="1">_xlfn.IFNA(IF(VLOOKUP($B83&amp;OFFSET(J$10,$A83*2,0),'Mapping A'!$B$6:$E$1011,4,0)=1,$E83,""),0)</f>
        <v>122.8206</v>
      </c>
      <c r="K83" s="519">
        <f ca="1">_xlfn.IFNA(IF(VLOOKUP($B83&amp;OFFSET(K$10,$A83*2,0),'Mapping A'!$B$6:$E$1011,4,0)=1,$E83,""),0)</f>
        <v>122.8206</v>
      </c>
      <c r="L83" s="519">
        <f ca="1">_xlfn.IFNA(IF(VLOOKUP($B83&amp;OFFSET(L$10,$A83*2,0),'Mapping A'!$B$6:$E$1011,4,0)=1,$E83,""),0)</f>
        <v>0</v>
      </c>
      <c r="M83" s="519">
        <f ca="1">_xlfn.IFNA(IF(VLOOKUP($B83&amp;OFFSET(M$10,$A83*2,0),'Mapping A'!$B$6:$E$1011,4,0)=1,$E83,""),0)</f>
        <v>122.8206</v>
      </c>
      <c r="N83" s="519">
        <f ca="1">_xlfn.IFNA(IF(VLOOKUP($B83&amp;OFFSET(N$10,$A83*2,0),'Mapping A'!$B$6:$E$1011,4,0)=1,$E83,""),0)</f>
        <v>122.8206</v>
      </c>
      <c r="O83" s="519">
        <f ca="1">_xlfn.IFNA(IF(VLOOKUP($B83&amp;OFFSET(O$10,$A83*2,0),'Mapping A'!$B$6:$E$1011,4,0)=1,$E83,""),0)</f>
        <v>0</v>
      </c>
      <c r="P83" s="519">
        <f ca="1">_xlfn.IFNA(IF(VLOOKUP($B83&amp;OFFSET(P$10,$A83*2,0),'Mapping A'!$B$6:$E$1011,4,0)=1,$E83,""),0)</f>
        <v>0</v>
      </c>
      <c r="Q83" s="519">
        <f ca="1">_xlfn.IFNA(IF(VLOOKUP($B83&amp;OFFSET(Q$10,$A83*2,0),'Mapping A'!$B$6:$E$1011,4,0)=1,$E83,""),0)</f>
        <v>122.8206</v>
      </c>
      <c r="R83" s="519">
        <f ca="1">_xlfn.IFNA(IF(VLOOKUP($B83&amp;OFFSET(R$10,$A83*2,0),'Mapping A'!$B$6:$E$1011,4,0)=1,$E83,""),0)</f>
        <v>0</v>
      </c>
      <c r="S83" s="519">
        <f ca="1">_xlfn.IFNA(IF(VLOOKUP($B83&amp;OFFSET(S$10,$A83*2,0),'Mapping A'!$B$6:$E$1011,4,0)=1,$E83,""),0)</f>
        <v>0</v>
      </c>
      <c r="T83" s="519">
        <f ca="1">_xlfn.IFNA(IF(VLOOKUP($B83&amp;OFFSET(T$10,$A83*2,0),'Mapping A'!$B$6:$E$1011,4,0)=1,$E83,""),0)</f>
        <v>0</v>
      </c>
      <c r="Y83" s="534" t="str">
        <f t="shared" si="21"/>
        <v>VectorHEN0331</v>
      </c>
      <c r="Z83" s="519" t="str">
        <f t="shared" si="4"/>
        <v>Vector</v>
      </c>
      <c r="AA83" s="519" t="str">
        <f t="shared" si="5"/>
        <v>HEN0331</v>
      </c>
      <c r="AB83" s="519">
        <f t="shared" si="22"/>
        <v>122.8206</v>
      </c>
      <c r="AC83" s="324"/>
      <c r="AE83" s="519">
        <f t="shared" ca="1" si="6"/>
        <v>0</v>
      </c>
      <c r="AF83" s="519">
        <f t="shared" ca="1" si="7"/>
        <v>0</v>
      </c>
      <c r="AG83" s="519">
        <f t="shared" ca="1" si="8"/>
        <v>0</v>
      </c>
      <c r="AH83" s="519">
        <f t="shared" ca="1" si="9"/>
        <v>2.1557619991969221</v>
      </c>
      <c r="AI83" s="519">
        <f t="shared" ca="1" si="23"/>
        <v>0</v>
      </c>
      <c r="AJ83" s="519">
        <f t="shared" ca="1" si="10"/>
        <v>0</v>
      </c>
      <c r="AK83" s="519">
        <f t="shared" ca="1" si="11"/>
        <v>0.4919243809976423</v>
      </c>
      <c r="AL83" s="519">
        <f t="shared" ca="1" si="12"/>
        <v>0</v>
      </c>
      <c r="AM83" s="519">
        <f t="shared" ca="1" si="13"/>
        <v>0</v>
      </c>
      <c r="AN83" s="519">
        <f t="shared" ca="1" si="14"/>
        <v>0.22687658842786315</v>
      </c>
      <c r="AO83" s="519">
        <f t="shared" ca="1" si="15"/>
        <v>0</v>
      </c>
      <c r="AP83" s="519">
        <f t="shared" ca="1" si="16"/>
        <v>0</v>
      </c>
      <c r="AQ83" s="519">
        <f t="shared" ca="1" si="17"/>
        <v>0</v>
      </c>
      <c r="AS83" s="536"/>
      <c r="AT83" s="536"/>
      <c r="AU83" s="519" t="str">
        <f t="shared" si="24"/>
        <v>Vector</v>
      </c>
      <c r="AV83" s="519" t="str">
        <f t="shared" si="18"/>
        <v>HEN0331</v>
      </c>
      <c r="AW83" s="519">
        <f t="shared" si="19"/>
        <v>122.8206</v>
      </c>
      <c r="AX83" s="538"/>
      <c r="AY83" s="539">
        <f t="shared" ca="1" si="25"/>
        <v>3.7257683025517072</v>
      </c>
      <c r="AZ83" s="189"/>
      <c r="BC83" s="525"/>
      <c r="BD83" s="525"/>
      <c r="BE83" s="525"/>
      <c r="BF83" s="525"/>
      <c r="BG83" s="525"/>
      <c r="BH83" s="525"/>
      <c r="BI83" s="525"/>
    </row>
    <row r="84" spans="1:61" x14ac:dyDescent="0.3">
      <c r="A84" s="556">
        <v>1</v>
      </c>
      <c r="B84" s="519" t="str">
        <f t="shared" si="20"/>
        <v>HEP</v>
      </c>
      <c r="C84" s="519" t="str">
        <f>AMDs!C65</f>
        <v>Vector</v>
      </c>
      <c r="D84" s="519" t="str">
        <f>AMDs!D65</f>
        <v>HEP0331</v>
      </c>
      <c r="E84" s="519">
        <f>IF(AMDs!C65="other",0,AMDs!E65)</f>
        <v>149.04329999999999</v>
      </c>
      <c r="H84" s="519">
        <f ca="1">_xlfn.IFNA(IF(VLOOKUP($B84&amp;OFFSET(H$10,$A84*2,0),'Mapping A'!$B$6:$E$1011,4,0)=1,$E84,""),0)</f>
        <v>149.04329999999999</v>
      </c>
      <c r="I84" s="519">
        <f ca="1">_xlfn.IFNA(IF(VLOOKUP($B84&amp;OFFSET(I$10,$A84*2,0),'Mapping A'!$B$6:$E$1011,4,0)=1,$E84,""),0)</f>
        <v>149.04329999999999</v>
      </c>
      <c r="J84" s="519">
        <f ca="1">_xlfn.IFNA(IF(VLOOKUP($B84&amp;OFFSET(J$10,$A84*2,0),'Mapping A'!$B$6:$E$1011,4,0)=1,$E84,""),0)</f>
        <v>149.04329999999999</v>
      </c>
      <c r="K84" s="519">
        <f ca="1">_xlfn.IFNA(IF(VLOOKUP($B84&amp;OFFSET(K$10,$A84*2,0),'Mapping A'!$B$6:$E$1011,4,0)=1,$E84,""),0)</f>
        <v>0</v>
      </c>
      <c r="L84" s="519">
        <f ca="1">_xlfn.IFNA(IF(VLOOKUP($B84&amp;OFFSET(L$10,$A84*2,0),'Mapping A'!$B$6:$E$1011,4,0)=1,$E84,""),0)</f>
        <v>0</v>
      </c>
      <c r="M84" s="519">
        <f ca="1">_xlfn.IFNA(IF(VLOOKUP($B84&amp;OFFSET(M$10,$A84*2,0),'Mapping A'!$B$6:$E$1011,4,0)=1,$E84,""),0)</f>
        <v>149.04329999999999</v>
      </c>
      <c r="N84" s="519">
        <f ca="1">_xlfn.IFNA(IF(VLOOKUP($B84&amp;OFFSET(N$10,$A84*2,0),'Mapping A'!$B$6:$E$1011,4,0)=1,$E84,""),0)</f>
        <v>149.04329999999999</v>
      </c>
      <c r="O84" s="519">
        <f ca="1">_xlfn.IFNA(IF(VLOOKUP($B84&amp;OFFSET(O$10,$A84*2,0),'Mapping A'!$B$6:$E$1011,4,0)=1,$E84,""),0)</f>
        <v>0</v>
      </c>
      <c r="P84" s="519">
        <f ca="1">_xlfn.IFNA(IF(VLOOKUP($B84&amp;OFFSET(P$10,$A84*2,0),'Mapping A'!$B$6:$E$1011,4,0)=1,$E84,""),0)</f>
        <v>0</v>
      </c>
      <c r="Q84" s="519">
        <f ca="1">_xlfn.IFNA(IF(VLOOKUP($B84&amp;OFFSET(Q$10,$A84*2,0),'Mapping A'!$B$6:$E$1011,4,0)=1,$E84,""),0)</f>
        <v>149.04329999999999</v>
      </c>
      <c r="R84" s="519">
        <f ca="1">_xlfn.IFNA(IF(VLOOKUP($B84&amp;OFFSET(R$10,$A84*2,0),'Mapping A'!$B$6:$E$1011,4,0)=1,$E84,""),0)</f>
        <v>0</v>
      </c>
      <c r="S84" s="519">
        <f ca="1">_xlfn.IFNA(IF(VLOOKUP($B84&amp;OFFSET(S$10,$A84*2,0),'Mapping A'!$B$6:$E$1011,4,0)=1,$E84,""),0)</f>
        <v>0</v>
      </c>
      <c r="T84" s="519">
        <f ca="1">_xlfn.IFNA(IF(VLOOKUP($B84&amp;OFFSET(T$10,$A84*2,0),'Mapping A'!$B$6:$E$1011,4,0)=1,$E84,""),0)</f>
        <v>0</v>
      </c>
      <c r="Y84" s="534" t="str">
        <f t="shared" si="21"/>
        <v>VectorHEP0331</v>
      </c>
      <c r="Z84" s="519" t="str">
        <f t="shared" si="4"/>
        <v>Vector</v>
      </c>
      <c r="AA84" s="519" t="str">
        <f t="shared" si="5"/>
        <v>HEP0331</v>
      </c>
      <c r="AB84" s="519">
        <f t="shared" si="22"/>
        <v>149.04329999999999</v>
      </c>
      <c r="AC84" s="324"/>
      <c r="AE84" s="519">
        <f t="shared" ca="1" si="6"/>
        <v>0</v>
      </c>
      <c r="AF84" s="519">
        <f t="shared" ca="1" si="7"/>
        <v>0</v>
      </c>
      <c r="AG84" s="519">
        <f t="shared" ca="1" si="8"/>
        <v>0</v>
      </c>
      <c r="AH84" s="519">
        <f t="shared" ca="1" si="9"/>
        <v>0</v>
      </c>
      <c r="AI84" s="519">
        <f t="shared" ca="1" si="23"/>
        <v>0</v>
      </c>
      <c r="AJ84" s="519">
        <f t="shared" ca="1" si="10"/>
        <v>0</v>
      </c>
      <c r="AK84" s="519">
        <f t="shared" ca="1" si="11"/>
        <v>0.59695224656406087</v>
      </c>
      <c r="AL84" s="519">
        <f t="shared" ca="1" si="12"/>
        <v>0</v>
      </c>
      <c r="AM84" s="519">
        <f t="shared" ca="1" si="13"/>
        <v>0</v>
      </c>
      <c r="AN84" s="519">
        <f t="shared" ca="1" si="14"/>
        <v>0.27531566717660177</v>
      </c>
      <c r="AO84" s="519">
        <f t="shared" ca="1" si="15"/>
        <v>0</v>
      </c>
      <c r="AP84" s="519">
        <f t="shared" ca="1" si="16"/>
        <v>0</v>
      </c>
      <c r="AQ84" s="519">
        <f t="shared" ca="1" si="17"/>
        <v>0</v>
      </c>
      <c r="AS84" s="536"/>
      <c r="AT84" s="536"/>
      <c r="AU84" s="519" t="str">
        <f t="shared" si="24"/>
        <v>Vector</v>
      </c>
      <c r="AV84" s="519" t="str">
        <f t="shared" si="18"/>
        <v>HEP0331</v>
      </c>
      <c r="AW84" s="519">
        <f t="shared" si="19"/>
        <v>149.04329999999999</v>
      </c>
      <c r="AX84" s="538"/>
      <c r="AY84" s="539">
        <f t="shared" ca="1" si="25"/>
        <v>4.5212350603050693</v>
      </c>
      <c r="AZ84" s="189"/>
      <c r="BC84" s="525"/>
      <c r="BD84" s="525"/>
      <c r="BE84" s="525"/>
      <c r="BF84" s="525"/>
      <c r="BG84" s="525"/>
      <c r="BH84" s="525"/>
      <c r="BI84" s="525"/>
    </row>
    <row r="85" spans="1:61" x14ac:dyDescent="0.3">
      <c r="A85" s="556">
        <v>1</v>
      </c>
      <c r="B85" s="519" t="str">
        <f t="shared" si="20"/>
        <v>HIN</v>
      </c>
      <c r="C85" s="519" t="str">
        <f>AMDs!C66</f>
        <v>Powerco</v>
      </c>
      <c r="D85" s="519" t="str">
        <f>AMDs!D66</f>
        <v>HIN0331</v>
      </c>
      <c r="E85" s="519">
        <f>IF(AMDs!C66="other",0,AMDs!E66)</f>
        <v>45.4923</v>
      </c>
      <c r="H85" s="519">
        <f ca="1">_xlfn.IFNA(IF(VLOOKUP($B85&amp;OFFSET(H$10,$A85*2,0),'Mapping A'!$B$6:$E$1011,4,0)=1,$E85,""),0)</f>
        <v>0</v>
      </c>
      <c r="I85" s="519">
        <f ca="1">_xlfn.IFNA(IF(VLOOKUP($B85&amp;OFFSET(I$10,$A85*2,0),'Mapping A'!$B$6:$E$1011,4,0)=1,$E85,""),0)</f>
        <v>45.4923</v>
      </c>
      <c r="J85" s="519">
        <f ca="1">_xlfn.IFNA(IF(VLOOKUP($B85&amp;OFFSET(J$10,$A85*2,0),'Mapping A'!$B$6:$E$1011,4,0)=1,$E85,""),0)</f>
        <v>45.4923</v>
      </c>
      <c r="K85" s="519">
        <f ca="1">_xlfn.IFNA(IF(VLOOKUP($B85&amp;OFFSET(K$10,$A85*2,0),'Mapping A'!$B$6:$E$1011,4,0)=1,$E85,""),0)</f>
        <v>0</v>
      </c>
      <c r="L85" s="519">
        <f ca="1">_xlfn.IFNA(IF(VLOOKUP($B85&amp;OFFSET(L$10,$A85*2,0),'Mapping A'!$B$6:$E$1011,4,0)=1,$E85,""),0)</f>
        <v>0</v>
      </c>
      <c r="M85" s="519">
        <f ca="1">_xlfn.IFNA(IF(VLOOKUP($B85&amp;OFFSET(M$10,$A85*2,0),'Mapping A'!$B$6:$E$1011,4,0)=1,$E85,""),0)</f>
        <v>45.4923</v>
      </c>
      <c r="N85" s="519">
        <f ca="1">_xlfn.IFNA(IF(VLOOKUP($B85&amp;OFFSET(N$10,$A85*2,0),'Mapping A'!$B$6:$E$1011,4,0)=1,$E85,""),0)</f>
        <v>0</v>
      </c>
      <c r="O85" s="519">
        <f ca="1">_xlfn.IFNA(IF(VLOOKUP($B85&amp;OFFSET(O$10,$A85*2,0),'Mapping A'!$B$6:$E$1011,4,0)=1,$E85,""),0)</f>
        <v>0</v>
      </c>
      <c r="P85" s="519">
        <f ca="1">_xlfn.IFNA(IF(VLOOKUP($B85&amp;OFFSET(P$10,$A85*2,0),'Mapping A'!$B$6:$E$1011,4,0)=1,$E85,""),0)</f>
        <v>0</v>
      </c>
      <c r="Q85" s="519">
        <f ca="1">_xlfn.IFNA(IF(VLOOKUP($B85&amp;OFFSET(Q$10,$A85*2,0),'Mapping A'!$B$6:$E$1011,4,0)=1,$E85,""),0)</f>
        <v>0</v>
      </c>
      <c r="R85" s="519">
        <f ca="1">_xlfn.IFNA(IF(VLOOKUP($B85&amp;OFFSET(R$10,$A85*2,0),'Mapping A'!$B$6:$E$1011,4,0)=1,$E85,""),0)</f>
        <v>0</v>
      </c>
      <c r="S85" s="519">
        <f ca="1">_xlfn.IFNA(IF(VLOOKUP($B85&amp;OFFSET(S$10,$A85*2,0),'Mapping A'!$B$6:$E$1011,4,0)=1,$E85,""),0)</f>
        <v>0</v>
      </c>
      <c r="T85" s="519">
        <f ca="1">_xlfn.IFNA(IF(VLOOKUP($B85&amp;OFFSET(T$10,$A85*2,0),'Mapping A'!$B$6:$E$1011,4,0)=1,$E85,""),0)</f>
        <v>0</v>
      </c>
      <c r="Y85" s="534" t="str">
        <f t="shared" si="21"/>
        <v>PowercoHIN0331</v>
      </c>
      <c r="Z85" s="519" t="str">
        <f t="shared" si="4"/>
        <v>Powerco</v>
      </c>
      <c r="AA85" s="519" t="str">
        <f t="shared" si="5"/>
        <v>HIN0331</v>
      </c>
      <c r="AB85" s="519">
        <f t="shared" si="22"/>
        <v>45.4923</v>
      </c>
      <c r="AC85" s="324"/>
      <c r="AE85" s="519">
        <f t="shared" ca="1" si="6"/>
        <v>0</v>
      </c>
      <c r="AF85" s="519">
        <f t="shared" ca="1" si="7"/>
        <v>0</v>
      </c>
      <c r="AG85" s="519">
        <f t="shared" ca="1" si="8"/>
        <v>0</v>
      </c>
      <c r="AH85" s="519">
        <f t="shared" ca="1" si="9"/>
        <v>0</v>
      </c>
      <c r="AI85" s="519">
        <f t="shared" ca="1" si="23"/>
        <v>0</v>
      </c>
      <c r="AJ85" s="519">
        <f t="shared" ca="1" si="10"/>
        <v>0</v>
      </c>
      <c r="AK85" s="519">
        <f t="shared" ca="1" si="11"/>
        <v>0</v>
      </c>
      <c r="AL85" s="519">
        <f t="shared" ca="1" si="12"/>
        <v>0</v>
      </c>
      <c r="AM85" s="519">
        <f t="shared" ca="1" si="13"/>
        <v>0</v>
      </c>
      <c r="AN85" s="519">
        <f t="shared" ca="1" si="14"/>
        <v>0</v>
      </c>
      <c r="AO85" s="519">
        <f t="shared" ca="1" si="15"/>
        <v>0</v>
      </c>
      <c r="AP85" s="519">
        <f t="shared" ca="1" si="16"/>
        <v>0</v>
      </c>
      <c r="AQ85" s="519">
        <f t="shared" ca="1" si="17"/>
        <v>0</v>
      </c>
      <c r="AS85" s="536"/>
      <c r="AT85" s="536"/>
      <c r="AU85" s="519" t="str">
        <f t="shared" si="24"/>
        <v>Powerco</v>
      </c>
      <c r="AV85" s="519" t="str">
        <f t="shared" si="18"/>
        <v>HIN0331</v>
      </c>
      <c r="AW85" s="519">
        <f t="shared" si="19"/>
        <v>45.4923</v>
      </c>
      <c r="AX85" s="538"/>
      <c r="AY85" s="539">
        <f t="shared" ca="1" si="25"/>
        <v>1.3800109212149512</v>
      </c>
      <c r="AZ85" s="189"/>
      <c r="BC85" s="525"/>
      <c r="BD85" s="525"/>
      <c r="BE85" s="525"/>
      <c r="BF85" s="525"/>
      <c r="BG85" s="525"/>
      <c r="BH85" s="525"/>
      <c r="BI85" s="525"/>
    </row>
    <row r="86" spans="1:61" x14ac:dyDescent="0.3">
      <c r="A86" s="556">
        <v>1</v>
      </c>
      <c r="B86" s="519" t="str">
        <f t="shared" si="20"/>
        <v>HKK</v>
      </c>
      <c r="C86" s="519" t="str">
        <f>AMDs!C67</f>
        <v>Westpower</v>
      </c>
      <c r="D86" s="519" t="str">
        <f>AMDs!D67</f>
        <v>HKK0661</v>
      </c>
      <c r="E86" s="519">
        <f>IF(AMDs!C67="other",0,AMDs!E67)</f>
        <v>20.2272</v>
      </c>
      <c r="H86" s="519">
        <f ca="1">_xlfn.IFNA(IF(VLOOKUP($B86&amp;OFFSET(H$10,$A86*2,0),'Mapping A'!$B$6:$E$1011,4,0)=1,$E86,""),0)</f>
        <v>0</v>
      </c>
      <c r="I86" s="519">
        <f ca="1">_xlfn.IFNA(IF(VLOOKUP($B86&amp;OFFSET(I$10,$A86*2,0),'Mapping A'!$B$6:$E$1011,4,0)=1,$E86,""),0)</f>
        <v>20.2272</v>
      </c>
      <c r="J86" s="519">
        <f ca="1">_xlfn.IFNA(IF(VLOOKUP($B86&amp;OFFSET(J$10,$A86*2,0),'Mapping A'!$B$6:$E$1011,4,0)=1,$E86,""),0)</f>
        <v>0</v>
      </c>
      <c r="K86" s="519">
        <f ca="1">_xlfn.IFNA(IF(VLOOKUP($B86&amp;OFFSET(K$10,$A86*2,0),'Mapping A'!$B$6:$E$1011,4,0)=1,$E86,""),0)</f>
        <v>0</v>
      </c>
      <c r="L86" s="519">
        <f ca="1">_xlfn.IFNA(IF(VLOOKUP($B86&amp;OFFSET(L$10,$A86*2,0),'Mapping A'!$B$6:$E$1011,4,0)=1,$E86,""),0)</f>
        <v>0</v>
      </c>
      <c r="M86" s="519">
        <f ca="1">_xlfn.IFNA(IF(VLOOKUP($B86&amp;OFFSET(M$10,$A86*2,0),'Mapping A'!$B$6:$E$1011,4,0)=1,$E86,""),0)</f>
        <v>0</v>
      </c>
      <c r="N86" s="519">
        <f ca="1">_xlfn.IFNA(IF(VLOOKUP($B86&amp;OFFSET(N$10,$A86*2,0),'Mapping A'!$B$6:$E$1011,4,0)=1,$E86,""),0)</f>
        <v>0</v>
      </c>
      <c r="O86" s="519">
        <f ca="1">_xlfn.IFNA(IF(VLOOKUP($B86&amp;OFFSET(O$10,$A86*2,0),'Mapping A'!$B$6:$E$1011,4,0)=1,$E86,""),0)</f>
        <v>0</v>
      </c>
      <c r="P86" s="519">
        <f ca="1">_xlfn.IFNA(IF(VLOOKUP($B86&amp;OFFSET(P$10,$A86*2,0),'Mapping A'!$B$6:$E$1011,4,0)=1,$E86,""),0)</f>
        <v>20.2272</v>
      </c>
      <c r="Q86" s="519">
        <f ca="1">_xlfn.IFNA(IF(VLOOKUP($B86&amp;OFFSET(Q$10,$A86*2,0),'Mapping A'!$B$6:$E$1011,4,0)=1,$E86,""),0)</f>
        <v>0</v>
      </c>
      <c r="R86" s="519">
        <f ca="1">_xlfn.IFNA(IF(VLOOKUP($B86&amp;OFFSET(R$10,$A86*2,0),'Mapping A'!$B$6:$E$1011,4,0)=1,$E86,""),0)</f>
        <v>0</v>
      </c>
      <c r="S86" s="519">
        <f ca="1">_xlfn.IFNA(IF(VLOOKUP($B86&amp;OFFSET(S$10,$A86*2,0),'Mapping A'!$B$6:$E$1011,4,0)=1,$E86,""),0)</f>
        <v>0</v>
      </c>
      <c r="T86" s="519">
        <f ca="1">_xlfn.IFNA(IF(VLOOKUP($B86&amp;OFFSET(T$10,$A86*2,0),'Mapping A'!$B$6:$E$1011,4,0)=1,$E86,""),0)</f>
        <v>20.2272</v>
      </c>
      <c r="Y86" s="534" t="str">
        <f t="shared" si="21"/>
        <v>WestpowerHKK0661</v>
      </c>
      <c r="Z86" s="519" t="str">
        <f t="shared" ref="Z86:Z149" si="26">C86</f>
        <v>Westpower</v>
      </c>
      <c r="AA86" s="519" t="str">
        <f t="shared" ref="AA86:AA149" si="27">D86</f>
        <v>HKK0661</v>
      </c>
      <c r="AB86" s="519">
        <f t="shared" si="22"/>
        <v>20.2272</v>
      </c>
      <c r="AC86" s="324"/>
      <c r="AE86" s="519">
        <f t="shared" ref="AE86:AE149" ca="1" si="28">IF(SUMIF($A$22:$A$652,$A86,H$22:H$652)=0,0,OFFSET(H$11,$A86*2,0)*H$7*H86/SUMIF($A$22:$A$652,$A86,H$22:H$652))</f>
        <v>0</v>
      </c>
      <c r="AF86" s="519">
        <f t="shared" ref="AF86:AF149" ca="1" si="29">IF(SUMIF($A$22:$A$652,$A86,I$22:I$652)=0,0,OFFSET(I$11,$A86*2,0)*I$7*I86/SUMIF($A$22:$A$652,$A86,I$22:I$652))</f>
        <v>0</v>
      </c>
      <c r="AG86" s="519">
        <f t="shared" ref="AG86:AG149" ca="1" si="30">IF(SUMIF($A$22:$A$652,$A86,J$22:J$652)=0,0,OFFSET(J$11,$A86*2,0)*J$7*J86/SUMIF($A$22:$A$652,$A86,J$22:J$652))</f>
        <v>0</v>
      </c>
      <c r="AH86" s="519">
        <f t="shared" ref="AH86:AH149" ca="1" si="31">IF(SUMIF($A$22:$A$652,$A86,K$22:K$652)=0,0,OFFSET(K$11,$A86*2,0)*K$7*K86/SUMIF($A$22:$A$652,$A86,K$22:K$652))</f>
        <v>0</v>
      </c>
      <c r="AI86" s="519">
        <f t="shared" ca="1" si="23"/>
        <v>0</v>
      </c>
      <c r="AJ86" s="519">
        <f t="shared" ref="AJ86:AJ149" ca="1" si="32">IF(SUMIF($A$22:$A$652,$A86,M$22:M$652)=0,0,OFFSET(M$11,$A86*2,0)*M$7*M86/SUMIF($A$22:$A$652,$A86,M$22:M$652))</f>
        <v>0</v>
      </c>
      <c r="AK86" s="519">
        <f t="shared" ref="AK86:AK149" ca="1" si="33">IF(SUMIF($A$22:$A$652,$A86,N$22:N$652)=0,0,OFFSET(N$11,$A86*2,0)*N$7*N86/SUMIF($A$22:$A$652,$A86,N$22:N$652))</f>
        <v>0</v>
      </c>
      <c r="AL86" s="519">
        <f t="shared" ref="AL86:AL149" ca="1" si="34">IF(SUMIF($A$22:$A$652,$A86,O$22:O$652)=0,0,OFFSET(O$11,$A86*2,0)*O$7*O86/SUMIF($A$22:$A$652,$A86,O$22:O$652))</f>
        <v>0</v>
      </c>
      <c r="AM86" s="519">
        <f t="shared" ref="AM86:AM149" ca="1" si="35">IF(SUMIF($A$22:$A$652,$A86,P$22:P$652)=0,0,OFFSET(P$11,$A86*2,0)*P$7*P86/SUMIF($A$22:$A$652,$A86,P$22:P$652))</f>
        <v>5.3882634589889608E-2</v>
      </c>
      <c r="AN86" s="519">
        <f t="shared" ref="AN86:AN149" ca="1" si="36">IF(SUMIF($A$22:$A$652,$A86,Q$22:Q$652)=0,0,OFFSET(Q$11,$A86*2,0)*Q$7*Q86/SUMIF($A$22:$A$652,$A86,Q$22:Q$652))</f>
        <v>0</v>
      </c>
      <c r="AO86" s="519">
        <f t="shared" ref="AO86:AO149" ca="1" si="37">IF(SUMIF($A$22:$A$652,$A86,R$22:R$652)=0,0,OFFSET(R$11,$A86*2,0)*R$7*R86/SUMIF($A$22:$A$652,$A86,R$22:R$652))</f>
        <v>0</v>
      </c>
      <c r="AP86" s="519">
        <f t="shared" ref="AP86:AP149" ca="1" si="38">IF(SUMIF($A$22:$A$652,$A86,S$22:S$652)=0,0,OFFSET(S$11,$A86*2,0)*S$7*S86/SUMIF($A$22:$A$652,$A86,S$22:S$652))</f>
        <v>0</v>
      </c>
      <c r="AQ86" s="519">
        <f t="shared" ref="AQ86:AQ149" ca="1" si="39">IF(SUMIF($A$22:$A$652,$A86,T$22:T$652)=0,0,OFFSET(T$11,$A86*2,0)*T$7*T86/SUMIF($A$22:$A$652,$A86,T$22:T$652))</f>
        <v>0</v>
      </c>
      <c r="AS86" s="536"/>
      <c r="AT86" s="536"/>
      <c r="AU86" s="519" t="str">
        <f t="shared" si="24"/>
        <v>Westpower</v>
      </c>
      <c r="AV86" s="519" t="str">
        <f t="shared" ref="AV86:AV149" si="40">D86</f>
        <v>HKK0661</v>
      </c>
      <c r="AW86" s="519">
        <f t="shared" ref="AW86:AW149" si="41">E86</f>
        <v>20.2272</v>
      </c>
      <c r="AX86" s="538"/>
      <c r="AY86" s="539">
        <f t="shared" ca="1" si="25"/>
        <v>0.61359300157607022</v>
      </c>
      <c r="AZ86" s="189"/>
      <c r="BC86" s="525"/>
      <c r="BD86" s="525"/>
      <c r="BE86" s="525"/>
      <c r="BF86" s="525"/>
      <c r="BG86" s="525"/>
      <c r="BH86" s="525"/>
      <c r="BI86" s="525"/>
    </row>
    <row r="87" spans="1:61" x14ac:dyDescent="0.3">
      <c r="A87" s="556">
        <v>1</v>
      </c>
      <c r="B87" s="519" t="str">
        <f t="shared" ref="B87:B150" si="42">LEFT(D87,3)</f>
        <v>HLY</v>
      </c>
      <c r="C87" s="519" t="str">
        <f>AMDs!C68</f>
        <v>WEL</v>
      </c>
      <c r="D87" s="519" t="str">
        <f>AMDs!D68</f>
        <v>HLY0331</v>
      </c>
      <c r="E87" s="519">
        <f>IF(AMDs!C68="other",0,AMDs!E68)</f>
        <v>26.646899999999999</v>
      </c>
      <c r="H87" s="519">
        <f ca="1">_xlfn.IFNA(IF(VLOOKUP($B87&amp;OFFSET(H$10,$A87*2,0),'Mapping A'!$B$6:$E$1011,4,0)=1,$E87,""),0)</f>
        <v>0</v>
      </c>
      <c r="I87" s="519">
        <f ca="1">_xlfn.IFNA(IF(VLOOKUP($B87&amp;OFFSET(I$10,$A87*2,0),'Mapping A'!$B$6:$E$1011,4,0)=1,$E87,""),0)</f>
        <v>26.646899999999999</v>
      </c>
      <c r="J87" s="519">
        <f ca="1">_xlfn.IFNA(IF(VLOOKUP($B87&amp;OFFSET(J$10,$A87*2,0),'Mapping A'!$B$6:$E$1011,4,0)=1,$E87,""),0)</f>
        <v>26.646899999999999</v>
      </c>
      <c r="K87" s="519">
        <f ca="1">_xlfn.IFNA(IF(VLOOKUP($B87&amp;OFFSET(K$10,$A87*2,0),'Mapping A'!$B$6:$E$1011,4,0)=1,$E87,""),0)</f>
        <v>0</v>
      </c>
      <c r="L87" s="519">
        <f ca="1">_xlfn.IFNA(IF(VLOOKUP($B87&amp;OFFSET(L$10,$A87*2,0),'Mapping A'!$B$6:$E$1011,4,0)=1,$E87,""),0)</f>
        <v>0</v>
      </c>
      <c r="M87" s="519">
        <f ca="1">_xlfn.IFNA(IF(VLOOKUP($B87&amp;OFFSET(M$10,$A87*2,0),'Mapping A'!$B$6:$E$1011,4,0)=1,$E87,""),0)</f>
        <v>26.646899999999999</v>
      </c>
      <c r="N87" s="519">
        <f ca="1">_xlfn.IFNA(IF(VLOOKUP($B87&amp;OFFSET(N$10,$A87*2,0),'Mapping A'!$B$6:$E$1011,4,0)=1,$E87,""),0)</f>
        <v>0</v>
      </c>
      <c r="O87" s="519">
        <f ca="1">_xlfn.IFNA(IF(VLOOKUP($B87&amp;OFFSET(O$10,$A87*2,0),'Mapping A'!$B$6:$E$1011,4,0)=1,$E87,""),0)</f>
        <v>0</v>
      </c>
      <c r="P87" s="519">
        <f ca="1">_xlfn.IFNA(IF(VLOOKUP($B87&amp;OFFSET(P$10,$A87*2,0),'Mapping A'!$B$6:$E$1011,4,0)=1,$E87,""),0)</f>
        <v>0</v>
      </c>
      <c r="Q87" s="519">
        <f ca="1">_xlfn.IFNA(IF(VLOOKUP($B87&amp;OFFSET(Q$10,$A87*2,0),'Mapping A'!$B$6:$E$1011,4,0)=1,$E87,""),0)</f>
        <v>0</v>
      </c>
      <c r="R87" s="519">
        <f ca="1">_xlfn.IFNA(IF(VLOOKUP($B87&amp;OFFSET(R$10,$A87*2,0),'Mapping A'!$B$6:$E$1011,4,0)=1,$E87,""),0)</f>
        <v>0</v>
      </c>
      <c r="S87" s="519">
        <f ca="1">_xlfn.IFNA(IF(VLOOKUP($B87&amp;OFFSET(S$10,$A87*2,0),'Mapping A'!$B$6:$E$1011,4,0)=1,$E87,""),0)</f>
        <v>0</v>
      </c>
      <c r="T87" s="519">
        <f ca="1">_xlfn.IFNA(IF(VLOOKUP($B87&amp;OFFSET(T$10,$A87*2,0),'Mapping A'!$B$6:$E$1011,4,0)=1,$E87,""),0)</f>
        <v>0</v>
      </c>
      <c r="Y87" s="534" t="str">
        <f t="shared" si="21"/>
        <v>WELHLY0331</v>
      </c>
      <c r="Z87" s="519" t="str">
        <f t="shared" si="26"/>
        <v>WEL</v>
      </c>
      <c r="AA87" s="519" t="str">
        <f t="shared" si="27"/>
        <v>HLY0331</v>
      </c>
      <c r="AB87" s="519">
        <f t="shared" ref="AB87:AB150" si="43">E87</f>
        <v>26.646899999999999</v>
      </c>
      <c r="AC87" s="324"/>
      <c r="AE87" s="519">
        <f t="shared" ca="1" si="28"/>
        <v>0</v>
      </c>
      <c r="AF87" s="519">
        <f t="shared" ca="1" si="29"/>
        <v>0</v>
      </c>
      <c r="AG87" s="519">
        <f t="shared" ca="1" si="30"/>
        <v>0</v>
      </c>
      <c r="AH87" s="519">
        <f t="shared" ca="1" si="31"/>
        <v>0</v>
      </c>
      <c r="AI87" s="519">
        <f t="shared" ref="AI87:AI150" ca="1" si="44">IF(SUMIF($A$22:$A$652,$A87,L$22:L$652)=0,0,OFFSET(L$11,$A87*2,0)*L$7*L87/SUMIF($A$22:$A$652,$A87,L$22:L$652))</f>
        <v>0</v>
      </c>
      <c r="AJ87" s="519">
        <f t="shared" ca="1" si="32"/>
        <v>0</v>
      </c>
      <c r="AK87" s="519">
        <f t="shared" ca="1" si="33"/>
        <v>0</v>
      </c>
      <c r="AL87" s="519">
        <f t="shared" ca="1" si="34"/>
        <v>0</v>
      </c>
      <c r="AM87" s="519">
        <f t="shared" ca="1" si="35"/>
        <v>0</v>
      </c>
      <c r="AN87" s="519">
        <f t="shared" ca="1" si="36"/>
        <v>0</v>
      </c>
      <c r="AO87" s="519">
        <f t="shared" ca="1" si="37"/>
        <v>0</v>
      </c>
      <c r="AP87" s="519">
        <f t="shared" ca="1" si="38"/>
        <v>0</v>
      </c>
      <c r="AQ87" s="519">
        <f t="shared" ca="1" si="39"/>
        <v>0</v>
      </c>
      <c r="AS87" s="536"/>
      <c r="AT87" s="536"/>
      <c r="AU87" s="519" t="str">
        <f t="shared" ref="AU87:AU150" si="45">C87</f>
        <v>WEL</v>
      </c>
      <c r="AV87" s="519" t="str">
        <f t="shared" si="40"/>
        <v>HLY0331</v>
      </c>
      <c r="AW87" s="519">
        <f t="shared" si="41"/>
        <v>26.646899999999999</v>
      </c>
      <c r="AX87" s="538"/>
      <c r="AY87" s="539">
        <f t="shared" ref="AY87:AY150" ca="1" si="46">($AW$12-$AW$14)*AW87/$AW$13</f>
        <v>0.80833488340933923</v>
      </c>
      <c r="AZ87" s="189"/>
      <c r="BC87" s="525"/>
      <c r="BD87" s="525"/>
      <c r="BE87" s="525"/>
      <c r="BF87" s="525"/>
      <c r="BG87" s="525"/>
      <c r="BH87" s="525"/>
      <c r="BI87" s="525"/>
    </row>
    <row r="88" spans="1:61" x14ac:dyDescent="0.3">
      <c r="A88" s="556">
        <v>1</v>
      </c>
      <c r="B88" s="519" t="str">
        <f t="shared" si="42"/>
        <v>HLY</v>
      </c>
      <c r="C88" s="519" t="str">
        <f>AMDs!C69</f>
        <v>Genesis</v>
      </c>
      <c r="D88" s="519" t="str">
        <f>AMDs!D69</f>
        <v>HLY2201</v>
      </c>
      <c r="E88" s="519">
        <f>IF(AMDs!C69="other",0,AMDs!E69)</f>
        <v>17.944500000000001</v>
      </c>
      <c r="H88" s="519">
        <f ca="1">_xlfn.IFNA(IF(VLOOKUP($B88&amp;OFFSET(H$10,$A88*2,0),'Mapping A'!$B$6:$E$1011,4,0)=1,$E88,""),0)</f>
        <v>0</v>
      </c>
      <c r="I88" s="519">
        <f ca="1">_xlfn.IFNA(IF(VLOOKUP($B88&amp;OFFSET(I$10,$A88*2,0),'Mapping A'!$B$6:$E$1011,4,0)=1,$E88,""),0)</f>
        <v>17.944500000000001</v>
      </c>
      <c r="J88" s="519">
        <f ca="1">_xlfn.IFNA(IF(VLOOKUP($B88&amp;OFFSET(J$10,$A88*2,0),'Mapping A'!$B$6:$E$1011,4,0)=1,$E88,""),0)</f>
        <v>17.944500000000001</v>
      </c>
      <c r="K88" s="519">
        <f ca="1">_xlfn.IFNA(IF(VLOOKUP($B88&amp;OFFSET(K$10,$A88*2,0),'Mapping A'!$B$6:$E$1011,4,0)=1,$E88,""),0)</f>
        <v>0</v>
      </c>
      <c r="L88" s="519">
        <f ca="1">_xlfn.IFNA(IF(VLOOKUP($B88&amp;OFFSET(L$10,$A88*2,0),'Mapping A'!$B$6:$E$1011,4,0)=1,$E88,""),0)</f>
        <v>0</v>
      </c>
      <c r="M88" s="519">
        <f ca="1">_xlfn.IFNA(IF(VLOOKUP($B88&amp;OFFSET(M$10,$A88*2,0),'Mapping A'!$B$6:$E$1011,4,0)=1,$E88,""),0)</f>
        <v>17.944500000000001</v>
      </c>
      <c r="N88" s="519">
        <f ca="1">_xlfn.IFNA(IF(VLOOKUP($B88&amp;OFFSET(N$10,$A88*2,0),'Mapping A'!$B$6:$E$1011,4,0)=1,$E88,""),0)</f>
        <v>0</v>
      </c>
      <c r="O88" s="519">
        <f ca="1">_xlfn.IFNA(IF(VLOOKUP($B88&amp;OFFSET(O$10,$A88*2,0),'Mapping A'!$B$6:$E$1011,4,0)=1,$E88,""),0)</f>
        <v>0</v>
      </c>
      <c r="P88" s="519">
        <f ca="1">_xlfn.IFNA(IF(VLOOKUP($B88&amp;OFFSET(P$10,$A88*2,0),'Mapping A'!$B$6:$E$1011,4,0)=1,$E88,""),0)</f>
        <v>0</v>
      </c>
      <c r="Q88" s="519">
        <f ca="1">_xlfn.IFNA(IF(VLOOKUP($B88&amp;OFFSET(Q$10,$A88*2,0),'Mapping A'!$B$6:$E$1011,4,0)=1,$E88,""),0)</f>
        <v>0</v>
      </c>
      <c r="R88" s="519">
        <f ca="1">_xlfn.IFNA(IF(VLOOKUP($B88&amp;OFFSET(R$10,$A88*2,0),'Mapping A'!$B$6:$E$1011,4,0)=1,$E88,""),0)</f>
        <v>0</v>
      </c>
      <c r="S88" s="519">
        <f ca="1">_xlfn.IFNA(IF(VLOOKUP($B88&amp;OFFSET(S$10,$A88*2,0),'Mapping A'!$B$6:$E$1011,4,0)=1,$E88,""),0)</f>
        <v>0</v>
      </c>
      <c r="T88" s="519">
        <f ca="1">_xlfn.IFNA(IF(VLOOKUP($B88&amp;OFFSET(T$10,$A88*2,0),'Mapping A'!$B$6:$E$1011,4,0)=1,$E88,""),0)</f>
        <v>0</v>
      </c>
      <c r="Y88" s="534" t="str">
        <f t="shared" ref="Y88:Y151" si="47">Z88&amp;AA88</f>
        <v>GenesisHLY2201</v>
      </c>
      <c r="Z88" s="519" t="str">
        <f t="shared" si="26"/>
        <v>Genesis</v>
      </c>
      <c r="AA88" s="519" t="str">
        <f t="shared" si="27"/>
        <v>HLY2201</v>
      </c>
      <c r="AB88" s="519">
        <f t="shared" si="43"/>
        <v>17.944500000000001</v>
      </c>
      <c r="AC88" s="324"/>
      <c r="AE88" s="519">
        <f t="shared" ca="1" si="28"/>
        <v>0</v>
      </c>
      <c r="AF88" s="519">
        <f t="shared" ca="1" si="29"/>
        <v>0</v>
      </c>
      <c r="AG88" s="519">
        <f t="shared" ca="1" si="30"/>
        <v>0</v>
      </c>
      <c r="AH88" s="519">
        <f t="shared" ca="1" si="31"/>
        <v>0</v>
      </c>
      <c r="AI88" s="519">
        <f t="shared" ca="1" si="44"/>
        <v>0</v>
      </c>
      <c r="AJ88" s="519">
        <f t="shared" ca="1" si="32"/>
        <v>0</v>
      </c>
      <c r="AK88" s="519">
        <f t="shared" ca="1" si="33"/>
        <v>0</v>
      </c>
      <c r="AL88" s="519">
        <f t="shared" ca="1" si="34"/>
        <v>0</v>
      </c>
      <c r="AM88" s="519">
        <f t="shared" ca="1" si="35"/>
        <v>0</v>
      </c>
      <c r="AN88" s="519">
        <f t="shared" ca="1" si="36"/>
        <v>0</v>
      </c>
      <c r="AO88" s="519">
        <f t="shared" ca="1" si="37"/>
        <v>0</v>
      </c>
      <c r="AP88" s="519">
        <f t="shared" ca="1" si="38"/>
        <v>0</v>
      </c>
      <c r="AQ88" s="519">
        <f t="shared" ca="1" si="39"/>
        <v>0</v>
      </c>
      <c r="AS88" s="536"/>
      <c r="AT88" s="536"/>
      <c r="AU88" s="519" t="str">
        <f t="shared" si="45"/>
        <v>Genesis</v>
      </c>
      <c r="AV88" s="519" t="str">
        <f t="shared" si="40"/>
        <v>HLY2201</v>
      </c>
      <c r="AW88" s="519">
        <f t="shared" si="41"/>
        <v>17.944500000000001</v>
      </c>
      <c r="AX88" s="538"/>
      <c r="AY88" s="539">
        <f t="shared" ca="1" si="46"/>
        <v>0.54434719668475084</v>
      </c>
      <c r="AZ88" s="189"/>
      <c r="BC88" s="525"/>
      <c r="BD88" s="525"/>
      <c r="BE88" s="525"/>
      <c r="BF88" s="525"/>
      <c r="BG88" s="525"/>
      <c r="BH88" s="525"/>
      <c r="BI88" s="525"/>
    </row>
    <row r="89" spans="1:61" x14ac:dyDescent="0.3">
      <c r="A89" s="556">
        <v>1</v>
      </c>
      <c r="B89" s="519" t="str">
        <f t="shared" si="42"/>
        <v>HOB</v>
      </c>
      <c r="C89" s="519" t="str">
        <f>AMDs!C70</f>
        <v>Vector</v>
      </c>
      <c r="D89" s="519" t="str">
        <f>AMDs!D70</f>
        <v>HOB1101</v>
      </c>
      <c r="E89" s="519">
        <f>IF(AMDs!C70="other",0,AMDs!E70)</f>
        <v>111.1572</v>
      </c>
      <c r="H89" s="519">
        <f ca="1">_xlfn.IFNA(IF(VLOOKUP($B89&amp;OFFSET(H$10,$A89*2,0),'Mapping A'!$B$6:$E$1011,4,0)=1,$E89,""),0)</f>
        <v>111.1572</v>
      </c>
      <c r="I89" s="519">
        <f ca="1">_xlfn.IFNA(IF(VLOOKUP($B89&amp;OFFSET(I$10,$A89*2,0),'Mapping A'!$B$6:$E$1011,4,0)=1,$E89,""),0)</f>
        <v>111.1572</v>
      </c>
      <c r="J89" s="519">
        <f ca="1">_xlfn.IFNA(IF(VLOOKUP($B89&amp;OFFSET(J$10,$A89*2,0),'Mapping A'!$B$6:$E$1011,4,0)=1,$E89,""),0)</f>
        <v>111.1572</v>
      </c>
      <c r="K89" s="519">
        <f ca="1">_xlfn.IFNA(IF(VLOOKUP($B89&amp;OFFSET(K$10,$A89*2,0),'Mapping A'!$B$6:$E$1011,4,0)=1,$E89,""),0)</f>
        <v>0</v>
      </c>
      <c r="L89" s="519">
        <f ca="1">_xlfn.IFNA(IF(VLOOKUP($B89&amp;OFFSET(L$10,$A89*2,0),'Mapping A'!$B$6:$E$1011,4,0)=1,$E89,""),0)</f>
        <v>0</v>
      </c>
      <c r="M89" s="519">
        <f ca="1">_xlfn.IFNA(IF(VLOOKUP($B89&amp;OFFSET(M$10,$A89*2,0),'Mapping A'!$B$6:$E$1011,4,0)=1,$E89,""),0)</f>
        <v>111.1572</v>
      </c>
      <c r="N89" s="519">
        <f ca="1">_xlfn.IFNA(IF(VLOOKUP($B89&amp;OFFSET(N$10,$A89*2,0),'Mapping A'!$B$6:$E$1011,4,0)=1,$E89,""),0)</f>
        <v>111.1572</v>
      </c>
      <c r="O89" s="519">
        <f ca="1">_xlfn.IFNA(IF(VLOOKUP($B89&amp;OFFSET(O$10,$A89*2,0),'Mapping A'!$B$6:$E$1011,4,0)=1,$E89,""),0)</f>
        <v>0</v>
      </c>
      <c r="P89" s="519">
        <f ca="1">_xlfn.IFNA(IF(VLOOKUP($B89&amp;OFFSET(P$10,$A89*2,0),'Mapping A'!$B$6:$E$1011,4,0)=1,$E89,""),0)</f>
        <v>0</v>
      </c>
      <c r="Q89" s="519">
        <f ca="1">_xlfn.IFNA(IF(VLOOKUP($B89&amp;OFFSET(Q$10,$A89*2,0),'Mapping A'!$B$6:$E$1011,4,0)=1,$E89,""),0)</f>
        <v>111.1572</v>
      </c>
      <c r="R89" s="519">
        <f ca="1">_xlfn.IFNA(IF(VLOOKUP($B89&amp;OFFSET(R$10,$A89*2,0),'Mapping A'!$B$6:$E$1011,4,0)=1,$E89,""),0)</f>
        <v>0</v>
      </c>
      <c r="S89" s="519">
        <f ca="1">_xlfn.IFNA(IF(VLOOKUP($B89&amp;OFFSET(S$10,$A89*2,0),'Mapping A'!$B$6:$E$1011,4,0)=1,$E89,""),0)</f>
        <v>0</v>
      </c>
      <c r="T89" s="519">
        <f ca="1">_xlfn.IFNA(IF(VLOOKUP($B89&amp;OFFSET(T$10,$A89*2,0),'Mapping A'!$B$6:$E$1011,4,0)=1,$E89,""),0)</f>
        <v>0</v>
      </c>
      <c r="Y89" s="534" t="str">
        <f t="shared" si="47"/>
        <v>VectorHOB1101</v>
      </c>
      <c r="Z89" s="519" t="str">
        <f t="shared" si="26"/>
        <v>Vector</v>
      </c>
      <c r="AA89" s="519" t="str">
        <f t="shared" si="27"/>
        <v>HOB1101</v>
      </c>
      <c r="AB89" s="519">
        <f t="shared" si="43"/>
        <v>111.1572</v>
      </c>
      <c r="AC89" s="324"/>
      <c r="AE89" s="519">
        <f t="shared" ca="1" si="28"/>
        <v>0</v>
      </c>
      <c r="AF89" s="519">
        <f t="shared" ca="1" si="29"/>
        <v>0</v>
      </c>
      <c r="AG89" s="519">
        <f t="shared" ca="1" si="30"/>
        <v>0</v>
      </c>
      <c r="AH89" s="519">
        <f t="shared" ca="1" si="31"/>
        <v>0</v>
      </c>
      <c r="AI89" s="519">
        <f t="shared" ca="1" si="44"/>
        <v>0</v>
      </c>
      <c r="AJ89" s="519">
        <f t="shared" ca="1" si="32"/>
        <v>0</v>
      </c>
      <c r="AK89" s="519">
        <f t="shared" ca="1" si="33"/>
        <v>0.44520981662222076</v>
      </c>
      <c r="AL89" s="519">
        <f t="shared" ca="1" si="34"/>
        <v>0</v>
      </c>
      <c r="AM89" s="519">
        <f t="shared" ca="1" si="35"/>
        <v>0</v>
      </c>
      <c r="AN89" s="519">
        <f t="shared" ca="1" si="36"/>
        <v>0.20533173030577667</v>
      </c>
      <c r="AO89" s="519">
        <f t="shared" ca="1" si="37"/>
        <v>0</v>
      </c>
      <c r="AP89" s="519">
        <f t="shared" ca="1" si="38"/>
        <v>0</v>
      </c>
      <c r="AQ89" s="519">
        <f t="shared" ca="1" si="39"/>
        <v>0</v>
      </c>
      <c r="AS89" s="536"/>
      <c r="AT89" s="536"/>
      <c r="AU89" s="519" t="str">
        <f t="shared" si="45"/>
        <v>Vector</v>
      </c>
      <c r="AV89" s="519" t="str">
        <f t="shared" si="40"/>
        <v>HOB1101</v>
      </c>
      <c r="AW89" s="519">
        <f t="shared" si="41"/>
        <v>111.1572</v>
      </c>
      <c r="AX89" s="538"/>
      <c r="AY89" s="539">
        <f t="shared" ca="1" si="46"/>
        <v>3.3719585506047083</v>
      </c>
      <c r="AZ89" s="189"/>
      <c r="BC89" s="525"/>
      <c r="BD89" s="525"/>
      <c r="BE89" s="525"/>
      <c r="BF89" s="525"/>
      <c r="BG89" s="525"/>
      <c r="BH89" s="525"/>
    </row>
    <row r="90" spans="1:61" x14ac:dyDescent="0.3">
      <c r="A90" s="556">
        <v>1</v>
      </c>
      <c r="B90" s="519" t="str">
        <f t="shared" si="42"/>
        <v>HOR</v>
      </c>
      <c r="C90" s="519" t="str">
        <f>AMDs!C71</f>
        <v>Orion</v>
      </c>
      <c r="D90" s="519" t="str">
        <f>AMDs!D71</f>
        <v>HOR0331</v>
      </c>
      <c r="E90" s="519">
        <f>IF(AMDs!C71="other",0,AMDs!E71)</f>
        <v>23.776199999999999</v>
      </c>
      <c r="H90" s="519">
        <f ca="1">_xlfn.IFNA(IF(VLOOKUP($B90&amp;OFFSET(H$10,$A90*2,0),'Mapping A'!$B$6:$E$1011,4,0)=1,$E90,""),0)</f>
        <v>0</v>
      </c>
      <c r="I90" s="519">
        <f ca="1">_xlfn.IFNA(IF(VLOOKUP($B90&amp;OFFSET(I$10,$A90*2,0),'Mapping A'!$B$6:$E$1011,4,0)=1,$E90,""),0)</f>
        <v>23.776199999999999</v>
      </c>
      <c r="J90" s="519">
        <f ca="1">_xlfn.IFNA(IF(VLOOKUP($B90&amp;OFFSET(J$10,$A90*2,0),'Mapping A'!$B$6:$E$1011,4,0)=1,$E90,""),0)</f>
        <v>0</v>
      </c>
      <c r="K90" s="519">
        <f ca="1">_xlfn.IFNA(IF(VLOOKUP($B90&amp;OFFSET(K$10,$A90*2,0),'Mapping A'!$B$6:$E$1011,4,0)=1,$E90,""),0)</f>
        <v>0</v>
      </c>
      <c r="L90" s="519">
        <f ca="1">_xlfn.IFNA(IF(VLOOKUP($B90&amp;OFFSET(L$10,$A90*2,0),'Mapping A'!$B$6:$E$1011,4,0)=1,$E90,""),0)</f>
        <v>0</v>
      </c>
      <c r="M90" s="519">
        <f ca="1">_xlfn.IFNA(IF(VLOOKUP($B90&amp;OFFSET(M$10,$A90*2,0),'Mapping A'!$B$6:$E$1011,4,0)=1,$E90,""),0)</f>
        <v>0</v>
      </c>
      <c r="N90" s="519">
        <f ca="1">_xlfn.IFNA(IF(VLOOKUP($B90&amp;OFFSET(N$10,$A90*2,0),'Mapping A'!$B$6:$E$1011,4,0)=1,$E90,""),0)</f>
        <v>0</v>
      </c>
      <c r="O90" s="519">
        <f ca="1">_xlfn.IFNA(IF(VLOOKUP($B90&amp;OFFSET(O$10,$A90*2,0),'Mapping A'!$B$6:$E$1011,4,0)=1,$E90,""),0)</f>
        <v>0</v>
      </c>
      <c r="P90" s="519">
        <f ca="1">_xlfn.IFNA(IF(VLOOKUP($B90&amp;OFFSET(P$10,$A90*2,0),'Mapping A'!$B$6:$E$1011,4,0)=1,$E90,""),0)</f>
        <v>23.776199999999999</v>
      </c>
      <c r="Q90" s="519">
        <f ca="1">_xlfn.IFNA(IF(VLOOKUP($B90&amp;OFFSET(Q$10,$A90*2,0),'Mapping A'!$B$6:$E$1011,4,0)=1,$E90,""),0)</f>
        <v>0</v>
      </c>
      <c r="R90" s="519">
        <f ca="1">_xlfn.IFNA(IF(VLOOKUP($B90&amp;OFFSET(R$10,$A90*2,0),'Mapping A'!$B$6:$E$1011,4,0)=1,$E90,""),0)</f>
        <v>0</v>
      </c>
      <c r="S90" s="519">
        <f ca="1">_xlfn.IFNA(IF(VLOOKUP($B90&amp;OFFSET(S$10,$A90*2,0),'Mapping A'!$B$6:$E$1011,4,0)=1,$E90,""),0)</f>
        <v>0</v>
      </c>
      <c r="T90" s="519">
        <f ca="1">_xlfn.IFNA(IF(VLOOKUP($B90&amp;OFFSET(T$10,$A90*2,0),'Mapping A'!$B$6:$E$1011,4,0)=1,$E90,""),0)</f>
        <v>0</v>
      </c>
      <c r="Y90" s="534" t="str">
        <f t="shared" si="47"/>
        <v>OrionHOR0331</v>
      </c>
      <c r="Z90" s="519" t="str">
        <f t="shared" si="26"/>
        <v>Orion</v>
      </c>
      <c r="AA90" s="519" t="str">
        <f t="shared" si="27"/>
        <v>HOR0331</v>
      </c>
      <c r="AB90" s="519">
        <f t="shared" si="43"/>
        <v>23.776199999999999</v>
      </c>
      <c r="AC90" s="324"/>
      <c r="AE90" s="519">
        <f t="shared" ca="1" si="28"/>
        <v>0</v>
      </c>
      <c r="AF90" s="519">
        <f t="shared" ca="1" si="29"/>
        <v>0</v>
      </c>
      <c r="AG90" s="519">
        <f t="shared" ca="1" si="30"/>
        <v>0</v>
      </c>
      <c r="AH90" s="519">
        <f t="shared" ca="1" si="31"/>
        <v>0</v>
      </c>
      <c r="AI90" s="519">
        <f t="shared" ca="1" si="44"/>
        <v>0</v>
      </c>
      <c r="AJ90" s="519">
        <f t="shared" ca="1" si="32"/>
        <v>0</v>
      </c>
      <c r="AK90" s="519">
        <f t="shared" ca="1" si="33"/>
        <v>0</v>
      </c>
      <c r="AL90" s="519">
        <f t="shared" ca="1" si="34"/>
        <v>0</v>
      </c>
      <c r="AM90" s="519">
        <f t="shared" ca="1" si="35"/>
        <v>6.3336709803439584E-2</v>
      </c>
      <c r="AN90" s="519">
        <f t="shared" ca="1" si="36"/>
        <v>0</v>
      </c>
      <c r="AO90" s="519">
        <f t="shared" ca="1" si="37"/>
        <v>0</v>
      </c>
      <c r="AP90" s="519">
        <f t="shared" ca="1" si="38"/>
        <v>0</v>
      </c>
      <c r="AQ90" s="519">
        <f t="shared" ca="1" si="39"/>
        <v>0</v>
      </c>
      <c r="AS90" s="536"/>
      <c r="AT90" s="536"/>
      <c r="AU90" s="519" t="str">
        <f t="shared" si="45"/>
        <v>Orion</v>
      </c>
      <c r="AV90" s="519" t="str">
        <f t="shared" si="40"/>
        <v>HOR0331</v>
      </c>
      <c r="AW90" s="519">
        <f t="shared" si="41"/>
        <v>23.776199999999999</v>
      </c>
      <c r="AX90" s="538"/>
      <c r="AY90" s="539">
        <f t="shared" ca="1" si="46"/>
        <v>0.72125207265825031</v>
      </c>
      <c r="AZ90" s="189"/>
      <c r="BC90" s="525"/>
      <c r="BD90" s="525"/>
      <c r="BE90" s="525"/>
      <c r="BF90" s="525"/>
      <c r="BG90" s="525"/>
      <c r="BH90" s="525"/>
    </row>
    <row r="91" spans="1:61" x14ac:dyDescent="0.3">
      <c r="A91" s="556">
        <v>1</v>
      </c>
      <c r="B91" s="519" t="str">
        <f t="shared" si="42"/>
        <v>HOR</v>
      </c>
      <c r="C91" s="519" t="str">
        <f>AMDs!C72</f>
        <v>Orion</v>
      </c>
      <c r="D91" s="519" t="str">
        <f>AMDs!D72</f>
        <v>HOR0661</v>
      </c>
      <c r="E91" s="519">
        <f>IF(AMDs!C72="other",0,AMDs!E72)</f>
        <v>30.5928</v>
      </c>
      <c r="H91" s="519">
        <f ca="1">_xlfn.IFNA(IF(VLOOKUP($B91&amp;OFFSET(H$10,$A91*2,0),'Mapping A'!$B$6:$E$1011,4,0)=1,$E91,""),0)</f>
        <v>0</v>
      </c>
      <c r="I91" s="519">
        <f ca="1">_xlfn.IFNA(IF(VLOOKUP($B91&amp;OFFSET(I$10,$A91*2,0),'Mapping A'!$B$6:$E$1011,4,0)=1,$E91,""),0)</f>
        <v>30.5928</v>
      </c>
      <c r="J91" s="519">
        <f ca="1">_xlfn.IFNA(IF(VLOOKUP($B91&amp;OFFSET(J$10,$A91*2,0),'Mapping A'!$B$6:$E$1011,4,0)=1,$E91,""),0)</f>
        <v>0</v>
      </c>
      <c r="K91" s="519">
        <f ca="1">_xlfn.IFNA(IF(VLOOKUP($B91&amp;OFFSET(K$10,$A91*2,0),'Mapping A'!$B$6:$E$1011,4,0)=1,$E91,""),0)</f>
        <v>0</v>
      </c>
      <c r="L91" s="519">
        <f ca="1">_xlfn.IFNA(IF(VLOOKUP($B91&amp;OFFSET(L$10,$A91*2,0),'Mapping A'!$B$6:$E$1011,4,0)=1,$E91,""),0)</f>
        <v>0</v>
      </c>
      <c r="M91" s="519">
        <f ca="1">_xlfn.IFNA(IF(VLOOKUP($B91&amp;OFFSET(M$10,$A91*2,0),'Mapping A'!$B$6:$E$1011,4,0)=1,$E91,""),0)</f>
        <v>0</v>
      </c>
      <c r="N91" s="519">
        <f ca="1">_xlfn.IFNA(IF(VLOOKUP($B91&amp;OFFSET(N$10,$A91*2,0),'Mapping A'!$B$6:$E$1011,4,0)=1,$E91,""),0)</f>
        <v>0</v>
      </c>
      <c r="O91" s="519">
        <f ca="1">_xlfn.IFNA(IF(VLOOKUP($B91&amp;OFFSET(O$10,$A91*2,0),'Mapping A'!$B$6:$E$1011,4,0)=1,$E91,""),0)</f>
        <v>0</v>
      </c>
      <c r="P91" s="519">
        <f ca="1">_xlfn.IFNA(IF(VLOOKUP($B91&amp;OFFSET(P$10,$A91*2,0),'Mapping A'!$B$6:$E$1011,4,0)=1,$E91,""),0)</f>
        <v>30.5928</v>
      </c>
      <c r="Q91" s="519">
        <f ca="1">_xlfn.IFNA(IF(VLOOKUP($B91&amp;OFFSET(Q$10,$A91*2,0),'Mapping A'!$B$6:$E$1011,4,0)=1,$E91,""),0)</f>
        <v>0</v>
      </c>
      <c r="R91" s="519">
        <f ca="1">_xlfn.IFNA(IF(VLOOKUP($B91&amp;OFFSET(R$10,$A91*2,0),'Mapping A'!$B$6:$E$1011,4,0)=1,$E91,""),0)</f>
        <v>0</v>
      </c>
      <c r="S91" s="519">
        <f ca="1">_xlfn.IFNA(IF(VLOOKUP($B91&amp;OFFSET(S$10,$A91*2,0),'Mapping A'!$B$6:$E$1011,4,0)=1,$E91,""),0)</f>
        <v>0</v>
      </c>
      <c r="T91" s="519">
        <f ca="1">_xlfn.IFNA(IF(VLOOKUP($B91&amp;OFFSET(T$10,$A91*2,0),'Mapping A'!$B$6:$E$1011,4,0)=1,$E91,""),0)</f>
        <v>0</v>
      </c>
      <c r="Y91" s="534" t="str">
        <f t="shared" si="47"/>
        <v>OrionHOR0661</v>
      </c>
      <c r="Z91" s="519" t="str">
        <f t="shared" si="26"/>
        <v>Orion</v>
      </c>
      <c r="AA91" s="519" t="str">
        <f t="shared" si="27"/>
        <v>HOR0661</v>
      </c>
      <c r="AB91" s="519">
        <f t="shared" si="43"/>
        <v>30.5928</v>
      </c>
      <c r="AC91" s="324"/>
      <c r="AE91" s="519">
        <f t="shared" ca="1" si="28"/>
        <v>0</v>
      </c>
      <c r="AF91" s="519">
        <f t="shared" ca="1" si="29"/>
        <v>0</v>
      </c>
      <c r="AG91" s="519">
        <f t="shared" ca="1" si="30"/>
        <v>0</v>
      </c>
      <c r="AH91" s="519">
        <f t="shared" ca="1" si="31"/>
        <v>0</v>
      </c>
      <c r="AI91" s="519">
        <f t="shared" ca="1" si="44"/>
        <v>0</v>
      </c>
      <c r="AJ91" s="519">
        <f t="shared" ca="1" si="32"/>
        <v>0</v>
      </c>
      <c r="AK91" s="519">
        <f t="shared" ca="1" si="33"/>
        <v>0</v>
      </c>
      <c r="AL91" s="519">
        <f t="shared" ca="1" si="34"/>
        <v>0</v>
      </c>
      <c r="AM91" s="519">
        <f t="shared" ca="1" si="35"/>
        <v>8.1495247166269907E-2</v>
      </c>
      <c r="AN91" s="519">
        <f t="shared" ca="1" si="36"/>
        <v>0</v>
      </c>
      <c r="AO91" s="519">
        <f t="shared" ca="1" si="37"/>
        <v>0</v>
      </c>
      <c r="AP91" s="519">
        <f t="shared" ca="1" si="38"/>
        <v>0</v>
      </c>
      <c r="AQ91" s="519">
        <f t="shared" ca="1" si="39"/>
        <v>0</v>
      </c>
      <c r="AS91" s="536"/>
      <c r="AT91" s="536"/>
      <c r="AU91" s="519" t="str">
        <f t="shared" si="45"/>
        <v>Orion</v>
      </c>
      <c r="AV91" s="519" t="str">
        <f t="shared" si="40"/>
        <v>HOR0661</v>
      </c>
      <c r="AW91" s="519">
        <f t="shared" si="41"/>
        <v>30.5928</v>
      </c>
      <c r="AX91" s="538"/>
      <c r="AY91" s="539">
        <f t="shared" ca="1" si="46"/>
        <v>0.92803393344686369</v>
      </c>
      <c r="AZ91" s="189"/>
      <c r="BC91" s="525"/>
      <c r="BD91" s="525"/>
      <c r="BE91" s="525"/>
      <c r="BF91" s="525"/>
      <c r="BG91" s="525"/>
      <c r="BH91" s="525"/>
    </row>
    <row r="92" spans="1:61" x14ac:dyDescent="0.3">
      <c r="A92" s="556">
        <v>1</v>
      </c>
      <c r="B92" s="519" t="str">
        <f t="shared" si="42"/>
        <v>HTI</v>
      </c>
      <c r="C92" s="519" t="str">
        <f>AMDs!C73</f>
        <v>The Lines Company</v>
      </c>
      <c r="D92" s="519" t="str">
        <f>AMDs!D73</f>
        <v>HTI0331</v>
      </c>
      <c r="E92" s="519">
        <f>IF(AMDs!C73="other",0,AMDs!E73)</f>
        <v>35.250599999999999</v>
      </c>
      <c r="H92" s="519">
        <f ca="1">_xlfn.IFNA(IF(VLOOKUP($B92&amp;OFFSET(H$10,$A92*2,0),'Mapping A'!$B$6:$E$1011,4,0)=1,$E92,""),0)</f>
        <v>0</v>
      </c>
      <c r="I92" s="519">
        <f ca="1">_xlfn.IFNA(IF(VLOOKUP($B92&amp;OFFSET(I$10,$A92*2,0),'Mapping A'!$B$6:$E$1011,4,0)=1,$E92,""),0)</f>
        <v>35.250599999999999</v>
      </c>
      <c r="J92" s="519">
        <f ca="1">_xlfn.IFNA(IF(VLOOKUP($B92&amp;OFFSET(J$10,$A92*2,0),'Mapping A'!$B$6:$E$1011,4,0)=1,$E92,""),0)</f>
        <v>35.250599999999999</v>
      </c>
      <c r="K92" s="519">
        <f ca="1">_xlfn.IFNA(IF(VLOOKUP($B92&amp;OFFSET(K$10,$A92*2,0),'Mapping A'!$B$6:$E$1011,4,0)=1,$E92,""),0)</f>
        <v>0</v>
      </c>
      <c r="L92" s="519">
        <f ca="1">_xlfn.IFNA(IF(VLOOKUP($B92&amp;OFFSET(L$10,$A92*2,0),'Mapping A'!$B$6:$E$1011,4,0)=1,$E92,""),0)</f>
        <v>0</v>
      </c>
      <c r="M92" s="519">
        <f ca="1">_xlfn.IFNA(IF(VLOOKUP($B92&amp;OFFSET(M$10,$A92*2,0),'Mapping A'!$B$6:$E$1011,4,0)=1,$E92,""),0)</f>
        <v>35.250599999999999</v>
      </c>
      <c r="N92" s="519">
        <f ca="1">_xlfn.IFNA(IF(VLOOKUP($B92&amp;OFFSET(N$10,$A92*2,0),'Mapping A'!$B$6:$E$1011,4,0)=1,$E92,""),0)</f>
        <v>0</v>
      </c>
      <c r="O92" s="519">
        <f ca="1">_xlfn.IFNA(IF(VLOOKUP($B92&amp;OFFSET(O$10,$A92*2,0),'Mapping A'!$B$6:$E$1011,4,0)=1,$E92,""),0)</f>
        <v>0</v>
      </c>
      <c r="P92" s="519">
        <f ca="1">_xlfn.IFNA(IF(VLOOKUP($B92&amp;OFFSET(P$10,$A92*2,0),'Mapping A'!$B$6:$E$1011,4,0)=1,$E92,""),0)</f>
        <v>0</v>
      </c>
      <c r="Q92" s="519">
        <f ca="1">_xlfn.IFNA(IF(VLOOKUP($B92&amp;OFFSET(Q$10,$A92*2,0),'Mapping A'!$B$6:$E$1011,4,0)=1,$E92,""),0)</f>
        <v>0</v>
      </c>
      <c r="R92" s="519">
        <f ca="1">_xlfn.IFNA(IF(VLOOKUP($B92&amp;OFFSET(R$10,$A92*2,0),'Mapping A'!$B$6:$E$1011,4,0)=1,$E92,""),0)</f>
        <v>0</v>
      </c>
      <c r="S92" s="519">
        <f ca="1">_xlfn.IFNA(IF(VLOOKUP($B92&amp;OFFSET(S$10,$A92*2,0),'Mapping A'!$B$6:$E$1011,4,0)=1,$E92,""),0)</f>
        <v>0</v>
      </c>
      <c r="T92" s="519">
        <f ca="1">_xlfn.IFNA(IF(VLOOKUP($B92&amp;OFFSET(T$10,$A92*2,0),'Mapping A'!$B$6:$E$1011,4,0)=1,$E92,""),0)</f>
        <v>0</v>
      </c>
      <c r="Y92" s="534" t="str">
        <f t="shared" si="47"/>
        <v>The Lines CompanyHTI0331</v>
      </c>
      <c r="Z92" s="519" t="str">
        <f t="shared" si="26"/>
        <v>The Lines Company</v>
      </c>
      <c r="AA92" s="519" t="str">
        <f t="shared" si="27"/>
        <v>HTI0331</v>
      </c>
      <c r="AB92" s="519">
        <f t="shared" si="43"/>
        <v>35.250599999999999</v>
      </c>
      <c r="AC92" s="324"/>
      <c r="AE92" s="519">
        <f t="shared" ca="1" si="28"/>
        <v>0</v>
      </c>
      <c r="AF92" s="519">
        <f t="shared" ca="1" si="29"/>
        <v>0</v>
      </c>
      <c r="AG92" s="519">
        <f t="shared" ca="1" si="30"/>
        <v>0</v>
      </c>
      <c r="AH92" s="519">
        <f t="shared" ca="1" si="31"/>
        <v>0</v>
      </c>
      <c r="AI92" s="519">
        <f t="shared" ca="1" si="44"/>
        <v>0</v>
      </c>
      <c r="AJ92" s="519">
        <f t="shared" ca="1" si="32"/>
        <v>0</v>
      </c>
      <c r="AK92" s="519">
        <f t="shared" ca="1" si="33"/>
        <v>0</v>
      </c>
      <c r="AL92" s="519">
        <f t="shared" ca="1" si="34"/>
        <v>0</v>
      </c>
      <c r="AM92" s="519">
        <f t="shared" ca="1" si="35"/>
        <v>0</v>
      </c>
      <c r="AN92" s="519">
        <f t="shared" ca="1" si="36"/>
        <v>0</v>
      </c>
      <c r="AO92" s="519">
        <f t="shared" ca="1" si="37"/>
        <v>0</v>
      </c>
      <c r="AP92" s="519">
        <f t="shared" ca="1" si="38"/>
        <v>0</v>
      </c>
      <c r="AQ92" s="519">
        <f t="shared" ca="1" si="39"/>
        <v>0</v>
      </c>
      <c r="AS92" s="536"/>
      <c r="AT92" s="536"/>
      <c r="AU92" s="519" t="str">
        <f t="shared" si="45"/>
        <v>The Lines Company</v>
      </c>
      <c r="AV92" s="519" t="str">
        <f t="shared" si="40"/>
        <v>HTI0331</v>
      </c>
      <c r="AW92" s="519">
        <f t="shared" si="41"/>
        <v>35.250599999999999</v>
      </c>
      <c r="AX92" s="538"/>
      <c r="AY92" s="539">
        <f t="shared" ca="1" si="46"/>
        <v>1.0693285012931804</v>
      </c>
      <c r="AZ92" s="189"/>
      <c r="BC92" s="525"/>
      <c r="BD92" s="525"/>
      <c r="BE92" s="525"/>
      <c r="BF92" s="525"/>
      <c r="BG92" s="525"/>
      <c r="BH92" s="525"/>
    </row>
    <row r="93" spans="1:61" x14ac:dyDescent="0.3">
      <c r="A93" s="556">
        <v>1</v>
      </c>
      <c r="B93" s="519" t="str">
        <f t="shared" si="42"/>
        <v>HUI</v>
      </c>
      <c r="C93" s="519" t="str">
        <f>AMDs!C74</f>
        <v>Powerco</v>
      </c>
      <c r="D93" s="519" t="str">
        <f>AMDs!D74</f>
        <v>HUI0331</v>
      </c>
      <c r="E93" s="519">
        <f>IF(AMDs!C74="other",0,AMDs!E74)</f>
        <v>36.758400000000002</v>
      </c>
      <c r="H93" s="519">
        <f ca="1">_xlfn.IFNA(IF(VLOOKUP($B93&amp;OFFSET(H$10,$A93*2,0),'Mapping A'!$B$6:$E$1011,4,0)=1,$E93,""),0)</f>
        <v>0</v>
      </c>
      <c r="I93" s="519">
        <f ca="1">_xlfn.IFNA(IF(VLOOKUP($B93&amp;OFFSET(I$10,$A93*2,0),'Mapping A'!$B$6:$E$1011,4,0)=1,$E93,""),0)</f>
        <v>36.758400000000002</v>
      </c>
      <c r="J93" s="519">
        <f ca="1">_xlfn.IFNA(IF(VLOOKUP($B93&amp;OFFSET(J$10,$A93*2,0),'Mapping A'!$B$6:$E$1011,4,0)=1,$E93,""),0)</f>
        <v>36.758400000000002</v>
      </c>
      <c r="K93" s="519">
        <f ca="1">_xlfn.IFNA(IF(VLOOKUP($B93&amp;OFFSET(K$10,$A93*2,0),'Mapping A'!$B$6:$E$1011,4,0)=1,$E93,""),0)</f>
        <v>0</v>
      </c>
      <c r="L93" s="519">
        <f ca="1">_xlfn.IFNA(IF(VLOOKUP($B93&amp;OFFSET(L$10,$A93*2,0),'Mapping A'!$B$6:$E$1011,4,0)=1,$E93,""),0)</f>
        <v>0</v>
      </c>
      <c r="M93" s="519">
        <f ca="1">_xlfn.IFNA(IF(VLOOKUP($B93&amp;OFFSET(M$10,$A93*2,0),'Mapping A'!$B$6:$E$1011,4,0)=1,$E93,""),0)</f>
        <v>0</v>
      </c>
      <c r="N93" s="519">
        <f ca="1">_xlfn.IFNA(IF(VLOOKUP($B93&amp;OFFSET(N$10,$A93*2,0),'Mapping A'!$B$6:$E$1011,4,0)=1,$E93,""),0)</f>
        <v>0</v>
      </c>
      <c r="O93" s="519">
        <f ca="1">_xlfn.IFNA(IF(VLOOKUP($B93&amp;OFFSET(O$10,$A93*2,0),'Mapping A'!$B$6:$E$1011,4,0)=1,$E93,""),0)</f>
        <v>0</v>
      </c>
      <c r="P93" s="519">
        <f ca="1">_xlfn.IFNA(IF(VLOOKUP($B93&amp;OFFSET(P$10,$A93*2,0),'Mapping A'!$B$6:$E$1011,4,0)=1,$E93,""),0)</f>
        <v>0</v>
      </c>
      <c r="Q93" s="519">
        <f ca="1">_xlfn.IFNA(IF(VLOOKUP($B93&amp;OFFSET(Q$10,$A93*2,0),'Mapping A'!$B$6:$E$1011,4,0)=1,$E93,""),0)</f>
        <v>0</v>
      </c>
      <c r="R93" s="519">
        <f ca="1">_xlfn.IFNA(IF(VLOOKUP($B93&amp;OFFSET(R$10,$A93*2,0),'Mapping A'!$B$6:$E$1011,4,0)=1,$E93,""),0)</f>
        <v>0</v>
      </c>
      <c r="S93" s="519">
        <f ca="1">_xlfn.IFNA(IF(VLOOKUP($B93&amp;OFFSET(S$10,$A93*2,0),'Mapping A'!$B$6:$E$1011,4,0)=1,$E93,""),0)</f>
        <v>0</v>
      </c>
      <c r="T93" s="519">
        <f ca="1">_xlfn.IFNA(IF(VLOOKUP($B93&amp;OFFSET(T$10,$A93*2,0),'Mapping A'!$B$6:$E$1011,4,0)=1,$E93,""),0)</f>
        <v>0</v>
      </c>
      <c r="Y93" s="534" t="str">
        <f t="shared" si="47"/>
        <v>PowercoHUI0331</v>
      </c>
      <c r="Z93" s="519" t="str">
        <f t="shared" si="26"/>
        <v>Powerco</v>
      </c>
      <c r="AA93" s="519" t="str">
        <f t="shared" si="27"/>
        <v>HUI0331</v>
      </c>
      <c r="AB93" s="519">
        <f t="shared" si="43"/>
        <v>36.758400000000002</v>
      </c>
      <c r="AC93" s="324"/>
      <c r="AE93" s="519">
        <f t="shared" ca="1" si="28"/>
        <v>0</v>
      </c>
      <c r="AF93" s="519">
        <f t="shared" ca="1" si="29"/>
        <v>0</v>
      </c>
      <c r="AG93" s="519">
        <f t="shared" ca="1" si="30"/>
        <v>0</v>
      </c>
      <c r="AH93" s="519">
        <f t="shared" ca="1" si="31"/>
        <v>0</v>
      </c>
      <c r="AI93" s="519">
        <f t="shared" ca="1" si="44"/>
        <v>0</v>
      </c>
      <c r="AJ93" s="519">
        <f t="shared" ca="1" si="32"/>
        <v>0</v>
      </c>
      <c r="AK93" s="519">
        <f t="shared" ca="1" si="33"/>
        <v>0</v>
      </c>
      <c r="AL93" s="519">
        <f t="shared" ca="1" si="34"/>
        <v>0</v>
      </c>
      <c r="AM93" s="519">
        <f t="shared" ca="1" si="35"/>
        <v>0</v>
      </c>
      <c r="AN93" s="519">
        <f t="shared" ca="1" si="36"/>
        <v>0</v>
      </c>
      <c r="AO93" s="519">
        <f t="shared" ca="1" si="37"/>
        <v>0</v>
      </c>
      <c r="AP93" s="519">
        <f t="shared" ca="1" si="38"/>
        <v>0</v>
      </c>
      <c r="AQ93" s="519">
        <f t="shared" ca="1" si="39"/>
        <v>0</v>
      </c>
      <c r="AS93" s="536"/>
      <c r="AT93" s="536"/>
      <c r="AU93" s="519" t="str">
        <f t="shared" si="45"/>
        <v>Powerco</v>
      </c>
      <c r="AV93" s="519" t="str">
        <f t="shared" si="40"/>
        <v>HUI0331</v>
      </c>
      <c r="AW93" s="519">
        <f t="shared" si="41"/>
        <v>36.758400000000002</v>
      </c>
      <c r="AX93" s="538"/>
      <c r="AY93" s="539">
        <f t="shared" ca="1" si="46"/>
        <v>1.1150676806050182</v>
      </c>
      <c r="AZ93" s="189"/>
      <c r="BC93" s="525"/>
      <c r="BD93" s="525"/>
      <c r="BE93" s="525"/>
      <c r="BF93" s="525"/>
      <c r="BG93" s="525"/>
      <c r="BH93" s="525"/>
    </row>
    <row r="94" spans="1:61" x14ac:dyDescent="0.3">
      <c r="A94" s="556">
        <v>1</v>
      </c>
      <c r="B94" s="519" t="str">
        <f t="shared" si="42"/>
        <v>HWA</v>
      </c>
      <c r="C94" s="519" t="str">
        <f>AMDs!C75</f>
        <v>Powerco</v>
      </c>
      <c r="D94" s="519" t="str">
        <f>AMDs!D75</f>
        <v>HWA0331</v>
      </c>
      <c r="E94" s="519">
        <f>IF(AMDs!C75="other",0,AMDs!E75)</f>
        <v>29.015699999999999</v>
      </c>
      <c r="H94" s="519">
        <f ca="1">_xlfn.IFNA(IF(VLOOKUP($B94&amp;OFFSET(H$10,$A94*2,0),'Mapping A'!$B$6:$E$1011,4,0)=1,$E94,""),0)</f>
        <v>0</v>
      </c>
      <c r="I94" s="519">
        <f ca="1">_xlfn.IFNA(IF(VLOOKUP($B94&amp;OFFSET(I$10,$A94*2,0),'Mapping A'!$B$6:$E$1011,4,0)=1,$E94,""),0)</f>
        <v>29.015699999999999</v>
      </c>
      <c r="J94" s="519">
        <f ca="1">_xlfn.IFNA(IF(VLOOKUP($B94&amp;OFFSET(J$10,$A94*2,0),'Mapping A'!$B$6:$E$1011,4,0)=1,$E94,""),0)</f>
        <v>29.015699999999999</v>
      </c>
      <c r="K94" s="519">
        <f ca="1">_xlfn.IFNA(IF(VLOOKUP($B94&amp;OFFSET(K$10,$A94*2,0),'Mapping A'!$B$6:$E$1011,4,0)=1,$E94,""),0)</f>
        <v>0</v>
      </c>
      <c r="L94" s="519">
        <f ca="1">_xlfn.IFNA(IF(VLOOKUP($B94&amp;OFFSET(L$10,$A94*2,0),'Mapping A'!$B$6:$E$1011,4,0)=1,$E94,""),0)</f>
        <v>0</v>
      </c>
      <c r="M94" s="519">
        <f ca="1">_xlfn.IFNA(IF(VLOOKUP($B94&amp;OFFSET(M$10,$A94*2,0),'Mapping A'!$B$6:$E$1011,4,0)=1,$E94,""),0)</f>
        <v>0</v>
      </c>
      <c r="N94" s="519">
        <f ca="1">_xlfn.IFNA(IF(VLOOKUP($B94&amp;OFFSET(N$10,$A94*2,0),'Mapping A'!$B$6:$E$1011,4,0)=1,$E94,""),0)</f>
        <v>0</v>
      </c>
      <c r="O94" s="519">
        <f ca="1">_xlfn.IFNA(IF(VLOOKUP($B94&amp;OFFSET(O$10,$A94*2,0),'Mapping A'!$B$6:$E$1011,4,0)=1,$E94,""),0)</f>
        <v>0</v>
      </c>
      <c r="P94" s="519">
        <f ca="1">_xlfn.IFNA(IF(VLOOKUP($B94&amp;OFFSET(P$10,$A94*2,0),'Mapping A'!$B$6:$E$1011,4,0)=1,$E94,""),0)</f>
        <v>0</v>
      </c>
      <c r="Q94" s="519">
        <f ca="1">_xlfn.IFNA(IF(VLOOKUP($B94&amp;OFFSET(Q$10,$A94*2,0),'Mapping A'!$B$6:$E$1011,4,0)=1,$E94,""),0)</f>
        <v>0</v>
      </c>
      <c r="R94" s="519">
        <f ca="1">_xlfn.IFNA(IF(VLOOKUP($B94&amp;OFFSET(R$10,$A94*2,0),'Mapping A'!$B$6:$E$1011,4,0)=1,$E94,""),0)</f>
        <v>0</v>
      </c>
      <c r="S94" s="519">
        <f ca="1">_xlfn.IFNA(IF(VLOOKUP($B94&amp;OFFSET(S$10,$A94*2,0),'Mapping A'!$B$6:$E$1011,4,0)=1,$E94,""),0)</f>
        <v>29.015699999999999</v>
      </c>
      <c r="T94" s="519">
        <f ca="1">_xlfn.IFNA(IF(VLOOKUP($B94&amp;OFFSET(T$10,$A94*2,0),'Mapping A'!$B$6:$E$1011,4,0)=1,$E94,""),0)</f>
        <v>0</v>
      </c>
      <c r="Y94" s="534" t="str">
        <f t="shared" si="47"/>
        <v>PowercoHWA0331</v>
      </c>
      <c r="Z94" s="519" t="str">
        <f t="shared" si="26"/>
        <v>Powerco</v>
      </c>
      <c r="AA94" s="519" t="str">
        <f t="shared" si="27"/>
        <v>HWA0331</v>
      </c>
      <c r="AB94" s="519">
        <f t="shared" si="43"/>
        <v>29.015699999999999</v>
      </c>
      <c r="AC94" s="324"/>
      <c r="AE94" s="519">
        <f t="shared" ca="1" si="28"/>
        <v>0</v>
      </c>
      <c r="AF94" s="519">
        <f t="shared" ca="1" si="29"/>
        <v>0</v>
      </c>
      <c r="AG94" s="519">
        <f t="shared" ca="1" si="30"/>
        <v>0</v>
      </c>
      <c r="AH94" s="519">
        <f t="shared" ca="1" si="31"/>
        <v>0</v>
      </c>
      <c r="AI94" s="519">
        <f t="shared" ca="1" si="44"/>
        <v>0</v>
      </c>
      <c r="AJ94" s="519">
        <f t="shared" ca="1" si="32"/>
        <v>0</v>
      </c>
      <c r="AK94" s="519">
        <f t="shared" ca="1" si="33"/>
        <v>0</v>
      </c>
      <c r="AL94" s="519">
        <f t="shared" ca="1" si="34"/>
        <v>0</v>
      </c>
      <c r="AM94" s="519">
        <f t="shared" ca="1" si="35"/>
        <v>0</v>
      </c>
      <c r="AN94" s="519">
        <f t="shared" ca="1" si="36"/>
        <v>0</v>
      </c>
      <c r="AO94" s="519">
        <f t="shared" ca="1" si="37"/>
        <v>0</v>
      </c>
      <c r="AP94" s="519">
        <f t="shared" ca="1" si="38"/>
        <v>0</v>
      </c>
      <c r="AQ94" s="519">
        <f t="shared" ca="1" si="39"/>
        <v>0</v>
      </c>
      <c r="AS94" s="536"/>
      <c r="AT94" s="536"/>
      <c r="AU94" s="519" t="str">
        <f t="shared" si="45"/>
        <v>Powerco</v>
      </c>
      <c r="AV94" s="519" t="str">
        <f t="shared" si="40"/>
        <v>HWA0331</v>
      </c>
      <c r="AW94" s="519">
        <f t="shared" si="41"/>
        <v>29.015699999999999</v>
      </c>
      <c r="AX94" s="538"/>
      <c r="AY94" s="539">
        <f t="shared" ca="1" si="46"/>
        <v>0.88019253558726762</v>
      </c>
      <c r="AZ94" s="189"/>
      <c r="BC94" s="525"/>
      <c r="BD94" s="525"/>
      <c r="BE94" s="525"/>
      <c r="BF94" s="525"/>
      <c r="BG94" s="525"/>
      <c r="BH94" s="525"/>
    </row>
    <row r="95" spans="1:61" x14ac:dyDescent="0.3">
      <c r="A95" s="556">
        <v>1</v>
      </c>
      <c r="B95" s="519" t="str">
        <f t="shared" si="42"/>
        <v>HWA</v>
      </c>
      <c r="C95" s="519" t="str">
        <f>AMDs!C76</f>
        <v>Other</v>
      </c>
      <c r="D95" s="519" t="str">
        <f>AMDs!D76</f>
        <v>HWA0332</v>
      </c>
      <c r="E95" s="519">
        <f>IF(AMDs!C76="other",0,AMDs!E76)</f>
        <v>0</v>
      </c>
      <c r="H95" s="519">
        <f ca="1">_xlfn.IFNA(IF(VLOOKUP($B95&amp;OFFSET(H$10,$A95*2,0),'Mapping A'!$B$6:$E$1011,4,0)=1,$E95,""),0)</f>
        <v>0</v>
      </c>
      <c r="I95" s="519">
        <f ca="1">_xlfn.IFNA(IF(VLOOKUP($B95&amp;OFFSET(I$10,$A95*2,0),'Mapping A'!$B$6:$E$1011,4,0)=1,$E95,""),0)</f>
        <v>0</v>
      </c>
      <c r="J95" s="519">
        <f ca="1">_xlfn.IFNA(IF(VLOOKUP($B95&amp;OFFSET(J$10,$A95*2,0),'Mapping A'!$B$6:$E$1011,4,0)=1,$E95,""),0)</f>
        <v>0</v>
      </c>
      <c r="K95" s="519">
        <f ca="1">_xlfn.IFNA(IF(VLOOKUP($B95&amp;OFFSET(K$10,$A95*2,0),'Mapping A'!$B$6:$E$1011,4,0)=1,$E95,""),0)</f>
        <v>0</v>
      </c>
      <c r="L95" s="519">
        <f ca="1">_xlfn.IFNA(IF(VLOOKUP($B95&amp;OFFSET(L$10,$A95*2,0),'Mapping A'!$B$6:$E$1011,4,0)=1,$E95,""),0)</f>
        <v>0</v>
      </c>
      <c r="M95" s="519">
        <f ca="1">_xlfn.IFNA(IF(VLOOKUP($B95&amp;OFFSET(M$10,$A95*2,0),'Mapping A'!$B$6:$E$1011,4,0)=1,$E95,""),0)</f>
        <v>0</v>
      </c>
      <c r="N95" s="519">
        <f ca="1">_xlfn.IFNA(IF(VLOOKUP($B95&amp;OFFSET(N$10,$A95*2,0),'Mapping A'!$B$6:$E$1011,4,0)=1,$E95,""),0)</f>
        <v>0</v>
      </c>
      <c r="O95" s="519">
        <f ca="1">_xlfn.IFNA(IF(VLOOKUP($B95&amp;OFFSET(O$10,$A95*2,0),'Mapping A'!$B$6:$E$1011,4,0)=1,$E95,""),0)</f>
        <v>0</v>
      </c>
      <c r="P95" s="519">
        <f ca="1">_xlfn.IFNA(IF(VLOOKUP($B95&amp;OFFSET(P$10,$A95*2,0),'Mapping A'!$B$6:$E$1011,4,0)=1,$E95,""),0)</f>
        <v>0</v>
      </c>
      <c r="Q95" s="519">
        <f ca="1">_xlfn.IFNA(IF(VLOOKUP($B95&amp;OFFSET(Q$10,$A95*2,0),'Mapping A'!$B$6:$E$1011,4,0)=1,$E95,""),0)</f>
        <v>0</v>
      </c>
      <c r="R95" s="519">
        <f ca="1">_xlfn.IFNA(IF(VLOOKUP($B95&amp;OFFSET(R$10,$A95*2,0),'Mapping A'!$B$6:$E$1011,4,0)=1,$E95,""),0)</f>
        <v>0</v>
      </c>
      <c r="S95" s="519">
        <f ca="1">_xlfn.IFNA(IF(VLOOKUP($B95&amp;OFFSET(S$10,$A95*2,0),'Mapping A'!$B$6:$E$1011,4,0)=1,$E95,""),0)</f>
        <v>0</v>
      </c>
      <c r="T95" s="519">
        <f ca="1">_xlfn.IFNA(IF(VLOOKUP($B95&amp;OFFSET(T$10,$A95*2,0),'Mapping A'!$B$6:$E$1011,4,0)=1,$E95,""),0)</f>
        <v>0</v>
      </c>
      <c r="Y95" s="534" t="str">
        <f t="shared" si="47"/>
        <v>OtherHWA0332</v>
      </c>
      <c r="Z95" s="519" t="str">
        <f t="shared" si="26"/>
        <v>Other</v>
      </c>
      <c r="AA95" s="519" t="str">
        <f t="shared" si="27"/>
        <v>HWA0332</v>
      </c>
      <c r="AB95" s="519">
        <f t="shared" si="43"/>
        <v>0</v>
      </c>
      <c r="AC95" s="324"/>
      <c r="AE95" s="519">
        <f t="shared" ca="1" si="28"/>
        <v>0</v>
      </c>
      <c r="AF95" s="519">
        <f t="shared" ca="1" si="29"/>
        <v>0</v>
      </c>
      <c r="AG95" s="519">
        <f t="shared" ca="1" si="30"/>
        <v>0</v>
      </c>
      <c r="AH95" s="519">
        <f t="shared" ca="1" si="31"/>
        <v>0</v>
      </c>
      <c r="AI95" s="519">
        <f t="shared" ca="1" si="44"/>
        <v>0</v>
      </c>
      <c r="AJ95" s="519">
        <f t="shared" ca="1" si="32"/>
        <v>0</v>
      </c>
      <c r="AK95" s="519">
        <f t="shared" ca="1" si="33"/>
        <v>0</v>
      </c>
      <c r="AL95" s="519">
        <f t="shared" ca="1" si="34"/>
        <v>0</v>
      </c>
      <c r="AM95" s="519">
        <f t="shared" ca="1" si="35"/>
        <v>0</v>
      </c>
      <c r="AN95" s="519">
        <f t="shared" ca="1" si="36"/>
        <v>0</v>
      </c>
      <c r="AO95" s="519">
        <f t="shared" ca="1" si="37"/>
        <v>0</v>
      </c>
      <c r="AP95" s="519">
        <f t="shared" ca="1" si="38"/>
        <v>0</v>
      </c>
      <c r="AQ95" s="519">
        <f t="shared" ca="1" si="39"/>
        <v>0</v>
      </c>
      <c r="AS95" s="536"/>
      <c r="AT95" s="536"/>
      <c r="AU95" s="519" t="str">
        <f t="shared" si="45"/>
        <v>Other</v>
      </c>
      <c r="AV95" s="519" t="str">
        <f t="shared" si="40"/>
        <v>HWA0332</v>
      </c>
      <c r="AW95" s="519">
        <f t="shared" si="41"/>
        <v>0</v>
      </c>
      <c r="AX95" s="538"/>
      <c r="AY95" s="539">
        <f t="shared" ca="1" si="46"/>
        <v>0</v>
      </c>
      <c r="AZ95" s="189"/>
      <c r="BC95" s="525"/>
      <c r="BD95" s="525"/>
      <c r="BE95" s="525"/>
      <c r="BF95" s="525"/>
      <c r="BG95" s="525"/>
      <c r="BH95" s="526"/>
    </row>
    <row r="96" spans="1:61" x14ac:dyDescent="0.3">
      <c r="A96" s="556">
        <v>1</v>
      </c>
      <c r="B96" s="519" t="str">
        <f t="shared" si="42"/>
        <v>HWA</v>
      </c>
      <c r="C96" s="519" t="str">
        <f>AMDs!C77</f>
        <v>TrustPower</v>
      </c>
      <c r="D96" s="519" t="str">
        <f>AMDs!D77</f>
        <v>HWA1101</v>
      </c>
      <c r="E96" s="519">
        <f>IF(AMDs!C77="other",0,AMDs!E77)</f>
        <v>2.47799999999999</v>
      </c>
      <c r="H96" s="519">
        <f ca="1">_xlfn.IFNA(IF(VLOOKUP($B96&amp;OFFSET(H$10,$A96*2,0),'Mapping A'!$B$6:$E$1011,4,0)=1,$E96,""),0)</f>
        <v>0</v>
      </c>
      <c r="I96" s="519">
        <f ca="1">_xlfn.IFNA(IF(VLOOKUP($B96&amp;OFFSET(I$10,$A96*2,0),'Mapping A'!$B$6:$E$1011,4,0)=1,$E96,""),0)</f>
        <v>2.47799999999999</v>
      </c>
      <c r="J96" s="519">
        <f ca="1">_xlfn.IFNA(IF(VLOOKUP($B96&amp;OFFSET(J$10,$A96*2,0),'Mapping A'!$B$6:$E$1011,4,0)=1,$E96,""),0)</f>
        <v>2.47799999999999</v>
      </c>
      <c r="K96" s="519">
        <f ca="1">_xlfn.IFNA(IF(VLOOKUP($B96&amp;OFFSET(K$10,$A96*2,0),'Mapping A'!$B$6:$E$1011,4,0)=1,$E96,""),0)</f>
        <v>0</v>
      </c>
      <c r="L96" s="519">
        <f ca="1">_xlfn.IFNA(IF(VLOOKUP($B96&amp;OFFSET(L$10,$A96*2,0),'Mapping A'!$B$6:$E$1011,4,0)=1,$E96,""),0)</f>
        <v>0</v>
      </c>
      <c r="M96" s="519">
        <f ca="1">_xlfn.IFNA(IF(VLOOKUP($B96&amp;OFFSET(M$10,$A96*2,0),'Mapping A'!$B$6:$E$1011,4,0)=1,$E96,""),0)</f>
        <v>0</v>
      </c>
      <c r="N96" s="519">
        <f ca="1">_xlfn.IFNA(IF(VLOOKUP($B96&amp;OFFSET(N$10,$A96*2,0),'Mapping A'!$B$6:$E$1011,4,0)=1,$E96,""),0)</f>
        <v>0</v>
      </c>
      <c r="O96" s="519">
        <f ca="1">_xlfn.IFNA(IF(VLOOKUP($B96&amp;OFFSET(O$10,$A96*2,0),'Mapping A'!$B$6:$E$1011,4,0)=1,$E96,""),0)</f>
        <v>0</v>
      </c>
      <c r="P96" s="519">
        <f ca="1">_xlfn.IFNA(IF(VLOOKUP($B96&amp;OFFSET(P$10,$A96*2,0),'Mapping A'!$B$6:$E$1011,4,0)=1,$E96,""),0)</f>
        <v>0</v>
      </c>
      <c r="Q96" s="519">
        <f ca="1">_xlfn.IFNA(IF(VLOOKUP($B96&amp;OFFSET(Q$10,$A96*2,0),'Mapping A'!$B$6:$E$1011,4,0)=1,$E96,""),0)</f>
        <v>0</v>
      </c>
      <c r="R96" s="519">
        <f ca="1">_xlfn.IFNA(IF(VLOOKUP($B96&amp;OFFSET(R$10,$A96*2,0),'Mapping A'!$B$6:$E$1011,4,0)=1,$E96,""),0)</f>
        <v>0</v>
      </c>
      <c r="S96" s="519">
        <f ca="1">_xlfn.IFNA(IF(VLOOKUP($B96&amp;OFFSET(S$10,$A96*2,0),'Mapping A'!$B$6:$E$1011,4,0)=1,$E96,""),0)</f>
        <v>2.47799999999999</v>
      </c>
      <c r="T96" s="519">
        <f ca="1">_xlfn.IFNA(IF(VLOOKUP($B96&amp;OFFSET(T$10,$A96*2,0),'Mapping A'!$B$6:$E$1011,4,0)=1,$E96,""),0)</f>
        <v>0</v>
      </c>
      <c r="Y96" s="534" t="str">
        <f t="shared" si="47"/>
        <v>TrustPowerHWA1101</v>
      </c>
      <c r="Z96" s="519" t="str">
        <f t="shared" si="26"/>
        <v>TrustPower</v>
      </c>
      <c r="AA96" s="519" t="str">
        <f t="shared" si="27"/>
        <v>HWA1101</v>
      </c>
      <c r="AB96" s="519">
        <f t="shared" si="43"/>
        <v>2.47799999999999</v>
      </c>
      <c r="AC96" s="324"/>
      <c r="AE96" s="519">
        <f t="shared" ca="1" si="28"/>
        <v>0</v>
      </c>
      <c r="AF96" s="519">
        <f t="shared" ca="1" si="29"/>
        <v>0</v>
      </c>
      <c r="AG96" s="519">
        <f t="shared" ca="1" si="30"/>
        <v>0</v>
      </c>
      <c r="AH96" s="519">
        <f t="shared" ca="1" si="31"/>
        <v>0</v>
      </c>
      <c r="AI96" s="519">
        <f t="shared" ca="1" si="44"/>
        <v>0</v>
      </c>
      <c r="AJ96" s="519">
        <f t="shared" ca="1" si="32"/>
        <v>0</v>
      </c>
      <c r="AK96" s="519">
        <f t="shared" ca="1" si="33"/>
        <v>0</v>
      </c>
      <c r="AL96" s="519">
        <f t="shared" ca="1" si="34"/>
        <v>0</v>
      </c>
      <c r="AM96" s="519">
        <f t="shared" ca="1" si="35"/>
        <v>0</v>
      </c>
      <c r="AN96" s="519">
        <f t="shared" ca="1" si="36"/>
        <v>0</v>
      </c>
      <c r="AO96" s="519">
        <f t="shared" ca="1" si="37"/>
        <v>0</v>
      </c>
      <c r="AP96" s="519">
        <f t="shared" ca="1" si="38"/>
        <v>0</v>
      </c>
      <c r="AQ96" s="519">
        <f t="shared" ca="1" si="39"/>
        <v>0</v>
      </c>
      <c r="AS96" s="536"/>
      <c r="AT96" s="536"/>
      <c r="AU96" s="519" t="str">
        <f t="shared" si="45"/>
        <v>TrustPower</v>
      </c>
      <c r="AV96" s="519" t="str">
        <f t="shared" si="40"/>
        <v>HWA1101</v>
      </c>
      <c r="AW96" s="519">
        <f t="shared" si="41"/>
        <v>2.47799999999999</v>
      </c>
      <c r="AX96" s="538"/>
      <c r="AY96" s="539">
        <f t="shared" ca="1" si="46"/>
        <v>7.5170238980456799E-2</v>
      </c>
      <c r="AZ96" s="189"/>
      <c r="BC96" s="525"/>
      <c r="BD96" s="525"/>
      <c r="BE96" s="525"/>
      <c r="BF96" s="525"/>
      <c r="BG96" s="525"/>
      <c r="BH96" s="525"/>
    </row>
    <row r="97" spans="1:52" x14ac:dyDescent="0.3">
      <c r="A97" s="556">
        <v>1</v>
      </c>
      <c r="B97" s="519" t="str">
        <f t="shared" si="42"/>
        <v>HWA</v>
      </c>
      <c r="C97" s="519" t="str">
        <f>AMDs!C78</f>
        <v>Meridian</v>
      </c>
      <c r="D97" s="519" t="str">
        <f>AMDs!D78</f>
        <v>HWA1102</v>
      </c>
      <c r="E97" s="519">
        <f>IF(AMDs!C78="other",0,AMDs!E78)</f>
        <v>8.6226000000000003</v>
      </c>
      <c r="H97" s="519">
        <f ca="1">_xlfn.IFNA(IF(VLOOKUP($B97&amp;OFFSET(H$10,$A97*2,0),'Mapping A'!$B$6:$E$1011,4,0)=1,$E97,""),0)</f>
        <v>0</v>
      </c>
      <c r="I97" s="519">
        <f ca="1">_xlfn.IFNA(IF(VLOOKUP($B97&amp;OFFSET(I$10,$A97*2,0),'Mapping A'!$B$6:$E$1011,4,0)=1,$E97,""),0)</f>
        <v>8.6226000000000003</v>
      </c>
      <c r="J97" s="519">
        <f ca="1">_xlfn.IFNA(IF(VLOOKUP($B97&amp;OFFSET(J$10,$A97*2,0),'Mapping A'!$B$6:$E$1011,4,0)=1,$E97,""),0)</f>
        <v>8.6226000000000003</v>
      </c>
      <c r="K97" s="519">
        <f ca="1">_xlfn.IFNA(IF(VLOOKUP($B97&amp;OFFSET(K$10,$A97*2,0),'Mapping A'!$B$6:$E$1011,4,0)=1,$E97,""),0)</f>
        <v>0</v>
      </c>
      <c r="L97" s="519">
        <f ca="1">_xlfn.IFNA(IF(VLOOKUP($B97&amp;OFFSET(L$10,$A97*2,0),'Mapping A'!$B$6:$E$1011,4,0)=1,$E97,""),0)</f>
        <v>0</v>
      </c>
      <c r="M97" s="519">
        <f ca="1">_xlfn.IFNA(IF(VLOOKUP($B97&amp;OFFSET(M$10,$A97*2,0),'Mapping A'!$B$6:$E$1011,4,0)=1,$E97,""),0)</f>
        <v>0</v>
      </c>
      <c r="N97" s="519">
        <f ca="1">_xlfn.IFNA(IF(VLOOKUP($B97&amp;OFFSET(N$10,$A97*2,0),'Mapping A'!$B$6:$E$1011,4,0)=1,$E97,""),0)</f>
        <v>0</v>
      </c>
      <c r="O97" s="519">
        <f ca="1">_xlfn.IFNA(IF(VLOOKUP($B97&amp;OFFSET(O$10,$A97*2,0),'Mapping A'!$B$6:$E$1011,4,0)=1,$E97,""),0)</f>
        <v>0</v>
      </c>
      <c r="P97" s="519">
        <f ca="1">_xlfn.IFNA(IF(VLOOKUP($B97&amp;OFFSET(P$10,$A97*2,0),'Mapping A'!$B$6:$E$1011,4,0)=1,$E97,""),0)</f>
        <v>0</v>
      </c>
      <c r="Q97" s="519">
        <f ca="1">_xlfn.IFNA(IF(VLOOKUP($B97&amp;OFFSET(Q$10,$A97*2,0),'Mapping A'!$B$6:$E$1011,4,0)=1,$E97,""),0)</f>
        <v>0</v>
      </c>
      <c r="R97" s="519">
        <f ca="1">_xlfn.IFNA(IF(VLOOKUP($B97&amp;OFFSET(R$10,$A97*2,0),'Mapping A'!$B$6:$E$1011,4,0)=1,$E97,""),0)</f>
        <v>0</v>
      </c>
      <c r="S97" s="519">
        <f ca="1">_xlfn.IFNA(IF(VLOOKUP($B97&amp;OFFSET(S$10,$A97*2,0),'Mapping A'!$B$6:$E$1011,4,0)=1,$E97,""),0)</f>
        <v>8.6226000000000003</v>
      </c>
      <c r="T97" s="519">
        <f ca="1">_xlfn.IFNA(IF(VLOOKUP($B97&amp;OFFSET(T$10,$A97*2,0),'Mapping A'!$B$6:$E$1011,4,0)=1,$E97,""),0)</f>
        <v>0</v>
      </c>
      <c r="Y97" s="534" t="str">
        <f t="shared" si="47"/>
        <v>MeridianHWA1102</v>
      </c>
      <c r="Z97" s="519" t="str">
        <f t="shared" si="26"/>
        <v>Meridian</v>
      </c>
      <c r="AA97" s="519" t="str">
        <f t="shared" si="27"/>
        <v>HWA1102</v>
      </c>
      <c r="AB97" s="519">
        <f t="shared" si="43"/>
        <v>8.6226000000000003</v>
      </c>
      <c r="AC97" s="324"/>
      <c r="AE97" s="519">
        <f t="shared" ca="1" si="28"/>
        <v>0</v>
      </c>
      <c r="AF97" s="519">
        <f t="shared" ca="1" si="29"/>
        <v>0</v>
      </c>
      <c r="AG97" s="519">
        <f t="shared" ca="1" si="30"/>
        <v>0</v>
      </c>
      <c r="AH97" s="519">
        <f t="shared" ca="1" si="31"/>
        <v>0</v>
      </c>
      <c r="AI97" s="519">
        <f t="shared" ca="1" si="44"/>
        <v>0</v>
      </c>
      <c r="AJ97" s="519">
        <f t="shared" ca="1" si="32"/>
        <v>0</v>
      </c>
      <c r="AK97" s="519">
        <f t="shared" ca="1" si="33"/>
        <v>0</v>
      </c>
      <c r="AL97" s="519">
        <f t="shared" ca="1" si="34"/>
        <v>0</v>
      </c>
      <c r="AM97" s="519">
        <f t="shared" ca="1" si="35"/>
        <v>0</v>
      </c>
      <c r="AN97" s="519">
        <f t="shared" ca="1" si="36"/>
        <v>0</v>
      </c>
      <c r="AO97" s="519">
        <f t="shared" ca="1" si="37"/>
        <v>0</v>
      </c>
      <c r="AP97" s="519">
        <f t="shared" ca="1" si="38"/>
        <v>0</v>
      </c>
      <c r="AQ97" s="519">
        <f t="shared" ca="1" si="39"/>
        <v>0</v>
      </c>
      <c r="AS97" s="536"/>
      <c r="AT97" s="536"/>
      <c r="AU97" s="519" t="str">
        <f t="shared" si="45"/>
        <v>Meridian</v>
      </c>
      <c r="AV97" s="519" t="str">
        <f t="shared" si="40"/>
        <v>HWA1102</v>
      </c>
      <c r="AW97" s="519">
        <f t="shared" si="41"/>
        <v>8.6226000000000003</v>
      </c>
      <c r="AX97" s="538"/>
      <c r="AY97" s="539">
        <f t="shared" ca="1" si="46"/>
        <v>0.26156695021504822</v>
      </c>
      <c r="AZ97" s="189"/>
    </row>
    <row r="98" spans="1:52" x14ac:dyDescent="0.3">
      <c r="A98" s="556">
        <v>1</v>
      </c>
      <c r="B98" s="519" t="str">
        <f t="shared" si="42"/>
        <v>HWB</v>
      </c>
      <c r="C98" s="519" t="str">
        <f>AMDs!C79</f>
        <v>Aurora Energy</v>
      </c>
      <c r="D98" s="519" t="str">
        <f>AMDs!D79</f>
        <v>HWB0331</v>
      </c>
      <c r="E98" s="519">
        <f>IF(AMDs!C79="other",0,AMDs!E79)</f>
        <v>87.240300000000005</v>
      </c>
      <c r="H98" s="519">
        <f ca="1">_xlfn.IFNA(IF(VLOOKUP($B98&amp;OFFSET(H$10,$A98*2,0),'Mapping A'!$B$6:$E$1011,4,0)=1,$E98,""),0)</f>
        <v>0</v>
      </c>
      <c r="I98" s="519">
        <f ca="1">_xlfn.IFNA(IF(VLOOKUP($B98&amp;OFFSET(I$10,$A98*2,0),'Mapping A'!$B$6:$E$1011,4,0)=1,$E98,""),0)</f>
        <v>87.240300000000005</v>
      </c>
      <c r="J98" s="519">
        <f ca="1">_xlfn.IFNA(IF(VLOOKUP($B98&amp;OFFSET(J$10,$A98*2,0),'Mapping A'!$B$6:$E$1011,4,0)=1,$E98,""),0)</f>
        <v>0</v>
      </c>
      <c r="K98" s="519">
        <f ca="1">_xlfn.IFNA(IF(VLOOKUP($B98&amp;OFFSET(K$10,$A98*2,0),'Mapping A'!$B$6:$E$1011,4,0)=1,$E98,""),0)</f>
        <v>0</v>
      </c>
      <c r="L98" s="519">
        <f ca="1">_xlfn.IFNA(IF(VLOOKUP($B98&amp;OFFSET(L$10,$A98*2,0),'Mapping A'!$B$6:$E$1011,4,0)=1,$E98,""),0)</f>
        <v>0</v>
      </c>
      <c r="M98" s="519">
        <f ca="1">_xlfn.IFNA(IF(VLOOKUP($B98&amp;OFFSET(M$10,$A98*2,0),'Mapping A'!$B$6:$E$1011,4,0)=1,$E98,""),0)</f>
        <v>0</v>
      </c>
      <c r="N98" s="519">
        <f ca="1">_xlfn.IFNA(IF(VLOOKUP($B98&amp;OFFSET(N$10,$A98*2,0),'Mapping A'!$B$6:$E$1011,4,0)=1,$E98,""),0)</f>
        <v>0</v>
      </c>
      <c r="O98" s="519">
        <f ca="1">_xlfn.IFNA(IF(VLOOKUP($B98&amp;OFFSET(O$10,$A98*2,0),'Mapping A'!$B$6:$E$1011,4,0)=1,$E98,""),0)</f>
        <v>0</v>
      </c>
      <c r="P98" s="519">
        <f ca="1">_xlfn.IFNA(IF(VLOOKUP($B98&amp;OFFSET(P$10,$A98*2,0),'Mapping A'!$B$6:$E$1011,4,0)=1,$E98,""),0)</f>
        <v>0</v>
      </c>
      <c r="Q98" s="519">
        <f ca="1">_xlfn.IFNA(IF(VLOOKUP($B98&amp;OFFSET(Q$10,$A98*2,0),'Mapping A'!$B$6:$E$1011,4,0)=1,$E98,""),0)</f>
        <v>0</v>
      </c>
      <c r="R98" s="519">
        <f ca="1">_xlfn.IFNA(IF(VLOOKUP($B98&amp;OFFSET(R$10,$A98*2,0),'Mapping A'!$B$6:$E$1011,4,0)=1,$E98,""),0)</f>
        <v>0</v>
      </c>
      <c r="S98" s="519">
        <f ca="1">_xlfn.IFNA(IF(VLOOKUP($B98&amp;OFFSET(S$10,$A98*2,0),'Mapping A'!$B$6:$E$1011,4,0)=1,$E98,""),0)</f>
        <v>0</v>
      </c>
      <c r="T98" s="519">
        <f ca="1">_xlfn.IFNA(IF(VLOOKUP($B98&amp;OFFSET(T$10,$A98*2,0),'Mapping A'!$B$6:$E$1011,4,0)=1,$E98,""),0)</f>
        <v>0</v>
      </c>
      <c r="Y98" s="534" t="str">
        <f t="shared" si="47"/>
        <v>Aurora EnergyHWB0331</v>
      </c>
      <c r="Z98" s="519" t="str">
        <f t="shared" si="26"/>
        <v>Aurora Energy</v>
      </c>
      <c r="AA98" s="519" t="str">
        <f t="shared" si="27"/>
        <v>HWB0331</v>
      </c>
      <c r="AB98" s="519">
        <f t="shared" si="43"/>
        <v>87.240300000000005</v>
      </c>
      <c r="AC98" s="324"/>
      <c r="AE98" s="519">
        <f t="shared" ca="1" si="28"/>
        <v>0</v>
      </c>
      <c r="AF98" s="519">
        <f t="shared" ca="1" si="29"/>
        <v>0</v>
      </c>
      <c r="AG98" s="519">
        <f t="shared" ca="1" si="30"/>
        <v>0</v>
      </c>
      <c r="AH98" s="519">
        <f t="shared" ca="1" si="31"/>
        <v>0</v>
      </c>
      <c r="AI98" s="519">
        <f t="shared" ca="1" si="44"/>
        <v>0</v>
      </c>
      <c r="AJ98" s="519">
        <f t="shared" ca="1" si="32"/>
        <v>0</v>
      </c>
      <c r="AK98" s="519">
        <f t="shared" ca="1" si="33"/>
        <v>0</v>
      </c>
      <c r="AL98" s="519">
        <f t="shared" ca="1" si="34"/>
        <v>0</v>
      </c>
      <c r="AM98" s="519">
        <f t="shared" ca="1" si="35"/>
        <v>0</v>
      </c>
      <c r="AN98" s="519">
        <f t="shared" ca="1" si="36"/>
        <v>0</v>
      </c>
      <c r="AO98" s="519">
        <f t="shared" ca="1" si="37"/>
        <v>0</v>
      </c>
      <c r="AP98" s="519">
        <f t="shared" ca="1" si="38"/>
        <v>0</v>
      </c>
      <c r="AQ98" s="519">
        <f t="shared" ca="1" si="39"/>
        <v>0</v>
      </c>
      <c r="AS98" s="536"/>
      <c r="AT98" s="536"/>
      <c r="AU98" s="519" t="str">
        <f t="shared" si="45"/>
        <v>Aurora Energy</v>
      </c>
      <c r="AV98" s="519" t="str">
        <f t="shared" si="40"/>
        <v>HWB0331</v>
      </c>
      <c r="AW98" s="519">
        <f t="shared" si="41"/>
        <v>87.240300000000005</v>
      </c>
      <c r="AX98" s="538"/>
      <c r="AY98" s="539">
        <f t="shared" ca="1" si="46"/>
        <v>2.6464383372585849</v>
      </c>
      <c r="AZ98" s="189"/>
    </row>
    <row r="99" spans="1:52" x14ac:dyDescent="0.3">
      <c r="A99" s="556">
        <v>1</v>
      </c>
      <c r="B99" s="519" t="str">
        <f t="shared" si="42"/>
        <v>HWB</v>
      </c>
      <c r="C99" s="519" t="str">
        <f>AMDs!C80</f>
        <v>OtagoNet JV</v>
      </c>
      <c r="D99" s="519" t="str">
        <f>AMDs!D80</f>
        <v>HWB0331</v>
      </c>
      <c r="E99" s="519">
        <f>IF(AMDs!C80="other",0,AMDs!E80)</f>
        <v>4.8048000000000002</v>
      </c>
      <c r="H99" s="519">
        <f ca="1">_xlfn.IFNA(IF(VLOOKUP($B99&amp;OFFSET(H$10,$A99*2,0),'Mapping A'!$B$6:$E$1011,4,0)=1,$E99,""),0)</f>
        <v>0</v>
      </c>
      <c r="I99" s="519">
        <f ca="1">_xlfn.IFNA(IF(VLOOKUP($B99&amp;OFFSET(I$10,$A99*2,0),'Mapping A'!$B$6:$E$1011,4,0)=1,$E99,""),0)</f>
        <v>4.8048000000000002</v>
      </c>
      <c r="J99" s="519">
        <f ca="1">_xlfn.IFNA(IF(VLOOKUP($B99&amp;OFFSET(J$10,$A99*2,0),'Mapping A'!$B$6:$E$1011,4,0)=1,$E99,""),0)</f>
        <v>0</v>
      </c>
      <c r="K99" s="519">
        <f ca="1">_xlfn.IFNA(IF(VLOOKUP($B99&amp;OFFSET(K$10,$A99*2,0),'Mapping A'!$B$6:$E$1011,4,0)=1,$E99,""),0)</f>
        <v>0</v>
      </c>
      <c r="L99" s="519">
        <f ca="1">_xlfn.IFNA(IF(VLOOKUP($B99&amp;OFFSET(L$10,$A99*2,0),'Mapping A'!$B$6:$E$1011,4,0)=1,$E99,""),0)</f>
        <v>0</v>
      </c>
      <c r="M99" s="519">
        <f ca="1">_xlfn.IFNA(IF(VLOOKUP($B99&amp;OFFSET(M$10,$A99*2,0),'Mapping A'!$B$6:$E$1011,4,0)=1,$E99,""),0)</f>
        <v>0</v>
      </c>
      <c r="N99" s="519">
        <f ca="1">_xlfn.IFNA(IF(VLOOKUP($B99&amp;OFFSET(N$10,$A99*2,0),'Mapping A'!$B$6:$E$1011,4,0)=1,$E99,""),0)</f>
        <v>0</v>
      </c>
      <c r="O99" s="519">
        <f ca="1">_xlfn.IFNA(IF(VLOOKUP($B99&amp;OFFSET(O$10,$A99*2,0),'Mapping A'!$B$6:$E$1011,4,0)=1,$E99,""),0)</f>
        <v>0</v>
      </c>
      <c r="P99" s="519">
        <f ca="1">_xlfn.IFNA(IF(VLOOKUP($B99&amp;OFFSET(P$10,$A99*2,0),'Mapping A'!$B$6:$E$1011,4,0)=1,$E99,""),0)</f>
        <v>0</v>
      </c>
      <c r="Q99" s="519">
        <f ca="1">_xlfn.IFNA(IF(VLOOKUP($B99&amp;OFFSET(Q$10,$A99*2,0),'Mapping A'!$B$6:$E$1011,4,0)=1,$E99,""),0)</f>
        <v>0</v>
      </c>
      <c r="R99" s="519">
        <f ca="1">_xlfn.IFNA(IF(VLOOKUP($B99&amp;OFFSET(R$10,$A99*2,0),'Mapping A'!$B$6:$E$1011,4,0)=1,$E99,""),0)</f>
        <v>0</v>
      </c>
      <c r="S99" s="519">
        <f ca="1">_xlfn.IFNA(IF(VLOOKUP($B99&amp;OFFSET(S$10,$A99*2,0),'Mapping A'!$B$6:$E$1011,4,0)=1,$E99,""),0)</f>
        <v>0</v>
      </c>
      <c r="T99" s="519">
        <f ca="1">_xlfn.IFNA(IF(VLOOKUP($B99&amp;OFFSET(T$10,$A99*2,0),'Mapping A'!$B$6:$E$1011,4,0)=1,$E99,""),0)</f>
        <v>0</v>
      </c>
      <c r="Y99" s="534" t="str">
        <f t="shared" si="47"/>
        <v>OtagoNet JVHWB0331</v>
      </c>
      <c r="Z99" s="519" t="str">
        <f t="shared" si="26"/>
        <v>OtagoNet JV</v>
      </c>
      <c r="AA99" s="519" t="str">
        <f t="shared" si="27"/>
        <v>HWB0331</v>
      </c>
      <c r="AB99" s="519">
        <f t="shared" si="43"/>
        <v>4.8048000000000002</v>
      </c>
      <c r="AC99" s="324"/>
      <c r="AE99" s="519">
        <f t="shared" ca="1" si="28"/>
        <v>0</v>
      </c>
      <c r="AF99" s="519">
        <f t="shared" ca="1" si="29"/>
        <v>0</v>
      </c>
      <c r="AG99" s="519">
        <f t="shared" ca="1" si="30"/>
        <v>0</v>
      </c>
      <c r="AH99" s="519">
        <f t="shared" ca="1" si="31"/>
        <v>0</v>
      </c>
      <c r="AI99" s="519">
        <f t="shared" ca="1" si="44"/>
        <v>0</v>
      </c>
      <c r="AJ99" s="519">
        <f t="shared" ca="1" si="32"/>
        <v>0</v>
      </c>
      <c r="AK99" s="519">
        <f t="shared" ca="1" si="33"/>
        <v>0</v>
      </c>
      <c r="AL99" s="519">
        <f t="shared" ca="1" si="34"/>
        <v>0</v>
      </c>
      <c r="AM99" s="519">
        <f t="shared" ca="1" si="35"/>
        <v>0</v>
      </c>
      <c r="AN99" s="519">
        <f t="shared" ca="1" si="36"/>
        <v>0</v>
      </c>
      <c r="AO99" s="519">
        <f t="shared" ca="1" si="37"/>
        <v>0</v>
      </c>
      <c r="AP99" s="519">
        <f t="shared" ca="1" si="38"/>
        <v>0</v>
      </c>
      <c r="AQ99" s="519">
        <f t="shared" ca="1" si="39"/>
        <v>0</v>
      </c>
      <c r="AS99" s="536"/>
      <c r="AT99" s="536"/>
      <c r="AU99" s="519" t="str">
        <f t="shared" si="45"/>
        <v>OtagoNet JV</v>
      </c>
      <c r="AV99" s="519" t="str">
        <f t="shared" si="40"/>
        <v>HWB0331</v>
      </c>
      <c r="AW99" s="519">
        <f t="shared" si="41"/>
        <v>4.8048000000000002</v>
      </c>
      <c r="AX99" s="538"/>
      <c r="AY99" s="539">
        <f t="shared" ca="1" si="46"/>
        <v>0.14575381931125922</v>
      </c>
      <c r="AZ99" s="189"/>
    </row>
    <row r="100" spans="1:52" x14ac:dyDescent="0.3">
      <c r="A100" s="556">
        <v>1</v>
      </c>
      <c r="B100" s="519" t="str">
        <f t="shared" si="42"/>
        <v>HWB</v>
      </c>
      <c r="C100" s="519" t="str">
        <f>AMDs!C81</f>
        <v>Aurora Energy</v>
      </c>
      <c r="D100" s="519" t="str">
        <f>AMDs!D81</f>
        <v>HWB0332</v>
      </c>
      <c r="E100" s="519">
        <f>IF(AMDs!C81="other",0,AMDs!E81)</f>
        <v>49.578899999999997</v>
      </c>
      <c r="H100" s="519">
        <f ca="1">_xlfn.IFNA(IF(VLOOKUP($B100&amp;OFFSET(H$10,$A100*2,0),'Mapping A'!$B$6:$E$1011,4,0)=1,$E100,""),0)</f>
        <v>0</v>
      </c>
      <c r="I100" s="519">
        <f ca="1">_xlfn.IFNA(IF(VLOOKUP($B100&amp;OFFSET(I$10,$A100*2,0),'Mapping A'!$B$6:$E$1011,4,0)=1,$E100,""),0)</f>
        <v>49.578899999999997</v>
      </c>
      <c r="J100" s="519">
        <f ca="1">_xlfn.IFNA(IF(VLOOKUP($B100&amp;OFFSET(J$10,$A100*2,0),'Mapping A'!$B$6:$E$1011,4,0)=1,$E100,""),0)</f>
        <v>0</v>
      </c>
      <c r="K100" s="519">
        <f ca="1">_xlfn.IFNA(IF(VLOOKUP($B100&amp;OFFSET(K$10,$A100*2,0),'Mapping A'!$B$6:$E$1011,4,0)=1,$E100,""),0)</f>
        <v>0</v>
      </c>
      <c r="L100" s="519">
        <f ca="1">_xlfn.IFNA(IF(VLOOKUP($B100&amp;OFFSET(L$10,$A100*2,0),'Mapping A'!$B$6:$E$1011,4,0)=1,$E100,""),0)</f>
        <v>0</v>
      </c>
      <c r="M100" s="519">
        <f ca="1">_xlfn.IFNA(IF(VLOOKUP($B100&amp;OFFSET(M$10,$A100*2,0),'Mapping A'!$B$6:$E$1011,4,0)=1,$E100,""),0)</f>
        <v>0</v>
      </c>
      <c r="N100" s="519">
        <f ca="1">_xlfn.IFNA(IF(VLOOKUP($B100&amp;OFFSET(N$10,$A100*2,0),'Mapping A'!$B$6:$E$1011,4,0)=1,$E100,""),0)</f>
        <v>0</v>
      </c>
      <c r="O100" s="519">
        <f ca="1">_xlfn.IFNA(IF(VLOOKUP($B100&amp;OFFSET(O$10,$A100*2,0),'Mapping A'!$B$6:$E$1011,4,0)=1,$E100,""),0)</f>
        <v>0</v>
      </c>
      <c r="P100" s="519">
        <f ca="1">_xlfn.IFNA(IF(VLOOKUP($B100&amp;OFFSET(P$10,$A100*2,0),'Mapping A'!$B$6:$E$1011,4,0)=1,$E100,""),0)</f>
        <v>0</v>
      </c>
      <c r="Q100" s="519">
        <f ca="1">_xlfn.IFNA(IF(VLOOKUP($B100&amp;OFFSET(Q$10,$A100*2,0),'Mapping A'!$B$6:$E$1011,4,0)=1,$E100,""),0)</f>
        <v>0</v>
      </c>
      <c r="R100" s="519">
        <f ca="1">_xlfn.IFNA(IF(VLOOKUP($B100&amp;OFFSET(R$10,$A100*2,0),'Mapping A'!$B$6:$E$1011,4,0)=1,$E100,""),0)</f>
        <v>0</v>
      </c>
      <c r="S100" s="519">
        <f ca="1">_xlfn.IFNA(IF(VLOOKUP($B100&amp;OFFSET(S$10,$A100*2,0),'Mapping A'!$B$6:$E$1011,4,0)=1,$E100,""),0)</f>
        <v>0</v>
      </c>
      <c r="T100" s="519">
        <f ca="1">_xlfn.IFNA(IF(VLOOKUP($B100&amp;OFFSET(T$10,$A100*2,0),'Mapping A'!$B$6:$E$1011,4,0)=1,$E100,""),0)</f>
        <v>0</v>
      </c>
      <c r="Y100" s="534" t="str">
        <f t="shared" si="47"/>
        <v>Aurora EnergyHWB0332</v>
      </c>
      <c r="Z100" s="519" t="str">
        <f t="shared" si="26"/>
        <v>Aurora Energy</v>
      </c>
      <c r="AA100" s="519" t="str">
        <f t="shared" si="27"/>
        <v>HWB0332</v>
      </c>
      <c r="AB100" s="519">
        <f t="shared" si="43"/>
        <v>49.578899999999997</v>
      </c>
      <c r="AC100" s="324"/>
      <c r="AE100" s="519">
        <f t="shared" ca="1" si="28"/>
        <v>0</v>
      </c>
      <c r="AF100" s="519">
        <f t="shared" ca="1" si="29"/>
        <v>0</v>
      </c>
      <c r="AG100" s="519">
        <f t="shared" ca="1" si="30"/>
        <v>0</v>
      </c>
      <c r="AH100" s="519">
        <f t="shared" ca="1" si="31"/>
        <v>0</v>
      </c>
      <c r="AI100" s="519">
        <f t="shared" ca="1" si="44"/>
        <v>0</v>
      </c>
      <c r="AJ100" s="519">
        <f t="shared" ca="1" si="32"/>
        <v>0</v>
      </c>
      <c r="AK100" s="519">
        <f t="shared" ca="1" si="33"/>
        <v>0</v>
      </c>
      <c r="AL100" s="519">
        <f t="shared" ca="1" si="34"/>
        <v>0</v>
      </c>
      <c r="AM100" s="519">
        <f t="shared" ca="1" si="35"/>
        <v>0</v>
      </c>
      <c r="AN100" s="519">
        <f t="shared" ca="1" si="36"/>
        <v>0</v>
      </c>
      <c r="AO100" s="519">
        <f t="shared" ca="1" si="37"/>
        <v>0</v>
      </c>
      <c r="AP100" s="519">
        <f t="shared" ca="1" si="38"/>
        <v>0</v>
      </c>
      <c r="AQ100" s="519">
        <f t="shared" ca="1" si="39"/>
        <v>0</v>
      </c>
      <c r="AS100" s="536"/>
      <c r="AT100" s="536"/>
      <c r="AU100" s="519" t="str">
        <f t="shared" si="45"/>
        <v>Aurora Energy</v>
      </c>
      <c r="AV100" s="519" t="str">
        <f t="shared" si="40"/>
        <v>HWB0332</v>
      </c>
      <c r="AW100" s="519">
        <f t="shared" si="41"/>
        <v>49.578899999999997</v>
      </c>
      <c r="AX100" s="538"/>
      <c r="AY100" s="539">
        <f t="shared" ca="1" si="46"/>
        <v>1.503978111940349</v>
      </c>
      <c r="AZ100" s="189"/>
    </row>
    <row r="101" spans="1:52" x14ac:dyDescent="0.3">
      <c r="A101" s="556">
        <v>1</v>
      </c>
      <c r="B101" s="519" t="str">
        <f t="shared" si="42"/>
        <v>HWB</v>
      </c>
      <c r="C101" s="519" t="str">
        <f>AMDs!C82</f>
        <v>OtagoNet JV</v>
      </c>
      <c r="D101" s="519" t="str">
        <f>AMDs!D82</f>
        <v>HWB1101</v>
      </c>
      <c r="E101" s="519">
        <f>IF(AMDs!C82="other",0,AMDs!E82)</f>
        <v>5.9619</v>
      </c>
      <c r="H101" s="519">
        <f ca="1">_xlfn.IFNA(IF(VLOOKUP($B101&amp;OFFSET(H$10,$A101*2,0),'Mapping A'!$B$6:$E$1011,4,0)=1,$E101,""),0)</f>
        <v>0</v>
      </c>
      <c r="I101" s="519">
        <f ca="1">_xlfn.IFNA(IF(VLOOKUP($B101&amp;OFFSET(I$10,$A101*2,0),'Mapping A'!$B$6:$E$1011,4,0)=1,$E101,""),0)</f>
        <v>5.9619</v>
      </c>
      <c r="J101" s="519">
        <f ca="1">_xlfn.IFNA(IF(VLOOKUP($B101&amp;OFFSET(J$10,$A101*2,0),'Mapping A'!$B$6:$E$1011,4,0)=1,$E101,""),0)</f>
        <v>0</v>
      </c>
      <c r="K101" s="519">
        <f ca="1">_xlfn.IFNA(IF(VLOOKUP($B101&amp;OFFSET(K$10,$A101*2,0),'Mapping A'!$B$6:$E$1011,4,0)=1,$E101,""),0)</f>
        <v>0</v>
      </c>
      <c r="L101" s="519">
        <f ca="1">_xlfn.IFNA(IF(VLOOKUP($B101&amp;OFFSET(L$10,$A101*2,0),'Mapping A'!$B$6:$E$1011,4,0)=1,$E101,""),0)</f>
        <v>0</v>
      </c>
      <c r="M101" s="519">
        <f ca="1">_xlfn.IFNA(IF(VLOOKUP($B101&amp;OFFSET(M$10,$A101*2,0),'Mapping A'!$B$6:$E$1011,4,0)=1,$E101,""),0)</f>
        <v>0</v>
      </c>
      <c r="N101" s="519">
        <f ca="1">_xlfn.IFNA(IF(VLOOKUP($B101&amp;OFFSET(N$10,$A101*2,0),'Mapping A'!$B$6:$E$1011,4,0)=1,$E101,""),0)</f>
        <v>0</v>
      </c>
      <c r="O101" s="519">
        <f ca="1">_xlfn.IFNA(IF(VLOOKUP($B101&amp;OFFSET(O$10,$A101*2,0),'Mapping A'!$B$6:$E$1011,4,0)=1,$E101,""),0)</f>
        <v>0</v>
      </c>
      <c r="P101" s="519">
        <f ca="1">_xlfn.IFNA(IF(VLOOKUP($B101&amp;OFFSET(P$10,$A101*2,0),'Mapping A'!$B$6:$E$1011,4,0)=1,$E101,""),0)</f>
        <v>0</v>
      </c>
      <c r="Q101" s="519">
        <f ca="1">_xlfn.IFNA(IF(VLOOKUP($B101&amp;OFFSET(Q$10,$A101*2,0),'Mapping A'!$B$6:$E$1011,4,0)=1,$E101,""),0)</f>
        <v>0</v>
      </c>
      <c r="R101" s="519">
        <f ca="1">_xlfn.IFNA(IF(VLOOKUP($B101&amp;OFFSET(R$10,$A101*2,0),'Mapping A'!$B$6:$E$1011,4,0)=1,$E101,""),0)</f>
        <v>0</v>
      </c>
      <c r="S101" s="519">
        <f ca="1">_xlfn.IFNA(IF(VLOOKUP($B101&amp;OFFSET(S$10,$A101*2,0),'Mapping A'!$B$6:$E$1011,4,0)=1,$E101,""),0)</f>
        <v>0</v>
      </c>
      <c r="T101" s="519">
        <f ca="1">_xlfn.IFNA(IF(VLOOKUP($B101&amp;OFFSET(T$10,$A101*2,0),'Mapping A'!$B$6:$E$1011,4,0)=1,$E101,""),0)</f>
        <v>0</v>
      </c>
      <c r="Y101" s="534" t="str">
        <f t="shared" si="47"/>
        <v>OtagoNet JVHWB1101</v>
      </c>
      <c r="Z101" s="519" t="str">
        <f t="shared" si="26"/>
        <v>OtagoNet JV</v>
      </c>
      <c r="AA101" s="519" t="str">
        <f t="shared" si="27"/>
        <v>HWB1101</v>
      </c>
      <c r="AB101" s="519">
        <f t="shared" si="43"/>
        <v>5.9619</v>
      </c>
      <c r="AC101" s="324"/>
      <c r="AE101" s="519">
        <f t="shared" ca="1" si="28"/>
        <v>0</v>
      </c>
      <c r="AF101" s="519">
        <f t="shared" ca="1" si="29"/>
        <v>0</v>
      </c>
      <c r="AG101" s="519">
        <f t="shared" ca="1" si="30"/>
        <v>0</v>
      </c>
      <c r="AH101" s="519">
        <f t="shared" ca="1" si="31"/>
        <v>0</v>
      </c>
      <c r="AI101" s="519">
        <f t="shared" ca="1" si="44"/>
        <v>0</v>
      </c>
      <c r="AJ101" s="519">
        <f t="shared" ca="1" si="32"/>
        <v>0</v>
      </c>
      <c r="AK101" s="519">
        <f t="shared" ca="1" si="33"/>
        <v>0</v>
      </c>
      <c r="AL101" s="519">
        <f t="shared" ca="1" si="34"/>
        <v>0</v>
      </c>
      <c r="AM101" s="519">
        <f t="shared" ca="1" si="35"/>
        <v>0</v>
      </c>
      <c r="AN101" s="519">
        <f t="shared" ca="1" si="36"/>
        <v>0</v>
      </c>
      <c r="AO101" s="519">
        <f t="shared" ca="1" si="37"/>
        <v>0</v>
      </c>
      <c r="AP101" s="519">
        <f t="shared" ca="1" si="38"/>
        <v>0</v>
      </c>
      <c r="AQ101" s="519">
        <f t="shared" ca="1" si="39"/>
        <v>0</v>
      </c>
      <c r="AS101" s="536"/>
      <c r="AT101" s="536"/>
      <c r="AU101" s="519" t="str">
        <f t="shared" si="45"/>
        <v>OtagoNet JV</v>
      </c>
      <c r="AV101" s="519" t="str">
        <f t="shared" si="40"/>
        <v>HWB1101</v>
      </c>
      <c r="AW101" s="519">
        <f t="shared" si="41"/>
        <v>5.9619</v>
      </c>
      <c r="AX101" s="538"/>
      <c r="AY101" s="539">
        <f t="shared" ca="1" si="46"/>
        <v>0.18085449869959128</v>
      </c>
      <c r="AZ101" s="189"/>
    </row>
    <row r="102" spans="1:52" x14ac:dyDescent="0.3">
      <c r="A102" s="556">
        <v>1</v>
      </c>
      <c r="B102" s="519" t="str">
        <f t="shared" si="42"/>
        <v>INV</v>
      </c>
      <c r="C102" s="519" t="str">
        <f>AMDs!C83</f>
        <v>Electricity Invercargill</v>
      </c>
      <c r="D102" s="519" t="str">
        <f>AMDs!D83</f>
        <v>INV0331</v>
      </c>
      <c r="E102" s="519">
        <f>IF(AMDs!C83="other",0,AMDs!E83)</f>
        <v>61.324199999999998</v>
      </c>
      <c r="H102" s="519">
        <f ca="1">_xlfn.IFNA(IF(VLOOKUP($B102&amp;OFFSET(H$10,$A102*2,0),'Mapping A'!$B$6:$E$1011,4,0)=1,$E102,""),0)</f>
        <v>0</v>
      </c>
      <c r="I102" s="519">
        <f ca="1">_xlfn.IFNA(IF(VLOOKUP($B102&amp;OFFSET(I$10,$A102*2,0),'Mapping A'!$B$6:$E$1011,4,0)=1,$E102,""),0)</f>
        <v>61.324199999999998</v>
      </c>
      <c r="J102" s="519">
        <f ca="1">_xlfn.IFNA(IF(VLOOKUP($B102&amp;OFFSET(J$10,$A102*2,0),'Mapping A'!$B$6:$E$1011,4,0)=1,$E102,""),0)</f>
        <v>0</v>
      </c>
      <c r="K102" s="519">
        <f ca="1">_xlfn.IFNA(IF(VLOOKUP($B102&amp;OFFSET(K$10,$A102*2,0),'Mapping A'!$B$6:$E$1011,4,0)=1,$E102,""),0)</f>
        <v>0</v>
      </c>
      <c r="L102" s="519">
        <f ca="1">_xlfn.IFNA(IF(VLOOKUP($B102&amp;OFFSET(L$10,$A102*2,0),'Mapping A'!$B$6:$E$1011,4,0)=1,$E102,""),0)</f>
        <v>0</v>
      </c>
      <c r="M102" s="519">
        <f ca="1">_xlfn.IFNA(IF(VLOOKUP($B102&amp;OFFSET(M$10,$A102*2,0),'Mapping A'!$B$6:$E$1011,4,0)=1,$E102,""),0)</f>
        <v>0</v>
      </c>
      <c r="N102" s="519">
        <f ca="1">_xlfn.IFNA(IF(VLOOKUP($B102&amp;OFFSET(N$10,$A102*2,0),'Mapping A'!$B$6:$E$1011,4,0)=1,$E102,""),0)</f>
        <v>0</v>
      </c>
      <c r="O102" s="519">
        <f ca="1">_xlfn.IFNA(IF(VLOOKUP($B102&amp;OFFSET(O$10,$A102*2,0),'Mapping A'!$B$6:$E$1011,4,0)=1,$E102,""),0)</f>
        <v>0</v>
      </c>
      <c r="P102" s="519">
        <f ca="1">_xlfn.IFNA(IF(VLOOKUP($B102&amp;OFFSET(P$10,$A102*2,0),'Mapping A'!$B$6:$E$1011,4,0)=1,$E102,""),0)</f>
        <v>0</v>
      </c>
      <c r="Q102" s="519">
        <f ca="1">_xlfn.IFNA(IF(VLOOKUP($B102&amp;OFFSET(Q$10,$A102*2,0),'Mapping A'!$B$6:$E$1011,4,0)=1,$E102,""),0)</f>
        <v>0</v>
      </c>
      <c r="R102" s="519">
        <f ca="1">_xlfn.IFNA(IF(VLOOKUP($B102&amp;OFFSET(R$10,$A102*2,0),'Mapping A'!$B$6:$E$1011,4,0)=1,$E102,""),0)</f>
        <v>61.324199999999998</v>
      </c>
      <c r="S102" s="519">
        <f ca="1">_xlfn.IFNA(IF(VLOOKUP($B102&amp;OFFSET(S$10,$A102*2,0),'Mapping A'!$B$6:$E$1011,4,0)=1,$E102,""),0)</f>
        <v>0</v>
      </c>
      <c r="T102" s="519">
        <f ca="1">_xlfn.IFNA(IF(VLOOKUP($B102&amp;OFFSET(T$10,$A102*2,0),'Mapping A'!$B$6:$E$1011,4,0)=1,$E102,""),0)</f>
        <v>0</v>
      </c>
      <c r="Y102" s="534" t="str">
        <f t="shared" si="47"/>
        <v>Electricity InvercargillINV0331</v>
      </c>
      <c r="Z102" s="519" t="str">
        <f t="shared" si="26"/>
        <v>Electricity Invercargill</v>
      </c>
      <c r="AA102" s="519" t="str">
        <f t="shared" si="27"/>
        <v>INV0331</v>
      </c>
      <c r="AB102" s="519">
        <f t="shared" si="43"/>
        <v>61.324199999999998</v>
      </c>
      <c r="AC102" s="324"/>
      <c r="AE102" s="519">
        <f t="shared" ca="1" si="28"/>
        <v>0</v>
      </c>
      <c r="AF102" s="519">
        <f t="shared" ca="1" si="29"/>
        <v>0</v>
      </c>
      <c r="AG102" s="519">
        <f t="shared" ca="1" si="30"/>
        <v>0</v>
      </c>
      <c r="AH102" s="519">
        <f t="shared" ca="1" si="31"/>
        <v>0</v>
      </c>
      <c r="AI102" s="519">
        <f t="shared" ca="1" si="44"/>
        <v>0</v>
      </c>
      <c r="AJ102" s="519">
        <f t="shared" ca="1" si="32"/>
        <v>0</v>
      </c>
      <c r="AK102" s="519">
        <f t="shared" ca="1" si="33"/>
        <v>0</v>
      </c>
      <c r="AL102" s="519">
        <f t="shared" ca="1" si="34"/>
        <v>0</v>
      </c>
      <c r="AM102" s="519">
        <f t="shared" ca="1" si="35"/>
        <v>0</v>
      </c>
      <c r="AN102" s="519">
        <f t="shared" ca="1" si="36"/>
        <v>0</v>
      </c>
      <c r="AO102" s="519">
        <f t="shared" ca="1" si="37"/>
        <v>0.14895877538501817</v>
      </c>
      <c r="AP102" s="519">
        <f t="shared" ca="1" si="38"/>
        <v>0</v>
      </c>
      <c r="AQ102" s="519">
        <f t="shared" ca="1" si="39"/>
        <v>0</v>
      </c>
      <c r="AS102" s="536"/>
      <c r="AT102" s="536"/>
      <c r="AU102" s="519" t="str">
        <f t="shared" si="45"/>
        <v>Electricity Invercargill</v>
      </c>
      <c r="AV102" s="519" t="str">
        <f t="shared" si="40"/>
        <v>INV0331</v>
      </c>
      <c r="AW102" s="519">
        <f t="shared" si="41"/>
        <v>61.324199999999998</v>
      </c>
      <c r="AX102" s="538"/>
      <c r="AY102" s="539">
        <f t="shared" ca="1" si="46"/>
        <v>1.8602723039892446</v>
      </c>
      <c r="AZ102" s="189"/>
    </row>
    <row r="103" spans="1:52" x14ac:dyDescent="0.3">
      <c r="A103" s="556">
        <v>1</v>
      </c>
      <c r="B103" s="519" t="str">
        <f t="shared" si="42"/>
        <v>INV</v>
      </c>
      <c r="C103" s="519" t="str">
        <f>AMDs!C84</f>
        <v>The Power Company</v>
      </c>
      <c r="D103" s="519" t="str">
        <f>AMDs!D84</f>
        <v>INV0331</v>
      </c>
      <c r="E103" s="519">
        <f>IF(AMDs!C84="other",0,AMDs!E84)</f>
        <v>39.207000000000001</v>
      </c>
      <c r="H103" s="519">
        <f ca="1">_xlfn.IFNA(IF(VLOOKUP($B103&amp;OFFSET(H$10,$A103*2,0),'Mapping A'!$B$6:$E$1011,4,0)=1,$E103,""),0)</f>
        <v>0</v>
      </c>
      <c r="I103" s="519">
        <f ca="1">_xlfn.IFNA(IF(VLOOKUP($B103&amp;OFFSET(I$10,$A103*2,0),'Mapping A'!$B$6:$E$1011,4,0)=1,$E103,""),0)</f>
        <v>39.207000000000001</v>
      </c>
      <c r="J103" s="519">
        <f ca="1">_xlfn.IFNA(IF(VLOOKUP($B103&amp;OFFSET(J$10,$A103*2,0),'Mapping A'!$B$6:$E$1011,4,0)=1,$E103,""),0)</f>
        <v>0</v>
      </c>
      <c r="K103" s="519">
        <f ca="1">_xlfn.IFNA(IF(VLOOKUP($B103&amp;OFFSET(K$10,$A103*2,0),'Mapping A'!$B$6:$E$1011,4,0)=1,$E103,""),0)</f>
        <v>0</v>
      </c>
      <c r="L103" s="519">
        <f ca="1">_xlfn.IFNA(IF(VLOOKUP($B103&amp;OFFSET(L$10,$A103*2,0),'Mapping A'!$B$6:$E$1011,4,0)=1,$E103,""),0)</f>
        <v>0</v>
      </c>
      <c r="M103" s="519">
        <f ca="1">_xlfn.IFNA(IF(VLOOKUP($B103&amp;OFFSET(M$10,$A103*2,0),'Mapping A'!$B$6:$E$1011,4,0)=1,$E103,""),0)</f>
        <v>0</v>
      </c>
      <c r="N103" s="519">
        <f ca="1">_xlfn.IFNA(IF(VLOOKUP($B103&amp;OFFSET(N$10,$A103*2,0),'Mapping A'!$B$6:$E$1011,4,0)=1,$E103,""),0)</f>
        <v>0</v>
      </c>
      <c r="O103" s="519">
        <f ca="1">_xlfn.IFNA(IF(VLOOKUP($B103&amp;OFFSET(O$10,$A103*2,0),'Mapping A'!$B$6:$E$1011,4,0)=1,$E103,""),0)</f>
        <v>0</v>
      </c>
      <c r="P103" s="519">
        <f ca="1">_xlfn.IFNA(IF(VLOOKUP($B103&amp;OFFSET(P$10,$A103*2,0),'Mapping A'!$B$6:$E$1011,4,0)=1,$E103,""),0)</f>
        <v>0</v>
      </c>
      <c r="Q103" s="519">
        <f ca="1">_xlfn.IFNA(IF(VLOOKUP($B103&amp;OFFSET(Q$10,$A103*2,0),'Mapping A'!$B$6:$E$1011,4,0)=1,$E103,""),0)</f>
        <v>0</v>
      </c>
      <c r="R103" s="519">
        <f ca="1">_xlfn.IFNA(IF(VLOOKUP($B103&amp;OFFSET(R$10,$A103*2,0),'Mapping A'!$B$6:$E$1011,4,0)=1,$E103,""),0)</f>
        <v>39.207000000000001</v>
      </c>
      <c r="S103" s="519">
        <f ca="1">_xlfn.IFNA(IF(VLOOKUP($B103&amp;OFFSET(S$10,$A103*2,0),'Mapping A'!$B$6:$E$1011,4,0)=1,$E103,""),0)</f>
        <v>0</v>
      </c>
      <c r="T103" s="519">
        <f ca="1">_xlfn.IFNA(IF(VLOOKUP($B103&amp;OFFSET(T$10,$A103*2,0),'Mapping A'!$B$6:$E$1011,4,0)=1,$E103,""),0)</f>
        <v>0</v>
      </c>
      <c r="Y103" s="534" t="str">
        <f t="shared" si="47"/>
        <v>The Power CompanyINV0331</v>
      </c>
      <c r="Z103" s="519" t="str">
        <f t="shared" si="26"/>
        <v>The Power Company</v>
      </c>
      <c r="AA103" s="519" t="str">
        <f t="shared" si="27"/>
        <v>INV0331</v>
      </c>
      <c r="AB103" s="519">
        <f t="shared" si="43"/>
        <v>39.207000000000001</v>
      </c>
      <c r="AC103" s="324"/>
      <c r="AE103" s="519">
        <f t="shared" ca="1" si="28"/>
        <v>0</v>
      </c>
      <c r="AF103" s="519">
        <f t="shared" ca="1" si="29"/>
        <v>0</v>
      </c>
      <c r="AG103" s="519">
        <f t="shared" ca="1" si="30"/>
        <v>0</v>
      </c>
      <c r="AH103" s="519">
        <f t="shared" ca="1" si="31"/>
        <v>0</v>
      </c>
      <c r="AI103" s="519">
        <f t="shared" ca="1" si="44"/>
        <v>0</v>
      </c>
      <c r="AJ103" s="519">
        <f t="shared" ca="1" si="32"/>
        <v>0</v>
      </c>
      <c r="AK103" s="519">
        <f t="shared" ca="1" si="33"/>
        <v>0</v>
      </c>
      <c r="AL103" s="519">
        <f t="shared" ca="1" si="34"/>
        <v>0</v>
      </c>
      <c r="AM103" s="519">
        <f t="shared" ca="1" si="35"/>
        <v>0</v>
      </c>
      <c r="AN103" s="519">
        <f t="shared" ca="1" si="36"/>
        <v>0</v>
      </c>
      <c r="AO103" s="519">
        <f t="shared" ca="1" si="37"/>
        <v>9.5235269380120863E-2</v>
      </c>
      <c r="AP103" s="519">
        <f t="shared" ca="1" si="38"/>
        <v>0</v>
      </c>
      <c r="AQ103" s="519">
        <f t="shared" ca="1" si="39"/>
        <v>0</v>
      </c>
      <c r="AS103" s="536"/>
      <c r="AT103" s="536"/>
      <c r="AU103" s="519" t="str">
        <f t="shared" si="45"/>
        <v>The Power Company</v>
      </c>
      <c r="AV103" s="519" t="str">
        <f t="shared" si="40"/>
        <v>INV0331</v>
      </c>
      <c r="AW103" s="519">
        <f t="shared" si="41"/>
        <v>39.207000000000001</v>
      </c>
      <c r="AX103" s="538"/>
      <c r="AY103" s="539">
        <f t="shared" ca="1" si="46"/>
        <v>1.1893460692924867</v>
      </c>
      <c r="AZ103" s="189"/>
    </row>
    <row r="104" spans="1:52" x14ac:dyDescent="0.3">
      <c r="A104" s="556">
        <v>1</v>
      </c>
      <c r="B104" s="519" t="str">
        <f t="shared" si="42"/>
        <v>ISL</v>
      </c>
      <c r="C104" s="519" t="str">
        <f>AMDs!C85</f>
        <v>Orion</v>
      </c>
      <c r="D104" s="519" t="str">
        <f>AMDs!D85</f>
        <v>ISL0331</v>
      </c>
      <c r="E104" s="519">
        <f>IF(AMDs!C85="other",0,AMDs!E85)</f>
        <v>76.406400000000005</v>
      </c>
      <c r="H104" s="519">
        <f ca="1">_xlfn.IFNA(IF(VLOOKUP($B104&amp;OFFSET(H$10,$A104*2,0),'Mapping A'!$B$6:$E$1011,4,0)=1,$E104,""),0)</f>
        <v>0</v>
      </c>
      <c r="I104" s="519">
        <f ca="1">_xlfn.IFNA(IF(VLOOKUP($B104&amp;OFFSET(I$10,$A104*2,0),'Mapping A'!$B$6:$E$1011,4,0)=1,$E104,""),0)</f>
        <v>76.406400000000005</v>
      </c>
      <c r="J104" s="519">
        <f ca="1">_xlfn.IFNA(IF(VLOOKUP($B104&amp;OFFSET(J$10,$A104*2,0),'Mapping A'!$B$6:$E$1011,4,0)=1,$E104,""),0)</f>
        <v>0</v>
      </c>
      <c r="K104" s="519">
        <f ca="1">_xlfn.IFNA(IF(VLOOKUP($B104&amp;OFFSET(K$10,$A104*2,0),'Mapping A'!$B$6:$E$1011,4,0)=1,$E104,""),0)</f>
        <v>0</v>
      </c>
      <c r="L104" s="519">
        <f ca="1">_xlfn.IFNA(IF(VLOOKUP($B104&amp;OFFSET(L$10,$A104*2,0),'Mapping A'!$B$6:$E$1011,4,0)=1,$E104,""),0)</f>
        <v>0</v>
      </c>
      <c r="M104" s="519">
        <f ca="1">_xlfn.IFNA(IF(VLOOKUP($B104&amp;OFFSET(M$10,$A104*2,0),'Mapping A'!$B$6:$E$1011,4,0)=1,$E104,""),0)</f>
        <v>0</v>
      </c>
      <c r="N104" s="519">
        <f ca="1">_xlfn.IFNA(IF(VLOOKUP($B104&amp;OFFSET(N$10,$A104*2,0),'Mapping A'!$B$6:$E$1011,4,0)=1,$E104,""),0)</f>
        <v>0</v>
      </c>
      <c r="O104" s="519">
        <f ca="1">_xlfn.IFNA(IF(VLOOKUP($B104&amp;OFFSET(O$10,$A104*2,0),'Mapping A'!$B$6:$E$1011,4,0)=1,$E104,""),0)</f>
        <v>0</v>
      </c>
      <c r="P104" s="519">
        <f ca="1">_xlfn.IFNA(IF(VLOOKUP($B104&amp;OFFSET(P$10,$A104*2,0),'Mapping A'!$B$6:$E$1011,4,0)=1,$E104,""),0)</f>
        <v>76.406400000000005</v>
      </c>
      <c r="Q104" s="519">
        <f ca="1">_xlfn.IFNA(IF(VLOOKUP($B104&amp;OFFSET(Q$10,$A104*2,0),'Mapping A'!$B$6:$E$1011,4,0)=1,$E104,""),0)</f>
        <v>0</v>
      </c>
      <c r="R104" s="519">
        <f ca="1">_xlfn.IFNA(IF(VLOOKUP($B104&amp;OFFSET(R$10,$A104*2,0),'Mapping A'!$B$6:$E$1011,4,0)=1,$E104,""),0)</f>
        <v>0</v>
      </c>
      <c r="S104" s="519">
        <f ca="1">_xlfn.IFNA(IF(VLOOKUP($B104&amp;OFFSET(S$10,$A104*2,0),'Mapping A'!$B$6:$E$1011,4,0)=1,$E104,""),0)</f>
        <v>0</v>
      </c>
      <c r="T104" s="519">
        <f ca="1">_xlfn.IFNA(IF(VLOOKUP($B104&amp;OFFSET(T$10,$A104*2,0),'Mapping A'!$B$6:$E$1011,4,0)=1,$E104,""),0)</f>
        <v>0</v>
      </c>
      <c r="Y104" s="534" t="str">
        <f t="shared" si="47"/>
        <v>OrionISL0331</v>
      </c>
      <c r="Z104" s="519" t="str">
        <f t="shared" si="26"/>
        <v>Orion</v>
      </c>
      <c r="AA104" s="519" t="str">
        <f t="shared" si="27"/>
        <v>ISL0331</v>
      </c>
      <c r="AB104" s="519">
        <f t="shared" si="43"/>
        <v>76.406400000000005</v>
      </c>
      <c r="AC104" s="324"/>
      <c r="AE104" s="519">
        <f t="shared" ca="1" si="28"/>
        <v>0</v>
      </c>
      <c r="AF104" s="519">
        <f t="shared" ca="1" si="29"/>
        <v>0</v>
      </c>
      <c r="AG104" s="519">
        <f t="shared" ca="1" si="30"/>
        <v>0</v>
      </c>
      <c r="AH104" s="519">
        <f t="shared" ca="1" si="31"/>
        <v>0</v>
      </c>
      <c r="AI104" s="519">
        <f t="shared" ca="1" si="44"/>
        <v>0</v>
      </c>
      <c r="AJ104" s="519">
        <f t="shared" ca="1" si="32"/>
        <v>0</v>
      </c>
      <c r="AK104" s="519">
        <f t="shared" ca="1" si="33"/>
        <v>0</v>
      </c>
      <c r="AL104" s="519">
        <f t="shared" ca="1" si="34"/>
        <v>0</v>
      </c>
      <c r="AM104" s="519">
        <f t="shared" ca="1" si="35"/>
        <v>0.20353672933124412</v>
      </c>
      <c r="AN104" s="519">
        <f t="shared" ca="1" si="36"/>
        <v>0</v>
      </c>
      <c r="AO104" s="519">
        <f t="shared" ca="1" si="37"/>
        <v>0</v>
      </c>
      <c r="AP104" s="519">
        <f t="shared" ca="1" si="38"/>
        <v>0</v>
      </c>
      <c r="AQ104" s="519">
        <f t="shared" ca="1" si="39"/>
        <v>0</v>
      </c>
      <c r="AS104" s="536"/>
      <c r="AT104" s="536"/>
      <c r="AU104" s="519" t="str">
        <f t="shared" si="45"/>
        <v>Orion</v>
      </c>
      <c r="AV104" s="519" t="str">
        <f t="shared" si="40"/>
        <v>ISL0331</v>
      </c>
      <c r="AW104" s="519">
        <f t="shared" si="41"/>
        <v>76.406400000000005</v>
      </c>
      <c r="AX104" s="538"/>
      <c r="AY104" s="539">
        <f t="shared" ca="1" si="46"/>
        <v>2.317791504292332</v>
      </c>
      <c r="AZ104" s="189"/>
    </row>
    <row r="105" spans="1:52" x14ac:dyDescent="0.3">
      <c r="A105" s="556">
        <v>1</v>
      </c>
      <c r="B105" s="519" t="str">
        <f t="shared" si="42"/>
        <v>ISL</v>
      </c>
      <c r="C105" s="519" t="str">
        <f>AMDs!C86</f>
        <v>Orion</v>
      </c>
      <c r="D105" s="519" t="str">
        <f>AMDs!D86</f>
        <v>ISL0661</v>
      </c>
      <c r="E105" s="519">
        <f>IF(AMDs!C86="other",0,AMDs!E86)</f>
        <v>401.96519999999998</v>
      </c>
      <c r="H105" s="519">
        <f ca="1">_xlfn.IFNA(IF(VLOOKUP($B105&amp;OFFSET(H$10,$A105*2,0),'Mapping A'!$B$6:$E$1011,4,0)=1,$E105,""),0)</f>
        <v>0</v>
      </c>
      <c r="I105" s="519">
        <f ca="1">_xlfn.IFNA(IF(VLOOKUP($B105&amp;OFFSET(I$10,$A105*2,0),'Mapping A'!$B$6:$E$1011,4,0)=1,$E105,""),0)</f>
        <v>401.96519999999998</v>
      </c>
      <c r="J105" s="519">
        <f ca="1">_xlfn.IFNA(IF(VLOOKUP($B105&amp;OFFSET(J$10,$A105*2,0),'Mapping A'!$B$6:$E$1011,4,0)=1,$E105,""),0)</f>
        <v>0</v>
      </c>
      <c r="K105" s="519">
        <f ca="1">_xlfn.IFNA(IF(VLOOKUP($B105&amp;OFFSET(K$10,$A105*2,0),'Mapping A'!$B$6:$E$1011,4,0)=1,$E105,""),0)</f>
        <v>0</v>
      </c>
      <c r="L105" s="519">
        <f ca="1">_xlfn.IFNA(IF(VLOOKUP($B105&amp;OFFSET(L$10,$A105*2,0),'Mapping A'!$B$6:$E$1011,4,0)=1,$E105,""),0)</f>
        <v>0</v>
      </c>
      <c r="M105" s="519">
        <f ca="1">_xlfn.IFNA(IF(VLOOKUP($B105&amp;OFFSET(M$10,$A105*2,0),'Mapping A'!$B$6:$E$1011,4,0)=1,$E105,""),0)</f>
        <v>0</v>
      </c>
      <c r="N105" s="519">
        <f ca="1">_xlfn.IFNA(IF(VLOOKUP($B105&amp;OFFSET(N$10,$A105*2,0),'Mapping A'!$B$6:$E$1011,4,0)=1,$E105,""),0)</f>
        <v>0</v>
      </c>
      <c r="O105" s="519">
        <f ca="1">_xlfn.IFNA(IF(VLOOKUP($B105&amp;OFFSET(O$10,$A105*2,0),'Mapping A'!$B$6:$E$1011,4,0)=1,$E105,""),0)</f>
        <v>0</v>
      </c>
      <c r="P105" s="519">
        <f ca="1">_xlfn.IFNA(IF(VLOOKUP($B105&amp;OFFSET(P$10,$A105*2,0),'Mapping A'!$B$6:$E$1011,4,0)=1,$E105,""),0)</f>
        <v>401.96519999999998</v>
      </c>
      <c r="Q105" s="519">
        <f ca="1">_xlfn.IFNA(IF(VLOOKUP($B105&amp;OFFSET(Q$10,$A105*2,0),'Mapping A'!$B$6:$E$1011,4,0)=1,$E105,""),0)</f>
        <v>0</v>
      </c>
      <c r="R105" s="519">
        <f ca="1">_xlfn.IFNA(IF(VLOOKUP($B105&amp;OFFSET(R$10,$A105*2,0),'Mapping A'!$B$6:$E$1011,4,0)=1,$E105,""),0)</f>
        <v>0</v>
      </c>
      <c r="S105" s="519">
        <f ca="1">_xlfn.IFNA(IF(VLOOKUP($B105&amp;OFFSET(S$10,$A105*2,0),'Mapping A'!$B$6:$E$1011,4,0)=1,$E105,""),0)</f>
        <v>0</v>
      </c>
      <c r="T105" s="519">
        <f ca="1">_xlfn.IFNA(IF(VLOOKUP($B105&amp;OFFSET(T$10,$A105*2,0),'Mapping A'!$B$6:$E$1011,4,0)=1,$E105,""),0)</f>
        <v>0</v>
      </c>
      <c r="Y105" s="534" t="str">
        <f t="shared" si="47"/>
        <v>OrionISL0661</v>
      </c>
      <c r="Z105" s="519" t="str">
        <f t="shared" si="26"/>
        <v>Orion</v>
      </c>
      <c r="AA105" s="519" t="str">
        <f t="shared" si="27"/>
        <v>ISL0661</v>
      </c>
      <c r="AB105" s="519">
        <f t="shared" si="43"/>
        <v>401.96519999999998</v>
      </c>
      <c r="AC105" s="324"/>
      <c r="AE105" s="519">
        <f t="shared" ca="1" si="28"/>
        <v>0</v>
      </c>
      <c r="AF105" s="519">
        <f t="shared" ca="1" si="29"/>
        <v>0</v>
      </c>
      <c r="AG105" s="519">
        <f t="shared" ca="1" si="30"/>
        <v>0</v>
      </c>
      <c r="AH105" s="519">
        <f t="shared" ca="1" si="31"/>
        <v>0</v>
      </c>
      <c r="AI105" s="519">
        <f t="shared" ca="1" si="44"/>
        <v>0</v>
      </c>
      <c r="AJ105" s="519">
        <f t="shared" ca="1" si="32"/>
        <v>0</v>
      </c>
      <c r="AK105" s="519">
        <f t="shared" ca="1" si="33"/>
        <v>0</v>
      </c>
      <c r="AL105" s="519">
        <f t="shared" ca="1" si="34"/>
        <v>0</v>
      </c>
      <c r="AM105" s="519">
        <f t="shared" ca="1" si="35"/>
        <v>1.0707831034177688</v>
      </c>
      <c r="AN105" s="519">
        <f t="shared" ca="1" si="36"/>
        <v>0</v>
      </c>
      <c r="AO105" s="519">
        <f t="shared" ca="1" si="37"/>
        <v>0</v>
      </c>
      <c r="AP105" s="519">
        <f t="shared" ca="1" si="38"/>
        <v>0</v>
      </c>
      <c r="AQ105" s="519">
        <f t="shared" ca="1" si="39"/>
        <v>0</v>
      </c>
      <c r="AS105" s="536"/>
      <c r="AT105" s="536"/>
      <c r="AU105" s="519" t="str">
        <f t="shared" si="45"/>
        <v>Orion</v>
      </c>
      <c r="AV105" s="519" t="str">
        <f t="shared" si="40"/>
        <v>ISL0661</v>
      </c>
      <c r="AW105" s="519">
        <f t="shared" si="41"/>
        <v>401.96519999999998</v>
      </c>
      <c r="AX105" s="538"/>
      <c r="AY105" s="539">
        <f t="shared" ca="1" si="46"/>
        <v>12.193632020107843</v>
      </c>
      <c r="AZ105" s="189"/>
    </row>
    <row r="106" spans="1:52" x14ac:dyDescent="0.3">
      <c r="A106" s="556">
        <v>1</v>
      </c>
      <c r="B106" s="519" t="str">
        <f t="shared" si="42"/>
        <v>KAI</v>
      </c>
      <c r="C106" s="519" t="str">
        <f>AMDs!C87</f>
        <v>Mainpower</v>
      </c>
      <c r="D106" s="519" t="str">
        <f>AMDs!D87</f>
        <v>KAI0111</v>
      </c>
      <c r="E106" s="519">
        <f>IF(AMDs!C87="other",0,AMDs!E87)</f>
        <v>28.961099999999998</v>
      </c>
      <c r="H106" s="519">
        <f ca="1">_xlfn.IFNA(IF(VLOOKUP($B106&amp;OFFSET(H$10,$A106*2,0),'Mapping A'!$B$6:$E$1011,4,0)=1,$E106,""),0)</f>
        <v>0</v>
      </c>
      <c r="I106" s="519">
        <f ca="1">_xlfn.IFNA(IF(VLOOKUP($B106&amp;OFFSET(I$10,$A106*2,0),'Mapping A'!$B$6:$E$1011,4,0)=1,$E106,""),0)</f>
        <v>28.961099999999998</v>
      </c>
      <c r="J106" s="519">
        <f ca="1">_xlfn.IFNA(IF(VLOOKUP($B106&amp;OFFSET(J$10,$A106*2,0),'Mapping A'!$B$6:$E$1011,4,0)=1,$E106,""),0)</f>
        <v>0</v>
      </c>
      <c r="K106" s="519">
        <f ca="1">_xlfn.IFNA(IF(VLOOKUP($B106&amp;OFFSET(K$10,$A106*2,0),'Mapping A'!$B$6:$E$1011,4,0)=1,$E106,""),0)</f>
        <v>0</v>
      </c>
      <c r="L106" s="519">
        <f ca="1">_xlfn.IFNA(IF(VLOOKUP($B106&amp;OFFSET(L$10,$A106*2,0),'Mapping A'!$B$6:$E$1011,4,0)=1,$E106,""),0)</f>
        <v>0</v>
      </c>
      <c r="M106" s="519">
        <f ca="1">_xlfn.IFNA(IF(VLOOKUP($B106&amp;OFFSET(M$10,$A106*2,0),'Mapping A'!$B$6:$E$1011,4,0)=1,$E106,""),0)</f>
        <v>0</v>
      </c>
      <c r="N106" s="519">
        <f ca="1">_xlfn.IFNA(IF(VLOOKUP($B106&amp;OFFSET(N$10,$A106*2,0),'Mapping A'!$B$6:$E$1011,4,0)=1,$E106,""),0)</f>
        <v>0</v>
      </c>
      <c r="O106" s="519">
        <f ca="1">_xlfn.IFNA(IF(VLOOKUP($B106&amp;OFFSET(O$10,$A106*2,0),'Mapping A'!$B$6:$E$1011,4,0)=1,$E106,""),0)</f>
        <v>0</v>
      </c>
      <c r="P106" s="519">
        <f ca="1">_xlfn.IFNA(IF(VLOOKUP($B106&amp;OFFSET(P$10,$A106*2,0),'Mapping A'!$B$6:$E$1011,4,0)=1,$E106,""),0)</f>
        <v>28.961099999999998</v>
      </c>
      <c r="Q106" s="519">
        <f ca="1">_xlfn.IFNA(IF(VLOOKUP($B106&amp;OFFSET(Q$10,$A106*2,0),'Mapping A'!$B$6:$E$1011,4,0)=1,$E106,""),0)</f>
        <v>0</v>
      </c>
      <c r="R106" s="519">
        <f ca="1">_xlfn.IFNA(IF(VLOOKUP($B106&amp;OFFSET(R$10,$A106*2,0),'Mapping A'!$B$6:$E$1011,4,0)=1,$E106,""),0)</f>
        <v>0</v>
      </c>
      <c r="S106" s="519">
        <f ca="1">_xlfn.IFNA(IF(VLOOKUP($B106&amp;OFFSET(S$10,$A106*2,0),'Mapping A'!$B$6:$E$1011,4,0)=1,$E106,""),0)</f>
        <v>0</v>
      </c>
      <c r="T106" s="519">
        <f ca="1">_xlfn.IFNA(IF(VLOOKUP($B106&amp;OFFSET(T$10,$A106*2,0),'Mapping A'!$B$6:$E$1011,4,0)=1,$E106,""),0)</f>
        <v>0</v>
      </c>
      <c r="Y106" s="534" t="str">
        <f t="shared" si="47"/>
        <v>MainpowerKAI0111</v>
      </c>
      <c r="Z106" s="519" t="str">
        <f t="shared" si="26"/>
        <v>Mainpower</v>
      </c>
      <c r="AA106" s="519" t="str">
        <f t="shared" si="27"/>
        <v>KAI0111</v>
      </c>
      <c r="AB106" s="519">
        <f t="shared" si="43"/>
        <v>28.961099999999998</v>
      </c>
      <c r="AC106" s="324"/>
      <c r="AE106" s="519">
        <f t="shared" ca="1" si="28"/>
        <v>0</v>
      </c>
      <c r="AF106" s="519">
        <f t="shared" ca="1" si="29"/>
        <v>0</v>
      </c>
      <c r="AG106" s="519">
        <f t="shared" ca="1" si="30"/>
        <v>0</v>
      </c>
      <c r="AH106" s="519">
        <f t="shared" ca="1" si="31"/>
        <v>0</v>
      </c>
      <c r="AI106" s="519">
        <f t="shared" ca="1" si="44"/>
        <v>0</v>
      </c>
      <c r="AJ106" s="519">
        <f t="shared" ca="1" si="32"/>
        <v>0</v>
      </c>
      <c r="AK106" s="519">
        <f t="shared" ca="1" si="33"/>
        <v>0</v>
      </c>
      <c r="AL106" s="519">
        <f t="shared" ca="1" si="34"/>
        <v>0</v>
      </c>
      <c r="AM106" s="519">
        <f t="shared" ca="1" si="35"/>
        <v>7.7148610218975039E-2</v>
      </c>
      <c r="AN106" s="519">
        <f t="shared" ca="1" si="36"/>
        <v>0</v>
      </c>
      <c r="AO106" s="519">
        <f t="shared" ca="1" si="37"/>
        <v>0</v>
      </c>
      <c r="AP106" s="519">
        <f t="shared" ca="1" si="38"/>
        <v>0</v>
      </c>
      <c r="AQ106" s="519">
        <f t="shared" ca="1" si="39"/>
        <v>0</v>
      </c>
      <c r="AS106" s="536"/>
      <c r="AT106" s="536"/>
      <c r="AU106" s="519" t="str">
        <f t="shared" si="45"/>
        <v>Mainpower</v>
      </c>
      <c r="AV106" s="519" t="str">
        <f t="shared" si="40"/>
        <v>KAI0111</v>
      </c>
      <c r="AW106" s="519">
        <f t="shared" si="41"/>
        <v>28.961099999999998</v>
      </c>
      <c r="AX106" s="538"/>
      <c r="AY106" s="539">
        <f t="shared" ca="1" si="46"/>
        <v>0.87853624218600335</v>
      </c>
      <c r="AZ106" s="189"/>
    </row>
    <row r="107" spans="1:52" x14ac:dyDescent="0.3">
      <c r="A107" s="556">
        <v>1</v>
      </c>
      <c r="B107" s="519" t="str">
        <f t="shared" si="42"/>
        <v>KAW</v>
      </c>
      <c r="C107" s="519" t="str">
        <f>AMDs!C88</f>
        <v>Norske Skog</v>
      </c>
      <c r="D107" s="519" t="str">
        <f>AMDs!D88</f>
        <v>KAW</v>
      </c>
      <c r="E107" s="519">
        <f>IF(AMDs!C88="other",0,AMDs!E88)</f>
        <v>92.992000000000004</v>
      </c>
      <c r="H107" s="519">
        <f ca="1">_xlfn.IFNA(IF(VLOOKUP($B107&amp;OFFSET(H$10,$A107*2,0),'Mapping A'!$B$6:$E$1011,4,0)=1,$E107,""),0)</f>
        <v>0</v>
      </c>
      <c r="I107" s="519">
        <f ca="1">_xlfn.IFNA(IF(VLOOKUP($B107&amp;OFFSET(I$10,$A107*2,0),'Mapping A'!$B$6:$E$1011,4,0)=1,$E107,""),0)</f>
        <v>92.992000000000004</v>
      </c>
      <c r="J107" s="519">
        <f ca="1">_xlfn.IFNA(IF(VLOOKUP($B107&amp;OFFSET(J$10,$A107*2,0),'Mapping A'!$B$6:$E$1011,4,0)=1,$E107,""),0)</f>
        <v>92.992000000000004</v>
      </c>
      <c r="K107" s="519">
        <f ca="1">_xlfn.IFNA(IF(VLOOKUP($B107&amp;OFFSET(K$10,$A107*2,0),'Mapping A'!$B$6:$E$1011,4,0)=1,$E107,""),0)</f>
        <v>0</v>
      </c>
      <c r="L107" s="519">
        <f ca="1">_xlfn.IFNA(IF(VLOOKUP($B107&amp;OFFSET(L$10,$A107*2,0),'Mapping A'!$B$6:$E$1011,4,0)=1,$E107,""),0)</f>
        <v>0</v>
      </c>
      <c r="M107" s="519">
        <f ca="1">_xlfn.IFNA(IF(VLOOKUP($B107&amp;OFFSET(M$10,$A107*2,0),'Mapping A'!$B$6:$E$1011,4,0)=1,$E107,""),0)</f>
        <v>92.992000000000004</v>
      </c>
      <c r="N107" s="519">
        <f ca="1">_xlfn.IFNA(IF(VLOOKUP($B107&amp;OFFSET(N$10,$A107*2,0),'Mapping A'!$B$6:$E$1011,4,0)=1,$E107,""),0)</f>
        <v>0</v>
      </c>
      <c r="O107" s="519">
        <f ca="1">_xlfn.IFNA(IF(VLOOKUP($B107&amp;OFFSET(O$10,$A107*2,0),'Mapping A'!$B$6:$E$1011,4,0)=1,$E107,""),0)</f>
        <v>0</v>
      </c>
      <c r="P107" s="519">
        <f ca="1">_xlfn.IFNA(IF(VLOOKUP($B107&amp;OFFSET(P$10,$A107*2,0),'Mapping A'!$B$6:$E$1011,4,0)=1,$E107,""),0)</f>
        <v>0</v>
      </c>
      <c r="Q107" s="519">
        <f ca="1">_xlfn.IFNA(IF(VLOOKUP($B107&amp;OFFSET(Q$10,$A107*2,0),'Mapping A'!$B$6:$E$1011,4,0)=1,$E107,""),0)</f>
        <v>0</v>
      </c>
      <c r="R107" s="519">
        <f ca="1">_xlfn.IFNA(IF(VLOOKUP($B107&amp;OFFSET(R$10,$A107*2,0),'Mapping A'!$B$6:$E$1011,4,0)=1,$E107,""),0)</f>
        <v>0</v>
      </c>
      <c r="S107" s="519">
        <f ca="1">_xlfn.IFNA(IF(VLOOKUP($B107&amp;OFFSET(S$10,$A107*2,0),'Mapping A'!$B$6:$E$1011,4,0)=1,$E107,""),0)</f>
        <v>0</v>
      </c>
      <c r="T107" s="519">
        <f ca="1">_xlfn.IFNA(IF(VLOOKUP($B107&amp;OFFSET(T$10,$A107*2,0),'Mapping A'!$B$6:$E$1011,4,0)=1,$E107,""),0)</f>
        <v>0</v>
      </c>
      <c r="Y107" s="534" t="str">
        <f t="shared" si="47"/>
        <v>Norske SkogKAW</v>
      </c>
      <c r="Z107" s="519" t="str">
        <f t="shared" si="26"/>
        <v>Norske Skog</v>
      </c>
      <c r="AA107" s="519" t="str">
        <f t="shared" si="27"/>
        <v>KAW</v>
      </c>
      <c r="AB107" s="519">
        <f t="shared" si="43"/>
        <v>92.992000000000004</v>
      </c>
      <c r="AC107" s="324"/>
      <c r="AE107" s="519">
        <f t="shared" ca="1" si="28"/>
        <v>0</v>
      </c>
      <c r="AF107" s="519">
        <f t="shared" ca="1" si="29"/>
        <v>0</v>
      </c>
      <c r="AG107" s="519">
        <f t="shared" ca="1" si="30"/>
        <v>0</v>
      </c>
      <c r="AH107" s="519">
        <f t="shared" ca="1" si="31"/>
        <v>0</v>
      </c>
      <c r="AI107" s="519">
        <f t="shared" ca="1" si="44"/>
        <v>0</v>
      </c>
      <c r="AJ107" s="519">
        <f t="shared" ca="1" si="32"/>
        <v>0</v>
      </c>
      <c r="AK107" s="519">
        <f t="shared" ca="1" si="33"/>
        <v>0</v>
      </c>
      <c r="AL107" s="519">
        <f t="shared" ca="1" si="34"/>
        <v>0</v>
      </c>
      <c r="AM107" s="519">
        <f t="shared" ca="1" si="35"/>
        <v>0</v>
      </c>
      <c r="AN107" s="519">
        <f t="shared" ca="1" si="36"/>
        <v>0</v>
      </c>
      <c r="AO107" s="519">
        <f t="shared" ca="1" si="37"/>
        <v>0</v>
      </c>
      <c r="AP107" s="519">
        <f t="shared" ca="1" si="38"/>
        <v>0</v>
      </c>
      <c r="AQ107" s="519">
        <f t="shared" ca="1" si="39"/>
        <v>0</v>
      </c>
      <c r="AS107" s="536"/>
      <c r="AT107" s="536"/>
      <c r="AU107" s="519" t="str">
        <f t="shared" si="45"/>
        <v>Norske Skog</v>
      </c>
      <c r="AV107" s="519" t="str">
        <f t="shared" si="40"/>
        <v>KAW</v>
      </c>
      <c r="AW107" s="519">
        <f t="shared" si="41"/>
        <v>92.992000000000004</v>
      </c>
      <c r="AX107" s="538"/>
      <c r="AY107" s="539">
        <f t="shared" ca="1" si="46"/>
        <v>2.8209164097137482</v>
      </c>
      <c r="AZ107" s="189"/>
    </row>
    <row r="108" spans="1:52" x14ac:dyDescent="0.3">
      <c r="A108" s="556">
        <v>1</v>
      </c>
      <c r="B108" s="519" t="str">
        <f t="shared" si="42"/>
        <v>KAW</v>
      </c>
      <c r="C108" s="519" t="str">
        <f>AMDs!C89</f>
        <v>Other</v>
      </c>
      <c r="D108" s="519" t="str">
        <f>AMDs!D89</f>
        <v>KAW</v>
      </c>
      <c r="E108" s="519">
        <f>IF(AMDs!C89="other",0,AMDs!E89)</f>
        <v>0</v>
      </c>
      <c r="H108" s="519">
        <f ca="1">_xlfn.IFNA(IF(VLOOKUP($B108&amp;OFFSET(H$10,$A108*2,0),'Mapping A'!$B$6:$E$1011,4,0)=1,$E108,""),0)</f>
        <v>0</v>
      </c>
      <c r="I108" s="519">
        <f ca="1">_xlfn.IFNA(IF(VLOOKUP($B108&amp;OFFSET(I$10,$A108*2,0),'Mapping A'!$B$6:$E$1011,4,0)=1,$E108,""),0)</f>
        <v>0</v>
      </c>
      <c r="J108" s="519">
        <f ca="1">_xlfn.IFNA(IF(VLOOKUP($B108&amp;OFFSET(J$10,$A108*2,0),'Mapping A'!$B$6:$E$1011,4,0)=1,$E108,""),0)</f>
        <v>0</v>
      </c>
      <c r="K108" s="519">
        <f ca="1">_xlfn.IFNA(IF(VLOOKUP($B108&amp;OFFSET(K$10,$A108*2,0),'Mapping A'!$B$6:$E$1011,4,0)=1,$E108,""),0)</f>
        <v>0</v>
      </c>
      <c r="L108" s="519">
        <f ca="1">_xlfn.IFNA(IF(VLOOKUP($B108&amp;OFFSET(L$10,$A108*2,0),'Mapping A'!$B$6:$E$1011,4,0)=1,$E108,""),0)</f>
        <v>0</v>
      </c>
      <c r="M108" s="519">
        <f ca="1">_xlfn.IFNA(IF(VLOOKUP($B108&amp;OFFSET(M$10,$A108*2,0),'Mapping A'!$B$6:$E$1011,4,0)=1,$E108,""),0)</f>
        <v>0</v>
      </c>
      <c r="N108" s="519">
        <f ca="1">_xlfn.IFNA(IF(VLOOKUP($B108&amp;OFFSET(N$10,$A108*2,0),'Mapping A'!$B$6:$E$1011,4,0)=1,$E108,""),0)</f>
        <v>0</v>
      </c>
      <c r="O108" s="519">
        <f ca="1">_xlfn.IFNA(IF(VLOOKUP($B108&amp;OFFSET(O$10,$A108*2,0),'Mapping A'!$B$6:$E$1011,4,0)=1,$E108,""),0)</f>
        <v>0</v>
      </c>
      <c r="P108" s="519">
        <f ca="1">_xlfn.IFNA(IF(VLOOKUP($B108&amp;OFFSET(P$10,$A108*2,0),'Mapping A'!$B$6:$E$1011,4,0)=1,$E108,""),0)</f>
        <v>0</v>
      </c>
      <c r="Q108" s="519">
        <f ca="1">_xlfn.IFNA(IF(VLOOKUP($B108&amp;OFFSET(Q$10,$A108*2,0),'Mapping A'!$B$6:$E$1011,4,0)=1,$E108,""),0)</f>
        <v>0</v>
      </c>
      <c r="R108" s="519">
        <f ca="1">_xlfn.IFNA(IF(VLOOKUP($B108&amp;OFFSET(R$10,$A108*2,0),'Mapping A'!$B$6:$E$1011,4,0)=1,$E108,""),0)</f>
        <v>0</v>
      </c>
      <c r="S108" s="519">
        <f ca="1">_xlfn.IFNA(IF(VLOOKUP($B108&amp;OFFSET(S$10,$A108*2,0),'Mapping A'!$B$6:$E$1011,4,0)=1,$E108,""),0)</f>
        <v>0</v>
      </c>
      <c r="T108" s="519">
        <f ca="1">_xlfn.IFNA(IF(VLOOKUP($B108&amp;OFFSET(T$10,$A108*2,0),'Mapping A'!$B$6:$E$1011,4,0)=1,$E108,""),0)</f>
        <v>0</v>
      </c>
      <c r="Y108" s="534" t="str">
        <f t="shared" si="47"/>
        <v>OtherKAW</v>
      </c>
      <c r="Z108" s="519" t="str">
        <f t="shared" si="26"/>
        <v>Other</v>
      </c>
      <c r="AA108" s="519" t="str">
        <f t="shared" si="27"/>
        <v>KAW</v>
      </c>
      <c r="AB108" s="519">
        <f t="shared" si="43"/>
        <v>0</v>
      </c>
      <c r="AC108" s="324"/>
      <c r="AE108" s="519">
        <f t="shared" ca="1" si="28"/>
        <v>0</v>
      </c>
      <c r="AF108" s="519">
        <f t="shared" ca="1" si="29"/>
        <v>0</v>
      </c>
      <c r="AG108" s="519">
        <f t="shared" ca="1" si="30"/>
        <v>0</v>
      </c>
      <c r="AH108" s="519">
        <f t="shared" ca="1" si="31"/>
        <v>0</v>
      </c>
      <c r="AI108" s="519">
        <f t="shared" ca="1" si="44"/>
        <v>0</v>
      </c>
      <c r="AJ108" s="519">
        <f t="shared" ca="1" si="32"/>
        <v>0</v>
      </c>
      <c r="AK108" s="519">
        <f t="shared" ca="1" si="33"/>
        <v>0</v>
      </c>
      <c r="AL108" s="519">
        <f t="shared" ca="1" si="34"/>
        <v>0</v>
      </c>
      <c r="AM108" s="519">
        <f t="shared" ca="1" si="35"/>
        <v>0</v>
      </c>
      <c r="AN108" s="519">
        <f t="shared" ca="1" si="36"/>
        <v>0</v>
      </c>
      <c r="AO108" s="519">
        <f t="shared" ca="1" si="37"/>
        <v>0</v>
      </c>
      <c r="AP108" s="519">
        <f t="shared" ca="1" si="38"/>
        <v>0</v>
      </c>
      <c r="AQ108" s="519">
        <f t="shared" ca="1" si="39"/>
        <v>0</v>
      </c>
      <c r="AS108" s="536"/>
      <c r="AT108" s="536"/>
      <c r="AU108" s="519" t="str">
        <f t="shared" si="45"/>
        <v>Other</v>
      </c>
      <c r="AV108" s="519" t="str">
        <f t="shared" si="40"/>
        <v>KAW</v>
      </c>
      <c r="AW108" s="519">
        <f t="shared" si="41"/>
        <v>0</v>
      </c>
      <c r="AX108" s="538"/>
      <c r="AY108" s="539">
        <f t="shared" ca="1" si="46"/>
        <v>0</v>
      </c>
      <c r="AZ108" s="189"/>
    </row>
    <row r="109" spans="1:52" x14ac:dyDescent="0.3">
      <c r="A109" s="556">
        <v>1</v>
      </c>
      <c r="B109" s="519" t="str">
        <f t="shared" si="42"/>
        <v>KAW</v>
      </c>
      <c r="C109" s="519" t="str">
        <f>AMDs!C90</f>
        <v>Horizon</v>
      </c>
      <c r="D109" s="519" t="str">
        <f>AMDs!D90</f>
        <v>KAW0111</v>
      </c>
      <c r="E109" s="519">
        <f>IF(AMDs!C90="other",0,AMDs!E90)</f>
        <v>18.704699999999999</v>
      </c>
      <c r="H109" s="519">
        <f ca="1">_xlfn.IFNA(IF(VLOOKUP($B109&amp;OFFSET(H$10,$A109*2,0),'Mapping A'!$B$6:$E$1011,4,0)=1,$E109,""),0)</f>
        <v>0</v>
      </c>
      <c r="I109" s="519">
        <f ca="1">_xlfn.IFNA(IF(VLOOKUP($B109&amp;OFFSET(I$10,$A109*2,0),'Mapping A'!$B$6:$E$1011,4,0)=1,$E109,""),0)</f>
        <v>18.704699999999999</v>
      </c>
      <c r="J109" s="519">
        <f ca="1">_xlfn.IFNA(IF(VLOOKUP($B109&amp;OFFSET(J$10,$A109*2,0),'Mapping A'!$B$6:$E$1011,4,0)=1,$E109,""),0)</f>
        <v>18.704699999999999</v>
      </c>
      <c r="K109" s="519">
        <f ca="1">_xlfn.IFNA(IF(VLOOKUP($B109&amp;OFFSET(K$10,$A109*2,0),'Mapping A'!$B$6:$E$1011,4,0)=1,$E109,""),0)</f>
        <v>0</v>
      </c>
      <c r="L109" s="519">
        <f ca="1">_xlfn.IFNA(IF(VLOOKUP($B109&amp;OFFSET(L$10,$A109*2,0),'Mapping A'!$B$6:$E$1011,4,0)=1,$E109,""),0)</f>
        <v>0</v>
      </c>
      <c r="M109" s="519">
        <f ca="1">_xlfn.IFNA(IF(VLOOKUP($B109&amp;OFFSET(M$10,$A109*2,0),'Mapping A'!$B$6:$E$1011,4,0)=1,$E109,""),0)</f>
        <v>18.704699999999999</v>
      </c>
      <c r="N109" s="519">
        <f ca="1">_xlfn.IFNA(IF(VLOOKUP($B109&amp;OFFSET(N$10,$A109*2,0),'Mapping A'!$B$6:$E$1011,4,0)=1,$E109,""),0)</f>
        <v>0</v>
      </c>
      <c r="O109" s="519">
        <f ca="1">_xlfn.IFNA(IF(VLOOKUP($B109&amp;OFFSET(O$10,$A109*2,0),'Mapping A'!$B$6:$E$1011,4,0)=1,$E109,""),0)</f>
        <v>0</v>
      </c>
      <c r="P109" s="519">
        <f ca="1">_xlfn.IFNA(IF(VLOOKUP($B109&amp;OFFSET(P$10,$A109*2,0),'Mapping A'!$B$6:$E$1011,4,0)=1,$E109,""),0)</f>
        <v>0</v>
      </c>
      <c r="Q109" s="519">
        <f ca="1">_xlfn.IFNA(IF(VLOOKUP($B109&amp;OFFSET(Q$10,$A109*2,0),'Mapping A'!$B$6:$E$1011,4,0)=1,$E109,""),0)</f>
        <v>0</v>
      </c>
      <c r="R109" s="519">
        <f ca="1">_xlfn.IFNA(IF(VLOOKUP($B109&amp;OFFSET(R$10,$A109*2,0),'Mapping A'!$B$6:$E$1011,4,0)=1,$E109,""),0)</f>
        <v>0</v>
      </c>
      <c r="S109" s="519">
        <f ca="1">_xlfn.IFNA(IF(VLOOKUP($B109&amp;OFFSET(S$10,$A109*2,0),'Mapping A'!$B$6:$E$1011,4,0)=1,$E109,""),0)</f>
        <v>0</v>
      </c>
      <c r="T109" s="519">
        <f ca="1">_xlfn.IFNA(IF(VLOOKUP($B109&amp;OFFSET(T$10,$A109*2,0),'Mapping A'!$B$6:$E$1011,4,0)=1,$E109,""),0)</f>
        <v>0</v>
      </c>
      <c r="Y109" s="534" t="str">
        <f t="shared" si="47"/>
        <v>HorizonKAW0111</v>
      </c>
      <c r="Z109" s="519" t="str">
        <f t="shared" si="26"/>
        <v>Horizon</v>
      </c>
      <c r="AA109" s="519" t="str">
        <f t="shared" si="27"/>
        <v>KAW0111</v>
      </c>
      <c r="AB109" s="519">
        <f t="shared" si="43"/>
        <v>18.704699999999999</v>
      </c>
      <c r="AC109" s="324"/>
      <c r="AE109" s="519">
        <f t="shared" ca="1" si="28"/>
        <v>0</v>
      </c>
      <c r="AF109" s="519">
        <f t="shared" ca="1" si="29"/>
        <v>0</v>
      </c>
      <c r="AG109" s="519">
        <f t="shared" ca="1" si="30"/>
        <v>0</v>
      </c>
      <c r="AH109" s="519">
        <f t="shared" ca="1" si="31"/>
        <v>0</v>
      </c>
      <c r="AI109" s="519">
        <f t="shared" ca="1" si="44"/>
        <v>0</v>
      </c>
      <c r="AJ109" s="519">
        <f t="shared" ca="1" si="32"/>
        <v>0</v>
      </c>
      <c r="AK109" s="519">
        <f t="shared" ca="1" si="33"/>
        <v>0</v>
      </c>
      <c r="AL109" s="519">
        <f t="shared" ca="1" si="34"/>
        <v>0</v>
      </c>
      <c r="AM109" s="519">
        <f t="shared" ca="1" si="35"/>
        <v>0</v>
      </c>
      <c r="AN109" s="519">
        <f t="shared" ca="1" si="36"/>
        <v>0</v>
      </c>
      <c r="AO109" s="519">
        <f t="shared" ca="1" si="37"/>
        <v>0</v>
      </c>
      <c r="AP109" s="519">
        <f t="shared" ca="1" si="38"/>
        <v>0</v>
      </c>
      <c r="AQ109" s="519">
        <f t="shared" ca="1" si="39"/>
        <v>0</v>
      </c>
      <c r="AS109" s="536"/>
      <c r="AT109" s="536"/>
      <c r="AU109" s="519" t="str">
        <f t="shared" si="45"/>
        <v>Horizon</v>
      </c>
      <c r="AV109" s="519" t="str">
        <f t="shared" si="40"/>
        <v>KAW0111</v>
      </c>
      <c r="AW109" s="519">
        <f t="shared" si="41"/>
        <v>18.704699999999999</v>
      </c>
      <c r="AX109" s="538"/>
      <c r="AY109" s="539">
        <f t="shared" ca="1" si="46"/>
        <v>0.56740789711773854</v>
      </c>
      <c r="AZ109" s="189"/>
    </row>
    <row r="110" spans="1:52" x14ac:dyDescent="0.3">
      <c r="A110" s="556">
        <v>1</v>
      </c>
      <c r="B110" s="519" t="str">
        <f t="shared" si="42"/>
        <v>KBY</v>
      </c>
      <c r="C110" s="519" t="str">
        <f>AMDs!C91</f>
        <v>Orion</v>
      </c>
      <c r="D110" s="519" t="str">
        <f>AMDs!D91</f>
        <v>KBY0661</v>
      </c>
      <c r="E110" s="519">
        <f>IF(AMDs!C91="other",0,AMDs!E91)</f>
        <v>12.940200000000001</v>
      </c>
      <c r="H110" s="519">
        <f ca="1">_xlfn.IFNA(IF(VLOOKUP($B110&amp;OFFSET(H$10,$A110*2,0),'Mapping A'!$B$6:$E$1011,4,0)=1,$E110,""),0)</f>
        <v>0</v>
      </c>
      <c r="I110" s="519">
        <f ca="1">_xlfn.IFNA(IF(VLOOKUP($B110&amp;OFFSET(I$10,$A110*2,0),'Mapping A'!$B$6:$E$1011,4,0)=1,$E110,""),0)</f>
        <v>12.940200000000001</v>
      </c>
      <c r="J110" s="519">
        <f ca="1">_xlfn.IFNA(IF(VLOOKUP($B110&amp;OFFSET(J$10,$A110*2,0),'Mapping A'!$B$6:$E$1011,4,0)=1,$E110,""),0)</f>
        <v>0</v>
      </c>
      <c r="K110" s="519">
        <f ca="1">_xlfn.IFNA(IF(VLOOKUP($B110&amp;OFFSET(K$10,$A110*2,0),'Mapping A'!$B$6:$E$1011,4,0)=1,$E110,""),0)</f>
        <v>0</v>
      </c>
      <c r="L110" s="519">
        <f ca="1">_xlfn.IFNA(IF(VLOOKUP($B110&amp;OFFSET(L$10,$A110*2,0),'Mapping A'!$B$6:$E$1011,4,0)=1,$E110,""),0)</f>
        <v>0</v>
      </c>
      <c r="M110" s="519">
        <f ca="1">_xlfn.IFNA(IF(VLOOKUP($B110&amp;OFFSET(M$10,$A110*2,0),'Mapping A'!$B$6:$E$1011,4,0)=1,$E110,""),0)</f>
        <v>0</v>
      </c>
      <c r="N110" s="519">
        <f ca="1">_xlfn.IFNA(IF(VLOOKUP($B110&amp;OFFSET(N$10,$A110*2,0),'Mapping A'!$B$6:$E$1011,4,0)=1,$E110,""),0)</f>
        <v>0</v>
      </c>
      <c r="O110" s="519">
        <f ca="1">_xlfn.IFNA(IF(VLOOKUP($B110&amp;OFFSET(O$10,$A110*2,0),'Mapping A'!$B$6:$E$1011,4,0)=1,$E110,""),0)</f>
        <v>0</v>
      </c>
      <c r="P110" s="519">
        <f ca="1">_xlfn.IFNA(IF(VLOOKUP($B110&amp;OFFSET(P$10,$A110*2,0),'Mapping A'!$B$6:$E$1011,4,0)=1,$E110,""),0)</f>
        <v>12.940200000000001</v>
      </c>
      <c r="Q110" s="519">
        <f ca="1">_xlfn.IFNA(IF(VLOOKUP($B110&amp;OFFSET(Q$10,$A110*2,0),'Mapping A'!$B$6:$E$1011,4,0)=1,$E110,""),0)</f>
        <v>0</v>
      </c>
      <c r="R110" s="519">
        <f ca="1">_xlfn.IFNA(IF(VLOOKUP($B110&amp;OFFSET(R$10,$A110*2,0),'Mapping A'!$B$6:$E$1011,4,0)=1,$E110,""),0)</f>
        <v>0</v>
      </c>
      <c r="S110" s="519">
        <f ca="1">_xlfn.IFNA(IF(VLOOKUP($B110&amp;OFFSET(S$10,$A110*2,0),'Mapping A'!$B$6:$E$1011,4,0)=1,$E110,""),0)</f>
        <v>0</v>
      </c>
      <c r="T110" s="519">
        <f ca="1">_xlfn.IFNA(IF(VLOOKUP($B110&amp;OFFSET(T$10,$A110*2,0),'Mapping A'!$B$6:$E$1011,4,0)=1,$E110,""),0)</f>
        <v>0</v>
      </c>
      <c r="Y110" s="534" t="str">
        <f t="shared" si="47"/>
        <v>OrionKBY0661</v>
      </c>
      <c r="Z110" s="519" t="str">
        <f t="shared" si="26"/>
        <v>Orion</v>
      </c>
      <c r="AA110" s="519" t="str">
        <f t="shared" si="27"/>
        <v>KBY0661</v>
      </c>
      <c r="AB110" s="519">
        <f t="shared" si="43"/>
        <v>12.940200000000001</v>
      </c>
      <c r="AC110" s="324"/>
      <c r="AE110" s="519">
        <f t="shared" ca="1" si="28"/>
        <v>0</v>
      </c>
      <c r="AF110" s="519">
        <f t="shared" ca="1" si="29"/>
        <v>0</v>
      </c>
      <c r="AG110" s="519">
        <f t="shared" ca="1" si="30"/>
        <v>0</v>
      </c>
      <c r="AH110" s="519">
        <f t="shared" ca="1" si="31"/>
        <v>0</v>
      </c>
      <c r="AI110" s="519">
        <f t="shared" ca="1" si="44"/>
        <v>0</v>
      </c>
      <c r="AJ110" s="519">
        <f t="shared" ca="1" si="32"/>
        <v>0</v>
      </c>
      <c r="AK110" s="519">
        <f t="shared" ca="1" si="33"/>
        <v>0</v>
      </c>
      <c r="AL110" s="519">
        <f t="shared" ca="1" si="34"/>
        <v>0</v>
      </c>
      <c r="AM110" s="519">
        <f t="shared" ca="1" si="35"/>
        <v>3.4471012701713016E-2</v>
      </c>
      <c r="AN110" s="519">
        <f t="shared" ca="1" si="36"/>
        <v>0</v>
      </c>
      <c r="AO110" s="519">
        <f t="shared" ca="1" si="37"/>
        <v>0</v>
      </c>
      <c r="AP110" s="519">
        <f t="shared" ca="1" si="38"/>
        <v>0</v>
      </c>
      <c r="AQ110" s="519">
        <f t="shared" ca="1" si="39"/>
        <v>0</v>
      </c>
      <c r="AS110" s="536"/>
      <c r="AT110" s="536"/>
      <c r="AU110" s="519" t="str">
        <f t="shared" si="45"/>
        <v>Orion</v>
      </c>
      <c r="AV110" s="519" t="str">
        <f t="shared" si="40"/>
        <v>KBY0661</v>
      </c>
      <c r="AW110" s="519">
        <f t="shared" si="41"/>
        <v>12.940200000000001</v>
      </c>
      <c r="AX110" s="538"/>
      <c r="AY110" s="539">
        <f t="shared" ca="1" si="46"/>
        <v>0.39254153609964132</v>
      </c>
      <c r="AZ110" s="189"/>
    </row>
    <row r="111" spans="1:52" x14ac:dyDescent="0.3">
      <c r="A111" s="556">
        <v>1</v>
      </c>
      <c r="B111" s="519" t="str">
        <f t="shared" si="42"/>
        <v>KBY</v>
      </c>
      <c r="C111" s="519" t="str">
        <f>AMDs!C92</f>
        <v>Orion</v>
      </c>
      <c r="D111" s="519" t="str">
        <f>AMDs!D92</f>
        <v>KBY0662</v>
      </c>
      <c r="E111" s="519">
        <f>IF(AMDs!C92="other",0,AMDs!E92)</f>
        <v>7.4823000000000004</v>
      </c>
      <c r="H111" s="519">
        <f ca="1">_xlfn.IFNA(IF(VLOOKUP($B111&amp;OFFSET(H$10,$A111*2,0),'Mapping A'!$B$6:$E$1011,4,0)=1,$E111,""),0)</f>
        <v>0</v>
      </c>
      <c r="I111" s="519">
        <f ca="1">_xlfn.IFNA(IF(VLOOKUP($B111&amp;OFFSET(I$10,$A111*2,0),'Mapping A'!$B$6:$E$1011,4,0)=1,$E111,""),0)</f>
        <v>7.4823000000000004</v>
      </c>
      <c r="J111" s="519">
        <f ca="1">_xlfn.IFNA(IF(VLOOKUP($B111&amp;OFFSET(J$10,$A111*2,0),'Mapping A'!$B$6:$E$1011,4,0)=1,$E111,""),0)</f>
        <v>0</v>
      </c>
      <c r="K111" s="519">
        <f ca="1">_xlfn.IFNA(IF(VLOOKUP($B111&amp;OFFSET(K$10,$A111*2,0),'Mapping A'!$B$6:$E$1011,4,0)=1,$E111,""),0)</f>
        <v>0</v>
      </c>
      <c r="L111" s="519">
        <f ca="1">_xlfn.IFNA(IF(VLOOKUP($B111&amp;OFFSET(L$10,$A111*2,0),'Mapping A'!$B$6:$E$1011,4,0)=1,$E111,""),0)</f>
        <v>0</v>
      </c>
      <c r="M111" s="519">
        <f ca="1">_xlfn.IFNA(IF(VLOOKUP($B111&amp;OFFSET(M$10,$A111*2,0),'Mapping A'!$B$6:$E$1011,4,0)=1,$E111,""),0)</f>
        <v>0</v>
      </c>
      <c r="N111" s="519">
        <f ca="1">_xlfn.IFNA(IF(VLOOKUP($B111&amp;OFFSET(N$10,$A111*2,0),'Mapping A'!$B$6:$E$1011,4,0)=1,$E111,""),0)</f>
        <v>0</v>
      </c>
      <c r="O111" s="519">
        <f ca="1">_xlfn.IFNA(IF(VLOOKUP($B111&amp;OFFSET(O$10,$A111*2,0),'Mapping A'!$B$6:$E$1011,4,0)=1,$E111,""),0)</f>
        <v>0</v>
      </c>
      <c r="P111" s="519">
        <f ca="1">_xlfn.IFNA(IF(VLOOKUP($B111&amp;OFFSET(P$10,$A111*2,0),'Mapping A'!$B$6:$E$1011,4,0)=1,$E111,""),0)</f>
        <v>7.4823000000000004</v>
      </c>
      <c r="Q111" s="519">
        <f ca="1">_xlfn.IFNA(IF(VLOOKUP($B111&amp;OFFSET(Q$10,$A111*2,0),'Mapping A'!$B$6:$E$1011,4,0)=1,$E111,""),0)</f>
        <v>0</v>
      </c>
      <c r="R111" s="519">
        <f ca="1">_xlfn.IFNA(IF(VLOOKUP($B111&amp;OFFSET(R$10,$A111*2,0),'Mapping A'!$B$6:$E$1011,4,0)=1,$E111,""),0)</f>
        <v>0</v>
      </c>
      <c r="S111" s="519">
        <f ca="1">_xlfn.IFNA(IF(VLOOKUP($B111&amp;OFFSET(S$10,$A111*2,0),'Mapping A'!$B$6:$E$1011,4,0)=1,$E111,""),0)</f>
        <v>0</v>
      </c>
      <c r="T111" s="519">
        <f ca="1">_xlfn.IFNA(IF(VLOOKUP($B111&amp;OFFSET(T$10,$A111*2,0),'Mapping A'!$B$6:$E$1011,4,0)=1,$E111,""),0)</f>
        <v>0</v>
      </c>
      <c r="Y111" s="534" t="str">
        <f t="shared" si="47"/>
        <v>OrionKBY0662</v>
      </c>
      <c r="Z111" s="519" t="str">
        <f t="shared" si="26"/>
        <v>Orion</v>
      </c>
      <c r="AA111" s="519" t="str">
        <f t="shared" si="27"/>
        <v>KBY0662</v>
      </c>
      <c r="AB111" s="519">
        <f t="shared" si="43"/>
        <v>7.4823000000000004</v>
      </c>
      <c r="AC111" s="324"/>
      <c r="AE111" s="519">
        <f t="shared" ca="1" si="28"/>
        <v>0</v>
      </c>
      <c r="AF111" s="519">
        <f t="shared" ca="1" si="29"/>
        <v>0</v>
      </c>
      <c r="AG111" s="519">
        <f t="shared" ca="1" si="30"/>
        <v>0</v>
      </c>
      <c r="AH111" s="519">
        <f t="shared" ca="1" si="31"/>
        <v>0</v>
      </c>
      <c r="AI111" s="519">
        <f t="shared" ca="1" si="44"/>
        <v>0</v>
      </c>
      <c r="AJ111" s="519">
        <f t="shared" ca="1" si="32"/>
        <v>0</v>
      </c>
      <c r="AK111" s="519">
        <f t="shared" ca="1" si="33"/>
        <v>0</v>
      </c>
      <c r="AL111" s="519">
        <f t="shared" ca="1" si="34"/>
        <v>0</v>
      </c>
      <c r="AM111" s="519">
        <f t="shared" ca="1" si="35"/>
        <v>1.9931875731289107E-2</v>
      </c>
      <c r="AN111" s="519">
        <f t="shared" ca="1" si="36"/>
        <v>0</v>
      </c>
      <c r="AO111" s="519">
        <f t="shared" ca="1" si="37"/>
        <v>0</v>
      </c>
      <c r="AP111" s="519">
        <f t="shared" ca="1" si="38"/>
        <v>0</v>
      </c>
      <c r="AQ111" s="519">
        <f t="shared" ca="1" si="39"/>
        <v>0</v>
      </c>
      <c r="AS111" s="536"/>
      <c r="AT111" s="536"/>
      <c r="AU111" s="519" t="str">
        <f t="shared" si="45"/>
        <v>Orion</v>
      </c>
      <c r="AV111" s="519" t="str">
        <f t="shared" si="40"/>
        <v>KBY0662</v>
      </c>
      <c r="AW111" s="519">
        <f t="shared" si="41"/>
        <v>7.4823000000000004</v>
      </c>
      <c r="AX111" s="538"/>
      <c r="AY111" s="539">
        <f t="shared" ca="1" si="46"/>
        <v>0.22697589956556669</v>
      </c>
      <c r="AZ111" s="189"/>
    </row>
    <row r="112" spans="1:52" x14ac:dyDescent="0.3">
      <c r="A112" s="556">
        <v>1</v>
      </c>
      <c r="B112" s="519" t="str">
        <f t="shared" si="42"/>
        <v>KIK</v>
      </c>
      <c r="C112" s="519" t="str">
        <f>AMDs!C93</f>
        <v>Network Tasman</v>
      </c>
      <c r="D112" s="519" t="str">
        <f>AMDs!D93</f>
        <v>KIK0111</v>
      </c>
      <c r="E112" s="519">
        <f>IF(AMDs!C93="other",0,AMDs!E93)</f>
        <v>3.2886000000000002</v>
      </c>
      <c r="H112" s="519">
        <f ca="1">_xlfn.IFNA(IF(VLOOKUP($B112&amp;OFFSET(H$10,$A112*2,0),'Mapping A'!$B$6:$E$1011,4,0)=1,$E112,""),0)</f>
        <v>0</v>
      </c>
      <c r="I112" s="519">
        <f ca="1">_xlfn.IFNA(IF(VLOOKUP($B112&amp;OFFSET(I$10,$A112*2,0),'Mapping A'!$B$6:$E$1011,4,0)=1,$E112,""),0)</f>
        <v>3.2886000000000002</v>
      </c>
      <c r="J112" s="519">
        <f ca="1">_xlfn.IFNA(IF(VLOOKUP($B112&amp;OFFSET(J$10,$A112*2,0),'Mapping A'!$B$6:$E$1011,4,0)=1,$E112,""),0)</f>
        <v>0</v>
      </c>
      <c r="K112" s="519">
        <f ca="1">_xlfn.IFNA(IF(VLOOKUP($B112&amp;OFFSET(K$10,$A112*2,0),'Mapping A'!$B$6:$E$1011,4,0)=1,$E112,""),0)</f>
        <v>0</v>
      </c>
      <c r="L112" s="519">
        <f ca="1">_xlfn.IFNA(IF(VLOOKUP($B112&amp;OFFSET(L$10,$A112*2,0),'Mapping A'!$B$6:$E$1011,4,0)=1,$E112,""),0)</f>
        <v>0</v>
      </c>
      <c r="M112" s="519">
        <f ca="1">_xlfn.IFNA(IF(VLOOKUP($B112&amp;OFFSET(M$10,$A112*2,0),'Mapping A'!$B$6:$E$1011,4,0)=1,$E112,""),0)</f>
        <v>0</v>
      </c>
      <c r="N112" s="519">
        <f ca="1">_xlfn.IFNA(IF(VLOOKUP($B112&amp;OFFSET(N$10,$A112*2,0),'Mapping A'!$B$6:$E$1011,4,0)=1,$E112,""),0)</f>
        <v>0</v>
      </c>
      <c r="O112" s="519">
        <f ca="1">_xlfn.IFNA(IF(VLOOKUP($B112&amp;OFFSET(O$10,$A112*2,0),'Mapping A'!$B$6:$E$1011,4,0)=1,$E112,""),0)</f>
        <v>0</v>
      </c>
      <c r="P112" s="519">
        <f ca="1">_xlfn.IFNA(IF(VLOOKUP($B112&amp;OFFSET(P$10,$A112*2,0),'Mapping A'!$B$6:$E$1011,4,0)=1,$E112,""),0)</f>
        <v>3.2886000000000002</v>
      </c>
      <c r="Q112" s="519">
        <f ca="1">_xlfn.IFNA(IF(VLOOKUP($B112&amp;OFFSET(Q$10,$A112*2,0),'Mapping A'!$B$6:$E$1011,4,0)=1,$E112,""),0)</f>
        <v>0</v>
      </c>
      <c r="R112" s="519">
        <f ca="1">_xlfn.IFNA(IF(VLOOKUP($B112&amp;OFFSET(R$10,$A112*2,0),'Mapping A'!$B$6:$E$1011,4,0)=1,$E112,""),0)</f>
        <v>0</v>
      </c>
      <c r="S112" s="519">
        <f ca="1">_xlfn.IFNA(IF(VLOOKUP($B112&amp;OFFSET(S$10,$A112*2,0),'Mapping A'!$B$6:$E$1011,4,0)=1,$E112,""),0)</f>
        <v>0</v>
      </c>
      <c r="T112" s="519">
        <f ca="1">_xlfn.IFNA(IF(VLOOKUP($B112&amp;OFFSET(T$10,$A112*2,0),'Mapping A'!$B$6:$E$1011,4,0)=1,$E112,""),0)</f>
        <v>3.2886000000000002</v>
      </c>
      <c r="Y112" s="534" t="str">
        <f t="shared" si="47"/>
        <v>Network TasmanKIK0111</v>
      </c>
      <c r="Z112" s="519" t="str">
        <f t="shared" si="26"/>
        <v>Network Tasman</v>
      </c>
      <c r="AA112" s="519" t="str">
        <f t="shared" si="27"/>
        <v>KIK0111</v>
      </c>
      <c r="AB112" s="519">
        <f t="shared" si="43"/>
        <v>3.2886000000000002</v>
      </c>
      <c r="AC112" s="324"/>
      <c r="AE112" s="519">
        <f t="shared" ca="1" si="28"/>
        <v>0</v>
      </c>
      <c r="AF112" s="519">
        <f t="shared" ca="1" si="29"/>
        <v>0</v>
      </c>
      <c r="AG112" s="519">
        <f t="shared" ca="1" si="30"/>
        <v>0</v>
      </c>
      <c r="AH112" s="519">
        <f t="shared" ca="1" si="31"/>
        <v>0</v>
      </c>
      <c r="AI112" s="519">
        <f t="shared" ca="1" si="44"/>
        <v>0</v>
      </c>
      <c r="AJ112" s="519">
        <f t="shared" ca="1" si="32"/>
        <v>0</v>
      </c>
      <c r="AK112" s="519">
        <f t="shared" ca="1" si="33"/>
        <v>0</v>
      </c>
      <c r="AL112" s="519">
        <f t="shared" ca="1" si="34"/>
        <v>0</v>
      </c>
      <c r="AM112" s="519">
        <f t="shared" ca="1" si="35"/>
        <v>8.760403422733298E-3</v>
      </c>
      <c r="AN112" s="519">
        <f t="shared" ca="1" si="36"/>
        <v>0</v>
      </c>
      <c r="AO112" s="519">
        <f t="shared" ca="1" si="37"/>
        <v>0</v>
      </c>
      <c r="AP112" s="519">
        <f t="shared" ca="1" si="38"/>
        <v>0</v>
      </c>
      <c r="AQ112" s="519">
        <f t="shared" ca="1" si="39"/>
        <v>0</v>
      </c>
      <c r="AS112" s="536"/>
      <c r="AT112" s="536"/>
      <c r="AU112" s="519" t="str">
        <f t="shared" si="45"/>
        <v>Network Tasman</v>
      </c>
      <c r="AV112" s="519" t="str">
        <f t="shared" si="40"/>
        <v>KIK0111</v>
      </c>
      <c r="AW112" s="519">
        <f t="shared" si="41"/>
        <v>3.2886000000000002</v>
      </c>
      <c r="AX112" s="538"/>
      <c r="AY112" s="539">
        <f t="shared" ca="1" si="46"/>
        <v>9.9759825629996482E-2</v>
      </c>
      <c r="AZ112" s="189"/>
    </row>
    <row r="113" spans="1:52" x14ac:dyDescent="0.3">
      <c r="A113" s="556">
        <v>1</v>
      </c>
      <c r="B113" s="519" t="str">
        <f t="shared" si="42"/>
        <v>KIN</v>
      </c>
      <c r="C113" s="519" t="str">
        <f>AMDs!C94</f>
        <v>Powerco</v>
      </c>
      <c r="D113" s="519" t="str">
        <f>AMDs!D94</f>
        <v>KIN</v>
      </c>
      <c r="E113" s="519">
        <f>IF(AMDs!C94="other",0,AMDs!E94)</f>
        <v>0</v>
      </c>
      <c r="H113" s="519">
        <f ca="1">_xlfn.IFNA(IF(VLOOKUP($B113&amp;OFFSET(H$10,$A113*2,0),'Mapping A'!$B$6:$E$1011,4,0)=1,$E113,""),0)</f>
        <v>0</v>
      </c>
      <c r="I113" s="519">
        <f ca="1">_xlfn.IFNA(IF(VLOOKUP($B113&amp;OFFSET(I$10,$A113*2,0),'Mapping A'!$B$6:$E$1011,4,0)=1,$E113,""),0)</f>
        <v>0</v>
      </c>
      <c r="J113" s="519">
        <f ca="1">_xlfn.IFNA(IF(VLOOKUP($B113&amp;OFFSET(J$10,$A113*2,0),'Mapping A'!$B$6:$E$1011,4,0)=1,$E113,""),0)</f>
        <v>0</v>
      </c>
      <c r="K113" s="519">
        <f ca="1">_xlfn.IFNA(IF(VLOOKUP($B113&amp;OFFSET(K$10,$A113*2,0),'Mapping A'!$B$6:$E$1011,4,0)=1,$E113,""),0)</f>
        <v>0</v>
      </c>
      <c r="L113" s="519">
        <f ca="1">_xlfn.IFNA(IF(VLOOKUP($B113&amp;OFFSET(L$10,$A113*2,0),'Mapping A'!$B$6:$E$1011,4,0)=1,$E113,""),0)</f>
        <v>0</v>
      </c>
      <c r="M113" s="519">
        <f ca="1">_xlfn.IFNA(IF(VLOOKUP($B113&amp;OFFSET(M$10,$A113*2,0),'Mapping A'!$B$6:$E$1011,4,0)=1,$E113,""),0)</f>
        <v>0</v>
      </c>
      <c r="N113" s="519">
        <f ca="1">_xlfn.IFNA(IF(VLOOKUP($B113&amp;OFFSET(N$10,$A113*2,0),'Mapping A'!$B$6:$E$1011,4,0)=1,$E113,""),0)</f>
        <v>0</v>
      </c>
      <c r="O113" s="519">
        <f ca="1">_xlfn.IFNA(IF(VLOOKUP($B113&amp;OFFSET(O$10,$A113*2,0),'Mapping A'!$B$6:$E$1011,4,0)=1,$E113,""),0)</f>
        <v>0</v>
      </c>
      <c r="P113" s="519">
        <f ca="1">_xlfn.IFNA(IF(VLOOKUP($B113&amp;OFFSET(P$10,$A113*2,0),'Mapping A'!$B$6:$E$1011,4,0)=1,$E113,""),0)</f>
        <v>0</v>
      </c>
      <c r="Q113" s="519">
        <f ca="1">_xlfn.IFNA(IF(VLOOKUP($B113&amp;OFFSET(Q$10,$A113*2,0),'Mapping A'!$B$6:$E$1011,4,0)=1,$E113,""),0)</f>
        <v>0</v>
      </c>
      <c r="R113" s="519">
        <f ca="1">_xlfn.IFNA(IF(VLOOKUP($B113&amp;OFFSET(R$10,$A113*2,0),'Mapping A'!$B$6:$E$1011,4,0)=1,$E113,""),0)</f>
        <v>0</v>
      </c>
      <c r="S113" s="519">
        <f ca="1">_xlfn.IFNA(IF(VLOOKUP($B113&amp;OFFSET(S$10,$A113*2,0),'Mapping A'!$B$6:$E$1011,4,0)=1,$E113,""),0)</f>
        <v>0</v>
      </c>
      <c r="T113" s="519">
        <f ca="1">_xlfn.IFNA(IF(VLOOKUP($B113&amp;OFFSET(T$10,$A113*2,0),'Mapping A'!$B$6:$E$1011,4,0)=1,$E113,""),0)</f>
        <v>0</v>
      </c>
      <c r="Y113" s="534" t="str">
        <f t="shared" si="47"/>
        <v>PowercoKIN</v>
      </c>
      <c r="Z113" s="519" t="str">
        <f t="shared" si="26"/>
        <v>Powerco</v>
      </c>
      <c r="AA113" s="519" t="str">
        <f t="shared" si="27"/>
        <v>KIN</v>
      </c>
      <c r="AB113" s="519">
        <f t="shared" si="43"/>
        <v>0</v>
      </c>
      <c r="AC113" s="324"/>
      <c r="AE113" s="519">
        <f t="shared" ca="1" si="28"/>
        <v>0</v>
      </c>
      <c r="AF113" s="519">
        <f t="shared" ca="1" si="29"/>
        <v>0</v>
      </c>
      <c r="AG113" s="519">
        <f t="shared" ca="1" si="30"/>
        <v>0</v>
      </c>
      <c r="AH113" s="519">
        <f t="shared" ca="1" si="31"/>
        <v>0</v>
      </c>
      <c r="AI113" s="519">
        <f t="shared" ca="1" si="44"/>
        <v>0</v>
      </c>
      <c r="AJ113" s="519">
        <f t="shared" ca="1" si="32"/>
        <v>0</v>
      </c>
      <c r="AK113" s="519">
        <f t="shared" ca="1" si="33"/>
        <v>0</v>
      </c>
      <c r="AL113" s="519">
        <f t="shared" ca="1" si="34"/>
        <v>0</v>
      </c>
      <c r="AM113" s="519">
        <f t="shared" ca="1" si="35"/>
        <v>0</v>
      </c>
      <c r="AN113" s="519">
        <f t="shared" ca="1" si="36"/>
        <v>0</v>
      </c>
      <c r="AO113" s="519">
        <f t="shared" ca="1" si="37"/>
        <v>0</v>
      </c>
      <c r="AP113" s="519">
        <f t="shared" ca="1" si="38"/>
        <v>0</v>
      </c>
      <c r="AQ113" s="519">
        <f t="shared" ca="1" si="39"/>
        <v>0</v>
      </c>
      <c r="AS113" s="536"/>
      <c r="AT113" s="536"/>
      <c r="AU113" s="519" t="str">
        <f t="shared" si="45"/>
        <v>Powerco</v>
      </c>
      <c r="AV113" s="519" t="str">
        <f t="shared" si="40"/>
        <v>KIN</v>
      </c>
      <c r="AW113" s="519">
        <f t="shared" si="41"/>
        <v>0</v>
      </c>
      <c r="AX113" s="538"/>
      <c r="AY113" s="539">
        <f t="shared" ca="1" si="46"/>
        <v>0</v>
      </c>
      <c r="AZ113" s="189"/>
    </row>
    <row r="114" spans="1:52" x14ac:dyDescent="0.3">
      <c r="A114" s="556">
        <v>1</v>
      </c>
      <c r="B114" s="519" t="str">
        <f t="shared" si="42"/>
        <v>KIN</v>
      </c>
      <c r="C114" s="519" t="str">
        <f>AMDs!C95</f>
        <v>Powerco</v>
      </c>
      <c r="D114" s="519" t="str">
        <f>AMDs!D95</f>
        <v>KIN0331</v>
      </c>
      <c r="E114" s="519">
        <f>IF(AMDs!C95="other",0,AMDs!E95)</f>
        <v>129.2362</v>
      </c>
      <c r="H114" s="519">
        <f ca="1">_xlfn.IFNA(IF(VLOOKUP($B114&amp;OFFSET(H$10,$A114*2,0),'Mapping A'!$B$6:$E$1011,4,0)=1,$E114,""),0)</f>
        <v>0</v>
      </c>
      <c r="I114" s="519">
        <f ca="1">_xlfn.IFNA(IF(VLOOKUP($B114&amp;OFFSET(I$10,$A114*2,0),'Mapping A'!$B$6:$E$1011,4,0)=1,$E114,""),0)</f>
        <v>129.2362</v>
      </c>
      <c r="J114" s="519">
        <f ca="1">_xlfn.IFNA(IF(VLOOKUP($B114&amp;OFFSET(J$10,$A114*2,0),'Mapping A'!$B$6:$E$1011,4,0)=1,$E114,""),0)</f>
        <v>129.2362</v>
      </c>
      <c r="K114" s="519">
        <f ca="1">_xlfn.IFNA(IF(VLOOKUP($B114&amp;OFFSET(K$10,$A114*2,0),'Mapping A'!$B$6:$E$1011,4,0)=1,$E114,""),0)</f>
        <v>0</v>
      </c>
      <c r="L114" s="519">
        <f ca="1">_xlfn.IFNA(IF(VLOOKUP($B114&amp;OFFSET(L$10,$A114*2,0),'Mapping A'!$B$6:$E$1011,4,0)=1,$E114,""),0)</f>
        <v>0</v>
      </c>
      <c r="M114" s="519">
        <f ca="1">_xlfn.IFNA(IF(VLOOKUP($B114&amp;OFFSET(M$10,$A114*2,0),'Mapping A'!$B$6:$E$1011,4,0)=1,$E114,""),0)</f>
        <v>129.2362</v>
      </c>
      <c r="N114" s="519">
        <f ca="1">_xlfn.IFNA(IF(VLOOKUP($B114&amp;OFFSET(N$10,$A114*2,0),'Mapping A'!$B$6:$E$1011,4,0)=1,$E114,""),0)</f>
        <v>0</v>
      </c>
      <c r="O114" s="519">
        <f ca="1">_xlfn.IFNA(IF(VLOOKUP($B114&amp;OFFSET(O$10,$A114*2,0),'Mapping A'!$B$6:$E$1011,4,0)=1,$E114,""),0)</f>
        <v>0</v>
      </c>
      <c r="P114" s="519">
        <f ca="1">_xlfn.IFNA(IF(VLOOKUP($B114&amp;OFFSET(P$10,$A114*2,0),'Mapping A'!$B$6:$E$1011,4,0)=1,$E114,""),0)</f>
        <v>0</v>
      </c>
      <c r="Q114" s="519">
        <f ca="1">_xlfn.IFNA(IF(VLOOKUP($B114&amp;OFFSET(Q$10,$A114*2,0),'Mapping A'!$B$6:$E$1011,4,0)=1,$E114,""),0)</f>
        <v>0</v>
      </c>
      <c r="R114" s="519">
        <f ca="1">_xlfn.IFNA(IF(VLOOKUP($B114&amp;OFFSET(R$10,$A114*2,0),'Mapping A'!$B$6:$E$1011,4,0)=1,$E114,""),0)</f>
        <v>0</v>
      </c>
      <c r="S114" s="519">
        <f ca="1">_xlfn.IFNA(IF(VLOOKUP($B114&amp;OFFSET(S$10,$A114*2,0),'Mapping A'!$B$6:$E$1011,4,0)=1,$E114,""),0)</f>
        <v>0</v>
      </c>
      <c r="T114" s="519">
        <f ca="1">_xlfn.IFNA(IF(VLOOKUP($B114&amp;OFFSET(T$10,$A114*2,0),'Mapping A'!$B$6:$E$1011,4,0)=1,$E114,""),0)</f>
        <v>0</v>
      </c>
      <c r="Y114" s="534" t="str">
        <f t="shared" si="47"/>
        <v>PowercoKIN0331</v>
      </c>
      <c r="Z114" s="519" t="str">
        <f t="shared" si="26"/>
        <v>Powerco</v>
      </c>
      <c r="AA114" s="519" t="str">
        <f t="shared" si="27"/>
        <v>KIN0331</v>
      </c>
      <c r="AB114" s="519">
        <f t="shared" si="43"/>
        <v>129.2362</v>
      </c>
      <c r="AC114" s="324"/>
      <c r="AE114" s="519">
        <f t="shared" ca="1" si="28"/>
        <v>0</v>
      </c>
      <c r="AF114" s="519">
        <f t="shared" ca="1" si="29"/>
        <v>0</v>
      </c>
      <c r="AG114" s="519">
        <f t="shared" ca="1" si="30"/>
        <v>0</v>
      </c>
      <c r="AH114" s="519">
        <f t="shared" ca="1" si="31"/>
        <v>0</v>
      </c>
      <c r="AI114" s="519">
        <f t="shared" ca="1" si="44"/>
        <v>0</v>
      </c>
      <c r="AJ114" s="519">
        <f t="shared" ca="1" si="32"/>
        <v>0</v>
      </c>
      <c r="AK114" s="519">
        <f t="shared" ca="1" si="33"/>
        <v>0</v>
      </c>
      <c r="AL114" s="519">
        <f t="shared" ca="1" si="34"/>
        <v>0</v>
      </c>
      <c r="AM114" s="519">
        <f t="shared" ca="1" si="35"/>
        <v>0</v>
      </c>
      <c r="AN114" s="519">
        <f t="shared" ca="1" si="36"/>
        <v>0</v>
      </c>
      <c r="AO114" s="519">
        <f t="shared" ca="1" si="37"/>
        <v>0</v>
      </c>
      <c r="AP114" s="519">
        <f t="shared" ca="1" si="38"/>
        <v>0</v>
      </c>
      <c r="AQ114" s="519">
        <f t="shared" ca="1" si="39"/>
        <v>0</v>
      </c>
      <c r="AS114" s="536"/>
      <c r="AT114" s="536"/>
      <c r="AU114" s="519" t="str">
        <f t="shared" si="45"/>
        <v>Powerco</v>
      </c>
      <c r="AV114" s="519" t="str">
        <f t="shared" si="40"/>
        <v>KIN0331</v>
      </c>
      <c r="AW114" s="519">
        <f t="shared" si="41"/>
        <v>129.2362</v>
      </c>
      <c r="AX114" s="538"/>
      <c r="AY114" s="539">
        <f t="shared" ca="1" si="46"/>
        <v>3.9203858107046612</v>
      </c>
      <c r="AZ114" s="189"/>
    </row>
    <row r="115" spans="1:52" x14ac:dyDescent="0.3">
      <c r="A115" s="556">
        <v>1</v>
      </c>
      <c r="B115" s="519" t="str">
        <f t="shared" si="42"/>
        <v>KMO</v>
      </c>
      <c r="C115" s="519" t="str">
        <f>AMDs!C96</f>
        <v>Powerco</v>
      </c>
      <c r="D115" s="519" t="str">
        <f>AMDs!D96</f>
        <v>KMO0331</v>
      </c>
      <c r="E115" s="519">
        <f>IF(AMDs!C96="other",0,AMDs!E96)</f>
        <v>21.186900000000001</v>
      </c>
      <c r="H115" s="519">
        <f ca="1">_xlfn.IFNA(IF(VLOOKUP($B115&amp;OFFSET(H$10,$A115*2,0),'Mapping A'!$B$6:$E$1011,4,0)=1,$E115,""),0)</f>
        <v>0</v>
      </c>
      <c r="I115" s="519">
        <f ca="1">_xlfn.IFNA(IF(VLOOKUP($B115&amp;OFFSET(I$10,$A115*2,0),'Mapping A'!$B$6:$E$1011,4,0)=1,$E115,""),0)</f>
        <v>21.186900000000001</v>
      </c>
      <c r="J115" s="519">
        <f ca="1">_xlfn.IFNA(IF(VLOOKUP($B115&amp;OFFSET(J$10,$A115*2,0),'Mapping A'!$B$6:$E$1011,4,0)=1,$E115,""),0)</f>
        <v>21.186900000000001</v>
      </c>
      <c r="K115" s="519">
        <f ca="1">_xlfn.IFNA(IF(VLOOKUP($B115&amp;OFFSET(K$10,$A115*2,0),'Mapping A'!$B$6:$E$1011,4,0)=1,$E115,""),0)</f>
        <v>0</v>
      </c>
      <c r="L115" s="519">
        <f ca="1">_xlfn.IFNA(IF(VLOOKUP($B115&amp;OFFSET(L$10,$A115*2,0),'Mapping A'!$B$6:$E$1011,4,0)=1,$E115,""),0)</f>
        <v>0</v>
      </c>
      <c r="M115" s="519">
        <f ca="1">_xlfn.IFNA(IF(VLOOKUP($B115&amp;OFFSET(M$10,$A115*2,0),'Mapping A'!$B$6:$E$1011,4,0)=1,$E115,""),0)</f>
        <v>21.186900000000001</v>
      </c>
      <c r="N115" s="519">
        <f ca="1">_xlfn.IFNA(IF(VLOOKUP($B115&amp;OFFSET(N$10,$A115*2,0),'Mapping A'!$B$6:$E$1011,4,0)=1,$E115,""),0)</f>
        <v>0</v>
      </c>
      <c r="O115" s="519">
        <f ca="1">_xlfn.IFNA(IF(VLOOKUP($B115&amp;OFFSET(O$10,$A115*2,0),'Mapping A'!$B$6:$E$1011,4,0)=1,$E115,""),0)</f>
        <v>0</v>
      </c>
      <c r="P115" s="519">
        <f ca="1">_xlfn.IFNA(IF(VLOOKUP($B115&amp;OFFSET(P$10,$A115*2,0),'Mapping A'!$B$6:$E$1011,4,0)=1,$E115,""),0)</f>
        <v>0</v>
      </c>
      <c r="Q115" s="519">
        <f ca="1">_xlfn.IFNA(IF(VLOOKUP($B115&amp;OFFSET(Q$10,$A115*2,0),'Mapping A'!$B$6:$E$1011,4,0)=1,$E115,""),0)</f>
        <v>0</v>
      </c>
      <c r="R115" s="519">
        <f ca="1">_xlfn.IFNA(IF(VLOOKUP($B115&amp;OFFSET(R$10,$A115*2,0),'Mapping A'!$B$6:$E$1011,4,0)=1,$E115,""),0)</f>
        <v>0</v>
      </c>
      <c r="S115" s="519">
        <f ca="1">_xlfn.IFNA(IF(VLOOKUP($B115&amp;OFFSET(S$10,$A115*2,0),'Mapping A'!$B$6:$E$1011,4,0)=1,$E115,""),0)</f>
        <v>0</v>
      </c>
      <c r="T115" s="519">
        <f ca="1">_xlfn.IFNA(IF(VLOOKUP($B115&amp;OFFSET(T$10,$A115*2,0),'Mapping A'!$B$6:$E$1011,4,0)=1,$E115,""),0)</f>
        <v>0</v>
      </c>
      <c r="Y115" s="534" t="str">
        <f t="shared" si="47"/>
        <v>PowercoKMO0331</v>
      </c>
      <c r="Z115" s="519" t="str">
        <f t="shared" si="26"/>
        <v>Powerco</v>
      </c>
      <c r="AA115" s="519" t="str">
        <f t="shared" si="27"/>
        <v>KMO0331</v>
      </c>
      <c r="AB115" s="519">
        <f t="shared" si="43"/>
        <v>21.186900000000001</v>
      </c>
      <c r="AC115" s="324"/>
      <c r="AE115" s="519">
        <f t="shared" ca="1" si="28"/>
        <v>0</v>
      </c>
      <c r="AF115" s="519">
        <f t="shared" ca="1" si="29"/>
        <v>0</v>
      </c>
      <c r="AG115" s="519">
        <f t="shared" ca="1" si="30"/>
        <v>0</v>
      </c>
      <c r="AH115" s="519">
        <f t="shared" ca="1" si="31"/>
        <v>0</v>
      </c>
      <c r="AI115" s="519">
        <f t="shared" ca="1" si="44"/>
        <v>0</v>
      </c>
      <c r="AJ115" s="519">
        <f t="shared" ca="1" si="32"/>
        <v>0</v>
      </c>
      <c r="AK115" s="519">
        <f t="shared" ca="1" si="33"/>
        <v>0</v>
      </c>
      <c r="AL115" s="519">
        <f t="shared" ca="1" si="34"/>
        <v>0</v>
      </c>
      <c r="AM115" s="519">
        <f t="shared" ca="1" si="35"/>
        <v>0</v>
      </c>
      <c r="AN115" s="519">
        <f t="shared" ca="1" si="36"/>
        <v>0</v>
      </c>
      <c r="AO115" s="519">
        <f t="shared" ca="1" si="37"/>
        <v>0</v>
      </c>
      <c r="AP115" s="519">
        <f t="shared" ca="1" si="38"/>
        <v>0</v>
      </c>
      <c r="AQ115" s="519">
        <f t="shared" ca="1" si="39"/>
        <v>0</v>
      </c>
      <c r="AS115" s="536"/>
      <c r="AT115" s="536"/>
      <c r="AU115" s="519" t="str">
        <f t="shared" si="45"/>
        <v>Powerco</v>
      </c>
      <c r="AV115" s="519" t="str">
        <f t="shared" si="40"/>
        <v>KMO0331</v>
      </c>
      <c r="AW115" s="519">
        <f t="shared" si="41"/>
        <v>21.186900000000001</v>
      </c>
      <c r="AX115" s="538"/>
      <c r="AY115" s="539">
        <f t="shared" ca="1" si="46"/>
        <v>0.64270554328290841</v>
      </c>
      <c r="AZ115" s="189"/>
    </row>
    <row r="116" spans="1:52" x14ac:dyDescent="0.3">
      <c r="A116" s="556">
        <v>1</v>
      </c>
      <c r="B116" s="519" t="str">
        <f t="shared" si="42"/>
        <v>KOE</v>
      </c>
      <c r="C116" s="519" t="str">
        <f>AMDs!C97</f>
        <v>Juken</v>
      </c>
      <c r="D116" s="519" t="str">
        <f>AMDs!D97</f>
        <v>KOE1101</v>
      </c>
      <c r="E116" s="519">
        <f>IF(AMDs!C97="other",0,AMDs!E97)</f>
        <v>0</v>
      </c>
      <c r="H116" s="519">
        <f ca="1">_xlfn.IFNA(IF(VLOOKUP($B116&amp;OFFSET(H$10,$A116*2,0),'Mapping A'!$B$6:$E$1011,4,0)=1,$E116,""),0)</f>
        <v>0</v>
      </c>
      <c r="I116" s="519">
        <f ca="1">_xlfn.IFNA(IF(VLOOKUP($B116&amp;OFFSET(I$10,$A116*2,0),'Mapping A'!$B$6:$E$1011,4,0)=1,$E116,""),0)</f>
        <v>0</v>
      </c>
      <c r="J116" s="519">
        <f ca="1">_xlfn.IFNA(IF(VLOOKUP($B116&amp;OFFSET(J$10,$A116*2,0),'Mapping A'!$B$6:$E$1011,4,0)=1,$E116,""),0)</f>
        <v>0</v>
      </c>
      <c r="K116" s="519">
        <f ca="1">_xlfn.IFNA(IF(VLOOKUP($B116&amp;OFFSET(K$10,$A116*2,0),'Mapping A'!$B$6:$E$1011,4,0)=1,$E116,""),0)</f>
        <v>0</v>
      </c>
      <c r="L116" s="519">
        <f ca="1">_xlfn.IFNA(IF(VLOOKUP($B116&amp;OFFSET(L$10,$A116*2,0),'Mapping A'!$B$6:$E$1011,4,0)=1,$E116,""),0)</f>
        <v>0</v>
      </c>
      <c r="M116" s="519">
        <f ca="1">_xlfn.IFNA(IF(VLOOKUP($B116&amp;OFFSET(M$10,$A116*2,0),'Mapping A'!$B$6:$E$1011,4,0)=1,$E116,""),0)</f>
        <v>0</v>
      </c>
      <c r="N116" s="519">
        <f ca="1">_xlfn.IFNA(IF(VLOOKUP($B116&amp;OFFSET(N$10,$A116*2,0),'Mapping A'!$B$6:$E$1011,4,0)=1,$E116,""),0)</f>
        <v>0</v>
      </c>
      <c r="O116" s="519">
        <f ca="1">_xlfn.IFNA(IF(VLOOKUP($B116&amp;OFFSET(O$10,$A116*2,0),'Mapping A'!$B$6:$E$1011,4,0)=1,$E116,""),0)</f>
        <v>0</v>
      </c>
      <c r="P116" s="519">
        <f ca="1">_xlfn.IFNA(IF(VLOOKUP($B116&amp;OFFSET(P$10,$A116*2,0),'Mapping A'!$B$6:$E$1011,4,0)=1,$E116,""),0)</f>
        <v>0</v>
      </c>
      <c r="Q116" s="519">
        <f ca="1">_xlfn.IFNA(IF(VLOOKUP($B116&amp;OFFSET(Q$10,$A116*2,0),'Mapping A'!$B$6:$E$1011,4,0)=1,$E116,""),0)</f>
        <v>0</v>
      </c>
      <c r="R116" s="519">
        <f ca="1">_xlfn.IFNA(IF(VLOOKUP($B116&amp;OFFSET(R$10,$A116*2,0),'Mapping A'!$B$6:$E$1011,4,0)=1,$E116,""),0)</f>
        <v>0</v>
      </c>
      <c r="S116" s="519">
        <f ca="1">_xlfn.IFNA(IF(VLOOKUP($B116&amp;OFFSET(S$10,$A116*2,0),'Mapping A'!$B$6:$E$1011,4,0)=1,$E116,""),0)</f>
        <v>0</v>
      </c>
      <c r="T116" s="519">
        <f ca="1">_xlfn.IFNA(IF(VLOOKUP($B116&amp;OFFSET(T$10,$A116*2,0),'Mapping A'!$B$6:$E$1011,4,0)=1,$E116,""),0)</f>
        <v>0</v>
      </c>
      <c r="Y116" s="534" t="str">
        <f t="shared" si="47"/>
        <v>JukenKOE1101</v>
      </c>
      <c r="Z116" s="519" t="str">
        <f t="shared" si="26"/>
        <v>Juken</v>
      </c>
      <c r="AA116" s="519" t="str">
        <f t="shared" si="27"/>
        <v>KOE1101</v>
      </c>
      <c r="AB116" s="519">
        <f t="shared" si="43"/>
        <v>0</v>
      </c>
      <c r="AC116" s="324"/>
      <c r="AE116" s="519">
        <f t="shared" ca="1" si="28"/>
        <v>0</v>
      </c>
      <c r="AF116" s="519">
        <f t="shared" ca="1" si="29"/>
        <v>0</v>
      </c>
      <c r="AG116" s="519">
        <f t="shared" ca="1" si="30"/>
        <v>0</v>
      </c>
      <c r="AH116" s="519">
        <f t="shared" ca="1" si="31"/>
        <v>0</v>
      </c>
      <c r="AI116" s="519">
        <f t="shared" ca="1" si="44"/>
        <v>0</v>
      </c>
      <c r="AJ116" s="519">
        <f t="shared" ca="1" si="32"/>
        <v>0</v>
      </c>
      <c r="AK116" s="519">
        <f t="shared" ca="1" si="33"/>
        <v>0</v>
      </c>
      <c r="AL116" s="519">
        <f t="shared" ca="1" si="34"/>
        <v>0</v>
      </c>
      <c r="AM116" s="519">
        <f t="shared" ca="1" si="35"/>
        <v>0</v>
      </c>
      <c r="AN116" s="519">
        <f t="shared" ca="1" si="36"/>
        <v>0</v>
      </c>
      <c r="AO116" s="519">
        <f t="shared" ca="1" si="37"/>
        <v>0</v>
      </c>
      <c r="AP116" s="519">
        <f t="shared" ca="1" si="38"/>
        <v>0</v>
      </c>
      <c r="AQ116" s="519">
        <f t="shared" ca="1" si="39"/>
        <v>0</v>
      </c>
      <c r="AS116" s="536"/>
      <c r="AT116" s="536"/>
      <c r="AU116" s="519" t="str">
        <f t="shared" si="45"/>
        <v>Juken</v>
      </c>
      <c r="AV116" s="519" t="str">
        <f t="shared" si="40"/>
        <v>KOE1101</v>
      </c>
      <c r="AW116" s="519">
        <f t="shared" si="41"/>
        <v>0</v>
      </c>
      <c r="AX116" s="538"/>
      <c r="AY116" s="539">
        <f t="shared" ca="1" si="46"/>
        <v>0</v>
      </c>
      <c r="AZ116" s="189"/>
    </row>
    <row r="117" spans="1:52" x14ac:dyDescent="0.3">
      <c r="A117" s="556">
        <v>1</v>
      </c>
      <c r="B117" s="519" t="str">
        <f t="shared" si="42"/>
        <v>KOE</v>
      </c>
      <c r="C117" s="519" t="str">
        <f>AMDs!C98</f>
        <v>Top Energy</v>
      </c>
      <c r="D117" s="519" t="str">
        <f>AMDs!D98</f>
        <v>KOE1101</v>
      </c>
      <c r="E117" s="519">
        <f>IF(AMDs!C98="other",0,AMDs!E98)</f>
        <v>73.577700000000007</v>
      </c>
      <c r="H117" s="519">
        <f ca="1">_xlfn.IFNA(IF(VLOOKUP($B117&amp;OFFSET(H$10,$A117*2,0),'Mapping A'!$B$6:$E$1011,4,0)=1,$E117,""),0)</f>
        <v>73.577700000000007</v>
      </c>
      <c r="I117" s="519">
        <f ca="1">_xlfn.IFNA(IF(VLOOKUP($B117&amp;OFFSET(I$10,$A117*2,0),'Mapping A'!$B$6:$E$1011,4,0)=1,$E117,""),0)</f>
        <v>73.577700000000007</v>
      </c>
      <c r="J117" s="519">
        <f ca="1">_xlfn.IFNA(IF(VLOOKUP($B117&amp;OFFSET(J$10,$A117*2,0),'Mapping A'!$B$6:$E$1011,4,0)=1,$E117,""),0)</f>
        <v>73.577700000000007</v>
      </c>
      <c r="K117" s="519">
        <f ca="1">_xlfn.IFNA(IF(VLOOKUP($B117&amp;OFFSET(K$10,$A117*2,0),'Mapping A'!$B$6:$E$1011,4,0)=1,$E117,""),0)</f>
        <v>73.577700000000007</v>
      </c>
      <c r="L117" s="519">
        <f ca="1">_xlfn.IFNA(IF(VLOOKUP($B117&amp;OFFSET(L$10,$A117*2,0),'Mapping A'!$B$6:$E$1011,4,0)=1,$E117,""),0)</f>
        <v>0</v>
      </c>
      <c r="M117" s="519">
        <f ca="1">_xlfn.IFNA(IF(VLOOKUP($B117&amp;OFFSET(M$10,$A117*2,0),'Mapping A'!$B$6:$E$1011,4,0)=1,$E117,""),0)</f>
        <v>73.577700000000007</v>
      </c>
      <c r="N117" s="519">
        <f ca="1">_xlfn.IFNA(IF(VLOOKUP($B117&amp;OFFSET(N$10,$A117*2,0),'Mapping A'!$B$6:$E$1011,4,0)=1,$E117,""),0)</f>
        <v>73.577700000000007</v>
      </c>
      <c r="O117" s="519">
        <f ca="1">_xlfn.IFNA(IF(VLOOKUP($B117&amp;OFFSET(O$10,$A117*2,0),'Mapping A'!$B$6:$E$1011,4,0)=1,$E117,""),0)</f>
        <v>0</v>
      </c>
      <c r="P117" s="519">
        <f ca="1">_xlfn.IFNA(IF(VLOOKUP($B117&amp;OFFSET(P$10,$A117*2,0),'Mapping A'!$B$6:$E$1011,4,0)=1,$E117,""),0)</f>
        <v>0</v>
      </c>
      <c r="Q117" s="519">
        <f ca="1">_xlfn.IFNA(IF(VLOOKUP($B117&amp;OFFSET(Q$10,$A117*2,0),'Mapping A'!$B$6:$E$1011,4,0)=1,$E117,""),0)</f>
        <v>73.577700000000007</v>
      </c>
      <c r="R117" s="519">
        <f ca="1">_xlfn.IFNA(IF(VLOOKUP($B117&amp;OFFSET(R$10,$A117*2,0),'Mapping A'!$B$6:$E$1011,4,0)=1,$E117,""),0)</f>
        <v>0</v>
      </c>
      <c r="S117" s="519">
        <f ca="1">_xlfn.IFNA(IF(VLOOKUP($B117&amp;OFFSET(S$10,$A117*2,0),'Mapping A'!$B$6:$E$1011,4,0)=1,$E117,""),0)</f>
        <v>0</v>
      </c>
      <c r="T117" s="519">
        <f ca="1">_xlfn.IFNA(IF(VLOOKUP($B117&amp;OFFSET(T$10,$A117*2,0),'Mapping A'!$B$6:$E$1011,4,0)=1,$E117,""),0)</f>
        <v>0</v>
      </c>
      <c r="Y117" s="534" t="str">
        <f t="shared" si="47"/>
        <v>Top EnergyKOE1101</v>
      </c>
      <c r="Z117" s="519" t="str">
        <f t="shared" si="26"/>
        <v>Top Energy</v>
      </c>
      <c r="AA117" s="519" t="str">
        <f t="shared" si="27"/>
        <v>KOE1101</v>
      </c>
      <c r="AB117" s="519">
        <f t="shared" si="43"/>
        <v>73.577700000000007</v>
      </c>
      <c r="AC117" s="324"/>
      <c r="AE117" s="519">
        <f t="shared" ca="1" si="28"/>
        <v>0</v>
      </c>
      <c r="AF117" s="519">
        <f t="shared" ca="1" si="29"/>
        <v>0</v>
      </c>
      <c r="AG117" s="519">
        <f t="shared" ca="1" si="30"/>
        <v>0</v>
      </c>
      <c r="AH117" s="519">
        <f t="shared" ca="1" si="31"/>
        <v>1.2914446733553766</v>
      </c>
      <c r="AI117" s="519">
        <f t="shared" ca="1" si="44"/>
        <v>0</v>
      </c>
      <c r="AJ117" s="519">
        <f t="shared" ca="1" si="32"/>
        <v>0</v>
      </c>
      <c r="AK117" s="519">
        <f t="shared" ca="1" si="33"/>
        <v>0.29469538927289252</v>
      </c>
      <c r="AL117" s="519">
        <f t="shared" ca="1" si="34"/>
        <v>0</v>
      </c>
      <c r="AM117" s="519">
        <f t="shared" ca="1" si="35"/>
        <v>0</v>
      </c>
      <c r="AN117" s="519">
        <f t="shared" ca="1" si="36"/>
        <v>0.13591415088648637</v>
      </c>
      <c r="AO117" s="519">
        <f t="shared" ca="1" si="37"/>
        <v>0</v>
      </c>
      <c r="AP117" s="519">
        <f t="shared" ca="1" si="38"/>
        <v>0</v>
      </c>
      <c r="AQ117" s="519">
        <f t="shared" ca="1" si="39"/>
        <v>0</v>
      </c>
      <c r="AS117" s="536"/>
      <c r="AT117" s="536"/>
      <c r="AU117" s="519" t="str">
        <f t="shared" si="45"/>
        <v>Top Energy</v>
      </c>
      <c r="AV117" s="519" t="str">
        <f t="shared" si="40"/>
        <v>KOE1101</v>
      </c>
      <c r="AW117" s="678">
        <f>E117-25</f>
        <v>48.577700000000007</v>
      </c>
      <c r="AX117" s="538"/>
      <c r="AY117" s="539">
        <f t="shared" ca="1" si="46"/>
        <v>1.4736066659083744</v>
      </c>
      <c r="AZ117" s="189"/>
    </row>
    <row r="118" spans="1:52" x14ac:dyDescent="0.3">
      <c r="A118" s="556">
        <v>1</v>
      </c>
      <c r="B118" s="519" t="str">
        <f t="shared" si="42"/>
        <v>KPU</v>
      </c>
      <c r="C118" s="519" t="str">
        <f>AMDs!C99</f>
        <v>Powerco</v>
      </c>
      <c r="D118" s="519" t="str">
        <f>AMDs!D99</f>
        <v>KPU0661</v>
      </c>
      <c r="E118" s="519">
        <f>IF(AMDs!C99="other",0,AMDs!E99)</f>
        <v>51.069899999999997</v>
      </c>
      <c r="H118" s="519">
        <f ca="1">_xlfn.IFNA(IF(VLOOKUP($B118&amp;OFFSET(H$10,$A118*2,0),'Mapping A'!$B$6:$E$1011,4,0)=1,$E118,""),0)</f>
        <v>0</v>
      </c>
      <c r="I118" s="519">
        <f ca="1">_xlfn.IFNA(IF(VLOOKUP($B118&amp;OFFSET(I$10,$A118*2,0),'Mapping A'!$B$6:$E$1011,4,0)=1,$E118,""),0)</f>
        <v>51.069899999999997</v>
      </c>
      <c r="J118" s="519">
        <f ca="1">_xlfn.IFNA(IF(VLOOKUP($B118&amp;OFFSET(J$10,$A118*2,0),'Mapping A'!$B$6:$E$1011,4,0)=1,$E118,""),0)</f>
        <v>51.069899999999997</v>
      </c>
      <c r="K118" s="519">
        <f ca="1">_xlfn.IFNA(IF(VLOOKUP($B118&amp;OFFSET(K$10,$A118*2,0),'Mapping A'!$B$6:$E$1011,4,0)=1,$E118,""),0)</f>
        <v>0</v>
      </c>
      <c r="L118" s="519">
        <f ca="1">_xlfn.IFNA(IF(VLOOKUP($B118&amp;OFFSET(L$10,$A118*2,0),'Mapping A'!$B$6:$E$1011,4,0)=1,$E118,""),0)</f>
        <v>0</v>
      </c>
      <c r="M118" s="519">
        <f ca="1">_xlfn.IFNA(IF(VLOOKUP($B118&amp;OFFSET(M$10,$A118*2,0),'Mapping A'!$B$6:$E$1011,4,0)=1,$E118,""),0)</f>
        <v>51.069899999999997</v>
      </c>
      <c r="N118" s="519">
        <f ca="1">_xlfn.IFNA(IF(VLOOKUP($B118&amp;OFFSET(N$10,$A118*2,0),'Mapping A'!$B$6:$E$1011,4,0)=1,$E118,""),0)</f>
        <v>0</v>
      </c>
      <c r="O118" s="519">
        <f ca="1">_xlfn.IFNA(IF(VLOOKUP($B118&amp;OFFSET(O$10,$A118*2,0),'Mapping A'!$B$6:$E$1011,4,0)=1,$E118,""),0)</f>
        <v>0</v>
      </c>
      <c r="P118" s="519">
        <f ca="1">_xlfn.IFNA(IF(VLOOKUP($B118&amp;OFFSET(P$10,$A118*2,0),'Mapping A'!$B$6:$E$1011,4,0)=1,$E118,""),0)</f>
        <v>0</v>
      </c>
      <c r="Q118" s="519">
        <f ca="1">_xlfn.IFNA(IF(VLOOKUP($B118&amp;OFFSET(Q$10,$A118*2,0),'Mapping A'!$B$6:$E$1011,4,0)=1,$E118,""),0)</f>
        <v>0</v>
      </c>
      <c r="R118" s="519">
        <f ca="1">_xlfn.IFNA(IF(VLOOKUP($B118&amp;OFFSET(R$10,$A118*2,0),'Mapping A'!$B$6:$E$1011,4,0)=1,$E118,""),0)</f>
        <v>0</v>
      </c>
      <c r="S118" s="519">
        <f ca="1">_xlfn.IFNA(IF(VLOOKUP($B118&amp;OFFSET(S$10,$A118*2,0),'Mapping A'!$B$6:$E$1011,4,0)=1,$E118,""),0)</f>
        <v>0</v>
      </c>
      <c r="T118" s="519">
        <f ca="1">_xlfn.IFNA(IF(VLOOKUP($B118&amp;OFFSET(T$10,$A118*2,0),'Mapping A'!$B$6:$E$1011,4,0)=1,$E118,""),0)</f>
        <v>0</v>
      </c>
      <c r="Y118" s="534" t="str">
        <f t="shared" si="47"/>
        <v>PowercoKPU0661</v>
      </c>
      <c r="Z118" s="519" t="str">
        <f t="shared" si="26"/>
        <v>Powerco</v>
      </c>
      <c r="AA118" s="519" t="str">
        <f t="shared" si="27"/>
        <v>KPU0661</v>
      </c>
      <c r="AB118" s="519">
        <f t="shared" si="43"/>
        <v>51.069899999999997</v>
      </c>
      <c r="AC118" s="324"/>
      <c r="AE118" s="519">
        <f t="shared" ca="1" si="28"/>
        <v>0</v>
      </c>
      <c r="AF118" s="519">
        <f t="shared" ca="1" si="29"/>
        <v>0</v>
      </c>
      <c r="AG118" s="519">
        <f t="shared" ca="1" si="30"/>
        <v>0</v>
      </c>
      <c r="AH118" s="519">
        <f t="shared" ca="1" si="31"/>
        <v>0</v>
      </c>
      <c r="AI118" s="519">
        <f t="shared" ca="1" si="44"/>
        <v>0</v>
      </c>
      <c r="AJ118" s="519">
        <f t="shared" ca="1" si="32"/>
        <v>0</v>
      </c>
      <c r="AK118" s="519">
        <f t="shared" ca="1" si="33"/>
        <v>0</v>
      </c>
      <c r="AL118" s="519">
        <f t="shared" ca="1" si="34"/>
        <v>0</v>
      </c>
      <c r="AM118" s="519">
        <f t="shared" ca="1" si="35"/>
        <v>0</v>
      </c>
      <c r="AN118" s="519">
        <f t="shared" ca="1" si="36"/>
        <v>0</v>
      </c>
      <c r="AO118" s="519">
        <f t="shared" ca="1" si="37"/>
        <v>0</v>
      </c>
      <c r="AP118" s="519">
        <f t="shared" ca="1" si="38"/>
        <v>0</v>
      </c>
      <c r="AQ118" s="519">
        <f t="shared" ca="1" si="39"/>
        <v>0</v>
      </c>
      <c r="AS118" s="536"/>
      <c r="AT118" s="536"/>
      <c r="AU118" s="519" t="str">
        <f t="shared" si="45"/>
        <v>Powerco</v>
      </c>
      <c r="AV118" s="519" t="str">
        <f t="shared" si="40"/>
        <v>KPU0661</v>
      </c>
      <c r="AW118" s="519">
        <f t="shared" si="41"/>
        <v>51.069899999999997</v>
      </c>
      <c r="AX118" s="538"/>
      <c r="AY118" s="539">
        <f t="shared" ca="1" si="46"/>
        <v>1.549207662513336</v>
      </c>
      <c r="AZ118" s="189"/>
    </row>
    <row r="119" spans="1:52" x14ac:dyDescent="0.3">
      <c r="A119" s="556">
        <v>1</v>
      </c>
      <c r="B119" s="519" t="str">
        <f t="shared" si="42"/>
        <v>KUM</v>
      </c>
      <c r="C119" s="519" t="str">
        <f>AMDs!C100</f>
        <v>Westpower</v>
      </c>
      <c r="D119" s="519" t="str">
        <f>AMDs!D100</f>
        <v>KUM0661</v>
      </c>
      <c r="E119" s="519">
        <f>IF(AMDs!C100="other",0,AMDs!E100)</f>
        <v>9.66</v>
      </c>
      <c r="H119" s="519">
        <f ca="1">_xlfn.IFNA(IF(VLOOKUP($B119&amp;OFFSET(H$10,$A119*2,0),'Mapping A'!$B$6:$E$1011,4,0)=1,$E119,""),0)</f>
        <v>0</v>
      </c>
      <c r="I119" s="519">
        <f ca="1">_xlfn.IFNA(IF(VLOOKUP($B119&amp;OFFSET(I$10,$A119*2,0),'Mapping A'!$B$6:$E$1011,4,0)=1,$E119,""),0)</f>
        <v>9.66</v>
      </c>
      <c r="J119" s="519">
        <f ca="1">_xlfn.IFNA(IF(VLOOKUP($B119&amp;OFFSET(J$10,$A119*2,0),'Mapping A'!$B$6:$E$1011,4,0)=1,$E119,""),0)</f>
        <v>0</v>
      </c>
      <c r="K119" s="519">
        <f ca="1">_xlfn.IFNA(IF(VLOOKUP($B119&amp;OFFSET(K$10,$A119*2,0),'Mapping A'!$B$6:$E$1011,4,0)=1,$E119,""),0)</f>
        <v>0</v>
      </c>
      <c r="L119" s="519">
        <f ca="1">_xlfn.IFNA(IF(VLOOKUP($B119&amp;OFFSET(L$10,$A119*2,0),'Mapping A'!$B$6:$E$1011,4,0)=1,$E119,""),0)</f>
        <v>0</v>
      </c>
      <c r="M119" s="519">
        <f ca="1">_xlfn.IFNA(IF(VLOOKUP($B119&amp;OFFSET(M$10,$A119*2,0),'Mapping A'!$B$6:$E$1011,4,0)=1,$E119,""),0)</f>
        <v>0</v>
      </c>
      <c r="N119" s="519">
        <f ca="1">_xlfn.IFNA(IF(VLOOKUP($B119&amp;OFFSET(N$10,$A119*2,0),'Mapping A'!$B$6:$E$1011,4,0)=1,$E119,""),0)</f>
        <v>0</v>
      </c>
      <c r="O119" s="519">
        <f ca="1">_xlfn.IFNA(IF(VLOOKUP($B119&amp;OFFSET(O$10,$A119*2,0),'Mapping A'!$B$6:$E$1011,4,0)=1,$E119,""),0)</f>
        <v>0</v>
      </c>
      <c r="P119" s="519">
        <f ca="1">_xlfn.IFNA(IF(VLOOKUP($B119&amp;OFFSET(P$10,$A119*2,0),'Mapping A'!$B$6:$E$1011,4,0)=1,$E119,""),0)</f>
        <v>9.66</v>
      </c>
      <c r="Q119" s="519">
        <f ca="1">_xlfn.IFNA(IF(VLOOKUP($B119&amp;OFFSET(Q$10,$A119*2,0),'Mapping A'!$B$6:$E$1011,4,0)=1,$E119,""),0)</f>
        <v>0</v>
      </c>
      <c r="R119" s="519">
        <f ca="1">_xlfn.IFNA(IF(VLOOKUP($B119&amp;OFFSET(R$10,$A119*2,0),'Mapping A'!$B$6:$E$1011,4,0)=1,$E119,""),0)</f>
        <v>0</v>
      </c>
      <c r="S119" s="519">
        <f ca="1">_xlfn.IFNA(IF(VLOOKUP($B119&amp;OFFSET(S$10,$A119*2,0),'Mapping A'!$B$6:$E$1011,4,0)=1,$E119,""),0)</f>
        <v>0</v>
      </c>
      <c r="T119" s="519">
        <f ca="1">_xlfn.IFNA(IF(VLOOKUP($B119&amp;OFFSET(T$10,$A119*2,0),'Mapping A'!$B$6:$E$1011,4,0)=1,$E119,""),0)</f>
        <v>9.66</v>
      </c>
      <c r="Y119" s="534" t="str">
        <f t="shared" si="47"/>
        <v>WestpowerKUM0661</v>
      </c>
      <c r="Z119" s="519" t="str">
        <f t="shared" si="26"/>
        <v>Westpower</v>
      </c>
      <c r="AA119" s="519" t="str">
        <f t="shared" si="27"/>
        <v>KUM0661</v>
      </c>
      <c r="AB119" s="519">
        <f t="shared" si="43"/>
        <v>9.66</v>
      </c>
      <c r="AC119" s="324"/>
      <c r="AE119" s="519">
        <f t="shared" ca="1" si="28"/>
        <v>0</v>
      </c>
      <c r="AF119" s="519">
        <f t="shared" ca="1" si="29"/>
        <v>0</v>
      </c>
      <c r="AG119" s="519">
        <f t="shared" ca="1" si="30"/>
        <v>0</v>
      </c>
      <c r="AH119" s="519">
        <f t="shared" ca="1" si="31"/>
        <v>0</v>
      </c>
      <c r="AI119" s="519">
        <f t="shared" ca="1" si="44"/>
        <v>0</v>
      </c>
      <c r="AJ119" s="519">
        <f t="shared" ca="1" si="32"/>
        <v>0</v>
      </c>
      <c r="AK119" s="519">
        <f t="shared" ca="1" si="33"/>
        <v>0</v>
      </c>
      <c r="AL119" s="519">
        <f t="shared" ca="1" si="34"/>
        <v>0</v>
      </c>
      <c r="AM119" s="519">
        <f t="shared" ca="1" si="35"/>
        <v>2.5732985788360901E-2</v>
      </c>
      <c r="AN119" s="519">
        <f t="shared" ca="1" si="36"/>
        <v>0</v>
      </c>
      <c r="AO119" s="519">
        <f t="shared" ca="1" si="37"/>
        <v>0</v>
      </c>
      <c r="AP119" s="519">
        <f t="shared" ca="1" si="38"/>
        <v>0</v>
      </c>
      <c r="AQ119" s="519">
        <f t="shared" ca="1" si="39"/>
        <v>0</v>
      </c>
      <c r="AS119" s="536"/>
      <c r="AT119" s="536"/>
      <c r="AU119" s="519" t="str">
        <f t="shared" si="45"/>
        <v>Westpower</v>
      </c>
      <c r="AV119" s="519" t="str">
        <f t="shared" si="40"/>
        <v>KUM0661</v>
      </c>
      <c r="AW119" s="519">
        <f t="shared" si="41"/>
        <v>9.66</v>
      </c>
      <c r="AX119" s="538"/>
      <c r="AY119" s="539">
        <f t="shared" ca="1" si="46"/>
        <v>0.29303652483907011</v>
      </c>
      <c r="AZ119" s="189"/>
    </row>
    <row r="120" spans="1:52" x14ac:dyDescent="0.3">
      <c r="A120" s="556">
        <v>1</v>
      </c>
      <c r="B120" s="519" t="str">
        <f t="shared" si="42"/>
        <v>KWA</v>
      </c>
      <c r="C120" s="519" t="str">
        <f>AMDs!C101</f>
        <v>Wellington Electricity</v>
      </c>
      <c r="D120" s="519" t="str">
        <f>AMDs!D101</f>
        <v>KWA0111</v>
      </c>
      <c r="E120" s="519">
        <f>IF(AMDs!C101="other",0,AMDs!E101)</f>
        <v>34.360199999999999</v>
      </c>
      <c r="H120" s="519">
        <f ca="1">_xlfn.IFNA(IF(VLOOKUP($B120&amp;OFFSET(H$10,$A120*2,0),'Mapping A'!$B$6:$E$1011,4,0)=1,$E120,""),0)</f>
        <v>0</v>
      </c>
      <c r="I120" s="519">
        <f ca="1">_xlfn.IFNA(IF(VLOOKUP($B120&amp;OFFSET(I$10,$A120*2,0),'Mapping A'!$B$6:$E$1011,4,0)=1,$E120,""),0)</f>
        <v>34.360199999999999</v>
      </c>
      <c r="J120" s="519">
        <f ca="1">_xlfn.IFNA(IF(VLOOKUP($B120&amp;OFFSET(J$10,$A120*2,0),'Mapping A'!$B$6:$E$1011,4,0)=1,$E120,""),0)</f>
        <v>34.360199999999999</v>
      </c>
      <c r="K120" s="519">
        <f ca="1">_xlfn.IFNA(IF(VLOOKUP($B120&amp;OFFSET(K$10,$A120*2,0),'Mapping A'!$B$6:$E$1011,4,0)=1,$E120,""),0)</f>
        <v>0</v>
      </c>
      <c r="L120" s="519">
        <f ca="1">_xlfn.IFNA(IF(VLOOKUP($B120&amp;OFFSET(L$10,$A120*2,0),'Mapping A'!$B$6:$E$1011,4,0)=1,$E120,""),0)</f>
        <v>0</v>
      </c>
      <c r="M120" s="519">
        <f ca="1">_xlfn.IFNA(IF(VLOOKUP($B120&amp;OFFSET(M$10,$A120*2,0),'Mapping A'!$B$6:$E$1011,4,0)=1,$E120,""),0)</f>
        <v>0</v>
      </c>
      <c r="N120" s="519">
        <f ca="1">_xlfn.IFNA(IF(VLOOKUP($B120&amp;OFFSET(N$10,$A120*2,0),'Mapping A'!$B$6:$E$1011,4,0)=1,$E120,""),0)</f>
        <v>0</v>
      </c>
      <c r="O120" s="519">
        <f ca="1">_xlfn.IFNA(IF(VLOOKUP($B120&amp;OFFSET(O$10,$A120*2,0),'Mapping A'!$B$6:$E$1011,4,0)=1,$E120,""),0)</f>
        <v>0</v>
      </c>
      <c r="P120" s="519">
        <f ca="1">_xlfn.IFNA(IF(VLOOKUP($B120&amp;OFFSET(P$10,$A120*2,0),'Mapping A'!$B$6:$E$1011,4,0)=1,$E120,""),0)</f>
        <v>0</v>
      </c>
      <c r="Q120" s="519">
        <f ca="1">_xlfn.IFNA(IF(VLOOKUP($B120&amp;OFFSET(Q$10,$A120*2,0),'Mapping A'!$B$6:$E$1011,4,0)=1,$E120,""),0)</f>
        <v>0</v>
      </c>
      <c r="R120" s="519">
        <f ca="1">_xlfn.IFNA(IF(VLOOKUP($B120&amp;OFFSET(R$10,$A120*2,0),'Mapping A'!$B$6:$E$1011,4,0)=1,$E120,""),0)</f>
        <v>0</v>
      </c>
      <c r="S120" s="519">
        <f ca="1">_xlfn.IFNA(IF(VLOOKUP($B120&amp;OFFSET(S$10,$A120*2,0),'Mapping A'!$B$6:$E$1011,4,0)=1,$E120,""),0)</f>
        <v>0</v>
      </c>
      <c r="T120" s="519">
        <f ca="1">_xlfn.IFNA(IF(VLOOKUP($B120&amp;OFFSET(T$10,$A120*2,0),'Mapping A'!$B$6:$E$1011,4,0)=1,$E120,""),0)</f>
        <v>0</v>
      </c>
      <c r="Y120" s="534" t="str">
        <f t="shared" si="47"/>
        <v>Wellington ElectricityKWA0111</v>
      </c>
      <c r="Z120" s="519" t="str">
        <f t="shared" si="26"/>
        <v>Wellington Electricity</v>
      </c>
      <c r="AA120" s="519" t="str">
        <f t="shared" si="27"/>
        <v>KWA0111</v>
      </c>
      <c r="AB120" s="519">
        <f t="shared" si="43"/>
        <v>34.360199999999999</v>
      </c>
      <c r="AC120" s="324"/>
      <c r="AE120" s="519">
        <f t="shared" ca="1" si="28"/>
        <v>0</v>
      </c>
      <c r="AF120" s="519">
        <f t="shared" ca="1" si="29"/>
        <v>0</v>
      </c>
      <c r="AG120" s="519">
        <f t="shared" ca="1" si="30"/>
        <v>0</v>
      </c>
      <c r="AH120" s="519">
        <f t="shared" ca="1" si="31"/>
        <v>0</v>
      </c>
      <c r="AI120" s="519">
        <f t="shared" ca="1" si="44"/>
        <v>0</v>
      </c>
      <c r="AJ120" s="519">
        <f t="shared" ca="1" si="32"/>
        <v>0</v>
      </c>
      <c r="AK120" s="519">
        <f t="shared" ca="1" si="33"/>
        <v>0</v>
      </c>
      <c r="AL120" s="519">
        <f t="shared" ca="1" si="34"/>
        <v>0</v>
      </c>
      <c r="AM120" s="519">
        <f t="shared" ca="1" si="35"/>
        <v>0</v>
      </c>
      <c r="AN120" s="519">
        <f t="shared" ca="1" si="36"/>
        <v>0</v>
      </c>
      <c r="AO120" s="519">
        <f t="shared" ca="1" si="37"/>
        <v>0</v>
      </c>
      <c r="AP120" s="519">
        <f t="shared" ca="1" si="38"/>
        <v>0</v>
      </c>
      <c r="AQ120" s="519">
        <f t="shared" ca="1" si="39"/>
        <v>0</v>
      </c>
      <c r="AS120" s="536"/>
      <c r="AT120" s="536"/>
      <c r="AU120" s="519" t="str">
        <f t="shared" si="45"/>
        <v>Wellington Electricity</v>
      </c>
      <c r="AV120" s="519" t="str">
        <f t="shared" si="40"/>
        <v>KWA0111</v>
      </c>
      <c r="AW120" s="519">
        <f t="shared" si="41"/>
        <v>34.360199999999999</v>
      </c>
      <c r="AX120" s="538"/>
      <c r="AY120" s="539">
        <f t="shared" ca="1" si="46"/>
        <v>1.0423181781341011</v>
      </c>
      <c r="AZ120" s="189"/>
    </row>
    <row r="121" spans="1:52" x14ac:dyDescent="0.3">
      <c r="A121" s="556">
        <v>1</v>
      </c>
      <c r="B121" s="519" t="str">
        <f t="shared" si="42"/>
        <v>LFD</v>
      </c>
      <c r="C121" s="519" t="str">
        <f>AMDs!C102</f>
        <v>Fonterra</v>
      </c>
      <c r="D121" s="519" t="str">
        <f>AMDs!D102</f>
        <v>LFD1101</v>
      </c>
      <c r="E121" s="519">
        <f>IF(AMDs!C102="other",0,AMDs!E102)</f>
        <v>7.8855000000000004</v>
      </c>
      <c r="H121" s="519">
        <f ca="1">_xlfn.IFNA(IF(VLOOKUP($B121&amp;OFFSET(H$10,$A121*2,0),'Mapping A'!$B$6:$E$1011,4,0)=1,$E121,""),0)</f>
        <v>0</v>
      </c>
      <c r="I121" s="519">
        <f ca="1">_xlfn.IFNA(IF(VLOOKUP($B121&amp;OFFSET(I$10,$A121*2,0),'Mapping A'!$B$6:$E$1011,4,0)=1,$E121,""),0)</f>
        <v>7.8855000000000004</v>
      </c>
      <c r="J121" s="519">
        <f ca="1">_xlfn.IFNA(IF(VLOOKUP($B121&amp;OFFSET(J$10,$A121*2,0),'Mapping A'!$B$6:$E$1011,4,0)=1,$E121,""),0)</f>
        <v>7.8855000000000004</v>
      </c>
      <c r="K121" s="519">
        <f ca="1">_xlfn.IFNA(IF(VLOOKUP($B121&amp;OFFSET(K$10,$A121*2,0),'Mapping A'!$B$6:$E$1011,4,0)=1,$E121,""),0)</f>
        <v>0</v>
      </c>
      <c r="L121" s="519">
        <f ca="1">_xlfn.IFNA(IF(VLOOKUP($B121&amp;OFFSET(L$10,$A121*2,0),'Mapping A'!$B$6:$E$1011,4,0)=1,$E121,""),0)</f>
        <v>0</v>
      </c>
      <c r="M121" s="519">
        <f ca="1">_xlfn.IFNA(IF(VLOOKUP($B121&amp;OFFSET(M$10,$A121*2,0),'Mapping A'!$B$6:$E$1011,4,0)=1,$E121,""),0)</f>
        <v>7.8855000000000004</v>
      </c>
      <c r="N121" s="519">
        <f ca="1">_xlfn.IFNA(IF(VLOOKUP($B121&amp;OFFSET(N$10,$A121*2,0),'Mapping A'!$B$6:$E$1011,4,0)=1,$E121,""),0)</f>
        <v>0</v>
      </c>
      <c r="O121" s="519">
        <f ca="1">_xlfn.IFNA(IF(VLOOKUP($B121&amp;OFFSET(O$10,$A121*2,0),'Mapping A'!$B$6:$E$1011,4,0)=1,$E121,""),0)</f>
        <v>0</v>
      </c>
      <c r="P121" s="519">
        <f ca="1">_xlfn.IFNA(IF(VLOOKUP($B121&amp;OFFSET(P$10,$A121*2,0),'Mapping A'!$B$6:$E$1011,4,0)=1,$E121,""),0)</f>
        <v>0</v>
      </c>
      <c r="Q121" s="519">
        <f ca="1">_xlfn.IFNA(IF(VLOOKUP($B121&amp;OFFSET(Q$10,$A121*2,0),'Mapping A'!$B$6:$E$1011,4,0)=1,$E121,""),0)</f>
        <v>0</v>
      </c>
      <c r="R121" s="519">
        <f ca="1">_xlfn.IFNA(IF(VLOOKUP($B121&amp;OFFSET(R$10,$A121*2,0),'Mapping A'!$B$6:$E$1011,4,0)=1,$E121,""),0)</f>
        <v>0</v>
      </c>
      <c r="S121" s="519">
        <f ca="1">_xlfn.IFNA(IF(VLOOKUP($B121&amp;OFFSET(S$10,$A121*2,0),'Mapping A'!$B$6:$E$1011,4,0)=1,$E121,""),0)</f>
        <v>0</v>
      </c>
      <c r="T121" s="519">
        <f ca="1">_xlfn.IFNA(IF(VLOOKUP($B121&amp;OFFSET(T$10,$A121*2,0),'Mapping A'!$B$6:$E$1011,4,0)=1,$E121,""),0)</f>
        <v>0</v>
      </c>
      <c r="Y121" s="534" t="str">
        <f t="shared" si="47"/>
        <v>FonterraLFD1101</v>
      </c>
      <c r="Z121" s="519" t="str">
        <f t="shared" si="26"/>
        <v>Fonterra</v>
      </c>
      <c r="AA121" s="519" t="str">
        <f t="shared" si="27"/>
        <v>LFD1101</v>
      </c>
      <c r="AB121" s="519">
        <f t="shared" si="43"/>
        <v>7.8855000000000004</v>
      </c>
      <c r="AC121" s="324"/>
      <c r="AE121" s="519">
        <f t="shared" ca="1" si="28"/>
        <v>0</v>
      </c>
      <c r="AF121" s="519">
        <f t="shared" ca="1" si="29"/>
        <v>0</v>
      </c>
      <c r="AG121" s="519">
        <f t="shared" ca="1" si="30"/>
        <v>0</v>
      </c>
      <c r="AH121" s="519">
        <f t="shared" ca="1" si="31"/>
        <v>0</v>
      </c>
      <c r="AI121" s="519">
        <f t="shared" ca="1" si="44"/>
        <v>0</v>
      </c>
      <c r="AJ121" s="519">
        <f t="shared" ca="1" si="32"/>
        <v>0</v>
      </c>
      <c r="AK121" s="519">
        <f t="shared" ca="1" si="33"/>
        <v>0</v>
      </c>
      <c r="AL121" s="519">
        <f t="shared" ca="1" si="34"/>
        <v>0</v>
      </c>
      <c r="AM121" s="519">
        <f t="shared" ca="1" si="35"/>
        <v>0</v>
      </c>
      <c r="AN121" s="519">
        <f t="shared" ca="1" si="36"/>
        <v>0</v>
      </c>
      <c r="AO121" s="519">
        <f t="shared" ca="1" si="37"/>
        <v>0</v>
      </c>
      <c r="AP121" s="519">
        <f t="shared" ca="1" si="38"/>
        <v>0</v>
      </c>
      <c r="AQ121" s="519">
        <f t="shared" ca="1" si="39"/>
        <v>0</v>
      </c>
      <c r="AS121" s="536"/>
      <c r="AT121" s="536"/>
      <c r="AU121" s="519" t="str">
        <f t="shared" si="45"/>
        <v>Fonterra</v>
      </c>
      <c r="AV121" s="519" t="str">
        <f t="shared" si="40"/>
        <v>LFD1101</v>
      </c>
      <c r="AW121" s="519">
        <f t="shared" si="41"/>
        <v>7.8855000000000004</v>
      </c>
      <c r="AX121" s="538"/>
      <c r="AY121" s="539">
        <f t="shared" ca="1" si="46"/>
        <v>0.23920698929798004</v>
      </c>
      <c r="AZ121" s="189"/>
    </row>
    <row r="122" spans="1:52" x14ac:dyDescent="0.3">
      <c r="A122" s="556">
        <v>1</v>
      </c>
      <c r="B122" s="519" t="str">
        <f t="shared" si="42"/>
        <v>LFD</v>
      </c>
      <c r="C122" s="519" t="str">
        <f>AMDs!C103</f>
        <v>Fonterra</v>
      </c>
      <c r="D122" s="519" t="str">
        <f>AMDs!D103</f>
        <v>LFD1102</v>
      </c>
      <c r="E122" s="519">
        <f>IF(AMDs!C103="other",0,AMDs!E103)</f>
        <v>5.4032999999999998</v>
      </c>
      <c r="H122" s="519">
        <f ca="1">_xlfn.IFNA(IF(VLOOKUP($B122&amp;OFFSET(H$10,$A122*2,0),'Mapping A'!$B$6:$E$1011,4,0)=1,$E122,""),0)</f>
        <v>0</v>
      </c>
      <c r="I122" s="519">
        <f ca="1">_xlfn.IFNA(IF(VLOOKUP($B122&amp;OFFSET(I$10,$A122*2,0),'Mapping A'!$B$6:$E$1011,4,0)=1,$E122,""),0)</f>
        <v>5.4032999999999998</v>
      </c>
      <c r="J122" s="519">
        <f ca="1">_xlfn.IFNA(IF(VLOOKUP($B122&amp;OFFSET(J$10,$A122*2,0),'Mapping A'!$B$6:$E$1011,4,0)=1,$E122,""),0)</f>
        <v>5.4032999999999998</v>
      </c>
      <c r="K122" s="519">
        <f ca="1">_xlfn.IFNA(IF(VLOOKUP($B122&amp;OFFSET(K$10,$A122*2,0),'Mapping A'!$B$6:$E$1011,4,0)=1,$E122,""),0)</f>
        <v>0</v>
      </c>
      <c r="L122" s="519">
        <f ca="1">_xlfn.IFNA(IF(VLOOKUP($B122&amp;OFFSET(L$10,$A122*2,0),'Mapping A'!$B$6:$E$1011,4,0)=1,$E122,""),0)</f>
        <v>0</v>
      </c>
      <c r="M122" s="519">
        <f ca="1">_xlfn.IFNA(IF(VLOOKUP($B122&amp;OFFSET(M$10,$A122*2,0),'Mapping A'!$B$6:$E$1011,4,0)=1,$E122,""),0)</f>
        <v>5.4032999999999998</v>
      </c>
      <c r="N122" s="519">
        <f ca="1">_xlfn.IFNA(IF(VLOOKUP($B122&amp;OFFSET(N$10,$A122*2,0),'Mapping A'!$B$6:$E$1011,4,0)=1,$E122,""),0)</f>
        <v>0</v>
      </c>
      <c r="O122" s="519">
        <f ca="1">_xlfn.IFNA(IF(VLOOKUP($B122&amp;OFFSET(O$10,$A122*2,0),'Mapping A'!$B$6:$E$1011,4,0)=1,$E122,""),0)</f>
        <v>0</v>
      </c>
      <c r="P122" s="519">
        <f ca="1">_xlfn.IFNA(IF(VLOOKUP($B122&amp;OFFSET(P$10,$A122*2,0),'Mapping A'!$B$6:$E$1011,4,0)=1,$E122,""),0)</f>
        <v>0</v>
      </c>
      <c r="Q122" s="519">
        <f ca="1">_xlfn.IFNA(IF(VLOOKUP($B122&amp;OFFSET(Q$10,$A122*2,0),'Mapping A'!$B$6:$E$1011,4,0)=1,$E122,""),0)</f>
        <v>0</v>
      </c>
      <c r="R122" s="519">
        <f ca="1">_xlfn.IFNA(IF(VLOOKUP($B122&amp;OFFSET(R$10,$A122*2,0),'Mapping A'!$B$6:$E$1011,4,0)=1,$E122,""),0)</f>
        <v>0</v>
      </c>
      <c r="S122" s="519">
        <f ca="1">_xlfn.IFNA(IF(VLOOKUP($B122&amp;OFFSET(S$10,$A122*2,0),'Mapping A'!$B$6:$E$1011,4,0)=1,$E122,""),0)</f>
        <v>0</v>
      </c>
      <c r="T122" s="519">
        <f ca="1">_xlfn.IFNA(IF(VLOOKUP($B122&amp;OFFSET(T$10,$A122*2,0),'Mapping A'!$B$6:$E$1011,4,0)=1,$E122,""),0)</f>
        <v>0</v>
      </c>
      <c r="Y122" s="534" t="str">
        <f t="shared" si="47"/>
        <v>FonterraLFD1102</v>
      </c>
      <c r="Z122" s="519" t="str">
        <f t="shared" si="26"/>
        <v>Fonterra</v>
      </c>
      <c r="AA122" s="519" t="str">
        <f t="shared" si="27"/>
        <v>LFD1102</v>
      </c>
      <c r="AB122" s="519">
        <f t="shared" si="43"/>
        <v>5.4032999999999998</v>
      </c>
      <c r="AC122" s="324"/>
      <c r="AE122" s="519">
        <f t="shared" ca="1" si="28"/>
        <v>0</v>
      </c>
      <c r="AF122" s="519">
        <f t="shared" ca="1" si="29"/>
        <v>0</v>
      </c>
      <c r="AG122" s="519">
        <f t="shared" ca="1" si="30"/>
        <v>0</v>
      </c>
      <c r="AH122" s="519">
        <f t="shared" ca="1" si="31"/>
        <v>0</v>
      </c>
      <c r="AI122" s="519">
        <f t="shared" ca="1" si="44"/>
        <v>0</v>
      </c>
      <c r="AJ122" s="519">
        <f t="shared" ca="1" si="32"/>
        <v>0</v>
      </c>
      <c r="AK122" s="519">
        <f t="shared" ca="1" si="33"/>
        <v>0</v>
      </c>
      <c r="AL122" s="519">
        <f t="shared" ca="1" si="34"/>
        <v>0</v>
      </c>
      <c r="AM122" s="519">
        <f t="shared" ca="1" si="35"/>
        <v>0</v>
      </c>
      <c r="AN122" s="519">
        <f t="shared" ca="1" si="36"/>
        <v>0</v>
      </c>
      <c r="AO122" s="519">
        <f t="shared" ca="1" si="37"/>
        <v>0</v>
      </c>
      <c r="AP122" s="519">
        <f t="shared" ca="1" si="38"/>
        <v>0</v>
      </c>
      <c r="AQ122" s="519">
        <f t="shared" ca="1" si="39"/>
        <v>0</v>
      </c>
      <c r="AS122" s="536"/>
      <c r="AT122" s="536"/>
      <c r="AU122" s="519" t="str">
        <f t="shared" si="45"/>
        <v>Fonterra</v>
      </c>
      <c r="AV122" s="519" t="str">
        <f t="shared" si="40"/>
        <v>LFD1102</v>
      </c>
      <c r="AW122" s="519">
        <f t="shared" si="41"/>
        <v>5.4032999999999998</v>
      </c>
      <c r="AX122" s="538"/>
      <c r="AY122" s="539">
        <f t="shared" ca="1" si="46"/>
        <v>0.1639093431328103</v>
      </c>
      <c r="AZ122" s="189"/>
    </row>
    <row r="123" spans="1:52" x14ac:dyDescent="0.3">
      <c r="A123" s="556">
        <v>1</v>
      </c>
      <c r="B123" s="519" t="str">
        <f t="shared" si="42"/>
        <v>LTN</v>
      </c>
      <c r="C123" s="519" t="str">
        <f>AMDs!C104</f>
        <v>Powerco</v>
      </c>
      <c r="D123" s="519" t="str">
        <f>AMDs!D104</f>
        <v>LTN0331</v>
      </c>
      <c r="E123" s="519">
        <f>IF(AMDs!C104="other",0,AMDs!E104)</f>
        <v>60.731999999999999</v>
      </c>
      <c r="H123" s="519">
        <f ca="1">_xlfn.IFNA(IF(VLOOKUP($B123&amp;OFFSET(H$10,$A123*2,0),'Mapping A'!$B$6:$E$1011,4,0)=1,$E123,""),0)</f>
        <v>0</v>
      </c>
      <c r="I123" s="519">
        <f ca="1">_xlfn.IFNA(IF(VLOOKUP($B123&amp;OFFSET(I$10,$A123*2,0),'Mapping A'!$B$6:$E$1011,4,0)=1,$E123,""),0)</f>
        <v>60.731999999999999</v>
      </c>
      <c r="J123" s="519">
        <f ca="1">_xlfn.IFNA(IF(VLOOKUP($B123&amp;OFFSET(J$10,$A123*2,0),'Mapping A'!$B$6:$E$1011,4,0)=1,$E123,""),0)</f>
        <v>60.731999999999999</v>
      </c>
      <c r="K123" s="519">
        <f ca="1">_xlfn.IFNA(IF(VLOOKUP($B123&amp;OFFSET(K$10,$A123*2,0),'Mapping A'!$B$6:$E$1011,4,0)=1,$E123,""),0)</f>
        <v>0</v>
      </c>
      <c r="L123" s="519">
        <f ca="1">_xlfn.IFNA(IF(VLOOKUP($B123&amp;OFFSET(L$10,$A123*2,0),'Mapping A'!$B$6:$E$1011,4,0)=1,$E123,""),0)</f>
        <v>0</v>
      </c>
      <c r="M123" s="519">
        <f ca="1">_xlfn.IFNA(IF(VLOOKUP($B123&amp;OFFSET(M$10,$A123*2,0),'Mapping A'!$B$6:$E$1011,4,0)=1,$E123,""),0)</f>
        <v>0</v>
      </c>
      <c r="N123" s="519">
        <f ca="1">_xlfn.IFNA(IF(VLOOKUP($B123&amp;OFFSET(N$10,$A123*2,0),'Mapping A'!$B$6:$E$1011,4,0)=1,$E123,""),0)</f>
        <v>0</v>
      </c>
      <c r="O123" s="519">
        <f ca="1">_xlfn.IFNA(IF(VLOOKUP($B123&amp;OFFSET(O$10,$A123*2,0),'Mapping A'!$B$6:$E$1011,4,0)=1,$E123,""),0)</f>
        <v>0</v>
      </c>
      <c r="P123" s="519">
        <f ca="1">_xlfn.IFNA(IF(VLOOKUP($B123&amp;OFFSET(P$10,$A123*2,0),'Mapping A'!$B$6:$E$1011,4,0)=1,$E123,""),0)</f>
        <v>0</v>
      </c>
      <c r="Q123" s="519">
        <f ca="1">_xlfn.IFNA(IF(VLOOKUP($B123&amp;OFFSET(Q$10,$A123*2,0),'Mapping A'!$B$6:$E$1011,4,0)=1,$E123,""),0)</f>
        <v>0</v>
      </c>
      <c r="R123" s="519">
        <f ca="1">_xlfn.IFNA(IF(VLOOKUP($B123&amp;OFFSET(R$10,$A123*2,0),'Mapping A'!$B$6:$E$1011,4,0)=1,$E123,""),0)</f>
        <v>0</v>
      </c>
      <c r="S123" s="519">
        <f ca="1">_xlfn.IFNA(IF(VLOOKUP($B123&amp;OFFSET(S$10,$A123*2,0),'Mapping A'!$B$6:$E$1011,4,0)=1,$E123,""),0)</f>
        <v>0</v>
      </c>
      <c r="T123" s="519">
        <f ca="1">_xlfn.IFNA(IF(VLOOKUP($B123&amp;OFFSET(T$10,$A123*2,0),'Mapping A'!$B$6:$E$1011,4,0)=1,$E123,""),0)</f>
        <v>0</v>
      </c>
      <c r="Y123" s="534" t="str">
        <f t="shared" si="47"/>
        <v>PowercoLTN0331</v>
      </c>
      <c r="Z123" s="519" t="str">
        <f t="shared" si="26"/>
        <v>Powerco</v>
      </c>
      <c r="AA123" s="519" t="str">
        <f t="shared" si="27"/>
        <v>LTN0331</v>
      </c>
      <c r="AB123" s="519">
        <f t="shared" si="43"/>
        <v>60.731999999999999</v>
      </c>
      <c r="AC123" s="324"/>
      <c r="AE123" s="519">
        <f t="shared" ca="1" si="28"/>
        <v>0</v>
      </c>
      <c r="AF123" s="519">
        <f t="shared" ca="1" si="29"/>
        <v>0</v>
      </c>
      <c r="AG123" s="519">
        <f t="shared" ca="1" si="30"/>
        <v>0</v>
      </c>
      <c r="AH123" s="519">
        <f t="shared" ca="1" si="31"/>
        <v>0</v>
      </c>
      <c r="AI123" s="519">
        <f t="shared" ca="1" si="44"/>
        <v>0</v>
      </c>
      <c r="AJ123" s="519">
        <f t="shared" ca="1" si="32"/>
        <v>0</v>
      </c>
      <c r="AK123" s="519">
        <f t="shared" ca="1" si="33"/>
        <v>0</v>
      </c>
      <c r="AL123" s="519">
        <f t="shared" ca="1" si="34"/>
        <v>0</v>
      </c>
      <c r="AM123" s="519">
        <f t="shared" ca="1" si="35"/>
        <v>0</v>
      </c>
      <c r="AN123" s="519">
        <f t="shared" ca="1" si="36"/>
        <v>0</v>
      </c>
      <c r="AO123" s="519">
        <f t="shared" ca="1" si="37"/>
        <v>0</v>
      </c>
      <c r="AP123" s="519">
        <f t="shared" ca="1" si="38"/>
        <v>0</v>
      </c>
      <c r="AQ123" s="519">
        <f t="shared" ca="1" si="39"/>
        <v>0</v>
      </c>
      <c r="AS123" s="536"/>
      <c r="AT123" s="536"/>
      <c r="AU123" s="519" t="str">
        <f t="shared" si="45"/>
        <v>Powerco</v>
      </c>
      <c r="AV123" s="519" t="str">
        <f t="shared" si="40"/>
        <v>LTN0331</v>
      </c>
      <c r="AW123" s="519">
        <f t="shared" si="41"/>
        <v>60.731999999999999</v>
      </c>
      <c r="AX123" s="538"/>
      <c r="AY123" s="539">
        <f t="shared" ca="1" si="46"/>
        <v>1.8423078909447623</v>
      </c>
      <c r="AZ123" s="189"/>
    </row>
    <row r="124" spans="1:52" x14ac:dyDescent="0.3">
      <c r="A124" s="556">
        <v>1</v>
      </c>
      <c r="B124" s="519" t="str">
        <f t="shared" si="42"/>
        <v>MAT</v>
      </c>
      <c r="C124" s="519" t="str">
        <f>AMDs!C105</f>
        <v>TrustPower</v>
      </c>
      <c r="D124" s="519" t="str">
        <f>AMDs!D105</f>
        <v>MAT1101</v>
      </c>
      <c r="E124" s="519">
        <f>IF(AMDs!C105="other",0,AMDs!E105)</f>
        <v>3.1415999999999999</v>
      </c>
      <c r="H124" s="519">
        <f ca="1">_xlfn.IFNA(IF(VLOOKUP($B124&amp;OFFSET(H$10,$A124*2,0),'Mapping A'!$B$6:$E$1011,4,0)=1,$E124,""),0)</f>
        <v>0</v>
      </c>
      <c r="I124" s="519">
        <f ca="1">_xlfn.IFNA(IF(VLOOKUP($B124&amp;OFFSET(I$10,$A124*2,0),'Mapping A'!$B$6:$E$1011,4,0)=1,$E124,""),0)</f>
        <v>3.1415999999999999</v>
      </c>
      <c r="J124" s="519">
        <f ca="1">_xlfn.IFNA(IF(VLOOKUP($B124&amp;OFFSET(J$10,$A124*2,0),'Mapping A'!$B$6:$E$1011,4,0)=1,$E124,""),0)</f>
        <v>3.1415999999999999</v>
      </c>
      <c r="K124" s="519">
        <f ca="1">_xlfn.IFNA(IF(VLOOKUP($B124&amp;OFFSET(K$10,$A124*2,0),'Mapping A'!$B$6:$E$1011,4,0)=1,$E124,""),0)</f>
        <v>0</v>
      </c>
      <c r="L124" s="519">
        <f ca="1">_xlfn.IFNA(IF(VLOOKUP($B124&amp;OFFSET(L$10,$A124*2,0),'Mapping A'!$B$6:$E$1011,4,0)=1,$E124,""),0)</f>
        <v>0</v>
      </c>
      <c r="M124" s="519">
        <f ca="1">_xlfn.IFNA(IF(VLOOKUP($B124&amp;OFFSET(M$10,$A124*2,0),'Mapping A'!$B$6:$E$1011,4,0)=1,$E124,""),0)</f>
        <v>3.1415999999999999</v>
      </c>
      <c r="N124" s="519">
        <f ca="1">_xlfn.IFNA(IF(VLOOKUP($B124&amp;OFFSET(N$10,$A124*2,0),'Mapping A'!$B$6:$E$1011,4,0)=1,$E124,""),0)</f>
        <v>0</v>
      </c>
      <c r="O124" s="519">
        <f ca="1">_xlfn.IFNA(IF(VLOOKUP($B124&amp;OFFSET(O$10,$A124*2,0),'Mapping A'!$B$6:$E$1011,4,0)=1,$E124,""),0)</f>
        <v>0</v>
      </c>
      <c r="P124" s="519">
        <f ca="1">_xlfn.IFNA(IF(VLOOKUP($B124&amp;OFFSET(P$10,$A124*2,0),'Mapping A'!$B$6:$E$1011,4,0)=1,$E124,""),0)</f>
        <v>0</v>
      </c>
      <c r="Q124" s="519">
        <f ca="1">_xlfn.IFNA(IF(VLOOKUP($B124&amp;OFFSET(Q$10,$A124*2,0),'Mapping A'!$B$6:$E$1011,4,0)=1,$E124,""),0)</f>
        <v>0</v>
      </c>
      <c r="R124" s="519">
        <f ca="1">_xlfn.IFNA(IF(VLOOKUP($B124&amp;OFFSET(R$10,$A124*2,0),'Mapping A'!$B$6:$E$1011,4,0)=1,$E124,""),0)</f>
        <v>0</v>
      </c>
      <c r="S124" s="519">
        <f ca="1">_xlfn.IFNA(IF(VLOOKUP($B124&amp;OFFSET(S$10,$A124*2,0),'Mapping A'!$B$6:$E$1011,4,0)=1,$E124,""),0)</f>
        <v>0</v>
      </c>
      <c r="T124" s="519">
        <f ca="1">_xlfn.IFNA(IF(VLOOKUP($B124&amp;OFFSET(T$10,$A124*2,0),'Mapping A'!$B$6:$E$1011,4,0)=1,$E124,""),0)</f>
        <v>0</v>
      </c>
      <c r="Y124" s="534" t="str">
        <f t="shared" si="47"/>
        <v>TrustPowerMAT1101</v>
      </c>
      <c r="Z124" s="519" t="str">
        <f t="shared" si="26"/>
        <v>TrustPower</v>
      </c>
      <c r="AA124" s="519" t="str">
        <f t="shared" si="27"/>
        <v>MAT1101</v>
      </c>
      <c r="AB124" s="519">
        <f t="shared" si="43"/>
        <v>3.1415999999999999</v>
      </c>
      <c r="AC124" s="324"/>
      <c r="AE124" s="519">
        <f t="shared" ca="1" si="28"/>
        <v>0</v>
      </c>
      <c r="AF124" s="519">
        <f t="shared" ca="1" si="29"/>
        <v>0</v>
      </c>
      <c r="AG124" s="519">
        <f t="shared" ca="1" si="30"/>
        <v>0</v>
      </c>
      <c r="AH124" s="519">
        <f t="shared" ca="1" si="31"/>
        <v>0</v>
      </c>
      <c r="AI124" s="519">
        <f t="shared" ca="1" si="44"/>
        <v>0</v>
      </c>
      <c r="AJ124" s="519">
        <f t="shared" ca="1" si="32"/>
        <v>0</v>
      </c>
      <c r="AK124" s="519">
        <f t="shared" ca="1" si="33"/>
        <v>0</v>
      </c>
      <c r="AL124" s="519">
        <f t="shared" ca="1" si="34"/>
        <v>0</v>
      </c>
      <c r="AM124" s="519">
        <f t="shared" ca="1" si="35"/>
        <v>0</v>
      </c>
      <c r="AN124" s="519">
        <f t="shared" ca="1" si="36"/>
        <v>0</v>
      </c>
      <c r="AO124" s="519">
        <f t="shared" ca="1" si="37"/>
        <v>0</v>
      </c>
      <c r="AP124" s="519">
        <f t="shared" ca="1" si="38"/>
        <v>0</v>
      </c>
      <c r="AQ124" s="519">
        <f t="shared" ca="1" si="39"/>
        <v>0</v>
      </c>
      <c r="AS124" s="536"/>
      <c r="AT124" s="536"/>
      <c r="AU124" s="519" t="str">
        <f t="shared" si="45"/>
        <v>TrustPower</v>
      </c>
      <c r="AV124" s="519" t="str">
        <f t="shared" si="40"/>
        <v>MAT1101</v>
      </c>
      <c r="AW124" s="519">
        <f t="shared" si="41"/>
        <v>3.1415999999999999</v>
      </c>
      <c r="AX124" s="538"/>
      <c r="AY124" s="539">
        <f t="shared" ca="1" si="46"/>
        <v>9.5300574165054094E-2</v>
      </c>
      <c r="AZ124" s="189"/>
    </row>
    <row r="125" spans="1:52" x14ac:dyDescent="0.3">
      <c r="A125" s="556">
        <v>1</v>
      </c>
      <c r="B125" s="519" t="str">
        <f t="shared" si="42"/>
        <v>MAT</v>
      </c>
      <c r="C125" s="519" t="str">
        <f>AMDs!C106</f>
        <v>TrustPower</v>
      </c>
      <c r="D125" s="519" t="str">
        <f>AMDs!D106</f>
        <v>MAT1102</v>
      </c>
      <c r="E125" s="519">
        <f>IF(AMDs!C106="other",0,AMDs!E106)</f>
        <v>0.99539999999999995</v>
      </c>
      <c r="H125" s="519">
        <f ca="1">_xlfn.IFNA(IF(VLOOKUP($B125&amp;OFFSET(H$10,$A125*2,0),'Mapping A'!$B$6:$E$1011,4,0)=1,$E125,""),0)</f>
        <v>0</v>
      </c>
      <c r="I125" s="519">
        <f ca="1">_xlfn.IFNA(IF(VLOOKUP($B125&amp;OFFSET(I$10,$A125*2,0),'Mapping A'!$B$6:$E$1011,4,0)=1,$E125,""),0)</f>
        <v>0.99539999999999995</v>
      </c>
      <c r="J125" s="519">
        <f ca="1">_xlfn.IFNA(IF(VLOOKUP($B125&amp;OFFSET(J$10,$A125*2,0),'Mapping A'!$B$6:$E$1011,4,0)=1,$E125,""),0)</f>
        <v>0.99539999999999995</v>
      </c>
      <c r="K125" s="519">
        <f ca="1">_xlfn.IFNA(IF(VLOOKUP($B125&amp;OFFSET(K$10,$A125*2,0),'Mapping A'!$B$6:$E$1011,4,0)=1,$E125,""),0)</f>
        <v>0</v>
      </c>
      <c r="L125" s="519">
        <f ca="1">_xlfn.IFNA(IF(VLOOKUP($B125&amp;OFFSET(L$10,$A125*2,0),'Mapping A'!$B$6:$E$1011,4,0)=1,$E125,""),0)</f>
        <v>0</v>
      </c>
      <c r="M125" s="519">
        <f ca="1">_xlfn.IFNA(IF(VLOOKUP($B125&amp;OFFSET(M$10,$A125*2,0),'Mapping A'!$B$6:$E$1011,4,0)=1,$E125,""),0)</f>
        <v>0.99539999999999995</v>
      </c>
      <c r="N125" s="519">
        <f ca="1">_xlfn.IFNA(IF(VLOOKUP($B125&amp;OFFSET(N$10,$A125*2,0),'Mapping A'!$B$6:$E$1011,4,0)=1,$E125,""),0)</f>
        <v>0</v>
      </c>
      <c r="O125" s="519">
        <f ca="1">_xlfn.IFNA(IF(VLOOKUP($B125&amp;OFFSET(O$10,$A125*2,0),'Mapping A'!$B$6:$E$1011,4,0)=1,$E125,""),0)</f>
        <v>0</v>
      </c>
      <c r="P125" s="519">
        <f ca="1">_xlfn.IFNA(IF(VLOOKUP($B125&amp;OFFSET(P$10,$A125*2,0),'Mapping A'!$B$6:$E$1011,4,0)=1,$E125,""),0)</f>
        <v>0</v>
      </c>
      <c r="Q125" s="519">
        <f ca="1">_xlfn.IFNA(IF(VLOOKUP($B125&amp;OFFSET(Q$10,$A125*2,0),'Mapping A'!$B$6:$E$1011,4,0)=1,$E125,""),0)</f>
        <v>0</v>
      </c>
      <c r="R125" s="519">
        <f ca="1">_xlfn.IFNA(IF(VLOOKUP($B125&amp;OFFSET(R$10,$A125*2,0),'Mapping A'!$B$6:$E$1011,4,0)=1,$E125,""),0)</f>
        <v>0</v>
      </c>
      <c r="S125" s="519">
        <f ca="1">_xlfn.IFNA(IF(VLOOKUP($B125&amp;OFFSET(S$10,$A125*2,0),'Mapping A'!$B$6:$E$1011,4,0)=1,$E125,""),0)</f>
        <v>0</v>
      </c>
      <c r="T125" s="519">
        <f ca="1">_xlfn.IFNA(IF(VLOOKUP($B125&amp;OFFSET(T$10,$A125*2,0),'Mapping A'!$B$6:$E$1011,4,0)=1,$E125,""),0)</f>
        <v>0</v>
      </c>
      <c r="Y125" s="534" t="str">
        <f t="shared" si="47"/>
        <v>TrustPowerMAT1102</v>
      </c>
      <c r="Z125" s="519" t="str">
        <f t="shared" si="26"/>
        <v>TrustPower</v>
      </c>
      <c r="AA125" s="519" t="str">
        <f t="shared" si="27"/>
        <v>MAT1102</v>
      </c>
      <c r="AB125" s="519">
        <f t="shared" si="43"/>
        <v>0.99539999999999995</v>
      </c>
      <c r="AC125" s="324"/>
      <c r="AE125" s="519">
        <f t="shared" ca="1" si="28"/>
        <v>0</v>
      </c>
      <c r="AF125" s="519">
        <f t="shared" ca="1" si="29"/>
        <v>0</v>
      </c>
      <c r="AG125" s="519">
        <f t="shared" ca="1" si="30"/>
        <v>0</v>
      </c>
      <c r="AH125" s="519">
        <f t="shared" ca="1" si="31"/>
        <v>0</v>
      </c>
      <c r="AI125" s="519">
        <f t="shared" ca="1" si="44"/>
        <v>0</v>
      </c>
      <c r="AJ125" s="519">
        <f t="shared" ca="1" si="32"/>
        <v>0</v>
      </c>
      <c r="AK125" s="519">
        <f t="shared" ca="1" si="33"/>
        <v>0</v>
      </c>
      <c r="AL125" s="519">
        <f t="shared" ca="1" si="34"/>
        <v>0</v>
      </c>
      <c r="AM125" s="519">
        <f t="shared" ca="1" si="35"/>
        <v>0</v>
      </c>
      <c r="AN125" s="519">
        <f t="shared" ca="1" si="36"/>
        <v>0</v>
      </c>
      <c r="AO125" s="519">
        <f t="shared" ca="1" si="37"/>
        <v>0</v>
      </c>
      <c r="AP125" s="519">
        <f t="shared" ca="1" si="38"/>
        <v>0</v>
      </c>
      <c r="AQ125" s="519">
        <f t="shared" ca="1" si="39"/>
        <v>0</v>
      </c>
      <c r="AS125" s="536"/>
      <c r="AT125" s="536"/>
      <c r="AU125" s="519" t="str">
        <f t="shared" si="45"/>
        <v>TrustPower</v>
      </c>
      <c r="AV125" s="519" t="str">
        <f t="shared" si="40"/>
        <v>MAT1102</v>
      </c>
      <c r="AW125" s="519">
        <f t="shared" si="41"/>
        <v>0.99539999999999995</v>
      </c>
      <c r="AX125" s="538"/>
      <c r="AY125" s="539">
        <f t="shared" ca="1" si="46"/>
        <v>3.0195502776895481E-2</v>
      </c>
      <c r="AZ125" s="189"/>
    </row>
    <row r="126" spans="1:52" x14ac:dyDescent="0.3">
      <c r="A126" s="556">
        <v>1</v>
      </c>
      <c r="B126" s="519" t="str">
        <f t="shared" si="42"/>
        <v>MCH</v>
      </c>
      <c r="C126" s="519" t="str">
        <f>AMDs!C107</f>
        <v>Network Tasman</v>
      </c>
      <c r="D126" s="519" t="str">
        <f>AMDs!D107</f>
        <v>MCH0111</v>
      </c>
      <c r="E126" s="519">
        <f>IF(AMDs!C107="other",0,AMDs!E107)</f>
        <v>2.7698999999999998</v>
      </c>
      <c r="H126" s="519">
        <f ca="1">_xlfn.IFNA(IF(VLOOKUP($B126&amp;OFFSET(H$10,$A126*2,0),'Mapping A'!$B$6:$E$1011,4,0)=1,$E126,""),0)</f>
        <v>0</v>
      </c>
      <c r="I126" s="519">
        <f ca="1">_xlfn.IFNA(IF(VLOOKUP($B126&amp;OFFSET(I$10,$A126*2,0),'Mapping A'!$B$6:$E$1011,4,0)=1,$E126,""),0)</f>
        <v>2.7698999999999998</v>
      </c>
      <c r="J126" s="519">
        <f ca="1">_xlfn.IFNA(IF(VLOOKUP($B126&amp;OFFSET(J$10,$A126*2,0),'Mapping A'!$B$6:$E$1011,4,0)=1,$E126,""),0)</f>
        <v>0</v>
      </c>
      <c r="K126" s="519">
        <f ca="1">_xlfn.IFNA(IF(VLOOKUP($B126&amp;OFFSET(K$10,$A126*2,0),'Mapping A'!$B$6:$E$1011,4,0)=1,$E126,""),0)</f>
        <v>0</v>
      </c>
      <c r="L126" s="519">
        <f ca="1">_xlfn.IFNA(IF(VLOOKUP($B126&amp;OFFSET(L$10,$A126*2,0),'Mapping A'!$B$6:$E$1011,4,0)=1,$E126,""),0)</f>
        <v>0</v>
      </c>
      <c r="M126" s="519">
        <f ca="1">_xlfn.IFNA(IF(VLOOKUP($B126&amp;OFFSET(M$10,$A126*2,0),'Mapping A'!$B$6:$E$1011,4,0)=1,$E126,""),0)</f>
        <v>0</v>
      </c>
      <c r="N126" s="519">
        <f ca="1">_xlfn.IFNA(IF(VLOOKUP($B126&amp;OFFSET(N$10,$A126*2,0),'Mapping A'!$B$6:$E$1011,4,0)=1,$E126,""),0)</f>
        <v>0</v>
      </c>
      <c r="O126" s="519">
        <f ca="1">_xlfn.IFNA(IF(VLOOKUP($B126&amp;OFFSET(O$10,$A126*2,0),'Mapping A'!$B$6:$E$1011,4,0)=1,$E126,""),0)</f>
        <v>0</v>
      </c>
      <c r="P126" s="519">
        <f ca="1">_xlfn.IFNA(IF(VLOOKUP($B126&amp;OFFSET(P$10,$A126*2,0),'Mapping A'!$B$6:$E$1011,4,0)=1,$E126,""),0)</f>
        <v>2.7698999999999998</v>
      </c>
      <c r="Q126" s="519">
        <f ca="1">_xlfn.IFNA(IF(VLOOKUP($B126&amp;OFFSET(Q$10,$A126*2,0),'Mapping A'!$B$6:$E$1011,4,0)=1,$E126,""),0)</f>
        <v>0</v>
      </c>
      <c r="R126" s="519">
        <f ca="1">_xlfn.IFNA(IF(VLOOKUP($B126&amp;OFFSET(R$10,$A126*2,0),'Mapping A'!$B$6:$E$1011,4,0)=1,$E126,""),0)</f>
        <v>0</v>
      </c>
      <c r="S126" s="519">
        <f ca="1">_xlfn.IFNA(IF(VLOOKUP($B126&amp;OFFSET(S$10,$A126*2,0),'Mapping A'!$B$6:$E$1011,4,0)=1,$E126,""),0)</f>
        <v>0</v>
      </c>
      <c r="T126" s="519">
        <f ca="1">_xlfn.IFNA(IF(VLOOKUP($B126&amp;OFFSET(T$10,$A126*2,0),'Mapping A'!$B$6:$E$1011,4,0)=1,$E126,""),0)</f>
        <v>2.7698999999999998</v>
      </c>
      <c r="Y126" s="534" t="str">
        <f t="shared" si="47"/>
        <v>Network TasmanMCH0111</v>
      </c>
      <c r="Z126" s="519" t="str">
        <f t="shared" si="26"/>
        <v>Network Tasman</v>
      </c>
      <c r="AA126" s="519" t="str">
        <f t="shared" si="27"/>
        <v>MCH0111</v>
      </c>
      <c r="AB126" s="519">
        <f t="shared" si="43"/>
        <v>2.7698999999999998</v>
      </c>
      <c r="AC126" s="324"/>
      <c r="AE126" s="519">
        <f t="shared" ca="1" si="28"/>
        <v>0</v>
      </c>
      <c r="AF126" s="519">
        <f t="shared" ca="1" si="29"/>
        <v>0</v>
      </c>
      <c r="AG126" s="519">
        <f t="shared" ca="1" si="30"/>
        <v>0</v>
      </c>
      <c r="AH126" s="519">
        <f t="shared" ca="1" si="31"/>
        <v>0</v>
      </c>
      <c r="AI126" s="519">
        <f t="shared" ca="1" si="44"/>
        <v>0</v>
      </c>
      <c r="AJ126" s="519">
        <f t="shared" ca="1" si="32"/>
        <v>0</v>
      </c>
      <c r="AK126" s="519">
        <f t="shared" ca="1" si="33"/>
        <v>0</v>
      </c>
      <c r="AL126" s="519">
        <f t="shared" ca="1" si="34"/>
        <v>0</v>
      </c>
      <c r="AM126" s="519">
        <f t="shared" ca="1" si="35"/>
        <v>7.3786539684452231E-3</v>
      </c>
      <c r="AN126" s="519">
        <f t="shared" ca="1" si="36"/>
        <v>0</v>
      </c>
      <c r="AO126" s="519">
        <f t="shared" ca="1" si="37"/>
        <v>0</v>
      </c>
      <c r="AP126" s="519">
        <f t="shared" ca="1" si="38"/>
        <v>0</v>
      </c>
      <c r="AQ126" s="519">
        <f t="shared" ca="1" si="39"/>
        <v>0</v>
      </c>
      <c r="AS126" s="536"/>
      <c r="AT126" s="536"/>
      <c r="AU126" s="519" t="str">
        <f t="shared" si="45"/>
        <v>Network Tasman</v>
      </c>
      <c r="AV126" s="519" t="str">
        <f t="shared" si="40"/>
        <v>MCH0111</v>
      </c>
      <c r="AW126" s="519">
        <f t="shared" si="41"/>
        <v>2.7698999999999998</v>
      </c>
      <c r="AX126" s="538"/>
      <c r="AY126" s="539">
        <f t="shared" ca="1" si="46"/>
        <v>8.4025038317985523E-2</v>
      </c>
      <c r="AZ126" s="189"/>
    </row>
    <row r="127" spans="1:52" x14ac:dyDescent="0.3">
      <c r="A127" s="556">
        <v>1</v>
      </c>
      <c r="B127" s="519" t="str">
        <f t="shared" si="42"/>
        <v>MER</v>
      </c>
      <c r="C127" s="519" t="str">
        <f>AMDs!C108</f>
        <v>WEL</v>
      </c>
      <c r="D127" s="519" t="str">
        <f>AMDs!D108</f>
        <v>MER0331</v>
      </c>
      <c r="E127" s="519">
        <f>IF(AMDs!C108="other",0,AMDs!E108)</f>
        <v>8.3999999999999995E-3</v>
      </c>
      <c r="H127" s="519">
        <f ca="1">_xlfn.IFNA(IF(VLOOKUP($B127&amp;OFFSET(H$10,$A127*2,0),'Mapping A'!$B$6:$E$1011,4,0)=1,$E127,""),0)</f>
        <v>8.3999999999999995E-3</v>
      </c>
      <c r="I127" s="519">
        <f ca="1">_xlfn.IFNA(IF(VLOOKUP($B127&amp;OFFSET(I$10,$A127*2,0),'Mapping A'!$B$6:$E$1011,4,0)=1,$E127,""),0)</f>
        <v>8.3999999999999995E-3</v>
      </c>
      <c r="J127" s="519">
        <f ca="1">_xlfn.IFNA(IF(VLOOKUP($B127&amp;OFFSET(J$10,$A127*2,0),'Mapping A'!$B$6:$E$1011,4,0)=1,$E127,""),0)</f>
        <v>8.3999999999999995E-3</v>
      </c>
      <c r="K127" s="519">
        <f ca="1">_xlfn.IFNA(IF(VLOOKUP($B127&amp;OFFSET(K$10,$A127*2,0),'Mapping A'!$B$6:$E$1011,4,0)=1,$E127,""),0)</f>
        <v>0</v>
      </c>
      <c r="L127" s="519">
        <f ca="1">_xlfn.IFNA(IF(VLOOKUP($B127&amp;OFFSET(L$10,$A127*2,0),'Mapping A'!$B$6:$E$1011,4,0)=1,$E127,""),0)</f>
        <v>0</v>
      </c>
      <c r="M127" s="519">
        <f ca="1">_xlfn.IFNA(IF(VLOOKUP($B127&amp;OFFSET(M$10,$A127*2,0),'Mapping A'!$B$6:$E$1011,4,0)=1,$E127,""),0)</f>
        <v>8.3999999999999995E-3</v>
      </c>
      <c r="N127" s="519">
        <f ca="1">_xlfn.IFNA(IF(VLOOKUP($B127&amp;OFFSET(N$10,$A127*2,0),'Mapping A'!$B$6:$E$1011,4,0)=1,$E127,""),0)</f>
        <v>8.3999999999999995E-3</v>
      </c>
      <c r="O127" s="519">
        <f ca="1">_xlfn.IFNA(IF(VLOOKUP($B127&amp;OFFSET(O$10,$A127*2,0),'Mapping A'!$B$6:$E$1011,4,0)=1,$E127,""),0)</f>
        <v>0</v>
      </c>
      <c r="P127" s="519">
        <f ca="1">_xlfn.IFNA(IF(VLOOKUP($B127&amp;OFFSET(P$10,$A127*2,0),'Mapping A'!$B$6:$E$1011,4,0)=1,$E127,""),0)</f>
        <v>0</v>
      </c>
      <c r="Q127" s="519">
        <f ca="1">_xlfn.IFNA(IF(VLOOKUP($B127&amp;OFFSET(Q$10,$A127*2,0),'Mapping A'!$B$6:$E$1011,4,0)=1,$E127,""),0)</f>
        <v>8.3999999999999995E-3</v>
      </c>
      <c r="R127" s="519">
        <f ca="1">_xlfn.IFNA(IF(VLOOKUP($B127&amp;OFFSET(R$10,$A127*2,0),'Mapping A'!$B$6:$E$1011,4,0)=1,$E127,""),0)</f>
        <v>0</v>
      </c>
      <c r="S127" s="519">
        <f ca="1">_xlfn.IFNA(IF(VLOOKUP($B127&amp;OFFSET(S$10,$A127*2,0),'Mapping A'!$B$6:$E$1011,4,0)=1,$E127,""),0)</f>
        <v>0</v>
      </c>
      <c r="T127" s="519">
        <f ca="1">_xlfn.IFNA(IF(VLOOKUP($B127&amp;OFFSET(T$10,$A127*2,0),'Mapping A'!$B$6:$E$1011,4,0)=1,$E127,""),0)</f>
        <v>0</v>
      </c>
      <c r="Y127" s="534" t="str">
        <f t="shared" si="47"/>
        <v>WELMER0331</v>
      </c>
      <c r="Z127" s="519" t="str">
        <f t="shared" si="26"/>
        <v>WEL</v>
      </c>
      <c r="AA127" s="519" t="str">
        <f t="shared" si="27"/>
        <v>MER0331</v>
      </c>
      <c r="AB127" s="519">
        <f t="shared" si="43"/>
        <v>8.3999999999999995E-3</v>
      </c>
      <c r="AC127" s="324"/>
      <c r="AE127" s="519">
        <f t="shared" ca="1" si="28"/>
        <v>0</v>
      </c>
      <c r="AF127" s="519">
        <f t="shared" ca="1" si="29"/>
        <v>0</v>
      </c>
      <c r="AG127" s="519">
        <f t="shared" ca="1" si="30"/>
        <v>0</v>
      </c>
      <c r="AH127" s="519">
        <f t="shared" ca="1" si="31"/>
        <v>0</v>
      </c>
      <c r="AI127" s="519">
        <f t="shared" ca="1" si="44"/>
        <v>0</v>
      </c>
      <c r="AJ127" s="519">
        <f t="shared" ca="1" si="32"/>
        <v>0</v>
      </c>
      <c r="AK127" s="519">
        <f t="shared" ca="1" si="33"/>
        <v>3.3643906644163882E-5</v>
      </c>
      <c r="AL127" s="519">
        <f t="shared" ca="1" si="34"/>
        <v>0</v>
      </c>
      <c r="AM127" s="519">
        <f t="shared" ca="1" si="35"/>
        <v>0</v>
      </c>
      <c r="AN127" s="519">
        <f t="shared" ca="1" si="36"/>
        <v>1.5516642507804476E-5</v>
      </c>
      <c r="AO127" s="519">
        <f t="shared" ca="1" si="37"/>
        <v>0</v>
      </c>
      <c r="AP127" s="519">
        <f t="shared" ca="1" si="38"/>
        <v>0</v>
      </c>
      <c r="AQ127" s="519">
        <f t="shared" ca="1" si="39"/>
        <v>0</v>
      </c>
      <c r="AS127" s="536"/>
      <c r="AT127" s="536"/>
      <c r="AU127" s="519" t="str">
        <f t="shared" si="45"/>
        <v>WEL</v>
      </c>
      <c r="AV127" s="519" t="str">
        <f t="shared" si="40"/>
        <v>MER0331</v>
      </c>
      <c r="AW127" s="519">
        <f t="shared" si="41"/>
        <v>8.3999999999999995E-3</v>
      </c>
      <c r="AX127" s="538"/>
      <c r="AY127" s="539">
        <f t="shared" ca="1" si="46"/>
        <v>2.5481436942527831E-4</v>
      </c>
      <c r="AZ127" s="189"/>
    </row>
    <row r="128" spans="1:52" x14ac:dyDescent="0.3">
      <c r="A128" s="556">
        <v>1</v>
      </c>
      <c r="B128" s="519" t="str">
        <f t="shared" si="42"/>
        <v>MGM</v>
      </c>
      <c r="C128" s="519" t="str">
        <f>AMDs!C109</f>
        <v>Powerco</v>
      </c>
      <c r="D128" s="519" t="str">
        <f>AMDs!D109</f>
        <v>MGM0331</v>
      </c>
      <c r="E128" s="519">
        <f>IF(AMDs!C109="other",0,AMDs!E109)</f>
        <v>11.894399999999999</v>
      </c>
      <c r="H128" s="519">
        <f ca="1">_xlfn.IFNA(IF(VLOOKUP($B128&amp;OFFSET(H$10,$A128*2,0),'Mapping A'!$B$6:$E$1011,4,0)=1,$E128,""),0)</f>
        <v>0</v>
      </c>
      <c r="I128" s="519">
        <f ca="1">_xlfn.IFNA(IF(VLOOKUP($B128&amp;OFFSET(I$10,$A128*2,0),'Mapping A'!$B$6:$E$1011,4,0)=1,$E128,""),0)</f>
        <v>11.894399999999999</v>
      </c>
      <c r="J128" s="519">
        <f ca="1">_xlfn.IFNA(IF(VLOOKUP($B128&amp;OFFSET(J$10,$A128*2,0),'Mapping A'!$B$6:$E$1011,4,0)=1,$E128,""),0)</f>
        <v>11.894399999999999</v>
      </c>
      <c r="K128" s="519">
        <f ca="1">_xlfn.IFNA(IF(VLOOKUP($B128&amp;OFFSET(K$10,$A128*2,0),'Mapping A'!$B$6:$E$1011,4,0)=1,$E128,""),0)</f>
        <v>0</v>
      </c>
      <c r="L128" s="519">
        <f ca="1">_xlfn.IFNA(IF(VLOOKUP($B128&amp;OFFSET(L$10,$A128*2,0),'Mapping A'!$B$6:$E$1011,4,0)=1,$E128,""),0)</f>
        <v>0</v>
      </c>
      <c r="M128" s="519">
        <f ca="1">_xlfn.IFNA(IF(VLOOKUP($B128&amp;OFFSET(M$10,$A128*2,0),'Mapping A'!$B$6:$E$1011,4,0)=1,$E128,""),0)</f>
        <v>0</v>
      </c>
      <c r="N128" s="519">
        <f ca="1">_xlfn.IFNA(IF(VLOOKUP($B128&amp;OFFSET(N$10,$A128*2,0),'Mapping A'!$B$6:$E$1011,4,0)=1,$E128,""),0)</f>
        <v>0</v>
      </c>
      <c r="O128" s="519">
        <f ca="1">_xlfn.IFNA(IF(VLOOKUP($B128&amp;OFFSET(O$10,$A128*2,0),'Mapping A'!$B$6:$E$1011,4,0)=1,$E128,""),0)</f>
        <v>0</v>
      </c>
      <c r="P128" s="519">
        <f ca="1">_xlfn.IFNA(IF(VLOOKUP($B128&amp;OFFSET(P$10,$A128*2,0),'Mapping A'!$B$6:$E$1011,4,0)=1,$E128,""),0)</f>
        <v>0</v>
      </c>
      <c r="Q128" s="519">
        <f ca="1">_xlfn.IFNA(IF(VLOOKUP($B128&amp;OFFSET(Q$10,$A128*2,0),'Mapping A'!$B$6:$E$1011,4,0)=1,$E128,""),0)</f>
        <v>0</v>
      </c>
      <c r="R128" s="519">
        <f ca="1">_xlfn.IFNA(IF(VLOOKUP($B128&amp;OFFSET(R$10,$A128*2,0),'Mapping A'!$B$6:$E$1011,4,0)=1,$E128,""),0)</f>
        <v>0</v>
      </c>
      <c r="S128" s="519">
        <f ca="1">_xlfn.IFNA(IF(VLOOKUP($B128&amp;OFFSET(S$10,$A128*2,0),'Mapping A'!$B$6:$E$1011,4,0)=1,$E128,""),0)</f>
        <v>0</v>
      </c>
      <c r="T128" s="519">
        <f ca="1">_xlfn.IFNA(IF(VLOOKUP($B128&amp;OFFSET(T$10,$A128*2,0),'Mapping A'!$B$6:$E$1011,4,0)=1,$E128,""),0)</f>
        <v>0</v>
      </c>
      <c r="Y128" s="534" t="str">
        <f t="shared" si="47"/>
        <v>PowercoMGM0331</v>
      </c>
      <c r="Z128" s="519" t="str">
        <f t="shared" si="26"/>
        <v>Powerco</v>
      </c>
      <c r="AA128" s="519" t="str">
        <f t="shared" si="27"/>
        <v>MGM0331</v>
      </c>
      <c r="AB128" s="519">
        <f t="shared" si="43"/>
        <v>11.894399999999999</v>
      </c>
      <c r="AC128" s="324"/>
      <c r="AE128" s="519">
        <f t="shared" ca="1" si="28"/>
        <v>0</v>
      </c>
      <c r="AF128" s="519">
        <f t="shared" ca="1" si="29"/>
        <v>0</v>
      </c>
      <c r="AG128" s="519">
        <f t="shared" ca="1" si="30"/>
        <v>0</v>
      </c>
      <c r="AH128" s="519">
        <f t="shared" ca="1" si="31"/>
        <v>0</v>
      </c>
      <c r="AI128" s="519">
        <f t="shared" ca="1" si="44"/>
        <v>0</v>
      </c>
      <c r="AJ128" s="519">
        <f t="shared" ca="1" si="32"/>
        <v>0</v>
      </c>
      <c r="AK128" s="519">
        <f t="shared" ca="1" si="33"/>
        <v>0</v>
      </c>
      <c r="AL128" s="519">
        <f t="shared" ca="1" si="34"/>
        <v>0</v>
      </c>
      <c r="AM128" s="519">
        <f t="shared" ca="1" si="35"/>
        <v>0</v>
      </c>
      <c r="AN128" s="519">
        <f t="shared" ca="1" si="36"/>
        <v>0</v>
      </c>
      <c r="AO128" s="519">
        <f t="shared" ca="1" si="37"/>
        <v>0</v>
      </c>
      <c r="AP128" s="519">
        <f t="shared" ca="1" si="38"/>
        <v>0</v>
      </c>
      <c r="AQ128" s="519">
        <f t="shared" ca="1" si="39"/>
        <v>0</v>
      </c>
      <c r="AS128" s="536"/>
      <c r="AT128" s="536"/>
      <c r="AU128" s="519" t="str">
        <f t="shared" si="45"/>
        <v>Powerco</v>
      </c>
      <c r="AV128" s="519" t="str">
        <f t="shared" si="40"/>
        <v>MGM0331</v>
      </c>
      <c r="AW128" s="519">
        <f t="shared" si="41"/>
        <v>11.894399999999999</v>
      </c>
      <c r="AX128" s="538"/>
      <c r="AY128" s="539">
        <f t="shared" ca="1" si="46"/>
        <v>0.36081714710619411</v>
      </c>
      <c r="AZ128" s="189"/>
    </row>
    <row r="129" spans="1:52" x14ac:dyDescent="0.3">
      <c r="A129" s="556">
        <v>1</v>
      </c>
      <c r="B129" s="519" t="str">
        <f t="shared" si="42"/>
        <v>MHO</v>
      </c>
      <c r="C129" s="519" t="str">
        <f>AMDs!C110</f>
        <v>Electra</v>
      </c>
      <c r="D129" s="519" t="str">
        <f>AMDs!D110</f>
        <v>MHO0331</v>
      </c>
      <c r="E129" s="519">
        <f>IF(AMDs!C110="other",0,AMDs!E110)</f>
        <v>37.193100000000001</v>
      </c>
      <c r="H129" s="519">
        <f ca="1">_xlfn.IFNA(IF(VLOOKUP($B129&amp;OFFSET(H$10,$A129*2,0),'Mapping A'!$B$6:$E$1011,4,0)=1,$E129,""),0)</f>
        <v>0</v>
      </c>
      <c r="I129" s="519">
        <f ca="1">_xlfn.IFNA(IF(VLOOKUP($B129&amp;OFFSET(I$10,$A129*2,0),'Mapping A'!$B$6:$E$1011,4,0)=1,$E129,""),0)</f>
        <v>37.193100000000001</v>
      </c>
      <c r="J129" s="519">
        <f ca="1">_xlfn.IFNA(IF(VLOOKUP($B129&amp;OFFSET(J$10,$A129*2,0),'Mapping A'!$B$6:$E$1011,4,0)=1,$E129,""),0)</f>
        <v>37.193100000000001</v>
      </c>
      <c r="K129" s="519">
        <f ca="1">_xlfn.IFNA(IF(VLOOKUP($B129&amp;OFFSET(K$10,$A129*2,0),'Mapping A'!$B$6:$E$1011,4,0)=1,$E129,""),0)</f>
        <v>0</v>
      </c>
      <c r="L129" s="519">
        <f ca="1">_xlfn.IFNA(IF(VLOOKUP($B129&amp;OFFSET(L$10,$A129*2,0),'Mapping A'!$B$6:$E$1011,4,0)=1,$E129,""),0)</f>
        <v>0</v>
      </c>
      <c r="M129" s="519">
        <f ca="1">_xlfn.IFNA(IF(VLOOKUP($B129&amp;OFFSET(M$10,$A129*2,0),'Mapping A'!$B$6:$E$1011,4,0)=1,$E129,""),0)</f>
        <v>0</v>
      </c>
      <c r="N129" s="519">
        <f ca="1">_xlfn.IFNA(IF(VLOOKUP($B129&amp;OFFSET(N$10,$A129*2,0),'Mapping A'!$B$6:$E$1011,4,0)=1,$E129,""),0)</f>
        <v>0</v>
      </c>
      <c r="O129" s="519">
        <f ca="1">_xlfn.IFNA(IF(VLOOKUP($B129&amp;OFFSET(O$10,$A129*2,0),'Mapping A'!$B$6:$E$1011,4,0)=1,$E129,""),0)</f>
        <v>0</v>
      </c>
      <c r="P129" s="519">
        <f ca="1">_xlfn.IFNA(IF(VLOOKUP($B129&amp;OFFSET(P$10,$A129*2,0),'Mapping A'!$B$6:$E$1011,4,0)=1,$E129,""),0)</f>
        <v>0</v>
      </c>
      <c r="Q129" s="519">
        <f ca="1">_xlfn.IFNA(IF(VLOOKUP($B129&amp;OFFSET(Q$10,$A129*2,0),'Mapping A'!$B$6:$E$1011,4,0)=1,$E129,""),0)</f>
        <v>0</v>
      </c>
      <c r="R129" s="519">
        <f ca="1">_xlfn.IFNA(IF(VLOOKUP($B129&amp;OFFSET(R$10,$A129*2,0),'Mapping A'!$B$6:$E$1011,4,0)=1,$E129,""),0)</f>
        <v>0</v>
      </c>
      <c r="S129" s="519">
        <f ca="1">_xlfn.IFNA(IF(VLOOKUP($B129&amp;OFFSET(S$10,$A129*2,0),'Mapping A'!$B$6:$E$1011,4,0)=1,$E129,""),0)</f>
        <v>0</v>
      </c>
      <c r="T129" s="519">
        <f ca="1">_xlfn.IFNA(IF(VLOOKUP($B129&amp;OFFSET(T$10,$A129*2,0),'Mapping A'!$B$6:$E$1011,4,0)=1,$E129,""),0)</f>
        <v>0</v>
      </c>
      <c r="Y129" s="534" t="str">
        <f t="shared" si="47"/>
        <v>ElectraMHO0331</v>
      </c>
      <c r="Z129" s="519" t="str">
        <f t="shared" si="26"/>
        <v>Electra</v>
      </c>
      <c r="AA129" s="519" t="str">
        <f t="shared" si="27"/>
        <v>MHO0331</v>
      </c>
      <c r="AB129" s="519">
        <f t="shared" si="43"/>
        <v>37.193100000000001</v>
      </c>
      <c r="AC129" s="324"/>
      <c r="AE129" s="519">
        <f t="shared" ca="1" si="28"/>
        <v>0</v>
      </c>
      <c r="AF129" s="519">
        <f t="shared" ca="1" si="29"/>
        <v>0</v>
      </c>
      <c r="AG129" s="519">
        <f t="shared" ca="1" si="30"/>
        <v>0</v>
      </c>
      <c r="AH129" s="519">
        <f t="shared" ca="1" si="31"/>
        <v>0</v>
      </c>
      <c r="AI129" s="519">
        <f t="shared" ca="1" si="44"/>
        <v>0</v>
      </c>
      <c r="AJ129" s="519">
        <f t="shared" ca="1" si="32"/>
        <v>0</v>
      </c>
      <c r="AK129" s="519">
        <f t="shared" ca="1" si="33"/>
        <v>0</v>
      </c>
      <c r="AL129" s="519">
        <f t="shared" ca="1" si="34"/>
        <v>0</v>
      </c>
      <c r="AM129" s="519">
        <f t="shared" ca="1" si="35"/>
        <v>0</v>
      </c>
      <c r="AN129" s="519">
        <f t="shared" ca="1" si="36"/>
        <v>0</v>
      </c>
      <c r="AO129" s="519">
        <f t="shared" ca="1" si="37"/>
        <v>0</v>
      </c>
      <c r="AP129" s="519">
        <f t="shared" ca="1" si="38"/>
        <v>0</v>
      </c>
      <c r="AQ129" s="519">
        <f t="shared" ca="1" si="39"/>
        <v>0</v>
      </c>
      <c r="AS129" s="536"/>
      <c r="AT129" s="536"/>
      <c r="AU129" s="519" t="str">
        <f t="shared" si="45"/>
        <v>Electra</v>
      </c>
      <c r="AV129" s="519" t="str">
        <f t="shared" si="40"/>
        <v>MHO0331</v>
      </c>
      <c r="AW129" s="519">
        <f t="shared" si="41"/>
        <v>37.193100000000001</v>
      </c>
      <c r="AX129" s="538"/>
      <c r="AY129" s="539">
        <f t="shared" ca="1" si="46"/>
        <v>1.1282543242227763</v>
      </c>
      <c r="AZ129" s="189"/>
    </row>
    <row r="130" spans="1:52" x14ac:dyDescent="0.3">
      <c r="A130" s="556">
        <v>1</v>
      </c>
      <c r="B130" s="519" t="str">
        <f t="shared" si="42"/>
        <v>MKE</v>
      </c>
      <c r="C130" s="519" t="str">
        <f>AMDs!C111</f>
        <v>Todd</v>
      </c>
      <c r="D130" s="519" t="str">
        <f>AMDs!D111</f>
        <v>MKE1101</v>
      </c>
      <c r="E130" s="519">
        <f>IF(AMDs!C111="other",0,AMDs!E111)</f>
        <v>0.86939999999999995</v>
      </c>
      <c r="H130" s="519">
        <f ca="1">_xlfn.IFNA(IF(VLOOKUP($B130&amp;OFFSET(H$10,$A130*2,0),'Mapping A'!$B$6:$E$1011,4,0)=1,$E130,""),0)</f>
        <v>0</v>
      </c>
      <c r="I130" s="519">
        <f ca="1">_xlfn.IFNA(IF(VLOOKUP($B130&amp;OFFSET(I$10,$A130*2,0),'Mapping A'!$B$6:$E$1011,4,0)=1,$E130,""),0)</f>
        <v>0.86939999999999995</v>
      </c>
      <c r="J130" s="519">
        <f ca="1">_xlfn.IFNA(IF(VLOOKUP($B130&amp;OFFSET(J$10,$A130*2,0),'Mapping A'!$B$6:$E$1011,4,0)=1,$E130,""),0)</f>
        <v>0.86939999999999995</v>
      </c>
      <c r="K130" s="519">
        <f ca="1">_xlfn.IFNA(IF(VLOOKUP($B130&amp;OFFSET(K$10,$A130*2,0),'Mapping A'!$B$6:$E$1011,4,0)=1,$E130,""),0)</f>
        <v>0</v>
      </c>
      <c r="L130" s="519">
        <f ca="1">_xlfn.IFNA(IF(VLOOKUP($B130&amp;OFFSET(L$10,$A130*2,0),'Mapping A'!$B$6:$E$1011,4,0)=1,$E130,""),0)</f>
        <v>0</v>
      </c>
      <c r="M130" s="519">
        <f ca="1">_xlfn.IFNA(IF(VLOOKUP($B130&amp;OFFSET(M$10,$A130*2,0),'Mapping A'!$B$6:$E$1011,4,0)=1,$E130,""),0)</f>
        <v>0</v>
      </c>
      <c r="N130" s="519">
        <f ca="1">_xlfn.IFNA(IF(VLOOKUP($B130&amp;OFFSET(N$10,$A130*2,0),'Mapping A'!$B$6:$E$1011,4,0)=1,$E130,""),0)</f>
        <v>0</v>
      </c>
      <c r="O130" s="519">
        <f ca="1">_xlfn.IFNA(IF(VLOOKUP($B130&amp;OFFSET(O$10,$A130*2,0),'Mapping A'!$B$6:$E$1011,4,0)=1,$E130,""),0)</f>
        <v>0</v>
      </c>
      <c r="P130" s="519">
        <f ca="1">_xlfn.IFNA(IF(VLOOKUP($B130&amp;OFFSET(P$10,$A130*2,0),'Mapping A'!$B$6:$E$1011,4,0)=1,$E130,""),0)</f>
        <v>0</v>
      </c>
      <c r="Q130" s="519">
        <f ca="1">_xlfn.IFNA(IF(VLOOKUP($B130&amp;OFFSET(Q$10,$A130*2,0),'Mapping A'!$B$6:$E$1011,4,0)=1,$E130,""),0)</f>
        <v>0</v>
      </c>
      <c r="R130" s="519">
        <f ca="1">_xlfn.IFNA(IF(VLOOKUP($B130&amp;OFFSET(R$10,$A130*2,0),'Mapping A'!$B$6:$E$1011,4,0)=1,$E130,""),0)</f>
        <v>0</v>
      </c>
      <c r="S130" s="519">
        <f ca="1">_xlfn.IFNA(IF(VLOOKUP($B130&amp;OFFSET(S$10,$A130*2,0),'Mapping A'!$B$6:$E$1011,4,0)=1,$E130,""),0)</f>
        <v>0</v>
      </c>
      <c r="T130" s="519">
        <f ca="1">_xlfn.IFNA(IF(VLOOKUP($B130&amp;OFFSET(T$10,$A130*2,0),'Mapping A'!$B$6:$E$1011,4,0)=1,$E130,""),0)</f>
        <v>0</v>
      </c>
      <c r="Y130" s="534" t="str">
        <f t="shared" si="47"/>
        <v>ToddMKE1101</v>
      </c>
      <c r="Z130" s="519" t="str">
        <f t="shared" si="26"/>
        <v>Todd</v>
      </c>
      <c r="AA130" s="519" t="str">
        <f t="shared" si="27"/>
        <v>MKE1101</v>
      </c>
      <c r="AB130" s="519">
        <f t="shared" si="43"/>
        <v>0.86939999999999995</v>
      </c>
      <c r="AC130" s="324"/>
      <c r="AE130" s="519">
        <f t="shared" ca="1" si="28"/>
        <v>0</v>
      </c>
      <c r="AF130" s="519">
        <f t="shared" ca="1" si="29"/>
        <v>0</v>
      </c>
      <c r="AG130" s="519">
        <f t="shared" ca="1" si="30"/>
        <v>0</v>
      </c>
      <c r="AH130" s="519">
        <f t="shared" ca="1" si="31"/>
        <v>0</v>
      </c>
      <c r="AI130" s="519">
        <f t="shared" ca="1" si="44"/>
        <v>0</v>
      </c>
      <c r="AJ130" s="519">
        <f t="shared" ca="1" si="32"/>
        <v>0</v>
      </c>
      <c r="AK130" s="519">
        <f t="shared" ca="1" si="33"/>
        <v>0</v>
      </c>
      <c r="AL130" s="519">
        <f t="shared" ca="1" si="34"/>
        <v>0</v>
      </c>
      <c r="AM130" s="519">
        <f t="shared" ca="1" si="35"/>
        <v>0</v>
      </c>
      <c r="AN130" s="519">
        <f t="shared" ca="1" si="36"/>
        <v>0</v>
      </c>
      <c r="AO130" s="519">
        <f t="shared" ca="1" si="37"/>
        <v>0</v>
      </c>
      <c r="AP130" s="519">
        <f t="shared" ca="1" si="38"/>
        <v>0</v>
      </c>
      <c r="AQ130" s="519">
        <f t="shared" ca="1" si="39"/>
        <v>0</v>
      </c>
      <c r="AS130" s="536"/>
      <c r="AT130" s="536"/>
      <c r="AU130" s="519" t="str">
        <f t="shared" si="45"/>
        <v>Todd</v>
      </c>
      <c r="AV130" s="519" t="str">
        <f t="shared" si="40"/>
        <v>MKE1101</v>
      </c>
      <c r="AW130" s="519">
        <f t="shared" si="41"/>
        <v>0.86939999999999995</v>
      </c>
      <c r="AX130" s="538"/>
      <c r="AY130" s="539">
        <f t="shared" ca="1" si="46"/>
        <v>2.6373287235516307E-2</v>
      </c>
      <c r="AZ130" s="189"/>
    </row>
    <row r="131" spans="1:52" x14ac:dyDescent="0.3">
      <c r="A131" s="556">
        <v>1</v>
      </c>
      <c r="B131" s="519" t="str">
        <f t="shared" si="42"/>
        <v>MLG</v>
      </c>
      <c r="C131" s="519" t="str">
        <f>AMDs!C112</f>
        <v>Wellington Electricity</v>
      </c>
      <c r="D131" s="519" t="str">
        <f>AMDs!D112</f>
        <v>MLG0111</v>
      </c>
      <c r="E131" s="519">
        <f>IF(AMDs!C112="other",0,AMDs!E112)</f>
        <v>27.388200000000001</v>
      </c>
      <c r="H131" s="519">
        <f ca="1">_xlfn.IFNA(IF(VLOOKUP($B131&amp;OFFSET(H$10,$A131*2,0),'Mapping A'!$B$6:$E$1011,4,0)=1,$E131,""),0)</f>
        <v>0</v>
      </c>
      <c r="I131" s="519">
        <f ca="1">_xlfn.IFNA(IF(VLOOKUP($B131&amp;OFFSET(I$10,$A131*2,0),'Mapping A'!$B$6:$E$1011,4,0)=1,$E131,""),0)</f>
        <v>27.388200000000001</v>
      </c>
      <c r="J131" s="519">
        <f ca="1">_xlfn.IFNA(IF(VLOOKUP($B131&amp;OFFSET(J$10,$A131*2,0),'Mapping A'!$B$6:$E$1011,4,0)=1,$E131,""),0)</f>
        <v>27.388200000000001</v>
      </c>
      <c r="K131" s="519">
        <f ca="1">_xlfn.IFNA(IF(VLOOKUP($B131&amp;OFFSET(K$10,$A131*2,0),'Mapping A'!$B$6:$E$1011,4,0)=1,$E131,""),0)</f>
        <v>0</v>
      </c>
      <c r="L131" s="519">
        <f ca="1">_xlfn.IFNA(IF(VLOOKUP($B131&amp;OFFSET(L$10,$A131*2,0),'Mapping A'!$B$6:$E$1011,4,0)=1,$E131,""),0)</f>
        <v>0</v>
      </c>
      <c r="M131" s="519">
        <f ca="1">_xlfn.IFNA(IF(VLOOKUP($B131&amp;OFFSET(M$10,$A131*2,0),'Mapping A'!$B$6:$E$1011,4,0)=1,$E131,""),0)</f>
        <v>0</v>
      </c>
      <c r="N131" s="519">
        <f ca="1">_xlfn.IFNA(IF(VLOOKUP($B131&amp;OFFSET(N$10,$A131*2,0),'Mapping A'!$B$6:$E$1011,4,0)=1,$E131,""),0)</f>
        <v>0</v>
      </c>
      <c r="O131" s="519">
        <f ca="1">_xlfn.IFNA(IF(VLOOKUP($B131&amp;OFFSET(O$10,$A131*2,0),'Mapping A'!$B$6:$E$1011,4,0)=1,$E131,""),0)</f>
        <v>0</v>
      </c>
      <c r="P131" s="519">
        <f ca="1">_xlfn.IFNA(IF(VLOOKUP($B131&amp;OFFSET(P$10,$A131*2,0),'Mapping A'!$B$6:$E$1011,4,0)=1,$E131,""),0)</f>
        <v>0</v>
      </c>
      <c r="Q131" s="519">
        <f ca="1">_xlfn.IFNA(IF(VLOOKUP($B131&amp;OFFSET(Q$10,$A131*2,0),'Mapping A'!$B$6:$E$1011,4,0)=1,$E131,""),0)</f>
        <v>0</v>
      </c>
      <c r="R131" s="519">
        <f ca="1">_xlfn.IFNA(IF(VLOOKUP($B131&amp;OFFSET(R$10,$A131*2,0),'Mapping A'!$B$6:$E$1011,4,0)=1,$E131,""),0)</f>
        <v>0</v>
      </c>
      <c r="S131" s="519">
        <f ca="1">_xlfn.IFNA(IF(VLOOKUP($B131&amp;OFFSET(S$10,$A131*2,0),'Mapping A'!$B$6:$E$1011,4,0)=1,$E131,""),0)</f>
        <v>0</v>
      </c>
      <c r="T131" s="519">
        <f ca="1">_xlfn.IFNA(IF(VLOOKUP($B131&amp;OFFSET(T$10,$A131*2,0),'Mapping A'!$B$6:$E$1011,4,0)=1,$E131,""),0)</f>
        <v>0</v>
      </c>
      <c r="Y131" s="534" t="str">
        <f t="shared" si="47"/>
        <v>Wellington ElectricityMLG0111</v>
      </c>
      <c r="Z131" s="519" t="str">
        <f t="shared" si="26"/>
        <v>Wellington Electricity</v>
      </c>
      <c r="AA131" s="519" t="str">
        <f t="shared" si="27"/>
        <v>MLG0111</v>
      </c>
      <c r="AB131" s="519">
        <f t="shared" si="43"/>
        <v>27.388200000000001</v>
      </c>
      <c r="AC131" s="324"/>
      <c r="AE131" s="519">
        <f t="shared" ca="1" si="28"/>
        <v>0</v>
      </c>
      <c r="AF131" s="519">
        <f t="shared" ca="1" si="29"/>
        <v>0</v>
      </c>
      <c r="AG131" s="519">
        <f t="shared" ca="1" si="30"/>
        <v>0</v>
      </c>
      <c r="AH131" s="519">
        <f t="shared" ca="1" si="31"/>
        <v>0</v>
      </c>
      <c r="AI131" s="519">
        <f t="shared" ca="1" si="44"/>
        <v>0</v>
      </c>
      <c r="AJ131" s="519">
        <f t="shared" ca="1" si="32"/>
        <v>0</v>
      </c>
      <c r="AK131" s="519">
        <f t="shared" ca="1" si="33"/>
        <v>0</v>
      </c>
      <c r="AL131" s="519">
        <f t="shared" ca="1" si="34"/>
        <v>0</v>
      </c>
      <c r="AM131" s="519">
        <f t="shared" ca="1" si="35"/>
        <v>0</v>
      </c>
      <c r="AN131" s="519">
        <f t="shared" ca="1" si="36"/>
        <v>0</v>
      </c>
      <c r="AO131" s="519">
        <f t="shared" ca="1" si="37"/>
        <v>0</v>
      </c>
      <c r="AP131" s="519">
        <f t="shared" ca="1" si="38"/>
        <v>0</v>
      </c>
      <c r="AQ131" s="519">
        <f t="shared" ca="1" si="39"/>
        <v>0</v>
      </c>
      <c r="AS131" s="536"/>
      <c r="AT131" s="536"/>
      <c r="AU131" s="519" t="str">
        <f t="shared" si="45"/>
        <v>Wellington Electricity</v>
      </c>
      <c r="AV131" s="519" t="str">
        <f t="shared" si="40"/>
        <v>MLG0111</v>
      </c>
      <c r="AW131" s="519">
        <f t="shared" si="41"/>
        <v>27.388200000000001</v>
      </c>
      <c r="AX131" s="538"/>
      <c r="AY131" s="539">
        <f t="shared" ca="1" si="46"/>
        <v>0.83082225151111999</v>
      </c>
      <c r="AZ131" s="189"/>
    </row>
    <row r="132" spans="1:52" x14ac:dyDescent="0.3">
      <c r="A132" s="556">
        <v>1</v>
      </c>
      <c r="B132" s="519" t="str">
        <f t="shared" si="42"/>
        <v>MLG</v>
      </c>
      <c r="C132" s="519" t="str">
        <f>AMDs!C113</f>
        <v>Wellington Electricity</v>
      </c>
      <c r="D132" s="519" t="str">
        <f>AMDs!D113</f>
        <v>MLG0331</v>
      </c>
      <c r="E132" s="519">
        <f>IF(AMDs!C113="other",0,AMDs!E113)</f>
        <v>37.232999999999997</v>
      </c>
      <c r="H132" s="519">
        <f ca="1">_xlfn.IFNA(IF(VLOOKUP($B132&amp;OFFSET(H$10,$A132*2,0),'Mapping A'!$B$6:$E$1011,4,0)=1,$E132,""),0)</f>
        <v>0</v>
      </c>
      <c r="I132" s="519">
        <f ca="1">_xlfn.IFNA(IF(VLOOKUP($B132&amp;OFFSET(I$10,$A132*2,0),'Mapping A'!$B$6:$E$1011,4,0)=1,$E132,""),0)</f>
        <v>37.232999999999997</v>
      </c>
      <c r="J132" s="519">
        <f ca="1">_xlfn.IFNA(IF(VLOOKUP($B132&amp;OFFSET(J$10,$A132*2,0),'Mapping A'!$B$6:$E$1011,4,0)=1,$E132,""),0)</f>
        <v>37.232999999999997</v>
      </c>
      <c r="K132" s="519">
        <f ca="1">_xlfn.IFNA(IF(VLOOKUP($B132&amp;OFFSET(K$10,$A132*2,0),'Mapping A'!$B$6:$E$1011,4,0)=1,$E132,""),0)</f>
        <v>0</v>
      </c>
      <c r="L132" s="519">
        <f ca="1">_xlfn.IFNA(IF(VLOOKUP($B132&amp;OFFSET(L$10,$A132*2,0),'Mapping A'!$B$6:$E$1011,4,0)=1,$E132,""),0)</f>
        <v>0</v>
      </c>
      <c r="M132" s="519">
        <f ca="1">_xlfn.IFNA(IF(VLOOKUP($B132&amp;OFFSET(M$10,$A132*2,0),'Mapping A'!$B$6:$E$1011,4,0)=1,$E132,""),0)</f>
        <v>0</v>
      </c>
      <c r="N132" s="519">
        <f ca="1">_xlfn.IFNA(IF(VLOOKUP($B132&amp;OFFSET(N$10,$A132*2,0),'Mapping A'!$B$6:$E$1011,4,0)=1,$E132,""),0)</f>
        <v>0</v>
      </c>
      <c r="O132" s="519">
        <f ca="1">_xlfn.IFNA(IF(VLOOKUP($B132&amp;OFFSET(O$10,$A132*2,0),'Mapping A'!$B$6:$E$1011,4,0)=1,$E132,""),0)</f>
        <v>0</v>
      </c>
      <c r="P132" s="519">
        <f ca="1">_xlfn.IFNA(IF(VLOOKUP($B132&amp;OFFSET(P$10,$A132*2,0),'Mapping A'!$B$6:$E$1011,4,0)=1,$E132,""),0)</f>
        <v>0</v>
      </c>
      <c r="Q132" s="519">
        <f ca="1">_xlfn.IFNA(IF(VLOOKUP($B132&amp;OFFSET(Q$10,$A132*2,0),'Mapping A'!$B$6:$E$1011,4,0)=1,$E132,""),0)</f>
        <v>0</v>
      </c>
      <c r="R132" s="519">
        <f ca="1">_xlfn.IFNA(IF(VLOOKUP($B132&amp;OFFSET(R$10,$A132*2,0),'Mapping A'!$B$6:$E$1011,4,0)=1,$E132,""),0)</f>
        <v>0</v>
      </c>
      <c r="S132" s="519">
        <f ca="1">_xlfn.IFNA(IF(VLOOKUP($B132&amp;OFFSET(S$10,$A132*2,0),'Mapping A'!$B$6:$E$1011,4,0)=1,$E132,""),0)</f>
        <v>0</v>
      </c>
      <c r="T132" s="519">
        <f ca="1">_xlfn.IFNA(IF(VLOOKUP($B132&amp;OFFSET(T$10,$A132*2,0),'Mapping A'!$B$6:$E$1011,4,0)=1,$E132,""),0)</f>
        <v>0</v>
      </c>
      <c r="Y132" s="534" t="str">
        <f t="shared" si="47"/>
        <v>Wellington ElectricityMLG0331</v>
      </c>
      <c r="Z132" s="519" t="str">
        <f t="shared" si="26"/>
        <v>Wellington Electricity</v>
      </c>
      <c r="AA132" s="519" t="str">
        <f t="shared" si="27"/>
        <v>MLG0331</v>
      </c>
      <c r="AB132" s="519">
        <f t="shared" si="43"/>
        <v>37.232999999999997</v>
      </c>
      <c r="AC132" s="324"/>
      <c r="AE132" s="519">
        <f t="shared" ca="1" si="28"/>
        <v>0</v>
      </c>
      <c r="AF132" s="519">
        <f t="shared" ca="1" si="29"/>
        <v>0</v>
      </c>
      <c r="AG132" s="519">
        <f t="shared" ca="1" si="30"/>
        <v>0</v>
      </c>
      <c r="AH132" s="519">
        <f t="shared" ca="1" si="31"/>
        <v>0</v>
      </c>
      <c r="AI132" s="519">
        <f t="shared" ca="1" si="44"/>
        <v>0</v>
      </c>
      <c r="AJ132" s="519">
        <f t="shared" ca="1" si="32"/>
        <v>0</v>
      </c>
      <c r="AK132" s="519">
        <f t="shared" ca="1" si="33"/>
        <v>0</v>
      </c>
      <c r="AL132" s="519">
        <f t="shared" ca="1" si="34"/>
        <v>0</v>
      </c>
      <c r="AM132" s="519">
        <f t="shared" ca="1" si="35"/>
        <v>0</v>
      </c>
      <c r="AN132" s="519">
        <f t="shared" ca="1" si="36"/>
        <v>0</v>
      </c>
      <c r="AO132" s="519">
        <f t="shared" ca="1" si="37"/>
        <v>0</v>
      </c>
      <c r="AP132" s="519">
        <f t="shared" ca="1" si="38"/>
        <v>0</v>
      </c>
      <c r="AQ132" s="519">
        <f t="shared" ca="1" si="39"/>
        <v>0</v>
      </c>
      <c r="AS132" s="536"/>
      <c r="AT132" s="536"/>
      <c r="AU132" s="519" t="str">
        <f t="shared" si="45"/>
        <v>Wellington Electricity</v>
      </c>
      <c r="AV132" s="519" t="str">
        <f t="shared" si="40"/>
        <v>MLG0331</v>
      </c>
      <c r="AW132" s="519">
        <f t="shared" si="41"/>
        <v>37.232999999999997</v>
      </c>
      <c r="AX132" s="538"/>
      <c r="AY132" s="539">
        <f t="shared" ca="1" si="46"/>
        <v>1.1294646924775462</v>
      </c>
      <c r="AZ132" s="189"/>
    </row>
    <row r="133" spans="1:52" x14ac:dyDescent="0.3">
      <c r="A133" s="556">
        <v>1</v>
      </c>
      <c r="B133" s="519" t="str">
        <f t="shared" si="42"/>
        <v>MNG</v>
      </c>
      <c r="C133" s="519" t="str">
        <f>AMDs!C114</f>
        <v>Vector</v>
      </c>
      <c r="D133" s="519" t="str">
        <f>AMDs!D114</f>
        <v>MNG0331</v>
      </c>
      <c r="E133" s="519">
        <f>IF(AMDs!C114="other",0,AMDs!E114)</f>
        <v>100.89660000000001</v>
      </c>
      <c r="H133" s="519">
        <f ca="1">_xlfn.IFNA(IF(VLOOKUP($B133&amp;OFFSET(H$10,$A133*2,0),'Mapping A'!$B$6:$E$1011,4,0)=1,$E133,""),0)</f>
        <v>100.89660000000001</v>
      </c>
      <c r="I133" s="519">
        <f ca="1">_xlfn.IFNA(IF(VLOOKUP($B133&amp;OFFSET(I$10,$A133*2,0),'Mapping A'!$B$6:$E$1011,4,0)=1,$E133,""),0)</f>
        <v>100.89660000000001</v>
      </c>
      <c r="J133" s="519">
        <f ca="1">_xlfn.IFNA(IF(VLOOKUP($B133&amp;OFFSET(J$10,$A133*2,0),'Mapping A'!$B$6:$E$1011,4,0)=1,$E133,""),0)</f>
        <v>100.89660000000001</v>
      </c>
      <c r="K133" s="519">
        <f ca="1">_xlfn.IFNA(IF(VLOOKUP($B133&amp;OFFSET(K$10,$A133*2,0),'Mapping A'!$B$6:$E$1011,4,0)=1,$E133,""),0)</f>
        <v>0</v>
      </c>
      <c r="L133" s="519">
        <f ca="1">_xlfn.IFNA(IF(VLOOKUP($B133&amp;OFFSET(L$10,$A133*2,0),'Mapping A'!$B$6:$E$1011,4,0)=1,$E133,""),0)</f>
        <v>0</v>
      </c>
      <c r="M133" s="519">
        <f ca="1">_xlfn.IFNA(IF(VLOOKUP($B133&amp;OFFSET(M$10,$A133*2,0),'Mapping A'!$B$6:$E$1011,4,0)=1,$E133,""),0)</f>
        <v>100.89660000000001</v>
      </c>
      <c r="N133" s="519">
        <f ca="1">_xlfn.IFNA(IF(VLOOKUP($B133&amp;OFFSET(N$10,$A133*2,0),'Mapping A'!$B$6:$E$1011,4,0)=1,$E133,""),0)</f>
        <v>100.89660000000001</v>
      </c>
      <c r="O133" s="519">
        <f ca="1">_xlfn.IFNA(IF(VLOOKUP($B133&amp;OFFSET(O$10,$A133*2,0),'Mapping A'!$B$6:$E$1011,4,0)=1,$E133,""),0)</f>
        <v>0</v>
      </c>
      <c r="P133" s="519">
        <f ca="1">_xlfn.IFNA(IF(VLOOKUP($B133&amp;OFFSET(P$10,$A133*2,0),'Mapping A'!$B$6:$E$1011,4,0)=1,$E133,""),0)</f>
        <v>0</v>
      </c>
      <c r="Q133" s="519">
        <f ca="1">_xlfn.IFNA(IF(VLOOKUP($B133&amp;OFFSET(Q$10,$A133*2,0),'Mapping A'!$B$6:$E$1011,4,0)=1,$E133,""),0)</f>
        <v>100.89660000000001</v>
      </c>
      <c r="R133" s="519">
        <f ca="1">_xlfn.IFNA(IF(VLOOKUP($B133&amp;OFFSET(R$10,$A133*2,0),'Mapping A'!$B$6:$E$1011,4,0)=1,$E133,""),0)</f>
        <v>0</v>
      </c>
      <c r="S133" s="519">
        <f ca="1">_xlfn.IFNA(IF(VLOOKUP($B133&amp;OFFSET(S$10,$A133*2,0),'Mapping A'!$B$6:$E$1011,4,0)=1,$E133,""),0)</f>
        <v>0</v>
      </c>
      <c r="T133" s="519">
        <f ca="1">_xlfn.IFNA(IF(VLOOKUP($B133&amp;OFFSET(T$10,$A133*2,0),'Mapping A'!$B$6:$E$1011,4,0)=1,$E133,""),0)</f>
        <v>0</v>
      </c>
      <c r="Y133" s="534" t="str">
        <f t="shared" si="47"/>
        <v>VectorMNG0331</v>
      </c>
      <c r="Z133" s="519" t="str">
        <f t="shared" si="26"/>
        <v>Vector</v>
      </c>
      <c r="AA133" s="519" t="str">
        <f t="shared" si="27"/>
        <v>MNG0331</v>
      </c>
      <c r="AB133" s="519">
        <f t="shared" si="43"/>
        <v>100.89660000000001</v>
      </c>
      <c r="AC133" s="324"/>
      <c r="AE133" s="519">
        <f t="shared" ca="1" si="28"/>
        <v>0</v>
      </c>
      <c r="AF133" s="519">
        <f t="shared" ca="1" si="29"/>
        <v>0</v>
      </c>
      <c r="AG133" s="519">
        <f t="shared" ca="1" si="30"/>
        <v>0</v>
      </c>
      <c r="AH133" s="519">
        <f t="shared" ca="1" si="31"/>
        <v>0</v>
      </c>
      <c r="AI133" s="519">
        <f t="shared" ca="1" si="44"/>
        <v>0</v>
      </c>
      <c r="AJ133" s="519">
        <f t="shared" ca="1" si="32"/>
        <v>0</v>
      </c>
      <c r="AK133" s="519">
        <f t="shared" ca="1" si="33"/>
        <v>0.4041137846563746</v>
      </c>
      <c r="AL133" s="519">
        <f t="shared" ca="1" si="34"/>
        <v>0</v>
      </c>
      <c r="AM133" s="519">
        <f t="shared" ca="1" si="35"/>
        <v>0</v>
      </c>
      <c r="AN133" s="519">
        <f t="shared" ca="1" si="36"/>
        <v>0.18637815148249348</v>
      </c>
      <c r="AO133" s="519">
        <f t="shared" ca="1" si="37"/>
        <v>0</v>
      </c>
      <c r="AP133" s="519">
        <f t="shared" ca="1" si="38"/>
        <v>0</v>
      </c>
      <c r="AQ133" s="519">
        <f t="shared" ca="1" si="39"/>
        <v>0</v>
      </c>
      <c r="AS133" s="536"/>
      <c r="AT133" s="536"/>
      <c r="AU133" s="519" t="str">
        <f t="shared" si="45"/>
        <v>Vector</v>
      </c>
      <c r="AV133" s="519" t="str">
        <f t="shared" si="40"/>
        <v>MNG0331</v>
      </c>
      <c r="AW133" s="519">
        <f t="shared" si="41"/>
        <v>100.89660000000001</v>
      </c>
      <c r="AX133" s="538"/>
      <c r="AY133" s="539">
        <f t="shared" ca="1" si="46"/>
        <v>3.060702798351731</v>
      </c>
      <c r="AZ133" s="189"/>
    </row>
    <row r="134" spans="1:52" x14ac:dyDescent="0.3">
      <c r="A134" s="556">
        <v>1</v>
      </c>
      <c r="B134" s="519" t="str">
        <f t="shared" si="42"/>
        <v>MNG</v>
      </c>
      <c r="C134" s="519" t="str">
        <f>AMDs!C115</f>
        <v>Pacific Steel</v>
      </c>
      <c r="D134" s="519" t="str">
        <f>AMDs!D115</f>
        <v>MNG1101</v>
      </c>
      <c r="E134" s="519">
        <f>IF(AMDs!C115="other",0,AMDs!E115)</f>
        <v>16.773333333333333</v>
      </c>
      <c r="H134" s="519">
        <f ca="1">_xlfn.IFNA(IF(VLOOKUP($B134&amp;OFFSET(H$10,$A134*2,0),'Mapping A'!$B$6:$E$1011,4,0)=1,$E134,""),0)</f>
        <v>16.773333333333333</v>
      </c>
      <c r="I134" s="519">
        <f ca="1">_xlfn.IFNA(IF(VLOOKUP($B134&amp;OFFSET(I$10,$A134*2,0),'Mapping A'!$B$6:$E$1011,4,0)=1,$E134,""),0)</f>
        <v>16.773333333333333</v>
      </c>
      <c r="J134" s="519">
        <f ca="1">_xlfn.IFNA(IF(VLOOKUP($B134&amp;OFFSET(J$10,$A134*2,0),'Mapping A'!$B$6:$E$1011,4,0)=1,$E134,""),0)</f>
        <v>16.773333333333333</v>
      </c>
      <c r="K134" s="519">
        <f ca="1">_xlfn.IFNA(IF(VLOOKUP($B134&amp;OFFSET(K$10,$A134*2,0),'Mapping A'!$B$6:$E$1011,4,0)=1,$E134,""),0)</f>
        <v>0</v>
      </c>
      <c r="L134" s="519">
        <f ca="1">_xlfn.IFNA(IF(VLOOKUP($B134&amp;OFFSET(L$10,$A134*2,0),'Mapping A'!$B$6:$E$1011,4,0)=1,$E134,""),0)</f>
        <v>0</v>
      </c>
      <c r="M134" s="519">
        <f ca="1">_xlfn.IFNA(IF(VLOOKUP($B134&amp;OFFSET(M$10,$A134*2,0),'Mapping A'!$B$6:$E$1011,4,0)=1,$E134,""),0)</f>
        <v>16.773333333333333</v>
      </c>
      <c r="N134" s="519">
        <f ca="1">_xlfn.IFNA(IF(VLOOKUP($B134&amp;OFFSET(N$10,$A134*2,0),'Mapping A'!$B$6:$E$1011,4,0)=1,$E134,""),0)</f>
        <v>16.773333333333333</v>
      </c>
      <c r="O134" s="519">
        <f ca="1">_xlfn.IFNA(IF(VLOOKUP($B134&amp;OFFSET(O$10,$A134*2,0),'Mapping A'!$B$6:$E$1011,4,0)=1,$E134,""),0)</f>
        <v>0</v>
      </c>
      <c r="P134" s="519">
        <f ca="1">_xlfn.IFNA(IF(VLOOKUP($B134&amp;OFFSET(P$10,$A134*2,0),'Mapping A'!$B$6:$E$1011,4,0)=1,$E134,""),0)</f>
        <v>0</v>
      </c>
      <c r="Q134" s="519">
        <f ca="1">_xlfn.IFNA(IF(VLOOKUP($B134&amp;OFFSET(Q$10,$A134*2,0),'Mapping A'!$B$6:$E$1011,4,0)=1,$E134,""),0)</f>
        <v>16.773333333333333</v>
      </c>
      <c r="R134" s="519">
        <f ca="1">_xlfn.IFNA(IF(VLOOKUP($B134&amp;OFFSET(R$10,$A134*2,0),'Mapping A'!$B$6:$E$1011,4,0)=1,$E134,""),0)</f>
        <v>0</v>
      </c>
      <c r="S134" s="519">
        <f ca="1">_xlfn.IFNA(IF(VLOOKUP($B134&amp;OFFSET(S$10,$A134*2,0),'Mapping A'!$B$6:$E$1011,4,0)=1,$E134,""),0)</f>
        <v>0</v>
      </c>
      <c r="T134" s="519">
        <f ca="1">_xlfn.IFNA(IF(VLOOKUP($B134&amp;OFFSET(T$10,$A134*2,0),'Mapping A'!$B$6:$E$1011,4,0)=1,$E134,""),0)</f>
        <v>0</v>
      </c>
      <c r="Y134" s="534" t="str">
        <f t="shared" si="47"/>
        <v>Pacific SteelMNG1101</v>
      </c>
      <c r="Z134" s="519" t="str">
        <f t="shared" si="26"/>
        <v>Pacific Steel</v>
      </c>
      <c r="AA134" s="519" t="str">
        <f t="shared" si="27"/>
        <v>MNG1101</v>
      </c>
      <c r="AB134" s="519">
        <f t="shared" si="43"/>
        <v>16.773333333333333</v>
      </c>
      <c r="AC134" s="324"/>
      <c r="AE134" s="519">
        <f t="shared" ca="1" si="28"/>
        <v>0</v>
      </c>
      <c r="AF134" s="519">
        <f t="shared" ca="1" si="29"/>
        <v>0</v>
      </c>
      <c r="AG134" s="519">
        <f t="shared" ca="1" si="30"/>
        <v>0</v>
      </c>
      <c r="AH134" s="519">
        <f t="shared" ca="1" si="31"/>
        <v>0</v>
      </c>
      <c r="AI134" s="519">
        <f t="shared" ca="1" si="44"/>
        <v>0</v>
      </c>
      <c r="AJ134" s="519">
        <f t="shared" ca="1" si="32"/>
        <v>0</v>
      </c>
      <c r="AK134" s="519">
        <f t="shared" ca="1" si="33"/>
        <v>6.7181007235489157E-2</v>
      </c>
      <c r="AL134" s="519">
        <f t="shared" ca="1" si="34"/>
        <v>0</v>
      </c>
      <c r="AM134" s="519">
        <f t="shared" ca="1" si="35"/>
        <v>0</v>
      </c>
      <c r="AN134" s="519">
        <f t="shared" ca="1" si="36"/>
        <v>3.0984025833044493E-2</v>
      </c>
      <c r="AO134" s="519">
        <f t="shared" ca="1" si="37"/>
        <v>0</v>
      </c>
      <c r="AP134" s="519">
        <f t="shared" ca="1" si="38"/>
        <v>0</v>
      </c>
      <c r="AQ134" s="519">
        <f t="shared" ca="1" si="39"/>
        <v>0</v>
      </c>
      <c r="AS134" s="536"/>
      <c r="AT134" s="540"/>
      <c r="AU134" s="519" t="str">
        <f t="shared" si="45"/>
        <v>Pacific Steel</v>
      </c>
      <c r="AV134" s="519" t="str">
        <f t="shared" si="40"/>
        <v>MNG1101</v>
      </c>
      <c r="AW134" s="519">
        <f t="shared" si="41"/>
        <v>16.773333333333333</v>
      </c>
      <c r="AX134" s="538"/>
      <c r="AY134" s="539">
        <f t="shared" ca="1" si="46"/>
        <v>0.50881980434444463</v>
      </c>
      <c r="AZ134" s="189"/>
    </row>
    <row r="135" spans="1:52" x14ac:dyDescent="0.3">
      <c r="A135" s="556">
        <v>1</v>
      </c>
      <c r="B135" s="519" t="str">
        <f t="shared" si="42"/>
        <v>MNI</v>
      </c>
      <c r="C135" s="519" t="str">
        <f>AMDs!C116</f>
        <v>Methanex</v>
      </c>
      <c r="D135" s="519" t="str">
        <f>AMDs!D116</f>
        <v>MNI0111</v>
      </c>
      <c r="E135" s="519">
        <f>IF(AMDs!C116="other",0,AMDs!E116)</f>
        <v>9.5024999999999995</v>
      </c>
      <c r="H135" s="519">
        <f ca="1">_xlfn.IFNA(IF(VLOOKUP($B135&amp;OFFSET(H$10,$A135*2,0),'Mapping A'!$B$6:$E$1011,4,0)=1,$E135,""),0)</f>
        <v>0</v>
      </c>
      <c r="I135" s="519">
        <f ca="1">_xlfn.IFNA(IF(VLOOKUP($B135&amp;OFFSET(I$10,$A135*2,0),'Mapping A'!$B$6:$E$1011,4,0)=1,$E135,""),0)</f>
        <v>9.5024999999999995</v>
      </c>
      <c r="J135" s="519">
        <f ca="1">_xlfn.IFNA(IF(VLOOKUP($B135&amp;OFFSET(J$10,$A135*2,0),'Mapping A'!$B$6:$E$1011,4,0)=1,$E135,""),0)</f>
        <v>9.5024999999999995</v>
      </c>
      <c r="K135" s="519">
        <f ca="1">_xlfn.IFNA(IF(VLOOKUP($B135&amp;OFFSET(K$10,$A135*2,0),'Mapping A'!$B$6:$E$1011,4,0)=1,$E135,""),0)</f>
        <v>0</v>
      </c>
      <c r="L135" s="519">
        <f ca="1">_xlfn.IFNA(IF(VLOOKUP($B135&amp;OFFSET(L$10,$A135*2,0),'Mapping A'!$B$6:$E$1011,4,0)=1,$E135,""),0)</f>
        <v>0</v>
      </c>
      <c r="M135" s="519">
        <f ca="1">_xlfn.IFNA(IF(VLOOKUP($B135&amp;OFFSET(M$10,$A135*2,0),'Mapping A'!$B$6:$E$1011,4,0)=1,$E135,""),0)</f>
        <v>0</v>
      </c>
      <c r="N135" s="519">
        <f ca="1">_xlfn.IFNA(IF(VLOOKUP($B135&amp;OFFSET(N$10,$A135*2,0),'Mapping A'!$B$6:$E$1011,4,0)=1,$E135,""),0)</f>
        <v>0</v>
      </c>
      <c r="O135" s="519">
        <f ca="1">_xlfn.IFNA(IF(VLOOKUP($B135&amp;OFFSET(O$10,$A135*2,0),'Mapping A'!$B$6:$E$1011,4,0)=1,$E135,""),0)</f>
        <v>0</v>
      </c>
      <c r="P135" s="519">
        <f ca="1">_xlfn.IFNA(IF(VLOOKUP($B135&amp;OFFSET(P$10,$A135*2,0),'Mapping A'!$B$6:$E$1011,4,0)=1,$E135,""),0)</f>
        <v>0</v>
      </c>
      <c r="Q135" s="519">
        <f ca="1">_xlfn.IFNA(IF(VLOOKUP($B135&amp;OFFSET(Q$10,$A135*2,0),'Mapping A'!$B$6:$E$1011,4,0)=1,$E135,""),0)</f>
        <v>0</v>
      </c>
      <c r="R135" s="519">
        <f ca="1">_xlfn.IFNA(IF(VLOOKUP($B135&amp;OFFSET(R$10,$A135*2,0),'Mapping A'!$B$6:$E$1011,4,0)=1,$E135,""),0)</f>
        <v>0</v>
      </c>
      <c r="S135" s="519">
        <f ca="1">_xlfn.IFNA(IF(VLOOKUP($B135&amp;OFFSET(S$10,$A135*2,0),'Mapping A'!$B$6:$E$1011,4,0)=1,$E135,""),0)</f>
        <v>0</v>
      </c>
      <c r="T135" s="519">
        <f ca="1">_xlfn.IFNA(IF(VLOOKUP($B135&amp;OFFSET(T$10,$A135*2,0),'Mapping A'!$B$6:$E$1011,4,0)=1,$E135,""),0)</f>
        <v>0</v>
      </c>
      <c r="Y135" s="534" t="str">
        <f t="shared" si="47"/>
        <v>MethanexMNI0111</v>
      </c>
      <c r="Z135" s="519" t="str">
        <f t="shared" si="26"/>
        <v>Methanex</v>
      </c>
      <c r="AA135" s="519" t="str">
        <f t="shared" si="27"/>
        <v>MNI0111</v>
      </c>
      <c r="AB135" s="519">
        <f t="shared" si="43"/>
        <v>9.5024999999999995</v>
      </c>
      <c r="AC135" s="324"/>
      <c r="AE135" s="519">
        <f t="shared" ca="1" si="28"/>
        <v>0</v>
      </c>
      <c r="AF135" s="519">
        <f t="shared" ca="1" si="29"/>
        <v>0</v>
      </c>
      <c r="AG135" s="519">
        <f t="shared" ca="1" si="30"/>
        <v>0</v>
      </c>
      <c r="AH135" s="519">
        <f t="shared" ca="1" si="31"/>
        <v>0</v>
      </c>
      <c r="AI135" s="519">
        <f t="shared" ca="1" si="44"/>
        <v>0</v>
      </c>
      <c r="AJ135" s="519">
        <f t="shared" ca="1" si="32"/>
        <v>0</v>
      </c>
      <c r="AK135" s="519">
        <f t="shared" ca="1" si="33"/>
        <v>0</v>
      </c>
      <c r="AL135" s="519">
        <f t="shared" ca="1" si="34"/>
        <v>0</v>
      </c>
      <c r="AM135" s="519">
        <f t="shared" ca="1" si="35"/>
        <v>0</v>
      </c>
      <c r="AN135" s="519">
        <f t="shared" ca="1" si="36"/>
        <v>0</v>
      </c>
      <c r="AO135" s="519">
        <f t="shared" ca="1" si="37"/>
        <v>0</v>
      </c>
      <c r="AP135" s="519">
        <f t="shared" ca="1" si="38"/>
        <v>0</v>
      </c>
      <c r="AQ135" s="519">
        <f t="shared" ca="1" si="39"/>
        <v>0</v>
      </c>
      <c r="AS135" s="536"/>
      <c r="AT135" s="536"/>
      <c r="AU135" s="519" t="str">
        <f t="shared" si="45"/>
        <v>Methanex</v>
      </c>
      <c r="AV135" s="519" t="str">
        <f t="shared" si="40"/>
        <v>MNI0111</v>
      </c>
      <c r="AW135" s="519">
        <f t="shared" si="41"/>
        <v>9.5024999999999995</v>
      </c>
      <c r="AX135" s="538"/>
      <c r="AY135" s="539">
        <f t="shared" ca="1" si="46"/>
        <v>0.28825875541234608</v>
      </c>
      <c r="AZ135" s="189"/>
    </row>
    <row r="136" spans="1:52" x14ac:dyDescent="0.3">
      <c r="A136" s="556">
        <v>1</v>
      </c>
      <c r="B136" s="519" t="str">
        <f t="shared" si="42"/>
        <v>MPE</v>
      </c>
      <c r="C136" s="519" t="str">
        <f>AMDs!C117</f>
        <v>Northpower</v>
      </c>
      <c r="D136" s="519" t="str">
        <f>AMDs!D117</f>
        <v>MPE1101</v>
      </c>
      <c r="E136" s="519">
        <f>IF(AMDs!C117="other",0,AMDs!E117)</f>
        <v>106.74299999999999</v>
      </c>
      <c r="H136" s="519">
        <f ca="1">_xlfn.IFNA(IF(VLOOKUP($B136&amp;OFFSET(H$10,$A136*2,0),'Mapping A'!$B$6:$E$1011,4,0)=1,$E136,""),0)</f>
        <v>106.74299999999999</v>
      </c>
      <c r="I136" s="519">
        <f ca="1">_xlfn.IFNA(IF(VLOOKUP($B136&amp;OFFSET(I$10,$A136*2,0),'Mapping A'!$B$6:$E$1011,4,0)=1,$E136,""),0)</f>
        <v>106.74299999999999</v>
      </c>
      <c r="J136" s="519">
        <f ca="1">_xlfn.IFNA(IF(VLOOKUP($B136&amp;OFFSET(J$10,$A136*2,0),'Mapping A'!$B$6:$E$1011,4,0)=1,$E136,""),0)</f>
        <v>106.74299999999999</v>
      </c>
      <c r="K136" s="519">
        <f ca="1">_xlfn.IFNA(IF(VLOOKUP($B136&amp;OFFSET(K$10,$A136*2,0),'Mapping A'!$B$6:$E$1011,4,0)=1,$E136,""),0)</f>
        <v>106.74299999999999</v>
      </c>
      <c r="L136" s="519">
        <f ca="1">_xlfn.IFNA(IF(VLOOKUP($B136&amp;OFFSET(L$10,$A136*2,0),'Mapping A'!$B$6:$E$1011,4,0)=1,$E136,""),0)</f>
        <v>0</v>
      </c>
      <c r="M136" s="519">
        <f ca="1">_xlfn.IFNA(IF(VLOOKUP($B136&amp;OFFSET(M$10,$A136*2,0),'Mapping A'!$B$6:$E$1011,4,0)=1,$E136,""),0)</f>
        <v>106.74299999999999</v>
      </c>
      <c r="N136" s="519">
        <f ca="1">_xlfn.IFNA(IF(VLOOKUP($B136&amp;OFFSET(N$10,$A136*2,0),'Mapping A'!$B$6:$E$1011,4,0)=1,$E136,""),0)</f>
        <v>106.74299999999999</v>
      </c>
      <c r="O136" s="519">
        <f ca="1">_xlfn.IFNA(IF(VLOOKUP($B136&amp;OFFSET(O$10,$A136*2,0),'Mapping A'!$B$6:$E$1011,4,0)=1,$E136,""),0)</f>
        <v>0</v>
      </c>
      <c r="P136" s="519">
        <f ca="1">_xlfn.IFNA(IF(VLOOKUP($B136&amp;OFFSET(P$10,$A136*2,0),'Mapping A'!$B$6:$E$1011,4,0)=1,$E136,""),0)</f>
        <v>0</v>
      </c>
      <c r="Q136" s="519">
        <f ca="1">_xlfn.IFNA(IF(VLOOKUP($B136&amp;OFFSET(Q$10,$A136*2,0),'Mapping A'!$B$6:$E$1011,4,0)=1,$E136,""),0)</f>
        <v>106.74299999999999</v>
      </c>
      <c r="R136" s="519">
        <f ca="1">_xlfn.IFNA(IF(VLOOKUP($B136&amp;OFFSET(R$10,$A136*2,0),'Mapping A'!$B$6:$E$1011,4,0)=1,$E136,""),0)</f>
        <v>0</v>
      </c>
      <c r="S136" s="519">
        <f ca="1">_xlfn.IFNA(IF(VLOOKUP($B136&amp;OFFSET(S$10,$A136*2,0),'Mapping A'!$B$6:$E$1011,4,0)=1,$E136,""),0)</f>
        <v>0</v>
      </c>
      <c r="T136" s="519">
        <f ca="1">_xlfn.IFNA(IF(VLOOKUP($B136&amp;OFFSET(T$10,$A136*2,0),'Mapping A'!$B$6:$E$1011,4,0)=1,$E136,""),0)</f>
        <v>0</v>
      </c>
      <c r="Y136" s="534" t="str">
        <f t="shared" si="47"/>
        <v>NorthpowerMPE1101</v>
      </c>
      <c r="Z136" s="519" t="str">
        <f t="shared" si="26"/>
        <v>Northpower</v>
      </c>
      <c r="AA136" s="519" t="str">
        <f t="shared" si="27"/>
        <v>MPE1101</v>
      </c>
      <c r="AB136" s="519">
        <f t="shared" si="43"/>
        <v>106.74299999999999</v>
      </c>
      <c r="AC136" s="324"/>
      <c r="AE136" s="519">
        <f t="shared" ca="1" si="28"/>
        <v>0</v>
      </c>
      <c r="AF136" s="519">
        <f t="shared" ca="1" si="29"/>
        <v>0</v>
      </c>
      <c r="AG136" s="519">
        <f t="shared" ca="1" si="30"/>
        <v>0</v>
      </c>
      <c r="AH136" s="519">
        <f t="shared" ca="1" si="31"/>
        <v>1.87356602296583</v>
      </c>
      <c r="AI136" s="519">
        <f t="shared" ca="1" si="44"/>
        <v>0</v>
      </c>
      <c r="AJ136" s="519">
        <f t="shared" ca="1" si="32"/>
        <v>0</v>
      </c>
      <c r="AK136" s="519">
        <f t="shared" ca="1" si="33"/>
        <v>0.42752994368071257</v>
      </c>
      <c r="AL136" s="519">
        <f t="shared" ca="1" si="34"/>
        <v>0</v>
      </c>
      <c r="AM136" s="519">
        <f t="shared" ca="1" si="35"/>
        <v>0</v>
      </c>
      <c r="AN136" s="519">
        <f t="shared" ca="1" si="36"/>
        <v>0.19717773466792538</v>
      </c>
      <c r="AO136" s="519">
        <f t="shared" ca="1" si="37"/>
        <v>0</v>
      </c>
      <c r="AP136" s="519">
        <f t="shared" ca="1" si="38"/>
        <v>0</v>
      </c>
      <c r="AQ136" s="519">
        <f t="shared" ca="1" si="39"/>
        <v>0</v>
      </c>
      <c r="AS136" s="536"/>
      <c r="AT136" s="536"/>
      <c r="AU136" s="519" t="str">
        <f t="shared" si="45"/>
        <v>Northpower</v>
      </c>
      <c r="AV136" s="519" t="str">
        <f t="shared" si="40"/>
        <v>MPE1101</v>
      </c>
      <c r="AW136" s="519">
        <f t="shared" si="41"/>
        <v>106.74299999999999</v>
      </c>
      <c r="AX136" s="538"/>
      <c r="AY136" s="539">
        <f t="shared" ca="1" si="46"/>
        <v>3.2380535994717246</v>
      </c>
      <c r="AZ136" s="189"/>
    </row>
    <row r="137" spans="1:52" x14ac:dyDescent="0.3">
      <c r="A137" s="556">
        <v>1</v>
      </c>
      <c r="B137" s="519" t="str">
        <f t="shared" si="42"/>
        <v>MST</v>
      </c>
      <c r="C137" s="519" t="str">
        <f>AMDs!C118</f>
        <v>Powerco</v>
      </c>
      <c r="D137" s="519" t="str">
        <f>AMDs!D118</f>
        <v>MST0331</v>
      </c>
      <c r="E137" s="519">
        <f>IF(AMDs!C118="other",0,AMDs!E118)</f>
        <v>45.011400000000002</v>
      </c>
      <c r="H137" s="519">
        <f ca="1">_xlfn.IFNA(IF(VLOOKUP($B137&amp;OFFSET(H$10,$A137*2,0),'Mapping A'!$B$6:$E$1011,4,0)=1,$E137,""),0)</f>
        <v>0</v>
      </c>
      <c r="I137" s="519">
        <f ca="1">_xlfn.IFNA(IF(VLOOKUP($B137&amp;OFFSET(I$10,$A137*2,0),'Mapping A'!$B$6:$E$1011,4,0)=1,$E137,""),0)</f>
        <v>45.011400000000002</v>
      </c>
      <c r="J137" s="519">
        <f ca="1">_xlfn.IFNA(IF(VLOOKUP($B137&amp;OFFSET(J$10,$A137*2,0),'Mapping A'!$B$6:$E$1011,4,0)=1,$E137,""),0)</f>
        <v>45.011400000000002</v>
      </c>
      <c r="K137" s="519">
        <f ca="1">_xlfn.IFNA(IF(VLOOKUP($B137&amp;OFFSET(K$10,$A137*2,0),'Mapping A'!$B$6:$E$1011,4,0)=1,$E137,""),0)</f>
        <v>0</v>
      </c>
      <c r="L137" s="519">
        <f ca="1">_xlfn.IFNA(IF(VLOOKUP($B137&amp;OFFSET(L$10,$A137*2,0),'Mapping A'!$B$6:$E$1011,4,0)=1,$E137,""),0)</f>
        <v>0</v>
      </c>
      <c r="M137" s="519">
        <f ca="1">_xlfn.IFNA(IF(VLOOKUP($B137&amp;OFFSET(M$10,$A137*2,0),'Mapping A'!$B$6:$E$1011,4,0)=1,$E137,""),0)</f>
        <v>0</v>
      </c>
      <c r="N137" s="519">
        <f ca="1">_xlfn.IFNA(IF(VLOOKUP($B137&amp;OFFSET(N$10,$A137*2,0),'Mapping A'!$B$6:$E$1011,4,0)=1,$E137,""),0)</f>
        <v>0</v>
      </c>
      <c r="O137" s="519">
        <f ca="1">_xlfn.IFNA(IF(VLOOKUP($B137&amp;OFFSET(O$10,$A137*2,0),'Mapping A'!$B$6:$E$1011,4,0)=1,$E137,""),0)</f>
        <v>0</v>
      </c>
      <c r="P137" s="519">
        <f ca="1">_xlfn.IFNA(IF(VLOOKUP($B137&amp;OFFSET(P$10,$A137*2,0),'Mapping A'!$B$6:$E$1011,4,0)=1,$E137,""),0)</f>
        <v>0</v>
      </c>
      <c r="Q137" s="519">
        <f ca="1">_xlfn.IFNA(IF(VLOOKUP($B137&amp;OFFSET(Q$10,$A137*2,0),'Mapping A'!$B$6:$E$1011,4,0)=1,$E137,""),0)</f>
        <v>0</v>
      </c>
      <c r="R137" s="519">
        <f ca="1">_xlfn.IFNA(IF(VLOOKUP($B137&amp;OFFSET(R$10,$A137*2,0),'Mapping A'!$B$6:$E$1011,4,0)=1,$E137,""),0)</f>
        <v>0</v>
      </c>
      <c r="S137" s="519">
        <f ca="1">_xlfn.IFNA(IF(VLOOKUP($B137&amp;OFFSET(S$10,$A137*2,0),'Mapping A'!$B$6:$E$1011,4,0)=1,$E137,""),0)</f>
        <v>0</v>
      </c>
      <c r="T137" s="519">
        <f ca="1">_xlfn.IFNA(IF(VLOOKUP($B137&amp;OFFSET(T$10,$A137*2,0),'Mapping A'!$B$6:$E$1011,4,0)=1,$E137,""),0)</f>
        <v>0</v>
      </c>
      <c r="Y137" s="534" t="str">
        <f t="shared" si="47"/>
        <v>PowercoMST0331</v>
      </c>
      <c r="Z137" s="519" t="str">
        <f t="shared" si="26"/>
        <v>Powerco</v>
      </c>
      <c r="AA137" s="519" t="str">
        <f t="shared" si="27"/>
        <v>MST0331</v>
      </c>
      <c r="AB137" s="519">
        <f t="shared" si="43"/>
        <v>45.011400000000002</v>
      </c>
      <c r="AC137" s="324"/>
      <c r="AE137" s="519">
        <f t="shared" ca="1" si="28"/>
        <v>0</v>
      </c>
      <c r="AF137" s="519">
        <f t="shared" ca="1" si="29"/>
        <v>0</v>
      </c>
      <c r="AG137" s="519">
        <f t="shared" ca="1" si="30"/>
        <v>0</v>
      </c>
      <c r="AH137" s="519">
        <f t="shared" ca="1" si="31"/>
        <v>0</v>
      </c>
      <c r="AI137" s="519">
        <f t="shared" ca="1" si="44"/>
        <v>0</v>
      </c>
      <c r="AJ137" s="519">
        <f t="shared" ca="1" si="32"/>
        <v>0</v>
      </c>
      <c r="AK137" s="519">
        <f t="shared" ca="1" si="33"/>
        <v>0</v>
      </c>
      <c r="AL137" s="519">
        <f t="shared" ca="1" si="34"/>
        <v>0</v>
      </c>
      <c r="AM137" s="519">
        <f t="shared" ca="1" si="35"/>
        <v>0</v>
      </c>
      <c r="AN137" s="519">
        <f t="shared" ca="1" si="36"/>
        <v>0</v>
      </c>
      <c r="AO137" s="519">
        <f t="shared" ca="1" si="37"/>
        <v>0</v>
      </c>
      <c r="AP137" s="519">
        <f t="shared" ca="1" si="38"/>
        <v>0</v>
      </c>
      <c r="AQ137" s="519">
        <f t="shared" ca="1" si="39"/>
        <v>0</v>
      </c>
      <c r="AS137" s="536"/>
      <c r="AT137" s="536"/>
      <c r="AU137" s="519" t="str">
        <f t="shared" si="45"/>
        <v>Powerco</v>
      </c>
      <c r="AV137" s="519" t="str">
        <f t="shared" si="40"/>
        <v>MST0331</v>
      </c>
      <c r="AW137" s="519">
        <f t="shared" si="41"/>
        <v>45.011400000000002</v>
      </c>
      <c r="AX137" s="538"/>
      <c r="AY137" s="539">
        <f t="shared" ca="1" si="46"/>
        <v>1.365422798565354</v>
      </c>
      <c r="AZ137" s="189"/>
    </row>
    <row r="138" spans="1:52" x14ac:dyDescent="0.3">
      <c r="A138" s="556">
        <v>1</v>
      </c>
      <c r="B138" s="519" t="str">
        <f t="shared" si="42"/>
        <v>MTI</v>
      </c>
      <c r="C138" s="519" t="str">
        <f>AMDs!C119</f>
        <v>MRP</v>
      </c>
      <c r="D138" s="519" t="str">
        <f>AMDs!D119</f>
        <v>MTI2201</v>
      </c>
      <c r="E138" s="519">
        <f>IF(AMDs!C119="other",0,AMDs!E119)</f>
        <v>4.9139999999999997</v>
      </c>
      <c r="H138" s="519">
        <f ca="1">_xlfn.IFNA(IF(VLOOKUP($B138&amp;OFFSET(H$10,$A138*2,0),'Mapping A'!$B$6:$E$1011,4,0)=1,$E138,""),0)</f>
        <v>0</v>
      </c>
      <c r="I138" s="519">
        <f ca="1">_xlfn.IFNA(IF(VLOOKUP($B138&amp;OFFSET(I$10,$A138*2,0),'Mapping A'!$B$6:$E$1011,4,0)=1,$E138,""),0)</f>
        <v>0</v>
      </c>
      <c r="J138" s="519">
        <f ca="1">_xlfn.IFNA(IF(VLOOKUP($B138&amp;OFFSET(J$10,$A138*2,0),'Mapping A'!$B$6:$E$1011,4,0)=1,$E138,""),0)</f>
        <v>0</v>
      </c>
      <c r="K138" s="519">
        <f ca="1">_xlfn.IFNA(IF(VLOOKUP($B138&amp;OFFSET(K$10,$A138*2,0),'Mapping A'!$B$6:$E$1011,4,0)=1,$E138,""),0)</f>
        <v>0</v>
      </c>
      <c r="L138" s="519">
        <f ca="1">_xlfn.IFNA(IF(VLOOKUP($B138&amp;OFFSET(L$10,$A138*2,0),'Mapping A'!$B$6:$E$1011,4,0)=1,$E138,""),0)</f>
        <v>0</v>
      </c>
      <c r="M138" s="519">
        <f ca="1">_xlfn.IFNA(IF(VLOOKUP($B138&amp;OFFSET(M$10,$A138*2,0),'Mapping A'!$B$6:$E$1011,4,0)=1,$E138,""),0)</f>
        <v>0</v>
      </c>
      <c r="N138" s="519">
        <f ca="1">_xlfn.IFNA(IF(VLOOKUP($B138&amp;OFFSET(N$10,$A138*2,0),'Mapping A'!$B$6:$E$1011,4,0)=1,$E138,""),0)</f>
        <v>0</v>
      </c>
      <c r="O138" s="519">
        <f ca="1">_xlfn.IFNA(IF(VLOOKUP($B138&amp;OFFSET(O$10,$A138*2,0),'Mapping A'!$B$6:$E$1011,4,0)=1,$E138,""),0)</f>
        <v>0</v>
      </c>
      <c r="P138" s="519">
        <f ca="1">_xlfn.IFNA(IF(VLOOKUP($B138&amp;OFFSET(P$10,$A138*2,0),'Mapping A'!$B$6:$E$1011,4,0)=1,$E138,""),0)</f>
        <v>0</v>
      </c>
      <c r="Q138" s="519">
        <f ca="1">_xlfn.IFNA(IF(VLOOKUP($B138&amp;OFFSET(Q$10,$A138*2,0),'Mapping A'!$B$6:$E$1011,4,0)=1,$E138,""),0)</f>
        <v>0</v>
      </c>
      <c r="R138" s="519">
        <f ca="1">_xlfn.IFNA(IF(VLOOKUP($B138&amp;OFFSET(R$10,$A138*2,0),'Mapping A'!$B$6:$E$1011,4,0)=1,$E138,""),0)</f>
        <v>0</v>
      </c>
      <c r="S138" s="519">
        <f ca="1">_xlfn.IFNA(IF(VLOOKUP($B138&amp;OFFSET(S$10,$A138*2,0),'Mapping A'!$B$6:$E$1011,4,0)=1,$E138,""),0)</f>
        <v>0</v>
      </c>
      <c r="T138" s="519">
        <f ca="1">_xlfn.IFNA(IF(VLOOKUP($B138&amp;OFFSET(T$10,$A138*2,0),'Mapping A'!$B$6:$E$1011,4,0)=1,$E138,""),0)</f>
        <v>0</v>
      </c>
      <c r="Y138" s="534" t="str">
        <f t="shared" si="47"/>
        <v>MRPMTI2201</v>
      </c>
      <c r="Z138" s="519" t="str">
        <f t="shared" si="26"/>
        <v>MRP</v>
      </c>
      <c r="AA138" s="519" t="str">
        <f t="shared" si="27"/>
        <v>MTI2201</v>
      </c>
      <c r="AB138" s="519">
        <f t="shared" si="43"/>
        <v>4.9139999999999997</v>
      </c>
      <c r="AC138" s="324"/>
      <c r="AE138" s="519">
        <f t="shared" ca="1" si="28"/>
        <v>0</v>
      </c>
      <c r="AF138" s="519">
        <f t="shared" ca="1" si="29"/>
        <v>0</v>
      </c>
      <c r="AG138" s="519">
        <f t="shared" ca="1" si="30"/>
        <v>0</v>
      </c>
      <c r="AH138" s="519">
        <f t="shared" ca="1" si="31"/>
        <v>0</v>
      </c>
      <c r="AI138" s="519">
        <f t="shared" ca="1" si="44"/>
        <v>0</v>
      </c>
      <c r="AJ138" s="519">
        <f t="shared" ca="1" si="32"/>
        <v>0</v>
      </c>
      <c r="AK138" s="519">
        <f t="shared" ca="1" si="33"/>
        <v>0</v>
      </c>
      <c r="AL138" s="519">
        <f t="shared" ca="1" si="34"/>
        <v>0</v>
      </c>
      <c r="AM138" s="519">
        <f t="shared" ca="1" si="35"/>
        <v>0</v>
      </c>
      <c r="AN138" s="519">
        <f t="shared" ca="1" si="36"/>
        <v>0</v>
      </c>
      <c r="AO138" s="519">
        <f t="shared" ca="1" si="37"/>
        <v>0</v>
      </c>
      <c r="AP138" s="519">
        <f t="shared" ca="1" si="38"/>
        <v>0</v>
      </c>
      <c r="AQ138" s="519">
        <f t="shared" ca="1" si="39"/>
        <v>0</v>
      </c>
      <c r="AS138" s="536"/>
      <c r="AT138" s="536"/>
      <c r="AU138" s="519" t="str">
        <f t="shared" si="45"/>
        <v>MRP</v>
      </c>
      <c r="AV138" s="519" t="str">
        <f t="shared" si="40"/>
        <v>MTI2201</v>
      </c>
      <c r="AW138" s="519">
        <f t="shared" si="41"/>
        <v>4.9139999999999997</v>
      </c>
      <c r="AX138" s="538"/>
      <c r="AY138" s="539">
        <f t="shared" ca="1" si="46"/>
        <v>0.14906640611378782</v>
      </c>
      <c r="AZ138" s="189"/>
    </row>
    <row r="139" spans="1:52" x14ac:dyDescent="0.3">
      <c r="A139" s="556">
        <v>1</v>
      </c>
      <c r="B139" s="519" t="str">
        <f t="shared" si="42"/>
        <v>MTM</v>
      </c>
      <c r="C139" s="519" t="str">
        <f>AMDs!C120</f>
        <v>Powerco</v>
      </c>
      <c r="D139" s="519" t="str">
        <f>AMDs!D120</f>
        <v>MTM0331</v>
      </c>
      <c r="E139" s="519">
        <f>IF(AMDs!C120="other",0,AMDs!E120)</f>
        <v>65.438100000000006</v>
      </c>
      <c r="H139" s="519">
        <f ca="1">_xlfn.IFNA(IF(VLOOKUP($B139&amp;OFFSET(H$10,$A139*2,0),'Mapping A'!$B$6:$E$1011,4,0)=1,$E139,""),0)</f>
        <v>0</v>
      </c>
      <c r="I139" s="519">
        <f ca="1">_xlfn.IFNA(IF(VLOOKUP($B139&amp;OFFSET(I$10,$A139*2,0),'Mapping A'!$B$6:$E$1011,4,0)=1,$E139,""),0)</f>
        <v>65.438100000000006</v>
      </c>
      <c r="J139" s="519">
        <f ca="1">_xlfn.IFNA(IF(VLOOKUP($B139&amp;OFFSET(J$10,$A139*2,0),'Mapping A'!$B$6:$E$1011,4,0)=1,$E139,""),0)</f>
        <v>65.438100000000006</v>
      </c>
      <c r="K139" s="519">
        <f ca="1">_xlfn.IFNA(IF(VLOOKUP($B139&amp;OFFSET(K$10,$A139*2,0),'Mapping A'!$B$6:$E$1011,4,0)=1,$E139,""),0)</f>
        <v>0</v>
      </c>
      <c r="L139" s="519">
        <f ca="1">_xlfn.IFNA(IF(VLOOKUP($B139&amp;OFFSET(L$10,$A139*2,0),'Mapping A'!$B$6:$E$1011,4,0)=1,$E139,""),0)</f>
        <v>0</v>
      </c>
      <c r="M139" s="519">
        <f ca="1">_xlfn.IFNA(IF(VLOOKUP($B139&amp;OFFSET(M$10,$A139*2,0),'Mapping A'!$B$6:$E$1011,4,0)=1,$E139,""),0)</f>
        <v>65.438100000000006</v>
      </c>
      <c r="N139" s="519">
        <f ca="1">_xlfn.IFNA(IF(VLOOKUP($B139&amp;OFFSET(N$10,$A139*2,0),'Mapping A'!$B$6:$E$1011,4,0)=1,$E139,""),0)</f>
        <v>0</v>
      </c>
      <c r="O139" s="519">
        <f ca="1">_xlfn.IFNA(IF(VLOOKUP($B139&amp;OFFSET(O$10,$A139*2,0),'Mapping A'!$B$6:$E$1011,4,0)=1,$E139,""),0)</f>
        <v>0</v>
      </c>
      <c r="P139" s="519">
        <f ca="1">_xlfn.IFNA(IF(VLOOKUP($B139&amp;OFFSET(P$10,$A139*2,0),'Mapping A'!$B$6:$E$1011,4,0)=1,$E139,""),0)</f>
        <v>0</v>
      </c>
      <c r="Q139" s="519">
        <f ca="1">_xlfn.IFNA(IF(VLOOKUP($B139&amp;OFFSET(Q$10,$A139*2,0),'Mapping A'!$B$6:$E$1011,4,0)=1,$E139,""),0)</f>
        <v>0</v>
      </c>
      <c r="R139" s="519">
        <f ca="1">_xlfn.IFNA(IF(VLOOKUP($B139&amp;OFFSET(R$10,$A139*2,0),'Mapping A'!$B$6:$E$1011,4,0)=1,$E139,""),0)</f>
        <v>0</v>
      </c>
      <c r="S139" s="519">
        <f ca="1">_xlfn.IFNA(IF(VLOOKUP($B139&amp;OFFSET(S$10,$A139*2,0),'Mapping A'!$B$6:$E$1011,4,0)=1,$E139,""),0)</f>
        <v>0</v>
      </c>
      <c r="T139" s="519">
        <f ca="1">_xlfn.IFNA(IF(VLOOKUP($B139&amp;OFFSET(T$10,$A139*2,0),'Mapping A'!$B$6:$E$1011,4,0)=1,$E139,""),0)</f>
        <v>0</v>
      </c>
      <c r="Y139" s="534" t="str">
        <f t="shared" si="47"/>
        <v>PowercoMTM0331</v>
      </c>
      <c r="Z139" s="519" t="str">
        <f t="shared" si="26"/>
        <v>Powerco</v>
      </c>
      <c r="AA139" s="519" t="str">
        <f t="shared" si="27"/>
        <v>MTM0331</v>
      </c>
      <c r="AB139" s="519">
        <f t="shared" si="43"/>
        <v>65.438100000000006</v>
      </c>
      <c r="AC139" s="324"/>
      <c r="AE139" s="519">
        <f t="shared" ca="1" si="28"/>
        <v>0</v>
      </c>
      <c r="AF139" s="519">
        <f t="shared" ca="1" si="29"/>
        <v>0</v>
      </c>
      <c r="AG139" s="519">
        <f t="shared" ca="1" si="30"/>
        <v>0</v>
      </c>
      <c r="AH139" s="519">
        <f t="shared" ca="1" si="31"/>
        <v>0</v>
      </c>
      <c r="AI139" s="519">
        <f t="shared" ca="1" si="44"/>
        <v>0</v>
      </c>
      <c r="AJ139" s="519">
        <f t="shared" ca="1" si="32"/>
        <v>0</v>
      </c>
      <c r="AK139" s="519">
        <f t="shared" ca="1" si="33"/>
        <v>0</v>
      </c>
      <c r="AL139" s="519">
        <f t="shared" ca="1" si="34"/>
        <v>0</v>
      </c>
      <c r="AM139" s="519">
        <f t="shared" ca="1" si="35"/>
        <v>0</v>
      </c>
      <c r="AN139" s="519">
        <f t="shared" ca="1" si="36"/>
        <v>0</v>
      </c>
      <c r="AO139" s="519">
        <f t="shared" ca="1" si="37"/>
        <v>0</v>
      </c>
      <c r="AP139" s="519">
        <f t="shared" ca="1" si="38"/>
        <v>0</v>
      </c>
      <c r="AQ139" s="519">
        <f t="shared" ca="1" si="39"/>
        <v>0</v>
      </c>
      <c r="AS139" s="536"/>
      <c r="AT139" s="536"/>
      <c r="AU139" s="519" t="str">
        <f t="shared" si="45"/>
        <v>Powerco</v>
      </c>
      <c r="AV139" s="519" t="str">
        <f t="shared" si="40"/>
        <v>MTM0331</v>
      </c>
      <c r="AW139" s="519">
        <f t="shared" si="41"/>
        <v>65.438100000000006</v>
      </c>
      <c r="AX139" s="538"/>
      <c r="AY139" s="539">
        <f t="shared" ca="1" si="46"/>
        <v>1.9850676414152748</v>
      </c>
      <c r="AZ139" s="189"/>
    </row>
    <row r="140" spans="1:52" x14ac:dyDescent="0.3">
      <c r="A140" s="556">
        <v>1</v>
      </c>
      <c r="B140" s="519" t="str">
        <f t="shared" si="42"/>
        <v>MTN</v>
      </c>
      <c r="C140" s="519" t="str">
        <f>AMDs!C121</f>
        <v>Powerco</v>
      </c>
      <c r="D140" s="519" t="str">
        <f>AMDs!D121</f>
        <v>MTN0331</v>
      </c>
      <c r="E140" s="519">
        <f>IF(AMDs!C121="other",0,AMDs!E121)</f>
        <v>16.697099999999999</v>
      </c>
      <c r="H140" s="519">
        <f ca="1">_xlfn.IFNA(IF(VLOOKUP($B140&amp;OFFSET(H$10,$A140*2,0),'Mapping A'!$B$6:$E$1011,4,0)=1,$E140,""),0)</f>
        <v>0</v>
      </c>
      <c r="I140" s="519">
        <f ca="1">_xlfn.IFNA(IF(VLOOKUP($B140&amp;OFFSET(I$10,$A140*2,0),'Mapping A'!$B$6:$E$1011,4,0)=1,$E140,""),0)</f>
        <v>16.697099999999999</v>
      </c>
      <c r="J140" s="519">
        <f ca="1">_xlfn.IFNA(IF(VLOOKUP($B140&amp;OFFSET(J$10,$A140*2,0),'Mapping A'!$B$6:$E$1011,4,0)=1,$E140,""),0)</f>
        <v>16.697099999999999</v>
      </c>
      <c r="K140" s="519">
        <f ca="1">_xlfn.IFNA(IF(VLOOKUP($B140&amp;OFFSET(K$10,$A140*2,0),'Mapping A'!$B$6:$E$1011,4,0)=1,$E140,""),0)</f>
        <v>0</v>
      </c>
      <c r="L140" s="519">
        <f ca="1">_xlfn.IFNA(IF(VLOOKUP($B140&amp;OFFSET(L$10,$A140*2,0),'Mapping A'!$B$6:$E$1011,4,0)=1,$E140,""),0)</f>
        <v>0</v>
      </c>
      <c r="M140" s="519">
        <f ca="1">_xlfn.IFNA(IF(VLOOKUP($B140&amp;OFFSET(M$10,$A140*2,0),'Mapping A'!$B$6:$E$1011,4,0)=1,$E140,""),0)</f>
        <v>0</v>
      </c>
      <c r="N140" s="519">
        <f ca="1">_xlfn.IFNA(IF(VLOOKUP($B140&amp;OFFSET(N$10,$A140*2,0),'Mapping A'!$B$6:$E$1011,4,0)=1,$E140,""),0)</f>
        <v>0</v>
      </c>
      <c r="O140" s="519">
        <f ca="1">_xlfn.IFNA(IF(VLOOKUP($B140&amp;OFFSET(O$10,$A140*2,0),'Mapping A'!$B$6:$E$1011,4,0)=1,$E140,""),0)</f>
        <v>0</v>
      </c>
      <c r="P140" s="519">
        <f ca="1">_xlfn.IFNA(IF(VLOOKUP($B140&amp;OFFSET(P$10,$A140*2,0),'Mapping A'!$B$6:$E$1011,4,0)=1,$E140,""),0)</f>
        <v>0</v>
      </c>
      <c r="Q140" s="519">
        <f ca="1">_xlfn.IFNA(IF(VLOOKUP($B140&amp;OFFSET(Q$10,$A140*2,0),'Mapping A'!$B$6:$E$1011,4,0)=1,$E140,""),0)</f>
        <v>0</v>
      </c>
      <c r="R140" s="519">
        <f ca="1">_xlfn.IFNA(IF(VLOOKUP($B140&amp;OFFSET(R$10,$A140*2,0),'Mapping A'!$B$6:$E$1011,4,0)=1,$E140,""),0)</f>
        <v>0</v>
      </c>
      <c r="S140" s="519">
        <f ca="1">_xlfn.IFNA(IF(VLOOKUP($B140&amp;OFFSET(S$10,$A140*2,0),'Mapping A'!$B$6:$E$1011,4,0)=1,$E140,""),0)</f>
        <v>0</v>
      </c>
      <c r="T140" s="519">
        <f ca="1">_xlfn.IFNA(IF(VLOOKUP($B140&amp;OFFSET(T$10,$A140*2,0),'Mapping A'!$B$6:$E$1011,4,0)=1,$E140,""),0)</f>
        <v>0</v>
      </c>
      <c r="Y140" s="534" t="str">
        <f t="shared" si="47"/>
        <v>PowercoMTN0331</v>
      </c>
      <c r="Z140" s="519" t="str">
        <f t="shared" si="26"/>
        <v>Powerco</v>
      </c>
      <c r="AA140" s="519" t="str">
        <f t="shared" si="27"/>
        <v>MTN0331</v>
      </c>
      <c r="AB140" s="519">
        <f t="shared" si="43"/>
        <v>16.697099999999999</v>
      </c>
      <c r="AC140" s="324"/>
      <c r="AE140" s="519">
        <f t="shared" ca="1" si="28"/>
        <v>0</v>
      </c>
      <c r="AF140" s="519">
        <f t="shared" ca="1" si="29"/>
        <v>0</v>
      </c>
      <c r="AG140" s="519">
        <f t="shared" ca="1" si="30"/>
        <v>0</v>
      </c>
      <c r="AH140" s="519">
        <f t="shared" ca="1" si="31"/>
        <v>0</v>
      </c>
      <c r="AI140" s="519">
        <f t="shared" ca="1" si="44"/>
        <v>0</v>
      </c>
      <c r="AJ140" s="519">
        <f t="shared" ca="1" si="32"/>
        <v>0</v>
      </c>
      <c r="AK140" s="519">
        <f t="shared" ca="1" si="33"/>
        <v>0</v>
      </c>
      <c r="AL140" s="519">
        <f t="shared" ca="1" si="34"/>
        <v>0</v>
      </c>
      <c r="AM140" s="519">
        <f t="shared" ca="1" si="35"/>
        <v>0</v>
      </c>
      <c r="AN140" s="519">
        <f t="shared" ca="1" si="36"/>
        <v>0</v>
      </c>
      <c r="AO140" s="519">
        <f t="shared" ca="1" si="37"/>
        <v>0</v>
      </c>
      <c r="AP140" s="519">
        <f t="shared" ca="1" si="38"/>
        <v>0</v>
      </c>
      <c r="AQ140" s="519">
        <f t="shared" ca="1" si="39"/>
        <v>0</v>
      </c>
      <c r="AS140" s="536"/>
      <c r="AT140" s="536"/>
      <c r="AU140" s="519" t="str">
        <f t="shared" si="45"/>
        <v>Powerco</v>
      </c>
      <c r="AV140" s="519" t="str">
        <f t="shared" si="40"/>
        <v>MTN0331</v>
      </c>
      <c r="AW140" s="519">
        <f t="shared" si="41"/>
        <v>16.697099999999999</v>
      </c>
      <c r="AX140" s="538"/>
      <c r="AY140" s="539">
        <f t="shared" ca="1" si="46"/>
        <v>0.50650726282509695</v>
      </c>
      <c r="AZ140" s="189"/>
    </row>
    <row r="141" spans="1:52" x14ac:dyDescent="0.3">
      <c r="A141" s="556">
        <v>1</v>
      </c>
      <c r="B141" s="519" t="str">
        <f t="shared" si="42"/>
        <v>MTO</v>
      </c>
      <c r="C141" s="519" t="str">
        <f>AMDs!C122</f>
        <v>Northpower</v>
      </c>
      <c r="D141" s="519" t="str">
        <f>AMDs!D122</f>
        <v>MTO0331</v>
      </c>
      <c r="E141" s="519">
        <f>IF(AMDs!C122="other",0,AMDs!E122)</f>
        <v>17.9298</v>
      </c>
      <c r="H141" s="519">
        <f ca="1">_xlfn.IFNA(IF(VLOOKUP($B141&amp;OFFSET(H$10,$A141*2,0),'Mapping A'!$B$6:$E$1011,4,0)=1,$E141,""),0)</f>
        <v>17.9298</v>
      </c>
      <c r="I141" s="519">
        <f ca="1">_xlfn.IFNA(IF(VLOOKUP($B141&amp;OFFSET(I$10,$A141*2,0),'Mapping A'!$B$6:$E$1011,4,0)=1,$E141,""),0)</f>
        <v>17.9298</v>
      </c>
      <c r="J141" s="519">
        <f ca="1">_xlfn.IFNA(IF(VLOOKUP($B141&amp;OFFSET(J$10,$A141*2,0),'Mapping A'!$B$6:$E$1011,4,0)=1,$E141,""),0)</f>
        <v>17.9298</v>
      </c>
      <c r="K141" s="519">
        <f ca="1">_xlfn.IFNA(IF(VLOOKUP($B141&amp;OFFSET(K$10,$A141*2,0),'Mapping A'!$B$6:$E$1011,4,0)=1,$E141,""),0)</f>
        <v>17.9298</v>
      </c>
      <c r="L141" s="519">
        <f ca="1">_xlfn.IFNA(IF(VLOOKUP($B141&amp;OFFSET(L$10,$A141*2,0),'Mapping A'!$B$6:$E$1011,4,0)=1,$E141,""),0)</f>
        <v>0</v>
      </c>
      <c r="M141" s="519">
        <f ca="1">_xlfn.IFNA(IF(VLOOKUP($B141&amp;OFFSET(M$10,$A141*2,0),'Mapping A'!$B$6:$E$1011,4,0)=1,$E141,""),0)</f>
        <v>17.9298</v>
      </c>
      <c r="N141" s="519">
        <f ca="1">_xlfn.IFNA(IF(VLOOKUP($B141&amp;OFFSET(N$10,$A141*2,0),'Mapping A'!$B$6:$E$1011,4,0)=1,$E141,""),0)</f>
        <v>17.9298</v>
      </c>
      <c r="O141" s="519">
        <f ca="1">_xlfn.IFNA(IF(VLOOKUP($B141&amp;OFFSET(O$10,$A141*2,0),'Mapping A'!$B$6:$E$1011,4,0)=1,$E141,""),0)</f>
        <v>0</v>
      </c>
      <c r="P141" s="519">
        <f ca="1">_xlfn.IFNA(IF(VLOOKUP($B141&amp;OFFSET(P$10,$A141*2,0),'Mapping A'!$B$6:$E$1011,4,0)=1,$E141,""),0)</f>
        <v>0</v>
      </c>
      <c r="Q141" s="519">
        <f ca="1">_xlfn.IFNA(IF(VLOOKUP($B141&amp;OFFSET(Q$10,$A141*2,0),'Mapping A'!$B$6:$E$1011,4,0)=1,$E141,""),0)</f>
        <v>17.9298</v>
      </c>
      <c r="R141" s="519">
        <f ca="1">_xlfn.IFNA(IF(VLOOKUP($B141&amp;OFFSET(R$10,$A141*2,0),'Mapping A'!$B$6:$E$1011,4,0)=1,$E141,""),0)</f>
        <v>0</v>
      </c>
      <c r="S141" s="519">
        <f ca="1">_xlfn.IFNA(IF(VLOOKUP($B141&amp;OFFSET(S$10,$A141*2,0),'Mapping A'!$B$6:$E$1011,4,0)=1,$E141,""),0)</f>
        <v>0</v>
      </c>
      <c r="T141" s="519">
        <f ca="1">_xlfn.IFNA(IF(VLOOKUP($B141&amp;OFFSET(T$10,$A141*2,0),'Mapping A'!$B$6:$E$1011,4,0)=1,$E141,""),0)</f>
        <v>0</v>
      </c>
      <c r="Y141" s="534" t="str">
        <f t="shared" si="47"/>
        <v>NorthpowerMTO0331</v>
      </c>
      <c r="Z141" s="519" t="str">
        <f t="shared" si="26"/>
        <v>Northpower</v>
      </c>
      <c r="AA141" s="519" t="str">
        <f t="shared" si="27"/>
        <v>MTO0331</v>
      </c>
      <c r="AB141" s="519">
        <f t="shared" si="43"/>
        <v>17.9298</v>
      </c>
      <c r="AC141" s="324"/>
      <c r="AE141" s="519">
        <f t="shared" ca="1" si="28"/>
        <v>0</v>
      </c>
      <c r="AF141" s="519">
        <f t="shared" ca="1" si="29"/>
        <v>0</v>
      </c>
      <c r="AG141" s="519">
        <f t="shared" ca="1" si="30"/>
        <v>0</v>
      </c>
      <c r="AH141" s="519">
        <f t="shared" ca="1" si="31"/>
        <v>0.3147060142451753</v>
      </c>
      <c r="AI141" s="519">
        <f t="shared" ca="1" si="44"/>
        <v>0</v>
      </c>
      <c r="AJ141" s="519">
        <f t="shared" ca="1" si="32"/>
        <v>0</v>
      </c>
      <c r="AK141" s="519">
        <f t="shared" ca="1" si="33"/>
        <v>7.1812918731967823E-2</v>
      </c>
      <c r="AL141" s="519">
        <f t="shared" ca="1" si="34"/>
        <v>0</v>
      </c>
      <c r="AM141" s="519">
        <f t="shared" ca="1" si="35"/>
        <v>0</v>
      </c>
      <c r="AN141" s="519">
        <f t="shared" ca="1" si="36"/>
        <v>3.3120273432908659E-2</v>
      </c>
      <c r="AO141" s="519">
        <f t="shared" ca="1" si="37"/>
        <v>0</v>
      </c>
      <c r="AP141" s="519">
        <f t="shared" ca="1" si="38"/>
        <v>0</v>
      </c>
      <c r="AQ141" s="519">
        <f t="shared" ca="1" si="39"/>
        <v>0</v>
      </c>
      <c r="AS141" s="536"/>
      <c r="AT141" s="536"/>
      <c r="AU141" s="519" t="str">
        <f t="shared" si="45"/>
        <v>Northpower</v>
      </c>
      <c r="AV141" s="519" t="str">
        <f t="shared" si="40"/>
        <v>MTO0331</v>
      </c>
      <c r="AW141" s="519">
        <f t="shared" si="41"/>
        <v>17.9298</v>
      </c>
      <c r="AX141" s="538"/>
      <c r="AY141" s="539">
        <f t="shared" ca="1" si="46"/>
        <v>0.54390127153825663</v>
      </c>
      <c r="AZ141" s="189"/>
    </row>
    <row r="142" spans="1:52" x14ac:dyDescent="0.3">
      <c r="A142" s="556">
        <v>1</v>
      </c>
      <c r="B142" s="519" t="str">
        <f t="shared" si="42"/>
        <v>MTR</v>
      </c>
      <c r="C142" s="519" t="str">
        <f>AMDs!C123</f>
        <v>Powerco</v>
      </c>
      <c r="D142" s="519" t="str">
        <f>AMDs!D123</f>
        <v>MTR0331</v>
      </c>
      <c r="E142" s="519">
        <f>IF(AMDs!C123="other",0,AMDs!E123)</f>
        <v>7.1169000000000002</v>
      </c>
      <c r="H142" s="519">
        <f ca="1">_xlfn.IFNA(IF(VLOOKUP($B142&amp;OFFSET(H$10,$A142*2,0),'Mapping A'!$B$6:$E$1011,4,0)=1,$E142,""),0)</f>
        <v>0</v>
      </c>
      <c r="I142" s="519">
        <f ca="1">_xlfn.IFNA(IF(VLOOKUP($B142&amp;OFFSET(I$10,$A142*2,0),'Mapping A'!$B$6:$E$1011,4,0)=1,$E142,""),0)</f>
        <v>7.1169000000000002</v>
      </c>
      <c r="J142" s="519">
        <f ca="1">_xlfn.IFNA(IF(VLOOKUP($B142&amp;OFFSET(J$10,$A142*2,0),'Mapping A'!$B$6:$E$1011,4,0)=1,$E142,""),0)</f>
        <v>7.1169000000000002</v>
      </c>
      <c r="K142" s="519">
        <f ca="1">_xlfn.IFNA(IF(VLOOKUP($B142&amp;OFFSET(K$10,$A142*2,0),'Mapping A'!$B$6:$E$1011,4,0)=1,$E142,""),0)</f>
        <v>0</v>
      </c>
      <c r="L142" s="519">
        <f ca="1">_xlfn.IFNA(IF(VLOOKUP($B142&amp;OFFSET(L$10,$A142*2,0),'Mapping A'!$B$6:$E$1011,4,0)=1,$E142,""),0)</f>
        <v>0</v>
      </c>
      <c r="M142" s="519">
        <f ca="1">_xlfn.IFNA(IF(VLOOKUP($B142&amp;OFFSET(M$10,$A142*2,0),'Mapping A'!$B$6:$E$1011,4,0)=1,$E142,""),0)</f>
        <v>0</v>
      </c>
      <c r="N142" s="519">
        <f ca="1">_xlfn.IFNA(IF(VLOOKUP($B142&amp;OFFSET(N$10,$A142*2,0),'Mapping A'!$B$6:$E$1011,4,0)=1,$E142,""),0)</f>
        <v>0</v>
      </c>
      <c r="O142" s="519">
        <f ca="1">_xlfn.IFNA(IF(VLOOKUP($B142&amp;OFFSET(O$10,$A142*2,0),'Mapping A'!$B$6:$E$1011,4,0)=1,$E142,""),0)</f>
        <v>0</v>
      </c>
      <c r="P142" s="519">
        <f ca="1">_xlfn.IFNA(IF(VLOOKUP($B142&amp;OFFSET(P$10,$A142*2,0),'Mapping A'!$B$6:$E$1011,4,0)=1,$E142,""),0)</f>
        <v>0</v>
      </c>
      <c r="Q142" s="519">
        <f ca="1">_xlfn.IFNA(IF(VLOOKUP($B142&amp;OFFSET(Q$10,$A142*2,0),'Mapping A'!$B$6:$E$1011,4,0)=1,$E142,""),0)</f>
        <v>0</v>
      </c>
      <c r="R142" s="519">
        <f ca="1">_xlfn.IFNA(IF(VLOOKUP($B142&amp;OFFSET(R$10,$A142*2,0),'Mapping A'!$B$6:$E$1011,4,0)=1,$E142,""),0)</f>
        <v>0</v>
      </c>
      <c r="S142" s="519">
        <f ca="1">_xlfn.IFNA(IF(VLOOKUP($B142&amp;OFFSET(S$10,$A142*2,0),'Mapping A'!$B$6:$E$1011,4,0)=1,$E142,""),0)</f>
        <v>0</v>
      </c>
      <c r="T142" s="519">
        <f ca="1">_xlfn.IFNA(IF(VLOOKUP($B142&amp;OFFSET(T$10,$A142*2,0),'Mapping A'!$B$6:$E$1011,4,0)=1,$E142,""),0)</f>
        <v>0</v>
      </c>
      <c r="Y142" s="534" t="str">
        <f t="shared" si="47"/>
        <v>PowercoMTR0331</v>
      </c>
      <c r="Z142" s="519" t="str">
        <f t="shared" si="26"/>
        <v>Powerco</v>
      </c>
      <c r="AA142" s="519" t="str">
        <f t="shared" si="27"/>
        <v>MTR0331</v>
      </c>
      <c r="AB142" s="519">
        <f t="shared" si="43"/>
        <v>7.1169000000000002</v>
      </c>
      <c r="AC142" s="324"/>
      <c r="AE142" s="519">
        <f t="shared" ca="1" si="28"/>
        <v>0</v>
      </c>
      <c r="AF142" s="519">
        <f t="shared" ca="1" si="29"/>
        <v>0</v>
      </c>
      <c r="AG142" s="519">
        <f t="shared" ca="1" si="30"/>
        <v>0</v>
      </c>
      <c r="AH142" s="519">
        <f t="shared" ca="1" si="31"/>
        <v>0</v>
      </c>
      <c r="AI142" s="519">
        <f t="shared" ca="1" si="44"/>
        <v>0</v>
      </c>
      <c r="AJ142" s="519">
        <f t="shared" ca="1" si="32"/>
        <v>0</v>
      </c>
      <c r="AK142" s="519">
        <f t="shared" ca="1" si="33"/>
        <v>0</v>
      </c>
      <c r="AL142" s="519">
        <f t="shared" ca="1" si="34"/>
        <v>0</v>
      </c>
      <c r="AM142" s="519">
        <f t="shared" ca="1" si="35"/>
        <v>0</v>
      </c>
      <c r="AN142" s="519">
        <f t="shared" ca="1" si="36"/>
        <v>0</v>
      </c>
      <c r="AO142" s="519">
        <f t="shared" ca="1" si="37"/>
        <v>0</v>
      </c>
      <c r="AP142" s="519">
        <f t="shared" ca="1" si="38"/>
        <v>0</v>
      </c>
      <c r="AQ142" s="519">
        <f t="shared" ca="1" si="39"/>
        <v>0</v>
      </c>
      <c r="AS142" s="536"/>
      <c r="AT142" s="536"/>
      <c r="AU142" s="519" t="str">
        <f t="shared" si="45"/>
        <v>Powerco</v>
      </c>
      <c r="AV142" s="519" t="str">
        <f t="shared" si="40"/>
        <v>MTR0331</v>
      </c>
      <c r="AW142" s="519">
        <f t="shared" si="41"/>
        <v>7.1169000000000002</v>
      </c>
      <c r="AX142" s="538"/>
      <c r="AY142" s="539">
        <f t="shared" ca="1" si="46"/>
        <v>0.21589147449556709</v>
      </c>
      <c r="AZ142" s="189"/>
    </row>
    <row r="143" spans="1:52" x14ac:dyDescent="0.3">
      <c r="A143" s="556">
        <v>1</v>
      </c>
      <c r="B143" s="519" t="str">
        <f t="shared" si="42"/>
        <v>NAP</v>
      </c>
      <c r="C143" s="519" t="str">
        <f>AMDs!C124</f>
        <v>Other</v>
      </c>
      <c r="D143" s="519" t="str">
        <f>AMDs!D124</f>
        <v>NAP2201</v>
      </c>
      <c r="E143" s="519">
        <f>IF(AMDs!C124="other",0,AMDs!E124)</f>
        <v>0</v>
      </c>
      <c r="H143" s="519">
        <f ca="1">_xlfn.IFNA(IF(VLOOKUP($B143&amp;OFFSET(H$10,$A143*2,0),'Mapping A'!$B$6:$E$1011,4,0)=1,$E143,""),0)</f>
        <v>0</v>
      </c>
      <c r="I143" s="519">
        <f ca="1">_xlfn.IFNA(IF(VLOOKUP($B143&amp;OFFSET(I$10,$A143*2,0),'Mapping A'!$B$6:$E$1011,4,0)=1,$E143,""),0)</f>
        <v>0</v>
      </c>
      <c r="J143" s="519">
        <f ca="1">_xlfn.IFNA(IF(VLOOKUP($B143&amp;OFFSET(J$10,$A143*2,0),'Mapping A'!$B$6:$E$1011,4,0)=1,$E143,""),0)</f>
        <v>0</v>
      </c>
      <c r="K143" s="519">
        <f ca="1">_xlfn.IFNA(IF(VLOOKUP($B143&amp;OFFSET(K$10,$A143*2,0),'Mapping A'!$B$6:$E$1011,4,0)=1,$E143,""),0)</f>
        <v>0</v>
      </c>
      <c r="L143" s="519">
        <f ca="1">_xlfn.IFNA(IF(VLOOKUP($B143&amp;OFFSET(L$10,$A143*2,0),'Mapping A'!$B$6:$E$1011,4,0)=1,$E143,""),0)</f>
        <v>0</v>
      </c>
      <c r="M143" s="519">
        <f ca="1">_xlfn.IFNA(IF(VLOOKUP($B143&amp;OFFSET(M$10,$A143*2,0),'Mapping A'!$B$6:$E$1011,4,0)=1,$E143,""),0)</f>
        <v>0</v>
      </c>
      <c r="N143" s="519">
        <f ca="1">_xlfn.IFNA(IF(VLOOKUP($B143&amp;OFFSET(N$10,$A143*2,0),'Mapping A'!$B$6:$E$1011,4,0)=1,$E143,""),0)</f>
        <v>0</v>
      </c>
      <c r="O143" s="519">
        <f ca="1">_xlfn.IFNA(IF(VLOOKUP($B143&amp;OFFSET(O$10,$A143*2,0),'Mapping A'!$B$6:$E$1011,4,0)=1,$E143,""),0)</f>
        <v>0</v>
      </c>
      <c r="P143" s="519">
        <f ca="1">_xlfn.IFNA(IF(VLOOKUP($B143&amp;OFFSET(P$10,$A143*2,0),'Mapping A'!$B$6:$E$1011,4,0)=1,$E143,""),0)</f>
        <v>0</v>
      </c>
      <c r="Q143" s="519">
        <f ca="1">_xlfn.IFNA(IF(VLOOKUP($B143&amp;OFFSET(Q$10,$A143*2,0),'Mapping A'!$B$6:$E$1011,4,0)=1,$E143,""),0)</f>
        <v>0</v>
      </c>
      <c r="R143" s="519">
        <f ca="1">_xlfn.IFNA(IF(VLOOKUP($B143&amp;OFFSET(R$10,$A143*2,0),'Mapping A'!$B$6:$E$1011,4,0)=1,$E143,""),0)</f>
        <v>0</v>
      </c>
      <c r="S143" s="519">
        <f ca="1">_xlfn.IFNA(IF(VLOOKUP($B143&amp;OFFSET(S$10,$A143*2,0),'Mapping A'!$B$6:$E$1011,4,0)=1,$E143,""),0)</f>
        <v>0</v>
      </c>
      <c r="T143" s="519">
        <f ca="1">_xlfn.IFNA(IF(VLOOKUP($B143&amp;OFFSET(T$10,$A143*2,0),'Mapping A'!$B$6:$E$1011,4,0)=1,$E143,""),0)</f>
        <v>0</v>
      </c>
      <c r="Y143" s="534" t="str">
        <f t="shared" si="47"/>
        <v>OtherNAP2201</v>
      </c>
      <c r="Z143" s="519" t="str">
        <f t="shared" si="26"/>
        <v>Other</v>
      </c>
      <c r="AA143" s="519" t="str">
        <f t="shared" si="27"/>
        <v>NAP2201</v>
      </c>
      <c r="AB143" s="519">
        <f t="shared" si="43"/>
        <v>0</v>
      </c>
      <c r="AC143" s="324"/>
      <c r="AE143" s="519">
        <f t="shared" ca="1" si="28"/>
        <v>0</v>
      </c>
      <c r="AF143" s="519">
        <f t="shared" ca="1" si="29"/>
        <v>0</v>
      </c>
      <c r="AG143" s="519">
        <f t="shared" ca="1" si="30"/>
        <v>0</v>
      </c>
      <c r="AH143" s="519">
        <f t="shared" ca="1" si="31"/>
        <v>0</v>
      </c>
      <c r="AI143" s="519">
        <f t="shared" ca="1" si="44"/>
        <v>0</v>
      </c>
      <c r="AJ143" s="519">
        <f t="shared" ca="1" si="32"/>
        <v>0</v>
      </c>
      <c r="AK143" s="519">
        <f t="shared" ca="1" si="33"/>
        <v>0</v>
      </c>
      <c r="AL143" s="519">
        <f t="shared" ca="1" si="34"/>
        <v>0</v>
      </c>
      <c r="AM143" s="519">
        <f t="shared" ca="1" si="35"/>
        <v>0</v>
      </c>
      <c r="AN143" s="519">
        <f t="shared" ca="1" si="36"/>
        <v>0</v>
      </c>
      <c r="AO143" s="519">
        <f t="shared" ca="1" si="37"/>
        <v>0</v>
      </c>
      <c r="AP143" s="519">
        <f t="shared" ca="1" si="38"/>
        <v>0</v>
      </c>
      <c r="AQ143" s="519">
        <f t="shared" ca="1" si="39"/>
        <v>0</v>
      </c>
      <c r="AS143" s="536"/>
      <c r="AT143" s="536"/>
      <c r="AU143" s="519" t="str">
        <f t="shared" si="45"/>
        <v>Other</v>
      </c>
      <c r="AV143" s="519" t="str">
        <f t="shared" si="40"/>
        <v>NAP2201</v>
      </c>
      <c r="AW143" s="519">
        <f t="shared" si="41"/>
        <v>0</v>
      </c>
      <c r="AX143" s="538"/>
      <c r="AY143" s="539">
        <f t="shared" ca="1" si="46"/>
        <v>0</v>
      </c>
      <c r="AZ143" s="189"/>
    </row>
    <row r="144" spans="1:52" x14ac:dyDescent="0.3">
      <c r="A144" s="556">
        <v>1</v>
      </c>
      <c r="B144" s="519" t="str">
        <f t="shared" si="42"/>
        <v>NAP</v>
      </c>
      <c r="C144" s="519" t="str">
        <f>AMDs!C125</f>
        <v>MRP</v>
      </c>
      <c r="D144" s="519" t="str">
        <f>AMDs!D125</f>
        <v>NAP2202</v>
      </c>
      <c r="E144" s="519">
        <f>IF(AMDs!C125="other",0,AMDs!E125)</f>
        <v>14.4648</v>
      </c>
      <c r="H144" s="519">
        <f ca="1">_xlfn.IFNA(IF(VLOOKUP($B144&amp;OFFSET(H$10,$A144*2,0),'Mapping A'!$B$6:$E$1011,4,0)=1,$E144,""),0)</f>
        <v>0</v>
      </c>
      <c r="I144" s="519">
        <f ca="1">_xlfn.IFNA(IF(VLOOKUP($B144&amp;OFFSET(I$10,$A144*2,0),'Mapping A'!$B$6:$E$1011,4,0)=1,$E144,""),0)</f>
        <v>14.4648</v>
      </c>
      <c r="J144" s="519">
        <f ca="1">_xlfn.IFNA(IF(VLOOKUP($B144&amp;OFFSET(J$10,$A144*2,0),'Mapping A'!$B$6:$E$1011,4,0)=1,$E144,""),0)</f>
        <v>14.4648</v>
      </c>
      <c r="K144" s="519">
        <f ca="1">_xlfn.IFNA(IF(VLOOKUP($B144&amp;OFFSET(K$10,$A144*2,0),'Mapping A'!$B$6:$E$1011,4,0)=1,$E144,""),0)</f>
        <v>0</v>
      </c>
      <c r="L144" s="519">
        <f ca="1">_xlfn.IFNA(IF(VLOOKUP($B144&amp;OFFSET(L$10,$A144*2,0),'Mapping A'!$B$6:$E$1011,4,0)=1,$E144,""),0)</f>
        <v>0</v>
      </c>
      <c r="M144" s="519">
        <f ca="1">_xlfn.IFNA(IF(VLOOKUP($B144&amp;OFFSET(M$10,$A144*2,0),'Mapping A'!$B$6:$E$1011,4,0)=1,$E144,""),0)</f>
        <v>0</v>
      </c>
      <c r="N144" s="519">
        <f ca="1">_xlfn.IFNA(IF(VLOOKUP($B144&amp;OFFSET(N$10,$A144*2,0),'Mapping A'!$B$6:$E$1011,4,0)=1,$E144,""),0)</f>
        <v>0</v>
      </c>
      <c r="O144" s="519">
        <f ca="1">_xlfn.IFNA(IF(VLOOKUP($B144&amp;OFFSET(O$10,$A144*2,0),'Mapping A'!$B$6:$E$1011,4,0)=1,$E144,""),0)</f>
        <v>0</v>
      </c>
      <c r="P144" s="519">
        <f ca="1">_xlfn.IFNA(IF(VLOOKUP($B144&amp;OFFSET(P$10,$A144*2,0),'Mapping A'!$B$6:$E$1011,4,0)=1,$E144,""),0)</f>
        <v>0</v>
      </c>
      <c r="Q144" s="519">
        <f ca="1">_xlfn.IFNA(IF(VLOOKUP($B144&amp;OFFSET(Q$10,$A144*2,0),'Mapping A'!$B$6:$E$1011,4,0)=1,$E144,""),0)</f>
        <v>0</v>
      </c>
      <c r="R144" s="519">
        <f ca="1">_xlfn.IFNA(IF(VLOOKUP($B144&amp;OFFSET(R$10,$A144*2,0),'Mapping A'!$B$6:$E$1011,4,0)=1,$E144,""),0)</f>
        <v>0</v>
      </c>
      <c r="S144" s="519">
        <f ca="1">_xlfn.IFNA(IF(VLOOKUP($B144&amp;OFFSET(S$10,$A144*2,0),'Mapping A'!$B$6:$E$1011,4,0)=1,$E144,""),0)</f>
        <v>0</v>
      </c>
      <c r="T144" s="519">
        <f ca="1">_xlfn.IFNA(IF(VLOOKUP($B144&amp;OFFSET(T$10,$A144*2,0),'Mapping A'!$B$6:$E$1011,4,0)=1,$E144,""),0)</f>
        <v>0</v>
      </c>
      <c r="Y144" s="534" t="str">
        <f t="shared" si="47"/>
        <v>MRPNAP2202</v>
      </c>
      <c r="Z144" s="519" t="str">
        <f t="shared" si="26"/>
        <v>MRP</v>
      </c>
      <c r="AA144" s="519" t="str">
        <f t="shared" si="27"/>
        <v>NAP2202</v>
      </c>
      <c r="AB144" s="519">
        <f t="shared" si="43"/>
        <v>14.4648</v>
      </c>
      <c r="AC144" s="324"/>
      <c r="AE144" s="519">
        <f t="shared" ca="1" si="28"/>
        <v>0</v>
      </c>
      <c r="AF144" s="519">
        <f t="shared" ca="1" si="29"/>
        <v>0</v>
      </c>
      <c r="AG144" s="519">
        <f t="shared" ca="1" si="30"/>
        <v>0</v>
      </c>
      <c r="AH144" s="519">
        <f t="shared" ca="1" si="31"/>
        <v>0</v>
      </c>
      <c r="AI144" s="519">
        <f t="shared" ca="1" si="44"/>
        <v>0</v>
      </c>
      <c r="AJ144" s="519">
        <f t="shared" ca="1" si="32"/>
        <v>0</v>
      </c>
      <c r="AK144" s="519">
        <f t="shared" ca="1" si="33"/>
        <v>0</v>
      </c>
      <c r="AL144" s="519">
        <f t="shared" ca="1" si="34"/>
        <v>0</v>
      </c>
      <c r="AM144" s="519">
        <f t="shared" ca="1" si="35"/>
        <v>0</v>
      </c>
      <c r="AN144" s="519">
        <f t="shared" ca="1" si="36"/>
        <v>0</v>
      </c>
      <c r="AO144" s="519">
        <f t="shared" ca="1" si="37"/>
        <v>0</v>
      </c>
      <c r="AP144" s="519">
        <f t="shared" ca="1" si="38"/>
        <v>0</v>
      </c>
      <c r="AQ144" s="519">
        <f t="shared" ca="1" si="39"/>
        <v>0</v>
      </c>
      <c r="AS144" s="536"/>
      <c r="AT144" s="536"/>
      <c r="AU144" s="519" t="str">
        <f t="shared" si="45"/>
        <v>MRP</v>
      </c>
      <c r="AV144" s="519" t="str">
        <f t="shared" si="40"/>
        <v>NAP2202</v>
      </c>
      <c r="AW144" s="519">
        <f t="shared" si="41"/>
        <v>14.4648</v>
      </c>
      <c r="AX144" s="538"/>
      <c r="AY144" s="539">
        <f t="shared" ca="1" si="46"/>
        <v>0.4387903441503293</v>
      </c>
      <c r="AZ144" s="189"/>
    </row>
    <row r="145" spans="1:52" x14ac:dyDescent="0.3">
      <c r="A145" s="556">
        <v>1</v>
      </c>
      <c r="B145" s="519" t="str">
        <f t="shared" si="42"/>
        <v>NMA</v>
      </c>
      <c r="C145" s="519" t="str">
        <f>AMDs!C126</f>
        <v>The Power Company</v>
      </c>
      <c r="D145" s="519" t="str">
        <f>AMDs!D126</f>
        <v>NMA0331</v>
      </c>
      <c r="E145" s="519">
        <f>IF(AMDs!C126="other",0,AMDs!E126)</f>
        <v>60.620699999999999</v>
      </c>
      <c r="H145" s="519">
        <f ca="1">_xlfn.IFNA(IF(VLOOKUP($B145&amp;OFFSET(H$10,$A145*2,0),'Mapping A'!$B$6:$E$1011,4,0)=1,$E145,""),0)</f>
        <v>0</v>
      </c>
      <c r="I145" s="519">
        <f ca="1">_xlfn.IFNA(IF(VLOOKUP($B145&amp;OFFSET(I$10,$A145*2,0),'Mapping A'!$B$6:$E$1011,4,0)=1,$E145,""),0)</f>
        <v>60.620699999999999</v>
      </c>
      <c r="J145" s="519">
        <f ca="1">_xlfn.IFNA(IF(VLOOKUP($B145&amp;OFFSET(J$10,$A145*2,0),'Mapping A'!$B$6:$E$1011,4,0)=1,$E145,""),0)</f>
        <v>0</v>
      </c>
      <c r="K145" s="519">
        <f ca="1">_xlfn.IFNA(IF(VLOOKUP($B145&amp;OFFSET(K$10,$A145*2,0),'Mapping A'!$B$6:$E$1011,4,0)=1,$E145,""),0)</f>
        <v>0</v>
      </c>
      <c r="L145" s="519">
        <f ca="1">_xlfn.IFNA(IF(VLOOKUP($B145&amp;OFFSET(L$10,$A145*2,0),'Mapping A'!$B$6:$E$1011,4,0)=1,$E145,""),0)</f>
        <v>0</v>
      </c>
      <c r="M145" s="519">
        <f ca="1">_xlfn.IFNA(IF(VLOOKUP($B145&amp;OFFSET(M$10,$A145*2,0),'Mapping A'!$B$6:$E$1011,4,0)=1,$E145,""),0)</f>
        <v>0</v>
      </c>
      <c r="N145" s="519">
        <f ca="1">_xlfn.IFNA(IF(VLOOKUP($B145&amp;OFFSET(N$10,$A145*2,0),'Mapping A'!$B$6:$E$1011,4,0)=1,$E145,""),0)</f>
        <v>0</v>
      </c>
      <c r="O145" s="519">
        <f ca="1">_xlfn.IFNA(IF(VLOOKUP($B145&amp;OFFSET(O$10,$A145*2,0),'Mapping A'!$B$6:$E$1011,4,0)=1,$E145,""),0)</f>
        <v>0</v>
      </c>
      <c r="P145" s="519">
        <f ca="1">_xlfn.IFNA(IF(VLOOKUP($B145&amp;OFFSET(P$10,$A145*2,0),'Mapping A'!$B$6:$E$1011,4,0)=1,$E145,""),0)</f>
        <v>0</v>
      </c>
      <c r="Q145" s="519">
        <f ca="1">_xlfn.IFNA(IF(VLOOKUP($B145&amp;OFFSET(Q$10,$A145*2,0),'Mapping A'!$B$6:$E$1011,4,0)=1,$E145,""),0)</f>
        <v>0</v>
      </c>
      <c r="R145" s="519">
        <f ca="1">_xlfn.IFNA(IF(VLOOKUP($B145&amp;OFFSET(R$10,$A145*2,0),'Mapping A'!$B$6:$E$1011,4,0)=1,$E145,""),0)</f>
        <v>0</v>
      </c>
      <c r="S145" s="519">
        <f ca="1">_xlfn.IFNA(IF(VLOOKUP($B145&amp;OFFSET(S$10,$A145*2,0),'Mapping A'!$B$6:$E$1011,4,0)=1,$E145,""),0)</f>
        <v>0</v>
      </c>
      <c r="T145" s="519">
        <f ca="1">_xlfn.IFNA(IF(VLOOKUP($B145&amp;OFFSET(T$10,$A145*2,0),'Mapping A'!$B$6:$E$1011,4,0)=1,$E145,""),0)</f>
        <v>0</v>
      </c>
      <c r="Y145" s="534" t="str">
        <f t="shared" si="47"/>
        <v>The Power CompanyNMA0331</v>
      </c>
      <c r="Z145" s="519" t="str">
        <f t="shared" si="26"/>
        <v>The Power Company</v>
      </c>
      <c r="AA145" s="519" t="str">
        <f t="shared" si="27"/>
        <v>NMA0331</v>
      </c>
      <c r="AB145" s="519">
        <f t="shared" si="43"/>
        <v>60.620699999999999</v>
      </c>
      <c r="AC145" s="324"/>
      <c r="AE145" s="519">
        <f t="shared" ca="1" si="28"/>
        <v>0</v>
      </c>
      <c r="AF145" s="519">
        <f t="shared" ca="1" si="29"/>
        <v>0</v>
      </c>
      <c r="AG145" s="519">
        <f t="shared" ca="1" si="30"/>
        <v>0</v>
      </c>
      <c r="AH145" s="519">
        <f t="shared" ca="1" si="31"/>
        <v>0</v>
      </c>
      <c r="AI145" s="519">
        <f t="shared" ca="1" si="44"/>
        <v>0</v>
      </c>
      <c r="AJ145" s="519">
        <f t="shared" ca="1" si="32"/>
        <v>0</v>
      </c>
      <c r="AK145" s="519">
        <f t="shared" ca="1" si="33"/>
        <v>0</v>
      </c>
      <c r="AL145" s="519">
        <f t="shared" ca="1" si="34"/>
        <v>0</v>
      </c>
      <c r="AM145" s="519">
        <f t="shared" ca="1" si="35"/>
        <v>0</v>
      </c>
      <c r="AN145" s="519">
        <f t="shared" ca="1" si="36"/>
        <v>0</v>
      </c>
      <c r="AO145" s="519">
        <f t="shared" ca="1" si="37"/>
        <v>0</v>
      </c>
      <c r="AP145" s="519">
        <f t="shared" ca="1" si="38"/>
        <v>0</v>
      </c>
      <c r="AQ145" s="519">
        <f t="shared" ca="1" si="39"/>
        <v>0</v>
      </c>
      <c r="AS145" s="536"/>
      <c r="AT145" s="536"/>
      <c r="AU145" s="519" t="str">
        <f t="shared" si="45"/>
        <v>The Power Company</v>
      </c>
      <c r="AV145" s="519" t="str">
        <f t="shared" si="40"/>
        <v>NMA0331</v>
      </c>
      <c r="AW145" s="519">
        <f t="shared" si="41"/>
        <v>60.620699999999999</v>
      </c>
      <c r="AX145" s="538"/>
      <c r="AY145" s="539">
        <f t="shared" ca="1" si="46"/>
        <v>1.8389316005498773</v>
      </c>
      <c r="AZ145" s="189"/>
    </row>
    <row r="146" spans="1:52" x14ac:dyDescent="0.3">
      <c r="A146" s="556">
        <v>1</v>
      </c>
      <c r="B146" s="519" t="str">
        <f t="shared" si="42"/>
        <v>NPK</v>
      </c>
      <c r="C146" s="519" t="str">
        <f>AMDs!C127</f>
        <v>The Lines Company</v>
      </c>
      <c r="D146" s="519" t="str">
        <f>AMDs!D127</f>
        <v>NPK0331</v>
      </c>
      <c r="E146" s="519">
        <f>IF(AMDs!C127="other",0,AMDs!E127)</f>
        <v>6.7115999999999998</v>
      </c>
      <c r="H146" s="519">
        <f ca="1">_xlfn.IFNA(IF(VLOOKUP($B146&amp;OFFSET(H$10,$A146*2,0),'Mapping A'!$B$6:$E$1011,4,0)=1,$E146,""),0)</f>
        <v>0</v>
      </c>
      <c r="I146" s="519">
        <f ca="1">_xlfn.IFNA(IF(VLOOKUP($B146&amp;OFFSET(I$10,$A146*2,0),'Mapping A'!$B$6:$E$1011,4,0)=1,$E146,""),0)</f>
        <v>6.7115999999999998</v>
      </c>
      <c r="J146" s="519">
        <f ca="1">_xlfn.IFNA(IF(VLOOKUP($B146&amp;OFFSET(J$10,$A146*2,0),'Mapping A'!$B$6:$E$1011,4,0)=1,$E146,""),0)</f>
        <v>6.7115999999999998</v>
      </c>
      <c r="K146" s="519">
        <f ca="1">_xlfn.IFNA(IF(VLOOKUP($B146&amp;OFFSET(K$10,$A146*2,0),'Mapping A'!$B$6:$E$1011,4,0)=1,$E146,""),0)</f>
        <v>0</v>
      </c>
      <c r="L146" s="519">
        <f ca="1">_xlfn.IFNA(IF(VLOOKUP($B146&amp;OFFSET(L$10,$A146*2,0),'Mapping A'!$B$6:$E$1011,4,0)=1,$E146,""),0)</f>
        <v>0</v>
      </c>
      <c r="M146" s="519">
        <f ca="1">_xlfn.IFNA(IF(VLOOKUP($B146&amp;OFFSET(M$10,$A146*2,0),'Mapping A'!$B$6:$E$1011,4,0)=1,$E146,""),0)</f>
        <v>0</v>
      </c>
      <c r="N146" s="519">
        <f ca="1">_xlfn.IFNA(IF(VLOOKUP($B146&amp;OFFSET(N$10,$A146*2,0),'Mapping A'!$B$6:$E$1011,4,0)=1,$E146,""),0)</f>
        <v>0</v>
      </c>
      <c r="O146" s="519">
        <f ca="1">_xlfn.IFNA(IF(VLOOKUP($B146&amp;OFFSET(O$10,$A146*2,0),'Mapping A'!$B$6:$E$1011,4,0)=1,$E146,""),0)</f>
        <v>0</v>
      </c>
      <c r="P146" s="519">
        <f ca="1">_xlfn.IFNA(IF(VLOOKUP($B146&amp;OFFSET(P$10,$A146*2,0),'Mapping A'!$B$6:$E$1011,4,0)=1,$E146,""),0)</f>
        <v>0</v>
      </c>
      <c r="Q146" s="519">
        <f ca="1">_xlfn.IFNA(IF(VLOOKUP($B146&amp;OFFSET(Q$10,$A146*2,0),'Mapping A'!$B$6:$E$1011,4,0)=1,$E146,""),0)</f>
        <v>0</v>
      </c>
      <c r="R146" s="519">
        <f ca="1">_xlfn.IFNA(IF(VLOOKUP($B146&amp;OFFSET(R$10,$A146*2,0),'Mapping A'!$B$6:$E$1011,4,0)=1,$E146,""),0)</f>
        <v>0</v>
      </c>
      <c r="S146" s="519">
        <f ca="1">_xlfn.IFNA(IF(VLOOKUP($B146&amp;OFFSET(S$10,$A146*2,0),'Mapping A'!$B$6:$E$1011,4,0)=1,$E146,""),0)</f>
        <v>0</v>
      </c>
      <c r="T146" s="519">
        <f ca="1">_xlfn.IFNA(IF(VLOOKUP($B146&amp;OFFSET(T$10,$A146*2,0),'Mapping A'!$B$6:$E$1011,4,0)=1,$E146,""),0)</f>
        <v>0</v>
      </c>
      <c r="Y146" s="534" t="str">
        <f t="shared" si="47"/>
        <v>The Lines CompanyNPK0331</v>
      </c>
      <c r="Z146" s="519" t="str">
        <f t="shared" si="26"/>
        <v>The Lines Company</v>
      </c>
      <c r="AA146" s="519" t="str">
        <f t="shared" si="27"/>
        <v>NPK0331</v>
      </c>
      <c r="AB146" s="519">
        <f t="shared" si="43"/>
        <v>6.7115999999999998</v>
      </c>
      <c r="AC146" s="324"/>
      <c r="AE146" s="519">
        <f t="shared" ca="1" si="28"/>
        <v>0</v>
      </c>
      <c r="AF146" s="519">
        <f t="shared" ca="1" si="29"/>
        <v>0</v>
      </c>
      <c r="AG146" s="519">
        <f t="shared" ca="1" si="30"/>
        <v>0</v>
      </c>
      <c r="AH146" s="519">
        <f t="shared" ca="1" si="31"/>
        <v>0</v>
      </c>
      <c r="AI146" s="519">
        <f t="shared" ca="1" si="44"/>
        <v>0</v>
      </c>
      <c r="AJ146" s="519">
        <f t="shared" ca="1" si="32"/>
        <v>0</v>
      </c>
      <c r="AK146" s="519">
        <f t="shared" ca="1" si="33"/>
        <v>0</v>
      </c>
      <c r="AL146" s="519">
        <f t="shared" ca="1" si="34"/>
        <v>0</v>
      </c>
      <c r="AM146" s="519">
        <f t="shared" ca="1" si="35"/>
        <v>0</v>
      </c>
      <c r="AN146" s="519">
        <f t="shared" ca="1" si="36"/>
        <v>0</v>
      </c>
      <c r="AO146" s="519">
        <f t="shared" ca="1" si="37"/>
        <v>0</v>
      </c>
      <c r="AP146" s="519">
        <f t="shared" ca="1" si="38"/>
        <v>0</v>
      </c>
      <c r="AQ146" s="519">
        <f t="shared" ca="1" si="39"/>
        <v>0</v>
      </c>
      <c r="AS146" s="536"/>
      <c r="AT146" s="536"/>
      <c r="AU146" s="519" t="str">
        <f t="shared" si="45"/>
        <v>The Lines Company</v>
      </c>
      <c r="AV146" s="519" t="str">
        <f t="shared" si="40"/>
        <v>NPK0331</v>
      </c>
      <c r="AW146" s="519">
        <f t="shared" si="41"/>
        <v>6.7115999999999998</v>
      </c>
      <c r="AX146" s="538"/>
      <c r="AY146" s="539">
        <f t="shared" ca="1" si="46"/>
        <v>0.20359668117079738</v>
      </c>
      <c r="AZ146" s="189"/>
    </row>
    <row r="147" spans="1:52" x14ac:dyDescent="0.3">
      <c r="A147" s="556">
        <v>1</v>
      </c>
      <c r="B147" s="519" t="str">
        <f t="shared" si="42"/>
        <v>NPL</v>
      </c>
      <c r="C147" s="519" t="str">
        <f>AMDs!C128</f>
        <v>Other</v>
      </c>
      <c r="D147" s="519" t="str">
        <f>AMDs!D128</f>
        <v>NPL0331</v>
      </c>
      <c r="E147" s="519">
        <f>IF(AMDs!C128="other",0,AMDs!E128)</f>
        <v>0</v>
      </c>
      <c r="H147" s="519">
        <f ca="1">_xlfn.IFNA(IF(VLOOKUP($B147&amp;OFFSET(H$10,$A147*2,0),'Mapping A'!$B$6:$E$1011,4,0)=1,$E147,""),0)</f>
        <v>0</v>
      </c>
      <c r="I147" s="519">
        <f ca="1">_xlfn.IFNA(IF(VLOOKUP($B147&amp;OFFSET(I$10,$A147*2,0),'Mapping A'!$B$6:$E$1011,4,0)=1,$E147,""),0)</f>
        <v>0</v>
      </c>
      <c r="J147" s="519">
        <f ca="1">_xlfn.IFNA(IF(VLOOKUP($B147&amp;OFFSET(J$10,$A147*2,0),'Mapping A'!$B$6:$E$1011,4,0)=1,$E147,""),0)</f>
        <v>0</v>
      </c>
      <c r="K147" s="519">
        <f ca="1">_xlfn.IFNA(IF(VLOOKUP($B147&amp;OFFSET(K$10,$A147*2,0),'Mapping A'!$B$6:$E$1011,4,0)=1,$E147,""),0)</f>
        <v>0</v>
      </c>
      <c r="L147" s="519">
        <f ca="1">_xlfn.IFNA(IF(VLOOKUP($B147&amp;OFFSET(L$10,$A147*2,0),'Mapping A'!$B$6:$E$1011,4,0)=1,$E147,""),0)</f>
        <v>0</v>
      </c>
      <c r="M147" s="519">
        <f ca="1">_xlfn.IFNA(IF(VLOOKUP($B147&amp;OFFSET(M$10,$A147*2,0),'Mapping A'!$B$6:$E$1011,4,0)=1,$E147,""),0)</f>
        <v>0</v>
      </c>
      <c r="N147" s="519">
        <f ca="1">_xlfn.IFNA(IF(VLOOKUP($B147&amp;OFFSET(N$10,$A147*2,0),'Mapping A'!$B$6:$E$1011,4,0)=1,$E147,""),0)</f>
        <v>0</v>
      </c>
      <c r="O147" s="519">
        <f ca="1">_xlfn.IFNA(IF(VLOOKUP($B147&amp;OFFSET(O$10,$A147*2,0),'Mapping A'!$B$6:$E$1011,4,0)=1,$E147,""),0)</f>
        <v>0</v>
      </c>
      <c r="P147" s="519">
        <f ca="1">_xlfn.IFNA(IF(VLOOKUP($B147&amp;OFFSET(P$10,$A147*2,0),'Mapping A'!$B$6:$E$1011,4,0)=1,$E147,""),0)</f>
        <v>0</v>
      </c>
      <c r="Q147" s="519">
        <f ca="1">_xlfn.IFNA(IF(VLOOKUP($B147&amp;OFFSET(Q$10,$A147*2,0),'Mapping A'!$B$6:$E$1011,4,0)=1,$E147,""),0)</f>
        <v>0</v>
      </c>
      <c r="R147" s="519">
        <f ca="1">_xlfn.IFNA(IF(VLOOKUP($B147&amp;OFFSET(R$10,$A147*2,0),'Mapping A'!$B$6:$E$1011,4,0)=1,$E147,""),0)</f>
        <v>0</v>
      </c>
      <c r="S147" s="519">
        <f ca="1">_xlfn.IFNA(IF(VLOOKUP($B147&amp;OFFSET(S$10,$A147*2,0),'Mapping A'!$B$6:$E$1011,4,0)=1,$E147,""),0)</f>
        <v>0</v>
      </c>
      <c r="T147" s="519">
        <f ca="1">_xlfn.IFNA(IF(VLOOKUP($B147&amp;OFFSET(T$10,$A147*2,0),'Mapping A'!$B$6:$E$1011,4,0)=1,$E147,""),0)</f>
        <v>0</v>
      </c>
      <c r="Y147" s="534" t="str">
        <f t="shared" si="47"/>
        <v>OtherNPL0331</v>
      </c>
      <c r="Z147" s="519" t="str">
        <f t="shared" si="26"/>
        <v>Other</v>
      </c>
      <c r="AA147" s="519" t="str">
        <f t="shared" si="27"/>
        <v>NPL0331</v>
      </c>
      <c r="AB147" s="519">
        <f t="shared" si="43"/>
        <v>0</v>
      </c>
      <c r="AC147" s="324"/>
      <c r="AE147" s="519">
        <f t="shared" ca="1" si="28"/>
        <v>0</v>
      </c>
      <c r="AF147" s="519">
        <f t="shared" ca="1" si="29"/>
        <v>0</v>
      </c>
      <c r="AG147" s="519">
        <f t="shared" ca="1" si="30"/>
        <v>0</v>
      </c>
      <c r="AH147" s="519">
        <f t="shared" ca="1" si="31"/>
        <v>0</v>
      </c>
      <c r="AI147" s="519">
        <f t="shared" ca="1" si="44"/>
        <v>0</v>
      </c>
      <c r="AJ147" s="519">
        <f t="shared" ca="1" si="32"/>
        <v>0</v>
      </c>
      <c r="AK147" s="519">
        <f t="shared" ca="1" si="33"/>
        <v>0</v>
      </c>
      <c r="AL147" s="519">
        <f t="shared" ca="1" si="34"/>
        <v>0</v>
      </c>
      <c r="AM147" s="519">
        <f t="shared" ca="1" si="35"/>
        <v>0</v>
      </c>
      <c r="AN147" s="519">
        <f t="shared" ca="1" si="36"/>
        <v>0</v>
      </c>
      <c r="AO147" s="519">
        <f t="shared" ca="1" si="37"/>
        <v>0</v>
      </c>
      <c r="AP147" s="519">
        <f t="shared" ca="1" si="38"/>
        <v>0</v>
      </c>
      <c r="AQ147" s="519">
        <f t="shared" ca="1" si="39"/>
        <v>0</v>
      </c>
      <c r="AS147" s="536"/>
      <c r="AT147" s="536"/>
      <c r="AU147" s="519" t="str">
        <f t="shared" si="45"/>
        <v>Other</v>
      </c>
      <c r="AV147" s="519" t="str">
        <f t="shared" si="40"/>
        <v>NPL0331</v>
      </c>
      <c r="AW147" s="519">
        <f t="shared" si="41"/>
        <v>0</v>
      </c>
      <c r="AX147" s="538"/>
      <c r="AY147" s="539">
        <f t="shared" ca="1" si="46"/>
        <v>0</v>
      </c>
      <c r="AZ147" s="189"/>
    </row>
    <row r="148" spans="1:52" x14ac:dyDescent="0.3">
      <c r="A148" s="556">
        <v>1</v>
      </c>
      <c r="B148" s="519" t="str">
        <f t="shared" si="42"/>
        <v>NPL</v>
      </c>
      <c r="C148" s="519" t="str">
        <f>AMDs!C129</f>
        <v>Powerco</v>
      </c>
      <c r="D148" s="519" t="str">
        <f>AMDs!D129</f>
        <v>NPL0331</v>
      </c>
      <c r="E148" s="519">
        <f>IF(AMDs!C129="other",0,AMDs!E129)</f>
        <v>20.411999999999999</v>
      </c>
      <c r="H148" s="519">
        <f ca="1">_xlfn.IFNA(IF(VLOOKUP($B148&amp;OFFSET(H$10,$A148*2,0),'Mapping A'!$B$6:$E$1011,4,0)=1,$E148,""),0)</f>
        <v>0</v>
      </c>
      <c r="I148" s="519">
        <f ca="1">_xlfn.IFNA(IF(VLOOKUP($B148&amp;OFFSET(I$10,$A148*2,0),'Mapping A'!$B$6:$E$1011,4,0)=1,$E148,""),0)</f>
        <v>20.411999999999999</v>
      </c>
      <c r="J148" s="519">
        <f ca="1">_xlfn.IFNA(IF(VLOOKUP($B148&amp;OFFSET(J$10,$A148*2,0),'Mapping A'!$B$6:$E$1011,4,0)=1,$E148,""),0)</f>
        <v>20.411999999999999</v>
      </c>
      <c r="K148" s="519">
        <f ca="1">_xlfn.IFNA(IF(VLOOKUP($B148&amp;OFFSET(K$10,$A148*2,0),'Mapping A'!$B$6:$E$1011,4,0)=1,$E148,""),0)</f>
        <v>0</v>
      </c>
      <c r="L148" s="519">
        <f ca="1">_xlfn.IFNA(IF(VLOOKUP($B148&amp;OFFSET(L$10,$A148*2,0),'Mapping A'!$B$6:$E$1011,4,0)=1,$E148,""),0)</f>
        <v>0</v>
      </c>
      <c r="M148" s="519">
        <f ca="1">_xlfn.IFNA(IF(VLOOKUP($B148&amp;OFFSET(M$10,$A148*2,0),'Mapping A'!$B$6:$E$1011,4,0)=1,$E148,""),0)</f>
        <v>0</v>
      </c>
      <c r="N148" s="519">
        <f ca="1">_xlfn.IFNA(IF(VLOOKUP($B148&amp;OFFSET(N$10,$A148*2,0),'Mapping A'!$B$6:$E$1011,4,0)=1,$E148,""),0)</f>
        <v>0</v>
      </c>
      <c r="O148" s="519">
        <f ca="1">_xlfn.IFNA(IF(VLOOKUP($B148&amp;OFFSET(O$10,$A148*2,0),'Mapping A'!$B$6:$E$1011,4,0)=1,$E148,""),0)</f>
        <v>0</v>
      </c>
      <c r="P148" s="519">
        <f ca="1">_xlfn.IFNA(IF(VLOOKUP($B148&amp;OFFSET(P$10,$A148*2,0),'Mapping A'!$B$6:$E$1011,4,0)=1,$E148,""),0)</f>
        <v>0</v>
      </c>
      <c r="Q148" s="519">
        <f ca="1">_xlfn.IFNA(IF(VLOOKUP($B148&amp;OFFSET(Q$10,$A148*2,0),'Mapping A'!$B$6:$E$1011,4,0)=1,$E148,""),0)</f>
        <v>0</v>
      </c>
      <c r="R148" s="519">
        <f ca="1">_xlfn.IFNA(IF(VLOOKUP($B148&amp;OFFSET(R$10,$A148*2,0),'Mapping A'!$B$6:$E$1011,4,0)=1,$E148,""),0)</f>
        <v>0</v>
      </c>
      <c r="S148" s="519">
        <f ca="1">_xlfn.IFNA(IF(VLOOKUP($B148&amp;OFFSET(S$10,$A148*2,0),'Mapping A'!$B$6:$E$1011,4,0)=1,$E148,""),0)</f>
        <v>0</v>
      </c>
      <c r="T148" s="519">
        <f ca="1">_xlfn.IFNA(IF(VLOOKUP($B148&amp;OFFSET(T$10,$A148*2,0),'Mapping A'!$B$6:$E$1011,4,0)=1,$E148,""),0)</f>
        <v>0</v>
      </c>
      <c r="Y148" s="534" t="str">
        <f t="shared" si="47"/>
        <v>PowercoNPL0331</v>
      </c>
      <c r="Z148" s="519" t="str">
        <f t="shared" si="26"/>
        <v>Powerco</v>
      </c>
      <c r="AA148" s="519" t="str">
        <f t="shared" si="27"/>
        <v>NPL0331</v>
      </c>
      <c r="AB148" s="519">
        <f t="shared" si="43"/>
        <v>20.411999999999999</v>
      </c>
      <c r="AC148" s="324"/>
      <c r="AE148" s="519">
        <f t="shared" ca="1" si="28"/>
        <v>0</v>
      </c>
      <c r="AF148" s="519">
        <f t="shared" ca="1" si="29"/>
        <v>0</v>
      </c>
      <c r="AG148" s="519">
        <f t="shared" ca="1" si="30"/>
        <v>0</v>
      </c>
      <c r="AH148" s="519">
        <f t="shared" ca="1" si="31"/>
        <v>0</v>
      </c>
      <c r="AI148" s="519">
        <f t="shared" ca="1" si="44"/>
        <v>0</v>
      </c>
      <c r="AJ148" s="519">
        <f t="shared" ca="1" si="32"/>
        <v>0</v>
      </c>
      <c r="AK148" s="519">
        <f t="shared" ca="1" si="33"/>
        <v>0</v>
      </c>
      <c r="AL148" s="519">
        <f t="shared" ca="1" si="34"/>
        <v>0</v>
      </c>
      <c r="AM148" s="519">
        <f t="shared" ca="1" si="35"/>
        <v>0</v>
      </c>
      <c r="AN148" s="519">
        <f t="shared" ca="1" si="36"/>
        <v>0</v>
      </c>
      <c r="AO148" s="519">
        <f t="shared" ca="1" si="37"/>
        <v>0</v>
      </c>
      <c r="AP148" s="519">
        <f t="shared" ca="1" si="38"/>
        <v>0</v>
      </c>
      <c r="AQ148" s="519">
        <f t="shared" ca="1" si="39"/>
        <v>0</v>
      </c>
      <c r="AS148" s="536"/>
      <c r="AT148" s="536"/>
      <c r="AU148" s="519" t="str">
        <f t="shared" si="45"/>
        <v>Powerco</v>
      </c>
      <c r="AV148" s="519" t="str">
        <f t="shared" si="40"/>
        <v>NPL0331</v>
      </c>
      <c r="AW148" s="519">
        <f t="shared" si="41"/>
        <v>20.411999999999999</v>
      </c>
      <c r="AX148" s="538"/>
      <c r="AY148" s="539">
        <f t="shared" ca="1" si="46"/>
        <v>0.61919891770342628</v>
      </c>
      <c r="AZ148" s="189"/>
    </row>
    <row r="149" spans="1:52" x14ac:dyDescent="0.3">
      <c r="A149" s="556">
        <v>1</v>
      </c>
      <c r="B149" s="519" t="str">
        <f t="shared" si="42"/>
        <v>NSY</v>
      </c>
      <c r="C149" s="519" t="str">
        <f>AMDs!C130</f>
        <v>OtagoNet JV</v>
      </c>
      <c r="D149" s="519" t="str">
        <f>AMDs!D130</f>
        <v>NSY0331</v>
      </c>
      <c r="E149" s="519">
        <f>IF(AMDs!C130="other",0,AMDs!E130)</f>
        <v>33.429900000000004</v>
      </c>
      <c r="H149" s="519">
        <f ca="1">_xlfn.IFNA(IF(VLOOKUP($B149&amp;OFFSET(H$10,$A149*2,0),'Mapping A'!$B$6:$E$1011,4,0)=1,$E149,""),0)</f>
        <v>0</v>
      </c>
      <c r="I149" s="519">
        <f ca="1">_xlfn.IFNA(IF(VLOOKUP($B149&amp;OFFSET(I$10,$A149*2,0),'Mapping A'!$B$6:$E$1011,4,0)=1,$E149,""),0)</f>
        <v>33.429900000000004</v>
      </c>
      <c r="J149" s="519">
        <f ca="1">_xlfn.IFNA(IF(VLOOKUP($B149&amp;OFFSET(J$10,$A149*2,0),'Mapping A'!$B$6:$E$1011,4,0)=1,$E149,""),0)</f>
        <v>0</v>
      </c>
      <c r="K149" s="519">
        <f ca="1">_xlfn.IFNA(IF(VLOOKUP($B149&amp;OFFSET(K$10,$A149*2,0),'Mapping A'!$B$6:$E$1011,4,0)=1,$E149,""),0)</f>
        <v>0</v>
      </c>
      <c r="L149" s="519">
        <f ca="1">_xlfn.IFNA(IF(VLOOKUP($B149&amp;OFFSET(L$10,$A149*2,0),'Mapping A'!$B$6:$E$1011,4,0)=1,$E149,""),0)</f>
        <v>0</v>
      </c>
      <c r="M149" s="519">
        <f ca="1">_xlfn.IFNA(IF(VLOOKUP($B149&amp;OFFSET(M$10,$A149*2,0),'Mapping A'!$B$6:$E$1011,4,0)=1,$E149,""),0)</f>
        <v>0</v>
      </c>
      <c r="N149" s="519">
        <f ca="1">_xlfn.IFNA(IF(VLOOKUP($B149&amp;OFFSET(N$10,$A149*2,0),'Mapping A'!$B$6:$E$1011,4,0)=1,$E149,""),0)</f>
        <v>0</v>
      </c>
      <c r="O149" s="519">
        <f ca="1">_xlfn.IFNA(IF(VLOOKUP($B149&amp;OFFSET(O$10,$A149*2,0),'Mapping A'!$B$6:$E$1011,4,0)=1,$E149,""),0)</f>
        <v>0</v>
      </c>
      <c r="P149" s="519">
        <f ca="1">_xlfn.IFNA(IF(VLOOKUP($B149&amp;OFFSET(P$10,$A149*2,0),'Mapping A'!$B$6:$E$1011,4,0)=1,$E149,""),0)</f>
        <v>0</v>
      </c>
      <c r="Q149" s="519">
        <f ca="1">_xlfn.IFNA(IF(VLOOKUP($B149&amp;OFFSET(Q$10,$A149*2,0),'Mapping A'!$B$6:$E$1011,4,0)=1,$E149,""),0)</f>
        <v>0</v>
      </c>
      <c r="R149" s="519">
        <f ca="1">_xlfn.IFNA(IF(VLOOKUP($B149&amp;OFFSET(R$10,$A149*2,0),'Mapping A'!$B$6:$E$1011,4,0)=1,$E149,""),0)</f>
        <v>0</v>
      </c>
      <c r="S149" s="519">
        <f ca="1">_xlfn.IFNA(IF(VLOOKUP($B149&amp;OFFSET(S$10,$A149*2,0),'Mapping A'!$B$6:$E$1011,4,0)=1,$E149,""),0)</f>
        <v>0</v>
      </c>
      <c r="T149" s="519">
        <f ca="1">_xlfn.IFNA(IF(VLOOKUP($B149&amp;OFFSET(T$10,$A149*2,0),'Mapping A'!$B$6:$E$1011,4,0)=1,$E149,""),0)</f>
        <v>0</v>
      </c>
      <c r="Y149" s="534" t="str">
        <f t="shared" si="47"/>
        <v>OtagoNet JVNSY0331</v>
      </c>
      <c r="Z149" s="519" t="str">
        <f t="shared" si="26"/>
        <v>OtagoNet JV</v>
      </c>
      <c r="AA149" s="519" t="str">
        <f t="shared" si="27"/>
        <v>NSY0331</v>
      </c>
      <c r="AB149" s="519">
        <f t="shared" si="43"/>
        <v>33.429900000000004</v>
      </c>
      <c r="AC149" s="324"/>
      <c r="AE149" s="519">
        <f t="shared" ca="1" si="28"/>
        <v>0</v>
      </c>
      <c r="AF149" s="519">
        <f t="shared" ca="1" si="29"/>
        <v>0</v>
      </c>
      <c r="AG149" s="519">
        <f t="shared" ca="1" si="30"/>
        <v>0</v>
      </c>
      <c r="AH149" s="519">
        <f t="shared" ca="1" si="31"/>
        <v>0</v>
      </c>
      <c r="AI149" s="519">
        <f t="shared" ca="1" si="44"/>
        <v>0</v>
      </c>
      <c r="AJ149" s="519">
        <f t="shared" ca="1" si="32"/>
        <v>0</v>
      </c>
      <c r="AK149" s="519">
        <f t="shared" ca="1" si="33"/>
        <v>0</v>
      </c>
      <c r="AL149" s="519">
        <f t="shared" ca="1" si="34"/>
        <v>0</v>
      </c>
      <c r="AM149" s="519">
        <f t="shared" ca="1" si="35"/>
        <v>0</v>
      </c>
      <c r="AN149" s="519">
        <f t="shared" ca="1" si="36"/>
        <v>0</v>
      </c>
      <c r="AO149" s="519">
        <f t="shared" ca="1" si="37"/>
        <v>0</v>
      </c>
      <c r="AP149" s="519">
        <f t="shared" ca="1" si="38"/>
        <v>0</v>
      </c>
      <c r="AQ149" s="519">
        <f t="shared" ca="1" si="39"/>
        <v>0</v>
      </c>
      <c r="AS149" s="536"/>
      <c r="AT149" s="536"/>
      <c r="AU149" s="519" t="str">
        <f t="shared" si="45"/>
        <v>OtagoNet JV</v>
      </c>
      <c r="AV149" s="519" t="str">
        <f t="shared" si="40"/>
        <v>NSY0331</v>
      </c>
      <c r="AW149" s="519">
        <f t="shared" si="41"/>
        <v>33.429900000000004</v>
      </c>
      <c r="AX149" s="538"/>
      <c r="AY149" s="539">
        <f t="shared" ca="1" si="46"/>
        <v>1.0140974867202515</v>
      </c>
      <c r="AZ149" s="189"/>
    </row>
    <row r="150" spans="1:52" x14ac:dyDescent="0.3">
      <c r="A150" s="556">
        <v>1</v>
      </c>
      <c r="B150" s="519" t="str">
        <f t="shared" si="42"/>
        <v>OAM</v>
      </c>
      <c r="C150" s="519" t="str">
        <f>AMDs!C131</f>
        <v>Network Waitaki</v>
      </c>
      <c r="D150" s="519" t="str">
        <f>AMDs!D131</f>
        <v>OAM0331</v>
      </c>
      <c r="E150" s="519">
        <f>IF(AMDs!C131="other",0,AMDs!E131)</f>
        <v>43.243200000000002</v>
      </c>
      <c r="H150" s="519">
        <f ca="1">_xlfn.IFNA(IF(VLOOKUP($B150&amp;OFFSET(H$10,$A150*2,0),'Mapping A'!$B$6:$E$1011,4,0)=1,$E150,""),0)</f>
        <v>0</v>
      </c>
      <c r="I150" s="519">
        <f ca="1">_xlfn.IFNA(IF(VLOOKUP($B150&amp;OFFSET(I$10,$A150*2,0),'Mapping A'!$B$6:$E$1011,4,0)=1,$E150,""),0)</f>
        <v>43.243200000000002</v>
      </c>
      <c r="J150" s="519">
        <f ca="1">_xlfn.IFNA(IF(VLOOKUP($B150&amp;OFFSET(J$10,$A150*2,0),'Mapping A'!$B$6:$E$1011,4,0)=1,$E150,""),0)</f>
        <v>0</v>
      </c>
      <c r="K150" s="519">
        <f ca="1">_xlfn.IFNA(IF(VLOOKUP($B150&amp;OFFSET(K$10,$A150*2,0),'Mapping A'!$B$6:$E$1011,4,0)=1,$E150,""),0)</f>
        <v>0</v>
      </c>
      <c r="L150" s="519">
        <f ca="1">_xlfn.IFNA(IF(VLOOKUP($B150&amp;OFFSET(L$10,$A150*2,0),'Mapping A'!$B$6:$E$1011,4,0)=1,$E150,""),0)</f>
        <v>0</v>
      </c>
      <c r="M150" s="519">
        <f ca="1">_xlfn.IFNA(IF(VLOOKUP($B150&amp;OFFSET(M$10,$A150*2,0),'Mapping A'!$B$6:$E$1011,4,0)=1,$E150,""),0)</f>
        <v>0</v>
      </c>
      <c r="N150" s="519">
        <f ca="1">_xlfn.IFNA(IF(VLOOKUP($B150&amp;OFFSET(N$10,$A150*2,0),'Mapping A'!$B$6:$E$1011,4,0)=1,$E150,""),0)</f>
        <v>0</v>
      </c>
      <c r="O150" s="519">
        <f ca="1">_xlfn.IFNA(IF(VLOOKUP($B150&amp;OFFSET(O$10,$A150*2,0),'Mapping A'!$B$6:$E$1011,4,0)=1,$E150,""),0)</f>
        <v>0</v>
      </c>
      <c r="P150" s="519">
        <f ca="1">_xlfn.IFNA(IF(VLOOKUP($B150&amp;OFFSET(P$10,$A150*2,0),'Mapping A'!$B$6:$E$1011,4,0)=1,$E150,""),0)</f>
        <v>0</v>
      </c>
      <c r="Q150" s="519">
        <f ca="1">_xlfn.IFNA(IF(VLOOKUP($B150&amp;OFFSET(Q$10,$A150*2,0),'Mapping A'!$B$6:$E$1011,4,0)=1,$E150,""),0)</f>
        <v>0</v>
      </c>
      <c r="R150" s="519">
        <f ca="1">_xlfn.IFNA(IF(VLOOKUP($B150&amp;OFFSET(R$10,$A150*2,0),'Mapping A'!$B$6:$E$1011,4,0)=1,$E150,""),0)</f>
        <v>0</v>
      </c>
      <c r="S150" s="519">
        <f ca="1">_xlfn.IFNA(IF(VLOOKUP($B150&amp;OFFSET(S$10,$A150*2,0),'Mapping A'!$B$6:$E$1011,4,0)=1,$E150,""),0)</f>
        <v>0</v>
      </c>
      <c r="T150" s="519">
        <f ca="1">_xlfn.IFNA(IF(VLOOKUP($B150&amp;OFFSET(T$10,$A150*2,0),'Mapping A'!$B$6:$E$1011,4,0)=1,$E150,""),0)</f>
        <v>0</v>
      </c>
      <c r="Y150" s="534" t="str">
        <f t="shared" si="47"/>
        <v>Network WaitakiOAM0331</v>
      </c>
      <c r="Z150" s="519" t="str">
        <f t="shared" ref="Z150:Z213" si="48">C150</f>
        <v>Network Waitaki</v>
      </c>
      <c r="AA150" s="519" t="str">
        <f t="shared" ref="AA150:AA213" si="49">D150</f>
        <v>OAM0331</v>
      </c>
      <c r="AB150" s="519">
        <f t="shared" si="43"/>
        <v>43.243200000000002</v>
      </c>
      <c r="AC150" s="324"/>
      <c r="AE150" s="519">
        <f t="shared" ref="AE150:AE213" ca="1" si="50">IF(SUMIF($A$22:$A$652,$A150,H$22:H$652)=0,0,OFFSET(H$11,$A150*2,0)*H$7*H150/SUMIF($A$22:$A$652,$A150,H$22:H$652))</f>
        <v>0</v>
      </c>
      <c r="AF150" s="519">
        <f t="shared" ref="AF150:AF213" ca="1" si="51">IF(SUMIF($A$22:$A$652,$A150,I$22:I$652)=0,0,OFFSET(I$11,$A150*2,0)*I$7*I150/SUMIF($A$22:$A$652,$A150,I$22:I$652))</f>
        <v>0</v>
      </c>
      <c r="AG150" s="519">
        <f t="shared" ref="AG150:AG213" ca="1" si="52">IF(SUMIF($A$22:$A$652,$A150,J$22:J$652)=0,0,OFFSET(J$11,$A150*2,0)*J$7*J150/SUMIF($A$22:$A$652,$A150,J$22:J$652))</f>
        <v>0</v>
      </c>
      <c r="AH150" s="519">
        <f t="shared" ref="AH150:AH213" ca="1" si="53">IF(SUMIF($A$22:$A$652,$A150,K$22:K$652)=0,0,OFFSET(K$11,$A150*2,0)*K$7*K150/SUMIF($A$22:$A$652,$A150,K$22:K$652))</f>
        <v>0</v>
      </c>
      <c r="AI150" s="519">
        <f t="shared" ca="1" si="44"/>
        <v>0</v>
      </c>
      <c r="AJ150" s="519">
        <f t="shared" ref="AJ150:AJ213" ca="1" si="54">IF(SUMIF($A$22:$A$652,$A150,M$22:M$652)=0,0,OFFSET(M$11,$A150*2,0)*M$7*M150/SUMIF($A$22:$A$652,$A150,M$22:M$652))</f>
        <v>0</v>
      </c>
      <c r="AK150" s="519">
        <f t="shared" ref="AK150:AK213" ca="1" si="55">IF(SUMIF($A$22:$A$652,$A150,N$22:N$652)=0,0,OFFSET(N$11,$A150*2,0)*N$7*N150/SUMIF($A$22:$A$652,$A150,N$22:N$652))</f>
        <v>0</v>
      </c>
      <c r="AL150" s="519">
        <f t="shared" ref="AL150:AL213" ca="1" si="56">IF(SUMIF($A$22:$A$652,$A150,O$22:O$652)=0,0,OFFSET(O$11,$A150*2,0)*O$7*O150/SUMIF($A$22:$A$652,$A150,O$22:O$652))</f>
        <v>0</v>
      </c>
      <c r="AM150" s="519">
        <f t="shared" ref="AM150:AM213" ca="1" si="57">IF(SUMIF($A$22:$A$652,$A150,P$22:P$652)=0,0,OFFSET(P$11,$A150*2,0)*P$7*P150/SUMIF($A$22:$A$652,$A150,P$22:P$652))</f>
        <v>0</v>
      </c>
      <c r="AN150" s="519">
        <f t="shared" ref="AN150:AN213" ca="1" si="58">IF(SUMIF($A$22:$A$652,$A150,Q$22:Q$652)=0,0,OFFSET(Q$11,$A150*2,0)*Q$7*Q150/SUMIF($A$22:$A$652,$A150,Q$22:Q$652))</f>
        <v>0</v>
      </c>
      <c r="AO150" s="519">
        <f t="shared" ref="AO150:AO213" ca="1" si="59">IF(SUMIF($A$22:$A$652,$A150,R$22:R$652)=0,0,OFFSET(R$11,$A150*2,0)*R$7*R150/SUMIF($A$22:$A$652,$A150,R$22:R$652))</f>
        <v>0</v>
      </c>
      <c r="AP150" s="519">
        <f t="shared" ref="AP150:AP213" ca="1" si="60">IF(SUMIF($A$22:$A$652,$A150,S$22:S$652)=0,0,OFFSET(S$11,$A150*2,0)*S$7*S150/SUMIF($A$22:$A$652,$A150,S$22:S$652))</f>
        <v>0</v>
      </c>
      <c r="AQ150" s="519">
        <f t="shared" ref="AQ150:AQ213" ca="1" si="61">IF(SUMIF($A$22:$A$652,$A150,T$22:T$652)=0,0,OFFSET(T$11,$A150*2,0)*T$7*T150/SUMIF($A$22:$A$652,$A150,T$22:T$652))</f>
        <v>0</v>
      </c>
      <c r="AS150" s="536"/>
      <c r="AT150" s="536"/>
      <c r="AU150" s="519" t="str">
        <f t="shared" si="45"/>
        <v>Network Waitaki</v>
      </c>
      <c r="AV150" s="519" t="str">
        <f t="shared" ref="AV150:AV213" si="62">D150</f>
        <v>OAM0331</v>
      </c>
      <c r="AW150" s="519">
        <f t="shared" ref="AW150:AW213" si="63">E150</f>
        <v>43.243200000000002</v>
      </c>
      <c r="AX150" s="538"/>
      <c r="AY150" s="539">
        <f t="shared" ca="1" si="46"/>
        <v>1.3117843738013331</v>
      </c>
      <c r="AZ150" s="189"/>
    </row>
    <row r="151" spans="1:52" x14ac:dyDescent="0.3">
      <c r="A151" s="556">
        <v>1</v>
      </c>
      <c r="B151" s="519" t="str">
        <f t="shared" ref="B151:B214" si="64">LEFT(D151,3)</f>
        <v>OHA</v>
      </c>
      <c r="C151" s="519" t="str">
        <f>AMDs!C132</f>
        <v>Meridian</v>
      </c>
      <c r="D151" s="519" t="str">
        <f>AMDs!D132</f>
        <v>OHA2201</v>
      </c>
      <c r="E151" s="519">
        <f>IF(AMDs!C132="other",0,AMDs!E132)</f>
        <v>4.7165999999999997</v>
      </c>
      <c r="H151" s="519">
        <f ca="1">_xlfn.IFNA(IF(VLOOKUP($B151&amp;OFFSET(H$10,$A151*2,0),'Mapping A'!$B$6:$E$1011,4,0)=1,$E151,""),0)</f>
        <v>0</v>
      </c>
      <c r="I151" s="519">
        <f ca="1">_xlfn.IFNA(IF(VLOOKUP($B151&amp;OFFSET(I$10,$A151*2,0),'Mapping A'!$B$6:$E$1011,4,0)=1,$E151,""),0)</f>
        <v>0</v>
      </c>
      <c r="J151" s="519">
        <f ca="1">_xlfn.IFNA(IF(VLOOKUP($B151&amp;OFFSET(J$10,$A151*2,0),'Mapping A'!$B$6:$E$1011,4,0)=1,$E151,""),0)</f>
        <v>0</v>
      </c>
      <c r="K151" s="519">
        <f ca="1">_xlfn.IFNA(IF(VLOOKUP($B151&amp;OFFSET(K$10,$A151*2,0),'Mapping A'!$B$6:$E$1011,4,0)=1,$E151,""),0)</f>
        <v>0</v>
      </c>
      <c r="L151" s="519">
        <f ca="1">_xlfn.IFNA(IF(VLOOKUP($B151&amp;OFFSET(L$10,$A151*2,0),'Mapping A'!$B$6:$E$1011,4,0)=1,$E151,""),0)</f>
        <v>0</v>
      </c>
      <c r="M151" s="519">
        <f ca="1">_xlfn.IFNA(IF(VLOOKUP($B151&amp;OFFSET(M$10,$A151*2,0),'Mapping A'!$B$6:$E$1011,4,0)=1,$E151,""),0)</f>
        <v>0</v>
      </c>
      <c r="N151" s="519">
        <f ca="1">_xlfn.IFNA(IF(VLOOKUP($B151&amp;OFFSET(N$10,$A151*2,0),'Mapping A'!$B$6:$E$1011,4,0)=1,$E151,""),0)</f>
        <v>0</v>
      </c>
      <c r="O151" s="519">
        <f ca="1">_xlfn.IFNA(IF(VLOOKUP($B151&amp;OFFSET(O$10,$A151*2,0),'Mapping A'!$B$6:$E$1011,4,0)=1,$E151,""),0)</f>
        <v>0</v>
      </c>
      <c r="P151" s="519">
        <f ca="1">_xlfn.IFNA(IF(VLOOKUP($B151&amp;OFFSET(P$10,$A151*2,0),'Mapping A'!$B$6:$E$1011,4,0)=1,$E151,""),0)</f>
        <v>0</v>
      </c>
      <c r="Q151" s="519">
        <f ca="1">_xlfn.IFNA(IF(VLOOKUP($B151&amp;OFFSET(Q$10,$A151*2,0),'Mapping A'!$B$6:$E$1011,4,0)=1,$E151,""),0)</f>
        <v>0</v>
      </c>
      <c r="R151" s="519">
        <f ca="1">_xlfn.IFNA(IF(VLOOKUP($B151&amp;OFFSET(R$10,$A151*2,0),'Mapping A'!$B$6:$E$1011,4,0)=1,$E151,""),0)</f>
        <v>0</v>
      </c>
      <c r="S151" s="519">
        <f ca="1">_xlfn.IFNA(IF(VLOOKUP($B151&amp;OFFSET(S$10,$A151*2,0),'Mapping A'!$B$6:$E$1011,4,0)=1,$E151,""),0)</f>
        <v>0</v>
      </c>
      <c r="T151" s="519">
        <f ca="1">_xlfn.IFNA(IF(VLOOKUP($B151&amp;OFFSET(T$10,$A151*2,0),'Mapping A'!$B$6:$E$1011,4,0)=1,$E151,""),0)</f>
        <v>0</v>
      </c>
      <c r="Y151" s="534" t="str">
        <f t="shared" si="47"/>
        <v>MeridianOHA2201</v>
      </c>
      <c r="Z151" s="519" t="str">
        <f t="shared" si="48"/>
        <v>Meridian</v>
      </c>
      <c r="AA151" s="519" t="str">
        <f t="shared" si="49"/>
        <v>OHA2201</v>
      </c>
      <c r="AB151" s="519">
        <f t="shared" ref="AB151:AB214" si="65">E151</f>
        <v>4.7165999999999997</v>
      </c>
      <c r="AC151" s="324"/>
      <c r="AE151" s="519">
        <f t="shared" ca="1" si="50"/>
        <v>0</v>
      </c>
      <c r="AF151" s="519">
        <f t="shared" ca="1" si="51"/>
        <v>0</v>
      </c>
      <c r="AG151" s="519">
        <f t="shared" ca="1" si="52"/>
        <v>0</v>
      </c>
      <c r="AH151" s="519">
        <f t="shared" ca="1" si="53"/>
        <v>0</v>
      </c>
      <c r="AI151" s="519">
        <f t="shared" ref="AI151:AI214" ca="1" si="66">IF(SUMIF($A$22:$A$652,$A151,L$22:L$652)=0,0,OFFSET(L$11,$A151*2,0)*L$7*L151/SUMIF($A$22:$A$652,$A151,L$22:L$652))</f>
        <v>0</v>
      </c>
      <c r="AJ151" s="519">
        <f t="shared" ca="1" si="54"/>
        <v>0</v>
      </c>
      <c r="AK151" s="519">
        <f t="shared" ca="1" si="55"/>
        <v>0</v>
      </c>
      <c r="AL151" s="519">
        <f t="shared" ca="1" si="56"/>
        <v>0</v>
      </c>
      <c r="AM151" s="519">
        <f t="shared" ca="1" si="57"/>
        <v>0</v>
      </c>
      <c r="AN151" s="519">
        <f t="shared" ca="1" si="58"/>
        <v>0</v>
      </c>
      <c r="AO151" s="519">
        <f t="shared" ca="1" si="59"/>
        <v>0</v>
      </c>
      <c r="AP151" s="519">
        <f t="shared" ca="1" si="60"/>
        <v>0</v>
      </c>
      <c r="AQ151" s="519">
        <f t="shared" ca="1" si="61"/>
        <v>0</v>
      </c>
      <c r="AS151" s="536"/>
      <c r="AT151" s="536"/>
      <c r="AU151" s="519" t="str">
        <f t="shared" ref="AU151:AU214" si="67">C151</f>
        <v>Meridian</v>
      </c>
      <c r="AV151" s="519" t="str">
        <f t="shared" si="62"/>
        <v>OHA2201</v>
      </c>
      <c r="AW151" s="519">
        <f t="shared" si="63"/>
        <v>4.7165999999999997</v>
      </c>
      <c r="AX151" s="538"/>
      <c r="AY151" s="539">
        <f t="shared" ref="AY151:AY214" ca="1" si="68">($AW$12-$AW$14)*AW151/$AW$13</f>
        <v>0.14307826843229376</v>
      </c>
      <c r="AZ151" s="189"/>
    </row>
    <row r="152" spans="1:52" x14ac:dyDescent="0.3">
      <c r="A152" s="556">
        <v>1</v>
      </c>
      <c r="B152" s="519" t="str">
        <f t="shared" si="64"/>
        <v>OHB</v>
      </c>
      <c r="C152" s="519" t="str">
        <f>AMDs!C133</f>
        <v>Meridian</v>
      </c>
      <c r="D152" s="519" t="str">
        <f>AMDs!D133</f>
        <v>OHB2201</v>
      </c>
      <c r="E152" s="519">
        <f>IF(AMDs!C133="other",0,AMDs!E133)</f>
        <v>4.1600999999999999</v>
      </c>
      <c r="H152" s="519">
        <f ca="1">_xlfn.IFNA(IF(VLOOKUP($B152&amp;OFFSET(H$10,$A152*2,0),'Mapping A'!$B$6:$E$1011,4,0)=1,$E152,""),0)</f>
        <v>0</v>
      </c>
      <c r="I152" s="519">
        <f ca="1">_xlfn.IFNA(IF(VLOOKUP($B152&amp;OFFSET(I$10,$A152*2,0),'Mapping A'!$B$6:$E$1011,4,0)=1,$E152,""),0)</f>
        <v>0</v>
      </c>
      <c r="J152" s="519">
        <f ca="1">_xlfn.IFNA(IF(VLOOKUP($B152&amp;OFFSET(J$10,$A152*2,0),'Mapping A'!$B$6:$E$1011,4,0)=1,$E152,""),0)</f>
        <v>0</v>
      </c>
      <c r="K152" s="519">
        <f ca="1">_xlfn.IFNA(IF(VLOOKUP($B152&amp;OFFSET(K$10,$A152*2,0),'Mapping A'!$B$6:$E$1011,4,0)=1,$E152,""),0)</f>
        <v>0</v>
      </c>
      <c r="L152" s="519">
        <f ca="1">_xlfn.IFNA(IF(VLOOKUP($B152&amp;OFFSET(L$10,$A152*2,0),'Mapping A'!$B$6:$E$1011,4,0)=1,$E152,""),0)</f>
        <v>0</v>
      </c>
      <c r="M152" s="519">
        <f ca="1">_xlfn.IFNA(IF(VLOOKUP($B152&amp;OFFSET(M$10,$A152*2,0),'Mapping A'!$B$6:$E$1011,4,0)=1,$E152,""),0)</f>
        <v>0</v>
      </c>
      <c r="N152" s="519">
        <f ca="1">_xlfn.IFNA(IF(VLOOKUP($B152&amp;OFFSET(N$10,$A152*2,0),'Mapping A'!$B$6:$E$1011,4,0)=1,$E152,""),0)</f>
        <v>0</v>
      </c>
      <c r="O152" s="519">
        <f ca="1">_xlfn.IFNA(IF(VLOOKUP($B152&amp;OFFSET(O$10,$A152*2,0),'Mapping A'!$B$6:$E$1011,4,0)=1,$E152,""),0)</f>
        <v>0</v>
      </c>
      <c r="P152" s="519">
        <f ca="1">_xlfn.IFNA(IF(VLOOKUP($B152&amp;OFFSET(P$10,$A152*2,0),'Mapping A'!$B$6:$E$1011,4,0)=1,$E152,""),0)</f>
        <v>0</v>
      </c>
      <c r="Q152" s="519">
        <f ca="1">_xlfn.IFNA(IF(VLOOKUP($B152&amp;OFFSET(Q$10,$A152*2,0),'Mapping A'!$B$6:$E$1011,4,0)=1,$E152,""),0)</f>
        <v>0</v>
      </c>
      <c r="R152" s="519">
        <f ca="1">_xlfn.IFNA(IF(VLOOKUP($B152&amp;OFFSET(R$10,$A152*2,0),'Mapping A'!$B$6:$E$1011,4,0)=1,$E152,""),0)</f>
        <v>0</v>
      </c>
      <c r="S152" s="519">
        <f ca="1">_xlfn.IFNA(IF(VLOOKUP($B152&amp;OFFSET(S$10,$A152*2,0),'Mapping A'!$B$6:$E$1011,4,0)=1,$E152,""),0)</f>
        <v>0</v>
      </c>
      <c r="T152" s="519">
        <f ca="1">_xlfn.IFNA(IF(VLOOKUP($B152&amp;OFFSET(T$10,$A152*2,0),'Mapping A'!$B$6:$E$1011,4,0)=1,$E152,""),0)</f>
        <v>0</v>
      </c>
      <c r="Y152" s="534" t="str">
        <f t="shared" ref="Y152:Y215" si="69">Z152&amp;AA152</f>
        <v>MeridianOHB2201</v>
      </c>
      <c r="Z152" s="519" t="str">
        <f t="shared" si="48"/>
        <v>Meridian</v>
      </c>
      <c r="AA152" s="519" t="str">
        <f t="shared" si="49"/>
        <v>OHB2201</v>
      </c>
      <c r="AB152" s="519">
        <f t="shared" si="65"/>
        <v>4.1600999999999999</v>
      </c>
      <c r="AC152" s="324"/>
      <c r="AE152" s="519">
        <f t="shared" ca="1" si="50"/>
        <v>0</v>
      </c>
      <c r="AF152" s="519">
        <f t="shared" ca="1" si="51"/>
        <v>0</v>
      </c>
      <c r="AG152" s="519">
        <f t="shared" ca="1" si="52"/>
        <v>0</v>
      </c>
      <c r="AH152" s="519">
        <f t="shared" ca="1" si="53"/>
        <v>0</v>
      </c>
      <c r="AI152" s="519">
        <f t="shared" ca="1" si="66"/>
        <v>0</v>
      </c>
      <c r="AJ152" s="519">
        <f t="shared" ca="1" si="54"/>
        <v>0</v>
      </c>
      <c r="AK152" s="519">
        <f t="shared" ca="1" si="55"/>
        <v>0</v>
      </c>
      <c r="AL152" s="519">
        <f t="shared" ca="1" si="56"/>
        <v>0</v>
      </c>
      <c r="AM152" s="519">
        <f t="shared" ca="1" si="57"/>
        <v>0</v>
      </c>
      <c r="AN152" s="519">
        <f t="shared" ca="1" si="58"/>
        <v>0</v>
      </c>
      <c r="AO152" s="519">
        <f t="shared" ca="1" si="59"/>
        <v>0</v>
      </c>
      <c r="AP152" s="519">
        <f t="shared" ca="1" si="60"/>
        <v>0</v>
      </c>
      <c r="AQ152" s="519">
        <f t="shared" ca="1" si="61"/>
        <v>0</v>
      </c>
      <c r="AS152" s="536"/>
      <c r="AT152" s="536"/>
      <c r="AU152" s="519" t="str">
        <f t="shared" si="67"/>
        <v>Meridian</v>
      </c>
      <c r="AV152" s="519" t="str">
        <f t="shared" si="62"/>
        <v>OHB2201</v>
      </c>
      <c r="AW152" s="519">
        <f t="shared" si="63"/>
        <v>4.1600999999999999</v>
      </c>
      <c r="AX152" s="538"/>
      <c r="AY152" s="539">
        <f t="shared" ca="1" si="68"/>
        <v>0.12619681645786909</v>
      </c>
      <c r="AZ152" s="189"/>
    </row>
    <row r="153" spans="1:52" x14ac:dyDescent="0.3">
      <c r="A153" s="556">
        <v>1</v>
      </c>
      <c r="B153" s="519" t="str">
        <f t="shared" si="64"/>
        <v>OHC</v>
      </c>
      <c r="C153" s="519" t="str">
        <f>AMDs!C134</f>
        <v>Meridian</v>
      </c>
      <c r="D153" s="519" t="str">
        <f>AMDs!D134</f>
        <v>OHC2201</v>
      </c>
      <c r="E153" s="519">
        <f>IF(AMDs!C134="other",0,AMDs!E134)</f>
        <v>3.9773999999999998</v>
      </c>
      <c r="H153" s="519">
        <f ca="1">_xlfn.IFNA(IF(VLOOKUP($B153&amp;OFFSET(H$10,$A153*2,0),'Mapping A'!$B$6:$E$1011,4,0)=1,$E153,""),0)</f>
        <v>0</v>
      </c>
      <c r="I153" s="519">
        <f ca="1">_xlfn.IFNA(IF(VLOOKUP($B153&amp;OFFSET(I$10,$A153*2,0),'Mapping A'!$B$6:$E$1011,4,0)=1,$E153,""),0)</f>
        <v>0</v>
      </c>
      <c r="J153" s="519">
        <f ca="1">_xlfn.IFNA(IF(VLOOKUP($B153&amp;OFFSET(J$10,$A153*2,0),'Mapping A'!$B$6:$E$1011,4,0)=1,$E153,""),0)</f>
        <v>0</v>
      </c>
      <c r="K153" s="519">
        <f ca="1">_xlfn.IFNA(IF(VLOOKUP($B153&amp;OFFSET(K$10,$A153*2,0),'Mapping A'!$B$6:$E$1011,4,0)=1,$E153,""),0)</f>
        <v>0</v>
      </c>
      <c r="L153" s="519">
        <f ca="1">_xlfn.IFNA(IF(VLOOKUP($B153&amp;OFFSET(L$10,$A153*2,0),'Mapping A'!$B$6:$E$1011,4,0)=1,$E153,""),0)</f>
        <v>0</v>
      </c>
      <c r="M153" s="519">
        <f ca="1">_xlfn.IFNA(IF(VLOOKUP($B153&amp;OFFSET(M$10,$A153*2,0),'Mapping A'!$B$6:$E$1011,4,0)=1,$E153,""),0)</f>
        <v>0</v>
      </c>
      <c r="N153" s="519">
        <f ca="1">_xlfn.IFNA(IF(VLOOKUP($B153&amp;OFFSET(N$10,$A153*2,0),'Mapping A'!$B$6:$E$1011,4,0)=1,$E153,""),0)</f>
        <v>0</v>
      </c>
      <c r="O153" s="519">
        <f ca="1">_xlfn.IFNA(IF(VLOOKUP($B153&amp;OFFSET(O$10,$A153*2,0),'Mapping A'!$B$6:$E$1011,4,0)=1,$E153,""),0)</f>
        <v>0</v>
      </c>
      <c r="P153" s="519">
        <f ca="1">_xlfn.IFNA(IF(VLOOKUP($B153&amp;OFFSET(P$10,$A153*2,0),'Mapping A'!$B$6:$E$1011,4,0)=1,$E153,""),0)</f>
        <v>0</v>
      </c>
      <c r="Q153" s="519">
        <f ca="1">_xlfn.IFNA(IF(VLOOKUP($B153&amp;OFFSET(Q$10,$A153*2,0),'Mapping A'!$B$6:$E$1011,4,0)=1,$E153,""),0)</f>
        <v>0</v>
      </c>
      <c r="R153" s="519">
        <f ca="1">_xlfn.IFNA(IF(VLOOKUP($B153&amp;OFFSET(R$10,$A153*2,0),'Mapping A'!$B$6:$E$1011,4,0)=1,$E153,""),0)</f>
        <v>0</v>
      </c>
      <c r="S153" s="519">
        <f ca="1">_xlfn.IFNA(IF(VLOOKUP($B153&amp;OFFSET(S$10,$A153*2,0),'Mapping A'!$B$6:$E$1011,4,0)=1,$E153,""),0)</f>
        <v>0</v>
      </c>
      <c r="T153" s="519">
        <f ca="1">_xlfn.IFNA(IF(VLOOKUP($B153&amp;OFFSET(T$10,$A153*2,0),'Mapping A'!$B$6:$E$1011,4,0)=1,$E153,""),0)</f>
        <v>0</v>
      </c>
      <c r="Y153" s="534" t="str">
        <f t="shared" si="69"/>
        <v>MeridianOHC2201</v>
      </c>
      <c r="Z153" s="519" t="str">
        <f t="shared" si="48"/>
        <v>Meridian</v>
      </c>
      <c r="AA153" s="519" t="str">
        <f t="shared" si="49"/>
        <v>OHC2201</v>
      </c>
      <c r="AB153" s="519">
        <f t="shared" si="65"/>
        <v>3.9773999999999998</v>
      </c>
      <c r="AC153" s="324"/>
      <c r="AE153" s="519">
        <f t="shared" ca="1" si="50"/>
        <v>0</v>
      </c>
      <c r="AF153" s="519">
        <f t="shared" ca="1" si="51"/>
        <v>0</v>
      </c>
      <c r="AG153" s="519">
        <f t="shared" ca="1" si="52"/>
        <v>0</v>
      </c>
      <c r="AH153" s="519">
        <f t="shared" ca="1" si="53"/>
        <v>0</v>
      </c>
      <c r="AI153" s="519">
        <f t="shared" ca="1" si="66"/>
        <v>0</v>
      </c>
      <c r="AJ153" s="519">
        <f t="shared" ca="1" si="54"/>
        <v>0</v>
      </c>
      <c r="AK153" s="519">
        <f t="shared" ca="1" si="55"/>
        <v>0</v>
      </c>
      <c r="AL153" s="519">
        <f t="shared" ca="1" si="56"/>
        <v>0</v>
      </c>
      <c r="AM153" s="519">
        <f t="shared" ca="1" si="57"/>
        <v>0</v>
      </c>
      <c r="AN153" s="519">
        <f t="shared" ca="1" si="58"/>
        <v>0</v>
      </c>
      <c r="AO153" s="519">
        <f t="shared" ca="1" si="59"/>
        <v>0</v>
      </c>
      <c r="AP153" s="519">
        <f t="shared" ca="1" si="60"/>
        <v>0</v>
      </c>
      <c r="AQ153" s="519">
        <f t="shared" ca="1" si="61"/>
        <v>0</v>
      </c>
      <c r="AS153" s="536"/>
      <c r="AT153" s="536"/>
      <c r="AU153" s="519" t="str">
        <f t="shared" si="67"/>
        <v>Meridian</v>
      </c>
      <c r="AV153" s="519" t="str">
        <f t="shared" si="62"/>
        <v>OHC2201</v>
      </c>
      <c r="AW153" s="519">
        <f t="shared" si="63"/>
        <v>3.9773999999999998</v>
      </c>
      <c r="AX153" s="538"/>
      <c r="AY153" s="539">
        <f t="shared" ca="1" si="68"/>
        <v>0.12065460392286929</v>
      </c>
      <c r="AZ153" s="189"/>
    </row>
    <row r="154" spans="1:52" x14ac:dyDescent="0.3">
      <c r="A154" s="556">
        <v>1</v>
      </c>
      <c r="B154" s="519" t="str">
        <f t="shared" si="64"/>
        <v>OHK</v>
      </c>
      <c r="C154" s="519" t="str">
        <f>AMDs!C135</f>
        <v>MRP</v>
      </c>
      <c r="D154" s="519" t="str">
        <f>AMDs!D135</f>
        <v>OHK2201</v>
      </c>
      <c r="E154" s="519">
        <f>IF(AMDs!C135="other",0,AMDs!E135)</f>
        <v>5.6909999999999998</v>
      </c>
      <c r="H154" s="519">
        <f ca="1">_xlfn.IFNA(IF(VLOOKUP($B154&amp;OFFSET(H$10,$A154*2,0),'Mapping A'!$B$6:$E$1011,4,0)=1,$E154,""),0)</f>
        <v>0</v>
      </c>
      <c r="I154" s="519">
        <f ca="1">_xlfn.IFNA(IF(VLOOKUP($B154&amp;OFFSET(I$10,$A154*2,0),'Mapping A'!$B$6:$E$1011,4,0)=1,$E154,""),0)</f>
        <v>0</v>
      </c>
      <c r="J154" s="519">
        <f ca="1">_xlfn.IFNA(IF(VLOOKUP($B154&amp;OFFSET(J$10,$A154*2,0),'Mapping A'!$B$6:$E$1011,4,0)=1,$E154,""),0)</f>
        <v>0</v>
      </c>
      <c r="K154" s="519">
        <f ca="1">_xlfn.IFNA(IF(VLOOKUP($B154&amp;OFFSET(K$10,$A154*2,0),'Mapping A'!$B$6:$E$1011,4,0)=1,$E154,""),0)</f>
        <v>0</v>
      </c>
      <c r="L154" s="519">
        <f ca="1">_xlfn.IFNA(IF(VLOOKUP($B154&amp;OFFSET(L$10,$A154*2,0),'Mapping A'!$B$6:$E$1011,4,0)=1,$E154,""),0)</f>
        <v>0</v>
      </c>
      <c r="M154" s="519">
        <f ca="1">_xlfn.IFNA(IF(VLOOKUP($B154&amp;OFFSET(M$10,$A154*2,0),'Mapping A'!$B$6:$E$1011,4,0)=1,$E154,""),0)</f>
        <v>0</v>
      </c>
      <c r="N154" s="519">
        <f ca="1">_xlfn.IFNA(IF(VLOOKUP($B154&amp;OFFSET(N$10,$A154*2,0),'Mapping A'!$B$6:$E$1011,4,0)=1,$E154,""),0)</f>
        <v>0</v>
      </c>
      <c r="O154" s="519">
        <f ca="1">_xlfn.IFNA(IF(VLOOKUP($B154&amp;OFFSET(O$10,$A154*2,0),'Mapping A'!$B$6:$E$1011,4,0)=1,$E154,""),0)</f>
        <v>0</v>
      </c>
      <c r="P154" s="519">
        <f ca="1">_xlfn.IFNA(IF(VLOOKUP($B154&amp;OFFSET(P$10,$A154*2,0),'Mapping A'!$B$6:$E$1011,4,0)=1,$E154,""),0)</f>
        <v>0</v>
      </c>
      <c r="Q154" s="519">
        <f ca="1">_xlfn.IFNA(IF(VLOOKUP($B154&amp;OFFSET(Q$10,$A154*2,0),'Mapping A'!$B$6:$E$1011,4,0)=1,$E154,""),0)</f>
        <v>0</v>
      </c>
      <c r="R154" s="519">
        <f ca="1">_xlfn.IFNA(IF(VLOOKUP($B154&amp;OFFSET(R$10,$A154*2,0),'Mapping A'!$B$6:$E$1011,4,0)=1,$E154,""),0)</f>
        <v>0</v>
      </c>
      <c r="S154" s="519">
        <f ca="1">_xlfn.IFNA(IF(VLOOKUP($B154&amp;OFFSET(S$10,$A154*2,0),'Mapping A'!$B$6:$E$1011,4,0)=1,$E154,""),0)</f>
        <v>0</v>
      </c>
      <c r="T154" s="519">
        <f ca="1">_xlfn.IFNA(IF(VLOOKUP($B154&amp;OFFSET(T$10,$A154*2,0),'Mapping A'!$B$6:$E$1011,4,0)=1,$E154,""),0)</f>
        <v>0</v>
      </c>
      <c r="Y154" s="534" t="str">
        <f t="shared" si="69"/>
        <v>MRPOHK2201</v>
      </c>
      <c r="Z154" s="519" t="str">
        <f t="shared" si="48"/>
        <v>MRP</v>
      </c>
      <c r="AA154" s="519" t="str">
        <f t="shared" si="49"/>
        <v>OHK2201</v>
      </c>
      <c r="AB154" s="519">
        <f t="shared" si="65"/>
        <v>5.6909999999999998</v>
      </c>
      <c r="AC154" s="324"/>
      <c r="AE154" s="519">
        <f t="shared" ca="1" si="50"/>
        <v>0</v>
      </c>
      <c r="AF154" s="519">
        <f t="shared" ca="1" si="51"/>
        <v>0</v>
      </c>
      <c r="AG154" s="519">
        <f t="shared" ca="1" si="52"/>
        <v>0</v>
      </c>
      <c r="AH154" s="519">
        <f t="shared" ca="1" si="53"/>
        <v>0</v>
      </c>
      <c r="AI154" s="519">
        <f t="shared" ca="1" si="66"/>
        <v>0</v>
      </c>
      <c r="AJ154" s="519">
        <f t="shared" ca="1" si="54"/>
        <v>0</v>
      </c>
      <c r="AK154" s="519">
        <f t="shared" ca="1" si="55"/>
        <v>0</v>
      </c>
      <c r="AL154" s="519">
        <f t="shared" ca="1" si="56"/>
        <v>0</v>
      </c>
      <c r="AM154" s="519">
        <f t="shared" ca="1" si="57"/>
        <v>0</v>
      </c>
      <c r="AN154" s="519">
        <f t="shared" ca="1" si="58"/>
        <v>0</v>
      </c>
      <c r="AO154" s="519">
        <f t="shared" ca="1" si="59"/>
        <v>0</v>
      </c>
      <c r="AP154" s="519">
        <f t="shared" ca="1" si="60"/>
        <v>0</v>
      </c>
      <c r="AQ154" s="519">
        <f t="shared" ca="1" si="61"/>
        <v>0</v>
      </c>
      <c r="AS154" s="536"/>
      <c r="AT154" s="536"/>
      <c r="AU154" s="519" t="str">
        <f t="shared" si="67"/>
        <v>MRP</v>
      </c>
      <c r="AV154" s="519" t="str">
        <f t="shared" si="62"/>
        <v>OHK2201</v>
      </c>
      <c r="AW154" s="519">
        <f t="shared" si="63"/>
        <v>5.6909999999999998</v>
      </c>
      <c r="AX154" s="538"/>
      <c r="AY154" s="539">
        <f t="shared" ca="1" si="68"/>
        <v>0.17263673528562606</v>
      </c>
      <c r="AZ154" s="189"/>
    </row>
    <row r="155" spans="1:52" x14ac:dyDescent="0.3">
      <c r="A155" s="556">
        <v>1</v>
      </c>
      <c r="B155" s="519" t="str">
        <f t="shared" si="64"/>
        <v>OKI</v>
      </c>
      <c r="C155" s="519" t="str">
        <f>AMDs!C136</f>
        <v>Contact</v>
      </c>
      <c r="D155" s="519" t="str">
        <f>AMDs!D136</f>
        <v>OKI2201</v>
      </c>
      <c r="E155" s="519">
        <f>IF(AMDs!C136="other",0,AMDs!E136)</f>
        <v>3.9689999999999999</v>
      </c>
      <c r="H155" s="519">
        <f ca="1">_xlfn.IFNA(IF(VLOOKUP($B155&amp;OFFSET(H$10,$A155*2,0),'Mapping A'!$B$6:$E$1011,4,0)=1,$E155,""),0)</f>
        <v>0</v>
      </c>
      <c r="I155" s="519">
        <f ca="1">_xlfn.IFNA(IF(VLOOKUP($B155&amp;OFFSET(I$10,$A155*2,0),'Mapping A'!$B$6:$E$1011,4,0)=1,$E155,""),0)</f>
        <v>0</v>
      </c>
      <c r="J155" s="519">
        <f ca="1">_xlfn.IFNA(IF(VLOOKUP($B155&amp;OFFSET(J$10,$A155*2,0),'Mapping A'!$B$6:$E$1011,4,0)=1,$E155,""),0)</f>
        <v>0</v>
      </c>
      <c r="K155" s="519">
        <f ca="1">_xlfn.IFNA(IF(VLOOKUP($B155&amp;OFFSET(K$10,$A155*2,0),'Mapping A'!$B$6:$E$1011,4,0)=1,$E155,""),0)</f>
        <v>0</v>
      </c>
      <c r="L155" s="519">
        <f ca="1">_xlfn.IFNA(IF(VLOOKUP($B155&amp;OFFSET(L$10,$A155*2,0),'Mapping A'!$B$6:$E$1011,4,0)=1,$E155,""),0)</f>
        <v>0</v>
      </c>
      <c r="M155" s="519">
        <f ca="1">_xlfn.IFNA(IF(VLOOKUP($B155&amp;OFFSET(M$10,$A155*2,0),'Mapping A'!$B$6:$E$1011,4,0)=1,$E155,""),0)</f>
        <v>0</v>
      </c>
      <c r="N155" s="519">
        <f ca="1">_xlfn.IFNA(IF(VLOOKUP($B155&amp;OFFSET(N$10,$A155*2,0),'Mapping A'!$B$6:$E$1011,4,0)=1,$E155,""),0)</f>
        <v>0</v>
      </c>
      <c r="O155" s="519">
        <f ca="1">_xlfn.IFNA(IF(VLOOKUP($B155&amp;OFFSET(O$10,$A155*2,0),'Mapping A'!$B$6:$E$1011,4,0)=1,$E155,""),0)</f>
        <v>0</v>
      </c>
      <c r="P155" s="519">
        <f ca="1">_xlfn.IFNA(IF(VLOOKUP($B155&amp;OFFSET(P$10,$A155*2,0),'Mapping A'!$B$6:$E$1011,4,0)=1,$E155,""),0)</f>
        <v>0</v>
      </c>
      <c r="Q155" s="519">
        <f ca="1">_xlfn.IFNA(IF(VLOOKUP($B155&amp;OFFSET(Q$10,$A155*2,0),'Mapping A'!$B$6:$E$1011,4,0)=1,$E155,""),0)</f>
        <v>0</v>
      </c>
      <c r="R155" s="519">
        <f ca="1">_xlfn.IFNA(IF(VLOOKUP($B155&amp;OFFSET(R$10,$A155*2,0),'Mapping A'!$B$6:$E$1011,4,0)=1,$E155,""),0)</f>
        <v>0</v>
      </c>
      <c r="S155" s="519">
        <f ca="1">_xlfn.IFNA(IF(VLOOKUP($B155&amp;OFFSET(S$10,$A155*2,0),'Mapping A'!$B$6:$E$1011,4,0)=1,$E155,""),0)</f>
        <v>0</v>
      </c>
      <c r="T155" s="519">
        <f ca="1">_xlfn.IFNA(IF(VLOOKUP($B155&amp;OFFSET(T$10,$A155*2,0),'Mapping A'!$B$6:$E$1011,4,0)=1,$E155,""),0)</f>
        <v>0</v>
      </c>
      <c r="Y155" s="534" t="str">
        <f t="shared" si="69"/>
        <v>ContactOKI2201</v>
      </c>
      <c r="Z155" s="519" t="str">
        <f t="shared" si="48"/>
        <v>Contact</v>
      </c>
      <c r="AA155" s="519" t="str">
        <f t="shared" si="49"/>
        <v>OKI2201</v>
      </c>
      <c r="AB155" s="519">
        <f t="shared" si="65"/>
        <v>3.9689999999999999</v>
      </c>
      <c r="AC155" s="324"/>
      <c r="AE155" s="519">
        <f t="shared" ca="1" si="50"/>
        <v>0</v>
      </c>
      <c r="AF155" s="519">
        <f t="shared" ca="1" si="51"/>
        <v>0</v>
      </c>
      <c r="AG155" s="519">
        <f t="shared" ca="1" si="52"/>
        <v>0</v>
      </c>
      <c r="AH155" s="519">
        <f t="shared" ca="1" si="53"/>
        <v>0</v>
      </c>
      <c r="AI155" s="519">
        <f t="shared" ca="1" si="66"/>
        <v>0</v>
      </c>
      <c r="AJ155" s="519">
        <f t="shared" ca="1" si="54"/>
        <v>0</v>
      </c>
      <c r="AK155" s="519">
        <f t="shared" ca="1" si="55"/>
        <v>0</v>
      </c>
      <c r="AL155" s="519">
        <f t="shared" ca="1" si="56"/>
        <v>0</v>
      </c>
      <c r="AM155" s="519">
        <f t="shared" ca="1" si="57"/>
        <v>0</v>
      </c>
      <c r="AN155" s="519">
        <f t="shared" ca="1" si="58"/>
        <v>0</v>
      </c>
      <c r="AO155" s="519">
        <f t="shared" ca="1" si="59"/>
        <v>0</v>
      </c>
      <c r="AP155" s="519">
        <f t="shared" ca="1" si="60"/>
        <v>0</v>
      </c>
      <c r="AQ155" s="519">
        <f t="shared" ca="1" si="61"/>
        <v>0</v>
      </c>
      <c r="AS155" s="536"/>
      <c r="AT155" s="536"/>
      <c r="AU155" s="519" t="str">
        <f t="shared" si="67"/>
        <v>Contact</v>
      </c>
      <c r="AV155" s="519" t="str">
        <f t="shared" si="62"/>
        <v>OKI2201</v>
      </c>
      <c r="AW155" s="519">
        <f t="shared" si="63"/>
        <v>3.9689999999999999</v>
      </c>
      <c r="AX155" s="538"/>
      <c r="AY155" s="539">
        <f t="shared" ca="1" si="68"/>
        <v>0.12039978955344401</v>
      </c>
      <c r="AZ155" s="189"/>
    </row>
    <row r="156" spans="1:52" x14ac:dyDescent="0.3">
      <c r="A156" s="556">
        <v>1</v>
      </c>
      <c r="B156" s="519" t="str">
        <f t="shared" si="64"/>
        <v>OKN</v>
      </c>
      <c r="C156" s="519" t="str">
        <f>AMDs!C137</f>
        <v>Powerco</v>
      </c>
      <c r="D156" s="519" t="str">
        <f>AMDs!D137</f>
        <v>OKN0111</v>
      </c>
      <c r="E156" s="519">
        <f>IF(AMDs!C137="other",0,AMDs!E137)</f>
        <v>2.3456999999999999</v>
      </c>
      <c r="H156" s="519">
        <f ca="1">_xlfn.IFNA(IF(VLOOKUP($B156&amp;OFFSET(H$10,$A156*2,0),'Mapping A'!$B$6:$E$1011,4,0)=1,$E156,""),0)</f>
        <v>0</v>
      </c>
      <c r="I156" s="519">
        <f ca="1">_xlfn.IFNA(IF(VLOOKUP($B156&amp;OFFSET(I$10,$A156*2,0),'Mapping A'!$B$6:$E$1011,4,0)=1,$E156,""),0)</f>
        <v>2.3456999999999999</v>
      </c>
      <c r="J156" s="519">
        <f ca="1">_xlfn.IFNA(IF(VLOOKUP($B156&amp;OFFSET(J$10,$A156*2,0),'Mapping A'!$B$6:$E$1011,4,0)=1,$E156,""),0)</f>
        <v>2.3456999999999999</v>
      </c>
      <c r="K156" s="519">
        <f ca="1">_xlfn.IFNA(IF(VLOOKUP($B156&amp;OFFSET(K$10,$A156*2,0),'Mapping A'!$B$6:$E$1011,4,0)=1,$E156,""),0)</f>
        <v>0</v>
      </c>
      <c r="L156" s="519">
        <f ca="1">_xlfn.IFNA(IF(VLOOKUP($B156&amp;OFFSET(L$10,$A156*2,0),'Mapping A'!$B$6:$E$1011,4,0)=1,$E156,""),0)</f>
        <v>0</v>
      </c>
      <c r="M156" s="519">
        <f ca="1">_xlfn.IFNA(IF(VLOOKUP($B156&amp;OFFSET(M$10,$A156*2,0),'Mapping A'!$B$6:$E$1011,4,0)=1,$E156,""),0)</f>
        <v>0</v>
      </c>
      <c r="N156" s="519">
        <f ca="1">_xlfn.IFNA(IF(VLOOKUP($B156&amp;OFFSET(N$10,$A156*2,0),'Mapping A'!$B$6:$E$1011,4,0)=1,$E156,""),0)</f>
        <v>0</v>
      </c>
      <c r="O156" s="519">
        <f ca="1">_xlfn.IFNA(IF(VLOOKUP($B156&amp;OFFSET(O$10,$A156*2,0),'Mapping A'!$B$6:$E$1011,4,0)=1,$E156,""),0)</f>
        <v>0</v>
      </c>
      <c r="P156" s="519">
        <f ca="1">_xlfn.IFNA(IF(VLOOKUP($B156&amp;OFFSET(P$10,$A156*2,0),'Mapping A'!$B$6:$E$1011,4,0)=1,$E156,""),0)</f>
        <v>0</v>
      </c>
      <c r="Q156" s="519">
        <f ca="1">_xlfn.IFNA(IF(VLOOKUP($B156&amp;OFFSET(Q$10,$A156*2,0),'Mapping A'!$B$6:$E$1011,4,0)=1,$E156,""),0)</f>
        <v>0</v>
      </c>
      <c r="R156" s="519">
        <f ca="1">_xlfn.IFNA(IF(VLOOKUP($B156&amp;OFFSET(R$10,$A156*2,0),'Mapping A'!$B$6:$E$1011,4,0)=1,$E156,""),0)</f>
        <v>0</v>
      </c>
      <c r="S156" s="519">
        <f ca="1">_xlfn.IFNA(IF(VLOOKUP($B156&amp;OFFSET(S$10,$A156*2,0),'Mapping A'!$B$6:$E$1011,4,0)=1,$E156,""),0)</f>
        <v>0</v>
      </c>
      <c r="T156" s="519">
        <f ca="1">_xlfn.IFNA(IF(VLOOKUP($B156&amp;OFFSET(T$10,$A156*2,0),'Mapping A'!$B$6:$E$1011,4,0)=1,$E156,""),0)</f>
        <v>0</v>
      </c>
      <c r="Y156" s="534" t="str">
        <f t="shared" si="69"/>
        <v>PowercoOKN0111</v>
      </c>
      <c r="Z156" s="519" t="str">
        <f t="shared" si="48"/>
        <v>Powerco</v>
      </c>
      <c r="AA156" s="519" t="str">
        <f t="shared" si="49"/>
        <v>OKN0111</v>
      </c>
      <c r="AB156" s="519">
        <f t="shared" si="65"/>
        <v>2.3456999999999999</v>
      </c>
      <c r="AC156" s="324"/>
      <c r="AE156" s="519">
        <f t="shared" ca="1" si="50"/>
        <v>0</v>
      </c>
      <c r="AF156" s="519">
        <f t="shared" ca="1" si="51"/>
        <v>0</v>
      </c>
      <c r="AG156" s="519">
        <f t="shared" ca="1" si="52"/>
        <v>0</v>
      </c>
      <c r="AH156" s="519">
        <f t="shared" ca="1" si="53"/>
        <v>0</v>
      </c>
      <c r="AI156" s="519">
        <f t="shared" ca="1" si="66"/>
        <v>0</v>
      </c>
      <c r="AJ156" s="519">
        <f t="shared" ca="1" si="54"/>
        <v>0</v>
      </c>
      <c r="AK156" s="519">
        <f t="shared" ca="1" si="55"/>
        <v>0</v>
      </c>
      <c r="AL156" s="519">
        <f t="shared" ca="1" si="56"/>
        <v>0</v>
      </c>
      <c r="AM156" s="519">
        <f t="shared" ca="1" si="57"/>
        <v>0</v>
      </c>
      <c r="AN156" s="519">
        <f t="shared" ca="1" si="58"/>
        <v>0</v>
      </c>
      <c r="AO156" s="519">
        <f t="shared" ca="1" si="59"/>
        <v>0</v>
      </c>
      <c r="AP156" s="519">
        <f t="shared" ca="1" si="60"/>
        <v>0</v>
      </c>
      <c r="AQ156" s="519">
        <f t="shared" ca="1" si="61"/>
        <v>0</v>
      </c>
      <c r="AS156" s="536"/>
      <c r="AT156" s="536"/>
      <c r="AU156" s="519" t="str">
        <f t="shared" si="67"/>
        <v>Powerco</v>
      </c>
      <c r="AV156" s="519" t="str">
        <f t="shared" si="62"/>
        <v>OKN0111</v>
      </c>
      <c r="AW156" s="519">
        <f t="shared" si="63"/>
        <v>2.3456999999999999</v>
      </c>
      <c r="AX156" s="538"/>
      <c r="AY156" s="539">
        <f t="shared" ca="1" si="68"/>
        <v>7.1156912662008964E-2</v>
      </c>
      <c r="AZ156" s="189"/>
    </row>
    <row r="157" spans="1:52" x14ac:dyDescent="0.3">
      <c r="A157" s="556">
        <v>1</v>
      </c>
      <c r="B157" s="519" t="str">
        <f t="shared" si="64"/>
        <v>OKN</v>
      </c>
      <c r="C157" s="519" t="str">
        <f>AMDs!C138</f>
        <v>The Lines Company</v>
      </c>
      <c r="D157" s="519" t="str">
        <f>AMDs!D138</f>
        <v>OKN0111</v>
      </c>
      <c r="E157" s="519">
        <f>IF(AMDs!C138="other",0,AMDs!E138)</f>
        <v>7.5347999999999997</v>
      </c>
      <c r="H157" s="519">
        <f ca="1">_xlfn.IFNA(IF(VLOOKUP($B157&amp;OFFSET(H$10,$A157*2,0),'Mapping A'!$B$6:$E$1011,4,0)=1,$E157,""),0)</f>
        <v>0</v>
      </c>
      <c r="I157" s="519">
        <f ca="1">_xlfn.IFNA(IF(VLOOKUP($B157&amp;OFFSET(I$10,$A157*2,0),'Mapping A'!$B$6:$E$1011,4,0)=1,$E157,""),0)</f>
        <v>7.5347999999999997</v>
      </c>
      <c r="J157" s="519">
        <f ca="1">_xlfn.IFNA(IF(VLOOKUP($B157&amp;OFFSET(J$10,$A157*2,0),'Mapping A'!$B$6:$E$1011,4,0)=1,$E157,""),0)</f>
        <v>7.5347999999999997</v>
      </c>
      <c r="K157" s="519">
        <f ca="1">_xlfn.IFNA(IF(VLOOKUP($B157&amp;OFFSET(K$10,$A157*2,0),'Mapping A'!$B$6:$E$1011,4,0)=1,$E157,""),0)</f>
        <v>0</v>
      </c>
      <c r="L157" s="519">
        <f ca="1">_xlfn.IFNA(IF(VLOOKUP($B157&amp;OFFSET(L$10,$A157*2,0),'Mapping A'!$B$6:$E$1011,4,0)=1,$E157,""),0)</f>
        <v>0</v>
      </c>
      <c r="M157" s="519">
        <f ca="1">_xlfn.IFNA(IF(VLOOKUP($B157&amp;OFFSET(M$10,$A157*2,0),'Mapping A'!$B$6:$E$1011,4,0)=1,$E157,""),0)</f>
        <v>0</v>
      </c>
      <c r="N157" s="519">
        <f ca="1">_xlfn.IFNA(IF(VLOOKUP($B157&amp;OFFSET(N$10,$A157*2,0),'Mapping A'!$B$6:$E$1011,4,0)=1,$E157,""),0)</f>
        <v>0</v>
      </c>
      <c r="O157" s="519">
        <f ca="1">_xlfn.IFNA(IF(VLOOKUP($B157&amp;OFFSET(O$10,$A157*2,0),'Mapping A'!$B$6:$E$1011,4,0)=1,$E157,""),0)</f>
        <v>0</v>
      </c>
      <c r="P157" s="519">
        <f ca="1">_xlfn.IFNA(IF(VLOOKUP($B157&amp;OFFSET(P$10,$A157*2,0),'Mapping A'!$B$6:$E$1011,4,0)=1,$E157,""),0)</f>
        <v>0</v>
      </c>
      <c r="Q157" s="519">
        <f ca="1">_xlfn.IFNA(IF(VLOOKUP($B157&amp;OFFSET(Q$10,$A157*2,0),'Mapping A'!$B$6:$E$1011,4,0)=1,$E157,""),0)</f>
        <v>0</v>
      </c>
      <c r="R157" s="519">
        <f ca="1">_xlfn.IFNA(IF(VLOOKUP($B157&amp;OFFSET(R$10,$A157*2,0),'Mapping A'!$B$6:$E$1011,4,0)=1,$E157,""),0)</f>
        <v>0</v>
      </c>
      <c r="S157" s="519">
        <f ca="1">_xlfn.IFNA(IF(VLOOKUP($B157&amp;OFFSET(S$10,$A157*2,0),'Mapping A'!$B$6:$E$1011,4,0)=1,$E157,""),0)</f>
        <v>0</v>
      </c>
      <c r="T157" s="519">
        <f ca="1">_xlfn.IFNA(IF(VLOOKUP($B157&amp;OFFSET(T$10,$A157*2,0),'Mapping A'!$B$6:$E$1011,4,0)=1,$E157,""),0)</f>
        <v>0</v>
      </c>
      <c r="Y157" s="534" t="str">
        <f t="shared" si="69"/>
        <v>The Lines CompanyOKN0111</v>
      </c>
      <c r="Z157" s="519" t="str">
        <f t="shared" si="48"/>
        <v>The Lines Company</v>
      </c>
      <c r="AA157" s="519" t="str">
        <f t="shared" si="49"/>
        <v>OKN0111</v>
      </c>
      <c r="AB157" s="519">
        <f t="shared" si="65"/>
        <v>7.5347999999999997</v>
      </c>
      <c r="AC157" s="324"/>
      <c r="AE157" s="519">
        <f t="shared" ca="1" si="50"/>
        <v>0</v>
      </c>
      <c r="AF157" s="519">
        <f t="shared" ca="1" si="51"/>
        <v>0</v>
      </c>
      <c r="AG157" s="519">
        <f t="shared" ca="1" si="52"/>
        <v>0</v>
      </c>
      <c r="AH157" s="519">
        <f t="shared" ca="1" si="53"/>
        <v>0</v>
      </c>
      <c r="AI157" s="519">
        <f t="shared" ca="1" si="66"/>
        <v>0</v>
      </c>
      <c r="AJ157" s="519">
        <f t="shared" ca="1" si="54"/>
        <v>0</v>
      </c>
      <c r="AK157" s="519">
        <f t="shared" ca="1" si="55"/>
        <v>0</v>
      </c>
      <c r="AL157" s="519">
        <f t="shared" ca="1" si="56"/>
        <v>0</v>
      </c>
      <c r="AM157" s="519">
        <f t="shared" ca="1" si="57"/>
        <v>0</v>
      </c>
      <c r="AN157" s="519">
        <f t="shared" ca="1" si="58"/>
        <v>0</v>
      </c>
      <c r="AO157" s="519">
        <f t="shared" ca="1" si="59"/>
        <v>0</v>
      </c>
      <c r="AP157" s="519">
        <f t="shared" ca="1" si="60"/>
        <v>0</v>
      </c>
      <c r="AQ157" s="519">
        <f t="shared" ca="1" si="61"/>
        <v>0</v>
      </c>
      <c r="AS157" s="536"/>
      <c r="AT157" s="536"/>
      <c r="AU157" s="519" t="str">
        <f t="shared" si="67"/>
        <v>The Lines Company</v>
      </c>
      <c r="AV157" s="519" t="str">
        <f t="shared" si="62"/>
        <v>OKN0111</v>
      </c>
      <c r="AW157" s="519">
        <f t="shared" si="63"/>
        <v>7.5347999999999997</v>
      </c>
      <c r="AX157" s="538"/>
      <c r="AY157" s="539">
        <f t="shared" ca="1" si="68"/>
        <v>0.22856848937447466</v>
      </c>
      <c r="AZ157" s="189"/>
    </row>
    <row r="158" spans="1:52" x14ac:dyDescent="0.3">
      <c r="A158" s="556">
        <v>1</v>
      </c>
      <c r="B158" s="519" t="str">
        <f t="shared" si="64"/>
        <v>ONG</v>
      </c>
      <c r="C158" s="519" t="str">
        <f>AMDs!C139</f>
        <v>The Lines Company</v>
      </c>
      <c r="D158" s="519" t="str">
        <f>AMDs!D139</f>
        <v>ONG0331</v>
      </c>
      <c r="E158" s="519">
        <f>IF(AMDs!C139="other",0,AMDs!E139)</f>
        <v>14.450100000000001</v>
      </c>
      <c r="H158" s="519">
        <f ca="1">_xlfn.IFNA(IF(VLOOKUP($B158&amp;OFFSET(H$10,$A158*2,0),'Mapping A'!$B$6:$E$1011,4,0)=1,$E158,""),0)</f>
        <v>0</v>
      </c>
      <c r="I158" s="519">
        <f ca="1">_xlfn.IFNA(IF(VLOOKUP($B158&amp;OFFSET(I$10,$A158*2,0),'Mapping A'!$B$6:$E$1011,4,0)=1,$E158,""),0)</f>
        <v>14.450100000000001</v>
      </c>
      <c r="J158" s="519">
        <f ca="1">_xlfn.IFNA(IF(VLOOKUP($B158&amp;OFFSET(J$10,$A158*2,0),'Mapping A'!$B$6:$E$1011,4,0)=1,$E158,""),0)</f>
        <v>14.450100000000001</v>
      </c>
      <c r="K158" s="519">
        <f ca="1">_xlfn.IFNA(IF(VLOOKUP($B158&amp;OFFSET(K$10,$A158*2,0),'Mapping A'!$B$6:$E$1011,4,0)=1,$E158,""),0)</f>
        <v>0</v>
      </c>
      <c r="L158" s="519">
        <f ca="1">_xlfn.IFNA(IF(VLOOKUP($B158&amp;OFFSET(L$10,$A158*2,0),'Mapping A'!$B$6:$E$1011,4,0)=1,$E158,""),0)</f>
        <v>0</v>
      </c>
      <c r="M158" s="519">
        <f ca="1">_xlfn.IFNA(IF(VLOOKUP($B158&amp;OFFSET(M$10,$A158*2,0),'Mapping A'!$B$6:$E$1011,4,0)=1,$E158,""),0)</f>
        <v>0</v>
      </c>
      <c r="N158" s="519">
        <f ca="1">_xlfn.IFNA(IF(VLOOKUP($B158&amp;OFFSET(N$10,$A158*2,0),'Mapping A'!$B$6:$E$1011,4,0)=1,$E158,""),0)</f>
        <v>0</v>
      </c>
      <c r="O158" s="519">
        <f ca="1">_xlfn.IFNA(IF(VLOOKUP($B158&amp;OFFSET(O$10,$A158*2,0),'Mapping A'!$B$6:$E$1011,4,0)=1,$E158,""),0)</f>
        <v>0</v>
      </c>
      <c r="P158" s="519">
        <f ca="1">_xlfn.IFNA(IF(VLOOKUP($B158&amp;OFFSET(P$10,$A158*2,0),'Mapping A'!$B$6:$E$1011,4,0)=1,$E158,""),0)</f>
        <v>0</v>
      </c>
      <c r="Q158" s="519">
        <f ca="1">_xlfn.IFNA(IF(VLOOKUP($B158&amp;OFFSET(Q$10,$A158*2,0),'Mapping A'!$B$6:$E$1011,4,0)=1,$E158,""),0)</f>
        <v>0</v>
      </c>
      <c r="R158" s="519">
        <f ca="1">_xlfn.IFNA(IF(VLOOKUP($B158&amp;OFFSET(R$10,$A158*2,0),'Mapping A'!$B$6:$E$1011,4,0)=1,$E158,""),0)</f>
        <v>0</v>
      </c>
      <c r="S158" s="519">
        <f ca="1">_xlfn.IFNA(IF(VLOOKUP($B158&amp;OFFSET(S$10,$A158*2,0),'Mapping A'!$B$6:$E$1011,4,0)=1,$E158,""),0)</f>
        <v>0</v>
      </c>
      <c r="T158" s="519">
        <f ca="1">_xlfn.IFNA(IF(VLOOKUP($B158&amp;OFFSET(T$10,$A158*2,0),'Mapping A'!$B$6:$E$1011,4,0)=1,$E158,""),0)</f>
        <v>0</v>
      </c>
      <c r="Y158" s="534" t="str">
        <f t="shared" si="69"/>
        <v>The Lines CompanyONG0331</v>
      </c>
      <c r="Z158" s="519" t="str">
        <f t="shared" si="48"/>
        <v>The Lines Company</v>
      </c>
      <c r="AA158" s="519" t="str">
        <f t="shared" si="49"/>
        <v>ONG0331</v>
      </c>
      <c r="AB158" s="519">
        <f t="shared" si="65"/>
        <v>14.450100000000001</v>
      </c>
      <c r="AC158" s="324"/>
      <c r="AE158" s="519">
        <f t="shared" ca="1" si="50"/>
        <v>0</v>
      </c>
      <c r="AF158" s="519">
        <f t="shared" ca="1" si="51"/>
        <v>0</v>
      </c>
      <c r="AG158" s="519">
        <f t="shared" ca="1" si="52"/>
        <v>0</v>
      </c>
      <c r="AH158" s="519">
        <f t="shared" ca="1" si="53"/>
        <v>0</v>
      </c>
      <c r="AI158" s="519">
        <f t="shared" ca="1" si="66"/>
        <v>0</v>
      </c>
      <c r="AJ158" s="519">
        <f t="shared" ca="1" si="54"/>
        <v>0</v>
      </c>
      <c r="AK158" s="519">
        <f t="shared" ca="1" si="55"/>
        <v>0</v>
      </c>
      <c r="AL158" s="519">
        <f t="shared" ca="1" si="56"/>
        <v>0</v>
      </c>
      <c r="AM158" s="519">
        <f t="shared" ca="1" si="57"/>
        <v>0</v>
      </c>
      <c r="AN158" s="519">
        <f t="shared" ca="1" si="58"/>
        <v>0</v>
      </c>
      <c r="AO158" s="519">
        <f t="shared" ca="1" si="59"/>
        <v>0</v>
      </c>
      <c r="AP158" s="519">
        <f t="shared" ca="1" si="60"/>
        <v>0</v>
      </c>
      <c r="AQ158" s="519">
        <f t="shared" ca="1" si="61"/>
        <v>0</v>
      </c>
      <c r="AS158" s="536"/>
      <c r="AT158" s="536"/>
      <c r="AU158" s="519" t="str">
        <f t="shared" si="67"/>
        <v>The Lines Company</v>
      </c>
      <c r="AV158" s="519" t="str">
        <f t="shared" si="62"/>
        <v>ONG0331</v>
      </c>
      <c r="AW158" s="519">
        <f t="shared" si="63"/>
        <v>14.450100000000001</v>
      </c>
      <c r="AX158" s="538"/>
      <c r="AY158" s="539">
        <f t="shared" ca="1" si="68"/>
        <v>0.43834441900383508</v>
      </c>
      <c r="AZ158" s="189"/>
    </row>
    <row r="159" spans="1:52" x14ac:dyDescent="0.3">
      <c r="A159" s="556">
        <v>1</v>
      </c>
      <c r="B159" s="519" t="str">
        <f t="shared" si="64"/>
        <v>OPK</v>
      </c>
      <c r="C159" s="519" t="str">
        <f>AMDs!C140</f>
        <v>Powerco</v>
      </c>
      <c r="D159" s="519" t="str">
        <f>AMDs!D140</f>
        <v>OPK0331</v>
      </c>
      <c r="E159" s="519">
        <f>IF(AMDs!C140="other",0,AMDs!E140)</f>
        <v>12.0687</v>
      </c>
      <c r="H159" s="519">
        <f ca="1">_xlfn.IFNA(IF(VLOOKUP($B159&amp;OFFSET(H$10,$A159*2,0),'Mapping A'!$B$6:$E$1011,4,0)=1,$E159,""),0)</f>
        <v>0</v>
      </c>
      <c r="I159" s="519">
        <f ca="1">_xlfn.IFNA(IF(VLOOKUP($B159&amp;OFFSET(I$10,$A159*2,0),'Mapping A'!$B$6:$E$1011,4,0)=1,$E159,""),0)</f>
        <v>12.0687</v>
      </c>
      <c r="J159" s="519">
        <f ca="1">_xlfn.IFNA(IF(VLOOKUP($B159&amp;OFFSET(J$10,$A159*2,0),'Mapping A'!$B$6:$E$1011,4,0)=1,$E159,""),0)</f>
        <v>12.0687</v>
      </c>
      <c r="K159" s="519">
        <f ca="1">_xlfn.IFNA(IF(VLOOKUP($B159&amp;OFFSET(K$10,$A159*2,0),'Mapping A'!$B$6:$E$1011,4,0)=1,$E159,""),0)</f>
        <v>0</v>
      </c>
      <c r="L159" s="519">
        <f ca="1">_xlfn.IFNA(IF(VLOOKUP($B159&amp;OFFSET(L$10,$A159*2,0),'Mapping A'!$B$6:$E$1011,4,0)=1,$E159,""),0)</f>
        <v>0</v>
      </c>
      <c r="M159" s="519">
        <f ca="1">_xlfn.IFNA(IF(VLOOKUP($B159&amp;OFFSET(M$10,$A159*2,0),'Mapping A'!$B$6:$E$1011,4,0)=1,$E159,""),0)</f>
        <v>0</v>
      </c>
      <c r="N159" s="519">
        <f ca="1">_xlfn.IFNA(IF(VLOOKUP($B159&amp;OFFSET(N$10,$A159*2,0),'Mapping A'!$B$6:$E$1011,4,0)=1,$E159,""),0)</f>
        <v>0</v>
      </c>
      <c r="O159" s="519">
        <f ca="1">_xlfn.IFNA(IF(VLOOKUP($B159&amp;OFFSET(O$10,$A159*2,0),'Mapping A'!$B$6:$E$1011,4,0)=1,$E159,""),0)</f>
        <v>0</v>
      </c>
      <c r="P159" s="519">
        <f ca="1">_xlfn.IFNA(IF(VLOOKUP($B159&amp;OFFSET(P$10,$A159*2,0),'Mapping A'!$B$6:$E$1011,4,0)=1,$E159,""),0)</f>
        <v>0</v>
      </c>
      <c r="Q159" s="519">
        <f ca="1">_xlfn.IFNA(IF(VLOOKUP($B159&amp;OFFSET(Q$10,$A159*2,0),'Mapping A'!$B$6:$E$1011,4,0)=1,$E159,""),0)</f>
        <v>0</v>
      </c>
      <c r="R159" s="519">
        <f ca="1">_xlfn.IFNA(IF(VLOOKUP($B159&amp;OFFSET(R$10,$A159*2,0),'Mapping A'!$B$6:$E$1011,4,0)=1,$E159,""),0)</f>
        <v>0</v>
      </c>
      <c r="S159" s="519">
        <f ca="1">_xlfn.IFNA(IF(VLOOKUP($B159&amp;OFFSET(S$10,$A159*2,0),'Mapping A'!$B$6:$E$1011,4,0)=1,$E159,""),0)</f>
        <v>0</v>
      </c>
      <c r="T159" s="519">
        <f ca="1">_xlfn.IFNA(IF(VLOOKUP($B159&amp;OFFSET(T$10,$A159*2,0),'Mapping A'!$B$6:$E$1011,4,0)=1,$E159,""),0)</f>
        <v>0</v>
      </c>
      <c r="Y159" s="534" t="str">
        <f t="shared" si="69"/>
        <v>PowercoOPK0331</v>
      </c>
      <c r="Z159" s="519" t="str">
        <f t="shared" si="48"/>
        <v>Powerco</v>
      </c>
      <c r="AA159" s="519" t="str">
        <f t="shared" si="49"/>
        <v>OPK0331</v>
      </c>
      <c r="AB159" s="519">
        <f t="shared" si="65"/>
        <v>12.0687</v>
      </c>
      <c r="AC159" s="324"/>
      <c r="AE159" s="519">
        <f t="shared" ca="1" si="50"/>
        <v>0</v>
      </c>
      <c r="AF159" s="519">
        <f t="shared" ca="1" si="51"/>
        <v>0</v>
      </c>
      <c r="AG159" s="519">
        <f t="shared" ca="1" si="52"/>
        <v>0</v>
      </c>
      <c r="AH159" s="519">
        <f t="shared" ca="1" si="53"/>
        <v>0</v>
      </c>
      <c r="AI159" s="519">
        <f t="shared" ca="1" si="66"/>
        <v>0</v>
      </c>
      <c r="AJ159" s="519">
        <f t="shared" ca="1" si="54"/>
        <v>0</v>
      </c>
      <c r="AK159" s="519">
        <f t="shared" ca="1" si="55"/>
        <v>0</v>
      </c>
      <c r="AL159" s="519">
        <f t="shared" ca="1" si="56"/>
        <v>0</v>
      </c>
      <c r="AM159" s="519">
        <f t="shared" ca="1" si="57"/>
        <v>0</v>
      </c>
      <c r="AN159" s="519">
        <f t="shared" ca="1" si="58"/>
        <v>0</v>
      </c>
      <c r="AO159" s="519">
        <f t="shared" ca="1" si="59"/>
        <v>0</v>
      </c>
      <c r="AP159" s="519">
        <f t="shared" ca="1" si="60"/>
        <v>0</v>
      </c>
      <c r="AQ159" s="519">
        <f t="shared" ca="1" si="61"/>
        <v>0</v>
      </c>
      <c r="AS159" s="536"/>
      <c r="AT159" s="536"/>
      <c r="AU159" s="519" t="str">
        <f t="shared" si="67"/>
        <v>Powerco</v>
      </c>
      <c r="AV159" s="519" t="str">
        <f t="shared" si="62"/>
        <v>OPK0331</v>
      </c>
      <c r="AW159" s="519">
        <f t="shared" si="63"/>
        <v>12.0687</v>
      </c>
      <c r="AX159" s="538"/>
      <c r="AY159" s="539">
        <f t="shared" ca="1" si="68"/>
        <v>0.36610454527176861</v>
      </c>
      <c r="AZ159" s="189"/>
    </row>
    <row r="160" spans="1:52" x14ac:dyDescent="0.3">
      <c r="A160" s="556">
        <v>1</v>
      </c>
      <c r="B160" s="519" t="str">
        <f t="shared" si="64"/>
        <v>ORO</v>
      </c>
      <c r="C160" s="519" t="str">
        <f>AMDs!C141</f>
        <v>Buller Electricity</v>
      </c>
      <c r="D160" s="519" t="str">
        <f>AMDs!D141</f>
        <v>ORO110</v>
      </c>
      <c r="E160" s="519">
        <f>IF(AMDs!C141="other",0,AMDs!E141)</f>
        <v>10.838099999999899</v>
      </c>
      <c r="H160" s="519">
        <f ca="1">_xlfn.IFNA(IF(VLOOKUP($B160&amp;OFFSET(H$10,$A160*2,0),'Mapping A'!$B$6:$E$1011,4,0)=1,$E160,""),0)</f>
        <v>0</v>
      </c>
      <c r="I160" s="519">
        <f ca="1">_xlfn.IFNA(IF(VLOOKUP($B160&amp;OFFSET(I$10,$A160*2,0),'Mapping A'!$B$6:$E$1011,4,0)=1,$E160,""),0)</f>
        <v>10.838099999999899</v>
      </c>
      <c r="J160" s="519">
        <f ca="1">_xlfn.IFNA(IF(VLOOKUP($B160&amp;OFFSET(J$10,$A160*2,0),'Mapping A'!$B$6:$E$1011,4,0)=1,$E160,""),0)</f>
        <v>0</v>
      </c>
      <c r="K160" s="519">
        <f ca="1">_xlfn.IFNA(IF(VLOOKUP($B160&amp;OFFSET(K$10,$A160*2,0),'Mapping A'!$B$6:$E$1011,4,0)=1,$E160,""),0)</f>
        <v>0</v>
      </c>
      <c r="L160" s="519">
        <f ca="1">_xlfn.IFNA(IF(VLOOKUP($B160&amp;OFFSET(L$10,$A160*2,0),'Mapping A'!$B$6:$E$1011,4,0)=1,$E160,""),0)</f>
        <v>0</v>
      </c>
      <c r="M160" s="519">
        <f ca="1">_xlfn.IFNA(IF(VLOOKUP($B160&amp;OFFSET(M$10,$A160*2,0),'Mapping A'!$B$6:$E$1011,4,0)=1,$E160,""),0)</f>
        <v>0</v>
      </c>
      <c r="N160" s="519">
        <f ca="1">_xlfn.IFNA(IF(VLOOKUP($B160&amp;OFFSET(N$10,$A160*2,0),'Mapping A'!$B$6:$E$1011,4,0)=1,$E160,""),0)</f>
        <v>0</v>
      </c>
      <c r="O160" s="519">
        <f ca="1">_xlfn.IFNA(IF(VLOOKUP($B160&amp;OFFSET(O$10,$A160*2,0),'Mapping A'!$B$6:$E$1011,4,0)=1,$E160,""),0)</f>
        <v>0</v>
      </c>
      <c r="P160" s="519">
        <f ca="1">_xlfn.IFNA(IF(VLOOKUP($B160&amp;OFFSET(P$10,$A160*2,0),'Mapping A'!$B$6:$E$1011,4,0)=1,$E160,""),0)</f>
        <v>10.838099999999899</v>
      </c>
      <c r="Q160" s="519">
        <f ca="1">_xlfn.IFNA(IF(VLOOKUP($B160&amp;OFFSET(Q$10,$A160*2,0),'Mapping A'!$B$6:$E$1011,4,0)=1,$E160,""),0)</f>
        <v>0</v>
      </c>
      <c r="R160" s="519">
        <f ca="1">_xlfn.IFNA(IF(VLOOKUP($B160&amp;OFFSET(R$10,$A160*2,0),'Mapping A'!$B$6:$E$1011,4,0)=1,$E160,""),0)</f>
        <v>0</v>
      </c>
      <c r="S160" s="519">
        <f ca="1">_xlfn.IFNA(IF(VLOOKUP($B160&amp;OFFSET(S$10,$A160*2,0),'Mapping A'!$B$6:$E$1011,4,0)=1,$E160,""),0)</f>
        <v>0</v>
      </c>
      <c r="T160" s="519">
        <f ca="1">_xlfn.IFNA(IF(VLOOKUP($B160&amp;OFFSET(T$10,$A160*2,0),'Mapping A'!$B$6:$E$1011,4,0)=1,$E160,""),0)</f>
        <v>10.838099999999899</v>
      </c>
      <c r="Y160" s="534" t="str">
        <f t="shared" si="69"/>
        <v>Buller ElectricityORO110</v>
      </c>
      <c r="Z160" s="519" t="str">
        <f t="shared" si="48"/>
        <v>Buller Electricity</v>
      </c>
      <c r="AA160" s="519" t="str">
        <f t="shared" si="49"/>
        <v>ORO110</v>
      </c>
      <c r="AB160" s="519">
        <f t="shared" si="65"/>
        <v>10.838099999999899</v>
      </c>
      <c r="AC160" s="324"/>
      <c r="AE160" s="519">
        <f t="shared" ca="1" si="50"/>
        <v>0</v>
      </c>
      <c r="AF160" s="519">
        <f t="shared" ca="1" si="51"/>
        <v>0</v>
      </c>
      <c r="AG160" s="519">
        <f t="shared" ca="1" si="52"/>
        <v>0</v>
      </c>
      <c r="AH160" s="519">
        <f t="shared" ca="1" si="53"/>
        <v>0</v>
      </c>
      <c r="AI160" s="519">
        <f t="shared" ca="1" si="66"/>
        <v>0</v>
      </c>
      <c r="AJ160" s="519">
        <f t="shared" ca="1" si="54"/>
        <v>0</v>
      </c>
      <c r="AK160" s="519">
        <f t="shared" ca="1" si="55"/>
        <v>0</v>
      </c>
      <c r="AL160" s="519">
        <f t="shared" ca="1" si="56"/>
        <v>0</v>
      </c>
      <c r="AM160" s="519">
        <f ca="1">IF(SUMIF($A$22:$A$652,$A160,P$22:P$652)=0,0,OFFSET(P$11,$A160*2,0)*P$7*P160/SUMIF($A$22:$A$652,$A160,P$22:P$652))</f>
        <v>2.8871291229071599E-2</v>
      </c>
      <c r="AN160" s="519">
        <f t="shared" ca="1" si="58"/>
        <v>0</v>
      </c>
      <c r="AO160" s="519">
        <f t="shared" ca="1" si="59"/>
        <v>0</v>
      </c>
      <c r="AP160" s="519">
        <f t="shared" ca="1" si="60"/>
        <v>0</v>
      </c>
      <c r="AQ160" s="519">
        <f t="shared" ca="1" si="61"/>
        <v>0</v>
      </c>
      <c r="AS160" s="536"/>
      <c r="AT160" s="536"/>
      <c r="AU160" s="519" t="str">
        <f t="shared" si="67"/>
        <v>Buller Electricity</v>
      </c>
      <c r="AV160" s="519" t="str">
        <f t="shared" si="62"/>
        <v>ORO110</v>
      </c>
      <c r="AW160" s="519">
        <f t="shared" si="63"/>
        <v>10.838099999999899</v>
      </c>
      <c r="AX160" s="538"/>
      <c r="AY160" s="539">
        <f t="shared" ca="1" si="68"/>
        <v>0.32877424015096229</v>
      </c>
      <c r="AZ160" s="189"/>
    </row>
    <row r="161" spans="1:52" x14ac:dyDescent="0.3">
      <c r="A161" s="556">
        <v>1</v>
      </c>
      <c r="B161" s="519" t="str">
        <f t="shared" si="64"/>
        <v>OTA</v>
      </c>
      <c r="C161" s="519" t="str">
        <f>AMDs!C142</f>
        <v>Contact</v>
      </c>
      <c r="D161" s="519" t="str">
        <f>AMDs!D142</f>
        <v>OTA0221</v>
      </c>
      <c r="E161" s="519">
        <f>IF(AMDs!C142="other",0,AMDs!E142)</f>
        <v>6.0522</v>
      </c>
      <c r="H161" s="519">
        <f ca="1">_xlfn.IFNA(IF(VLOOKUP($B161&amp;OFFSET(H$10,$A161*2,0),'Mapping A'!$B$6:$E$1011,4,0)=1,$E161,""),0)</f>
        <v>6.0522</v>
      </c>
      <c r="I161" s="519">
        <f ca="1">_xlfn.IFNA(IF(VLOOKUP($B161&amp;OFFSET(I$10,$A161*2,0),'Mapping A'!$B$6:$E$1011,4,0)=1,$E161,""),0)</f>
        <v>6.0522</v>
      </c>
      <c r="J161" s="519">
        <f ca="1">_xlfn.IFNA(IF(VLOOKUP($B161&amp;OFFSET(J$10,$A161*2,0),'Mapping A'!$B$6:$E$1011,4,0)=1,$E161,""),0)</f>
        <v>6.0522</v>
      </c>
      <c r="K161" s="519">
        <f ca="1">_xlfn.IFNA(IF(VLOOKUP($B161&amp;OFFSET(K$10,$A161*2,0),'Mapping A'!$B$6:$E$1011,4,0)=1,$E161,""),0)</f>
        <v>0</v>
      </c>
      <c r="L161" s="519">
        <f ca="1">_xlfn.IFNA(IF(VLOOKUP($B161&amp;OFFSET(L$10,$A161*2,0),'Mapping A'!$B$6:$E$1011,4,0)=1,$E161,""),0)</f>
        <v>0</v>
      </c>
      <c r="M161" s="519">
        <f ca="1">_xlfn.IFNA(IF(VLOOKUP($B161&amp;OFFSET(M$10,$A161*2,0),'Mapping A'!$B$6:$E$1011,4,0)=1,$E161,""),0)</f>
        <v>6.0522</v>
      </c>
      <c r="N161" s="519">
        <f ca="1">_xlfn.IFNA(IF(VLOOKUP($B161&amp;OFFSET(N$10,$A161*2,0),'Mapping A'!$B$6:$E$1011,4,0)=1,$E161,""),0)</f>
        <v>6.0522</v>
      </c>
      <c r="O161" s="519">
        <f ca="1">_xlfn.IFNA(IF(VLOOKUP($B161&amp;OFFSET(O$10,$A161*2,0),'Mapping A'!$B$6:$E$1011,4,0)=1,$E161,""),0)</f>
        <v>0</v>
      </c>
      <c r="P161" s="519">
        <f ca="1">_xlfn.IFNA(IF(VLOOKUP($B161&amp;OFFSET(P$10,$A161*2,0),'Mapping A'!$B$6:$E$1011,4,0)=1,$E161,""),0)</f>
        <v>0</v>
      </c>
      <c r="Q161" s="519">
        <f ca="1">_xlfn.IFNA(IF(VLOOKUP($B161&amp;OFFSET(Q$10,$A161*2,0),'Mapping A'!$B$6:$E$1011,4,0)=1,$E161,""),0)</f>
        <v>6.0522</v>
      </c>
      <c r="R161" s="519">
        <f ca="1">_xlfn.IFNA(IF(VLOOKUP($B161&amp;OFFSET(R$10,$A161*2,0),'Mapping A'!$B$6:$E$1011,4,0)=1,$E161,""),0)</f>
        <v>0</v>
      </c>
      <c r="S161" s="519">
        <f ca="1">_xlfn.IFNA(IF(VLOOKUP($B161&amp;OFFSET(S$10,$A161*2,0),'Mapping A'!$B$6:$E$1011,4,0)=1,$E161,""),0)</f>
        <v>0</v>
      </c>
      <c r="T161" s="519">
        <f ca="1">_xlfn.IFNA(IF(VLOOKUP($B161&amp;OFFSET(T$10,$A161*2,0),'Mapping A'!$B$6:$E$1011,4,0)=1,$E161,""),0)</f>
        <v>0</v>
      </c>
      <c r="Y161" s="534" t="str">
        <f t="shared" si="69"/>
        <v>ContactOTA0221</v>
      </c>
      <c r="Z161" s="519" t="str">
        <f t="shared" si="48"/>
        <v>Contact</v>
      </c>
      <c r="AA161" s="519" t="str">
        <f t="shared" si="49"/>
        <v>OTA0221</v>
      </c>
      <c r="AB161" s="519">
        <f t="shared" si="65"/>
        <v>6.0522</v>
      </c>
      <c r="AC161" s="324"/>
      <c r="AE161" s="519">
        <f t="shared" ca="1" si="50"/>
        <v>0</v>
      </c>
      <c r="AF161" s="519">
        <f t="shared" ca="1" si="51"/>
        <v>0</v>
      </c>
      <c r="AG161" s="519">
        <f t="shared" ca="1" si="52"/>
        <v>0</v>
      </c>
      <c r="AH161" s="519">
        <f t="shared" ca="1" si="53"/>
        <v>0</v>
      </c>
      <c r="AI161" s="519">
        <f t="shared" ca="1" si="66"/>
        <v>0</v>
      </c>
      <c r="AJ161" s="519">
        <f t="shared" ca="1" si="54"/>
        <v>0</v>
      </c>
      <c r="AK161" s="519">
        <f t="shared" ca="1" si="55"/>
        <v>2.4240434737120082E-2</v>
      </c>
      <c r="AL161" s="519">
        <f t="shared" ca="1" si="56"/>
        <v>0</v>
      </c>
      <c r="AM161" s="519">
        <f t="shared" ca="1" si="57"/>
        <v>0</v>
      </c>
      <c r="AN161" s="519">
        <f t="shared" ca="1" si="58"/>
        <v>1.1179740926873126E-2</v>
      </c>
      <c r="AO161" s="519">
        <f t="shared" ca="1" si="59"/>
        <v>0</v>
      </c>
      <c r="AP161" s="519">
        <f t="shared" ca="1" si="60"/>
        <v>0</v>
      </c>
      <c r="AQ161" s="519">
        <f t="shared" ca="1" si="61"/>
        <v>0</v>
      </c>
      <c r="AS161" s="536"/>
      <c r="AT161" s="536"/>
      <c r="AU161" s="519" t="str">
        <f t="shared" si="67"/>
        <v>Contact</v>
      </c>
      <c r="AV161" s="519" t="str">
        <f t="shared" si="62"/>
        <v>OTA0221</v>
      </c>
      <c r="AW161" s="519">
        <f t="shared" si="63"/>
        <v>6.0522</v>
      </c>
      <c r="AX161" s="538"/>
      <c r="AY161" s="539">
        <f t="shared" ca="1" si="68"/>
        <v>0.18359375317091303</v>
      </c>
      <c r="AZ161" s="189"/>
    </row>
    <row r="162" spans="1:52" x14ac:dyDescent="0.3">
      <c r="A162" s="556">
        <v>1</v>
      </c>
      <c r="B162" s="519" t="str">
        <f t="shared" si="64"/>
        <v>OTA</v>
      </c>
      <c r="C162" s="519" t="str">
        <f>AMDs!C143</f>
        <v>Vector</v>
      </c>
      <c r="D162" s="519" t="str">
        <f>AMDs!D143</f>
        <v>OTA0221</v>
      </c>
      <c r="E162" s="519">
        <f>IF(AMDs!C143="other",0,AMDs!E143)</f>
        <v>63.088200000000001</v>
      </c>
      <c r="H162" s="519">
        <f ca="1">_xlfn.IFNA(IF(VLOOKUP($B162&amp;OFFSET(H$10,$A162*2,0),'Mapping A'!$B$6:$E$1011,4,0)=1,$E162,""),0)</f>
        <v>63.088200000000001</v>
      </c>
      <c r="I162" s="519">
        <f ca="1">_xlfn.IFNA(IF(VLOOKUP($B162&amp;OFFSET(I$10,$A162*2,0),'Mapping A'!$B$6:$E$1011,4,0)=1,$E162,""),0)</f>
        <v>63.088200000000001</v>
      </c>
      <c r="J162" s="519">
        <f ca="1">_xlfn.IFNA(IF(VLOOKUP($B162&amp;OFFSET(J$10,$A162*2,0),'Mapping A'!$B$6:$E$1011,4,0)=1,$E162,""),0)</f>
        <v>63.088200000000001</v>
      </c>
      <c r="K162" s="519">
        <f ca="1">_xlfn.IFNA(IF(VLOOKUP($B162&amp;OFFSET(K$10,$A162*2,0),'Mapping A'!$B$6:$E$1011,4,0)=1,$E162,""),0)</f>
        <v>0</v>
      </c>
      <c r="L162" s="519">
        <f ca="1">_xlfn.IFNA(IF(VLOOKUP($B162&amp;OFFSET(L$10,$A162*2,0),'Mapping A'!$B$6:$E$1011,4,0)=1,$E162,""),0)</f>
        <v>0</v>
      </c>
      <c r="M162" s="519">
        <f ca="1">_xlfn.IFNA(IF(VLOOKUP($B162&amp;OFFSET(M$10,$A162*2,0),'Mapping A'!$B$6:$E$1011,4,0)=1,$E162,""),0)</f>
        <v>63.088200000000001</v>
      </c>
      <c r="N162" s="519">
        <f ca="1">_xlfn.IFNA(IF(VLOOKUP($B162&amp;OFFSET(N$10,$A162*2,0),'Mapping A'!$B$6:$E$1011,4,0)=1,$E162,""),0)</f>
        <v>63.088200000000001</v>
      </c>
      <c r="O162" s="519">
        <f ca="1">_xlfn.IFNA(IF(VLOOKUP($B162&amp;OFFSET(O$10,$A162*2,0),'Mapping A'!$B$6:$E$1011,4,0)=1,$E162,""),0)</f>
        <v>0</v>
      </c>
      <c r="P162" s="519">
        <f ca="1">_xlfn.IFNA(IF(VLOOKUP($B162&amp;OFFSET(P$10,$A162*2,0),'Mapping A'!$B$6:$E$1011,4,0)=1,$E162,""),0)</f>
        <v>0</v>
      </c>
      <c r="Q162" s="519">
        <f ca="1">_xlfn.IFNA(IF(VLOOKUP($B162&amp;OFFSET(Q$10,$A162*2,0),'Mapping A'!$B$6:$E$1011,4,0)=1,$E162,""),0)</f>
        <v>63.088200000000001</v>
      </c>
      <c r="R162" s="519">
        <f ca="1">_xlfn.IFNA(IF(VLOOKUP($B162&amp;OFFSET(R$10,$A162*2,0),'Mapping A'!$B$6:$E$1011,4,0)=1,$E162,""),0)</f>
        <v>0</v>
      </c>
      <c r="S162" s="519">
        <f ca="1">_xlfn.IFNA(IF(VLOOKUP($B162&amp;OFFSET(S$10,$A162*2,0),'Mapping A'!$B$6:$E$1011,4,0)=1,$E162,""),0)</f>
        <v>0</v>
      </c>
      <c r="T162" s="519">
        <f ca="1">_xlfn.IFNA(IF(VLOOKUP($B162&amp;OFFSET(T$10,$A162*2,0),'Mapping A'!$B$6:$E$1011,4,0)=1,$E162,""),0)</f>
        <v>0</v>
      </c>
      <c r="Y162" s="534" t="str">
        <f t="shared" si="69"/>
        <v>VectorOTA0221</v>
      </c>
      <c r="Z162" s="519" t="str">
        <f t="shared" si="48"/>
        <v>Vector</v>
      </c>
      <c r="AA162" s="519" t="str">
        <f t="shared" si="49"/>
        <v>OTA0221</v>
      </c>
      <c r="AB162" s="519">
        <f t="shared" si="65"/>
        <v>63.088200000000001</v>
      </c>
      <c r="AC162" s="324"/>
      <c r="AE162" s="519">
        <f t="shared" ca="1" si="50"/>
        <v>0</v>
      </c>
      <c r="AF162" s="519">
        <f t="shared" ca="1" si="51"/>
        <v>0</v>
      </c>
      <c r="AG162" s="519">
        <f t="shared" ca="1" si="52"/>
        <v>0</v>
      </c>
      <c r="AH162" s="519">
        <f t="shared" ca="1" si="53"/>
        <v>0</v>
      </c>
      <c r="AI162" s="519">
        <f t="shared" ca="1" si="66"/>
        <v>0</v>
      </c>
      <c r="AJ162" s="519">
        <f t="shared" ca="1" si="54"/>
        <v>0</v>
      </c>
      <c r="AK162" s="519">
        <f t="shared" ca="1" si="55"/>
        <v>0.25268256085099283</v>
      </c>
      <c r="AL162" s="519">
        <f t="shared" ca="1" si="56"/>
        <v>0</v>
      </c>
      <c r="AM162" s="519">
        <f t="shared" ca="1" si="57"/>
        <v>0</v>
      </c>
      <c r="AN162" s="519">
        <f t="shared" ca="1" si="58"/>
        <v>0.11653774355486551</v>
      </c>
      <c r="AO162" s="519">
        <f t="shared" ca="1" si="59"/>
        <v>0</v>
      </c>
      <c r="AP162" s="519">
        <f t="shared" ca="1" si="60"/>
        <v>0</v>
      </c>
      <c r="AQ162" s="519">
        <f t="shared" ca="1" si="61"/>
        <v>0</v>
      </c>
      <c r="AS162" s="536"/>
      <c r="AT162" s="536"/>
      <c r="AU162" s="519" t="str">
        <f t="shared" si="67"/>
        <v>Vector</v>
      </c>
      <c r="AV162" s="519" t="str">
        <f t="shared" si="62"/>
        <v>OTA0221</v>
      </c>
      <c r="AW162" s="519">
        <f t="shared" si="63"/>
        <v>63.088200000000001</v>
      </c>
      <c r="AX162" s="538"/>
      <c r="AY162" s="539">
        <f t="shared" ca="1" si="68"/>
        <v>1.9137833215685529</v>
      </c>
      <c r="AZ162" s="189"/>
    </row>
    <row r="163" spans="1:52" x14ac:dyDescent="0.3">
      <c r="A163" s="556">
        <v>1</v>
      </c>
      <c r="B163" s="519" t="str">
        <f t="shared" si="64"/>
        <v>OTI</v>
      </c>
      <c r="C163" s="519" t="str">
        <f>AMDs!C144</f>
        <v>Westpower</v>
      </c>
      <c r="D163" s="519" t="str">
        <f>AMDs!D144</f>
        <v>OTI0111</v>
      </c>
      <c r="E163" s="519">
        <f>IF(AMDs!C144="other",0,AMDs!E144)</f>
        <v>0.61949999999999905</v>
      </c>
      <c r="H163" s="519">
        <f ca="1">_xlfn.IFNA(IF(VLOOKUP($B163&amp;OFFSET(H$10,$A163*2,0),'Mapping A'!$B$6:$E$1011,4,0)=1,$E163,""),0)</f>
        <v>0</v>
      </c>
      <c r="I163" s="519">
        <f ca="1">_xlfn.IFNA(IF(VLOOKUP($B163&amp;OFFSET(I$10,$A163*2,0),'Mapping A'!$B$6:$E$1011,4,0)=1,$E163,""),0)</f>
        <v>0.61949999999999905</v>
      </c>
      <c r="J163" s="519">
        <f ca="1">_xlfn.IFNA(IF(VLOOKUP($B163&amp;OFFSET(J$10,$A163*2,0),'Mapping A'!$B$6:$E$1011,4,0)=1,$E163,""),0)</f>
        <v>0</v>
      </c>
      <c r="K163" s="519">
        <f ca="1">_xlfn.IFNA(IF(VLOOKUP($B163&amp;OFFSET(K$10,$A163*2,0),'Mapping A'!$B$6:$E$1011,4,0)=1,$E163,""),0)</f>
        <v>0</v>
      </c>
      <c r="L163" s="519">
        <f ca="1">_xlfn.IFNA(IF(VLOOKUP($B163&amp;OFFSET(L$10,$A163*2,0),'Mapping A'!$B$6:$E$1011,4,0)=1,$E163,""),0)</f>
        <v>0</v>
      </c>
      <c r="M163" s="519">
        <f ca="1">_xlfn.IFNA(IF(VLOOKUP($B163&amp;OFFSET(M$10,$A163*2,0),'Mapping A'!$B$6:$E$1011,4,0)=1,$E163,""),0)</f>
        <v>0</v>
      </c>
      <c r="N163" s="519">
        <f ca="1">_xlfn.IFNA(IF(VLOOKUP($B163&amp;OFFSET(N$10,$A163*2,0),'Mapping A'!$B$6:$E$1011,4,0)=1,$E163,""),0)</f>
        <v>0</v>
      </c>
      <c r="O163" s="519">
        <f ca="1">_xlfn.IFNA(IF(VLOOKUP($B163&amp;OFFSET(O$10,$A163*2,0),'Mapping A'!$B$6:$E$1011,4,0)=1,$E163,""),0)</f>
        <v>0</v>
      </c>
      <c r="P163" s="519">
        <f ca="1">_xlfn.IFNA(IF(VLOOKUP($B163&amp;OFFSET(P$10,$A163*2,0),'Mapping A'!$B$6:$E$1011,4,0)=1,$E163,""),0)</f>
        <v>0.61949999999999905</v>
      </c>
      <c r="Q163" s="519">
        <f ca="1">_xlfn.IFNA(IF(VLOOKUP($B163&amp;OFFSET(Q$10,$A163*2,0),'Mapping A'!$B$6:$E$1011,4,0)=1,$E163,""),0)</f>
        <v>0</v>
      </c>
      <c r="R163" s="519">
        <f ca="1">_xlfn.IFNA(IF(VLOOKUP($B163&amp;OFFSET(R$10,$A163*2,0),'Mapping A'!$B$6:$E$1011,4,0)=1,$E163,""),0)</f>
        <v>0</v>
      </c>
      <c r="S163" s="519">
        <f ca="1">_xlfn.IFNA(IF(VLOOKUP($B163&amp;OFFSET(S$10,$A163*2,0),'Mapping A'!$B$6:$E$1011,4,0)=1,$E163,""),0)</f>
        <v>0</v>
      </c>
      <c r="T163" s="519">
        <f ca="1">_xlfn.IFNA(IF(VLOOKUP($B163&amp;OFFSET(T$10,$A163*2,0),'Mapping A'!$B$6:$E$1011,4,0)=1,$E163,""),0)</f>
        <v>0.61949999999999905</v>
      </c>
      <c r="Y163" s="534" t="str">
        <f t="shared" si="69"/>
        <v>WestpowerOTI0111</v>
      </c>
      <c r="Z163" s="519" t="str">
        <f t="shared" si="48"/>
        <v>Westpower</v>
      </c>
      <c r="AA163" s="519" t="str">
        <f t="shared" si="49"/>
        <v>OTI0111</v>
      </c>
      <c r="AB163" s="519">
        <f t="shared" si="65"/>
        <v>0.61949999999999905</v>
      </c>
      <c r="AC163" s="324"/>
      <c r="AE163" s="519">
        <f t="shared" ca="1" si="50"/>
        <v>0</v>
      </c>
      <c r="AF163" s="519">
        <f t="shared" ca="1" si="51"/>
        <v>0</v>
      </c>
      <c r="AG163" s="519">
        <f t="shared" ca="1" si="52"/>
        <v>0</v>
      </c>
      <c r="AH163" s="519">
        <f t="shared" ca="1" si="53"/>
        <v>0</v>
      </c>
      <c r="AI163" s="519">
        <f t="shared" ca="1" si="66"/>
        <v>0</v>
      </c>
      <c r="AJ163" s="519">
        <f t="shared" ca="1" si="54"/>
        <v>0</v>
      </c>
      <c r="AK163" s="519">
        <f t="shared" ca="1" si="55"/>
        <v>0</v>
      </c>
      <c r="AL163" s="519">
        <f t="shared" ca="1" si="56"/>
        <v>0</v>
      </c>
      <c r="AM163" s="519">
        <f t="shared" ca="1" si="57"/>
        <v>1.6502675668622726E-3</v>
      </c>
      <c r="AN163" s="519">
        <f t="shared" ca="1" si="58"/>
        <v>0</v>
      </c>
      <c r="AO163" s="519">
        <f t="shared" ca="1" si="59"/>
        <v>0</v>
      </c>
      <c r="AP163" s="519">
        <f t="shared" ca="1" si="60"/>
        <v>0</v>
      </c>
      <c r="AQ163" s="519">
        <f t="shared" ca="1" si="61"/>
        <v>0</v>
      </c>
      <c r="AS163" s="536"/>
      <c r="AT163" s="536"/>
      <c r="AU163" s="519" t="str">
        <f t="shared" si="67"/>
        <v>Westpower</v>
      </c>
      <c r="AV163" s="519" t="str">
        <f t="shared" si="62"/>
        <v>OTI0111</v>
      </c>
      <c r="AW163" s="519">
        <f t="shared" si="63"/>
        <v>0.61949999999999905</v>
      </c>
      <c r="AX163" s="538"/>
      <c r="AY163" s="539">
        <f t="shared" ca="1" si="68"/>
        <v>1.8792559745114248E-2</v>
      </c>
      <c r="AZ163" s="189"/>
    </row>
    <row r="164" spans="1:52" x14ac:dyDescent="0.3">
      <c r="A164" s="556">
        <v>1</v>
      </c>
      <c r="B164" s="519" t="str">
        <f t="shared" si="64"/>
        <v>OWH</v>
      </c>
      <c r="C164" s="519" t="str">
        <f>AMDs!C145</f>
        <v>Unison</v>
      </c>
      <c r="D164" s="519" t="str">
        <f>AMDs!D145</f>
        <v>OWH0111</v>
      </c>
      <c r="E164" s="519">
        <f>IF(AMDs!C145="other",0,AMDs!E145)</f>
        <v>13.490399999999999</v>
      </c>
      <c r="H164" s="519">
        <f ca="1">_xlfn.IFNA(IF(VLOOKUP($B164&amp;OFFSET(H$10,$A164*2,0),'Mapping A'!$B$6:$E$1011,4,0)=1,$E164,""),0)</f>
        <v>0</v>
      </c>
      <c r="I164" s="519">
        <f ca="1">_xlfn.IFNA(IF(VLOOKUP($B164&amp;OFFSET(I$10,$A164*2,0),'Mapping A'!$B$6:$E$1011,4,0)=1,$E164,""),0)</f>
        <v>13.490399999999999</v>
      </c>
      <c r="J164" s="519">
        <f ca="1">_xlfn.IFNA(IF(VLOOKUP($B164&amp;OFFSET(J$10,$A164*2,0),'Mapping A'!$B$6:$E$1011,4,0)=1,$E164,""),0)</f>
        <v>13.490399999999999</v>
      </c>
      <c r="K164" s="519">
        <f ca="1">_xlfn.IFNA(IF(VLOOKUP($B164&amp;OFFSET(K$10,$A164*2,0),'Mapping A'!$B$6:$E$1011,4,0)=1,$E164,""),0)</f>
        <v>0</v>
      </c>
      <c r="L164" s="519">
        <f ca="1">_xlfn.IFNA(IF(VLOOKUP($B164&amp;OFFSET(L$10,$A164*2,0),'Mapping A'!$B$6:$E$1011,4,0)=1,$E164,""),0)</f>
        <v>0</v>
      </c>
      <c r="M164" s="519">
        <f ca="1">_xlfn.IFNA(IF(VLOOKUP($B164&amp;OFFSET(M$10,$A164*2,0),'Mapping A'!$B$6:$E$1011,4,0)=1,$E164,""),0)</f>
        <v>13.490399999999999</v>
      </c>
      <c r="N164" s="519">
        <f ca="1">_xlfn.IFNA(IF(VLOOKUP($B164&amp;OFFSET(N$10,$A164*2,0),'Mapping A'!$B$6:$E$1011,4,0)=1,$E164,""),0)</f>
        <v>0</v>
      </c>
      <c r="O164" s="519">
        <f ca="1">_xlfn.IFNA(IF(VLOOKUP($B164&amp;OFFSET(O$10,$A164*2,0),'Mapping A'!$B$6:$E$1011,4,0)=1,$E164,""),0)</f>
        <v>0</v>
      </c>
      <c r="P164" s="519">
        <f ca="1">_xlfn.IFNA(IF(VLOOKUP($B164&amp;OFFSET(P$10,$A164*2,0),'Mapping A'!$B$6:$E$1011,4,0)=1,$E164,""),0)</f>
        <v>0</v>
      </c>
      <c r="Q164" s="519">
        <f ca="1">_xlfn.IFNA(IF(VLOOKUP($B164&amp;OFFSET(Q$10,$A164*2,0),'Mapping A'!$B$6:$E$1011,4,0)=1,$E164,""),0)</f>
        <v>0</v>
      </c>
      <c r="R164" s="519">
        <f ca="1">_xlfn.IFNA(IF(VLOOKUP($B164&amp;OFFSET(R$10,$A164*2,0),'Mapping A'!$B$6:$E$1011,4,0)=1,$E164,""),0)</f>
        <v>0</v>
      </c>
      <c r="S164" s="519">
        <f ca="1">_xlfn.IFNA(IF(VLOOKUP($B164&amp;OFFSET(S$10,$A164*2,0),'Mapping A'!$B$6:$E$1011,4,0)=1,$E164,""),0)</f>
        <v>0</v>
      </c>
      <c r="T164" s="519">
        <f ca="1">_xlfn.IFNA(IF(VLOOKUP($B164&amp;OFFSET(T$10,$A164*2,0),'Mapping A'!$B$6:$E$1011,4,0)=1,$E164,""),0)</f>
        <v>0</v>
      </c>
      <c r="Y164" s="534" t="str">
        <f t="shared" si="69"/>
        <v>UnisonOWH0111</v>
      </c>
      <c r="Z164" s="519" t="str">
        <f t="shared" si="48"/>
        <v>Unison</v>
      </c>
      <c r="AA164" s="519" t="str">
        <f t="shared" si="49"/>
        <v>OWH0111</v>
      </c>
      <c r="AB164" s="519">
        <f t="shared" si="65"/>
        <v>13.490399999999999</v>
      </c>
      <c r="AC164" s="324"/>
      <c r="AE164" s="519">
        <f t="shared" ca="1" si="50"/>
        <v>0</v>
      </c>
      <c r="AF164" s="519">
        <f t="shared" ca="1" si="51"/>
        <v>0</v>
      </c>
      <c r="AG164" s="519">
        <f t="shared" ca="1" si="52"/>
        <v>0</v>
      </c>
      <c r="AH164" s="519">
        <f t="shared" ca="1" si="53"/>
        <v>0</v>
      </c>
      <c r="AI164" s="519">
        <f t="shared" ca="1" si="66"/>
        <v>0</v>
      </c>
      <c r="AJ164" s="519">
        <f t="shared" ca="1" si="54"/>
        <v>0</v>
      </c>
      <c r="AK164" s="519">
        <f t="shared" ca="1" si="55"/>
        <v>0</v>
      </c>
      <c r="AL164" s="519">
        <f t="shared" ca="1" si="56"/>
        <v>0</v>
      </c>
      <c r="AM164" s="519">
        <f t="shared" ca="1" si="57"/>
        <v>0</v>
      </c>
      <c r="AN164" s="519">
        <f t="shared" ca="1" si="58"/>
        <v>0</v>
      </c>
      <c r="AO164" s="519">
        <f t="shared" ca="1" si="59"/>
        <v>0</v>
      </c>
      <c r="AP164" s="519">
        <f t="shared" ca="1" si="60"/>
        <v>0</v>
      </c>
      <c r="AQ164" s="519">
        <f t="shared" ca="1" si="61"/>
        <v>0</v>
      </c>
      <c r="AS164" s="536"/>
      <c r="AT164" s="536"/>
      <c r="AU164" s="519" t="str">
        <f t="shared" si="67"/>
        <v>Unison</v>
      </c>
      <c r="AV164" s="519" t="str">
        <f t="shared" si="62"/>
        <v>OWH0111</v>
      </c>
      <c r="AW164" s="519">
        <f t="shared" si="63"/>
        <v>13.490399999999999</v>
      </c>
      <c r="AX164" s="538"/>
      <c r="AY164" s="539">
        <f t="shared" ca="1" si="68"/>
        <v>0.409231877296997</v>
      </c>
      <c r="AZ164" s="189"/>
    </row>
    <row r="165" spans="1:52" x14ac:dyDescent="0.3">
      <c r="A165" s="556">
        <v>1</v>
      </c>
      <c r="B165" s="519" t="str">
        <f t="shared" si="64"/>
        <v>PAK</v>
      </c>
      <c r="C165" s="519" t="str">
        <f>AMDs!C146</f>
        <v>Vector</v>
      </c>
      <c r="D165" s="519" t="str">
        <f>AMDs!D146</f>
        <v>PAK0331</v>
      </c>
      <c r="E165" s="519">
        <f>IF(AMDs!C146="other",0,AMDs!E146)</f>
        <v>138.15479999999999</v>
      </c>
      <c r="H165" s="519">
        <f ca="1">_xlfn.IFNA(IF(VLOOKUP($B165&amp;OFFSET(H$10,$A165*2,0),'Mapping A'!$B$6:$E$1011,4,0)=1,$E165,""),0)</f>
        <v>138.15479999999999</v>
      </c>
      <c r="I165" s="519">
        <f ca="1">_xlfn.IFNA(IF(VLOOKUP($B165&amp;OFFSET(I$10,$A165*2,0),'Mapping A'!$B$6:$E$1011,4,0)=1,$E165,""),0)</f>
        <v>138.15479999999999</v>
      </c>
      <c r="J165" s="519">
        <f ca="1">_xlfn.IFNA(IF(VLOOKUP($B165&amp;OFFSET(J$10,$A165*2,0),'Mapping A'!$B$6:$E$1011,4,0)=1,$E165,""),0)</f>
        <v>138.15479999999999</v>
      </c>
      <c r="K165" s="519">
        <f ca="1">_xlfn.IFNA(IF(VLOOKUP($B165&amp;OFFSET(K$10,$A165*2,0),'Mapping A'!$B$6:$E$1011,4,0)=1,$E165,""),0)</f>
        <v>0</v>
      </c>
      <c r="L165" s="519">
        <f ca="1">_xlfn.IFNA(IF(VLOOKUP($B165&amp;OFFSET(L$10,$A165*2,0),'Mapping A'!$B$6:$E$1011,4,0)=1,$E165,""),0)</f>
        <v>0</v>
      </c>
      <c r="M165" s="519">
        <f ca="1">_xlfn.IFNA(IF(VLOOKUP($B165&amp;OFFSET(M$10,$A165*2,0),'Mapping A'!$B$6:$E$1011,4,0)=1,$E165,""),0)</f>
        <v>138.15479999999999</v>
      </c>
      <c r="N165" s="519">
        <f ca="1">_xlfn.IFNA(IF(VLOOKUP($B165&amp;OFFSET(N$10,$A165*2,0),'Mapping A'!$B$6:$E$1011,4,0)=1,$E165,""),0)</f>
        <v>138.15479999999999</v>
      </c>
      <c r="O165" s="519">
        <f ca="1">_xlfn.IFNA(IF(VLOOKUP($B165&amp;OFFSET(O$10,$A165*2,0),'Mapping A'!$B$6:$E$1011,4,0)=1,$E165,""),0)</f>
        <v>0</v>
      </c>
      <c r="P165" s="519">
        <f ca="1">_xlfn.IFNA(IF(VLOOKUP($B165&amp;OFFSET(P$10,$A165*2,0),'Mapping A'!$B$6:$E$1011,4,0)=1,$E165,""),0)</f>
        <v>0</v>
      </c>
      <c r="Q165" s="519">
        <f ca="1">_xlfn.IFNA(IF(VLOOKUP($B165&amp;OFFSET(Q$10,$A165*2,0),'Mapping A'!$B$6:$E$1011,4,0)=1,$E165,""),0)</f>
        <v>138.15479999999999</v>
      </c>
      <c r="R165" s="519">
        <f ca="1">_xlfn.IFNA(IF(VLOOKUP($B165&amp;OFFSET(R$10,$A165*2,0),'Mapping A'!$B$6:$E$1011,4,0)=1,$E165,""),0)</f>
        <v>0</v>
      </c>
      <c r="S165" s="519">
        <f ca="1">_xlfn.IFNA(IF(VLOOKUP($B165&amp;OFFSET(S$10,$A165*2,0),'Mapping A'!$B$6:$E$1011,4,0)=1,$E165,""),0)</f>
        <v>0</v>
      </c>
      <c r="T165" s="519">
        <f ca="1">_xlfn.IFNA(IF(VLOOKUP($B165&amp;OFFSET(T$10,$A165*2,0),'Mapping A'!$B$6:$E$1011,4,0)=1,$E165,""),0)</f>
        <v>0</v>
      </c>
      <c r="Y165" s="534" t="str">
        <f t="shared" si="69"/>
        <v>VectorPAK0331</v>
      </c>
      <c r="Z165" s="519" t="str">
        <f t="shared" si="48"/>
        <v>Vector</v>
      </c>
      <c r="AA165" s="519" t="str">
        <f t="shared" si="49"/>
        <v>PAK0331</v>
      </c>
      <c r="AB165" s="519">
        <f t="shared" si="65"/>
        <v>138.15479999999999</v>
      </c>
      <c r="AC165" s="324"/>
      <c r="AE165" s="519">
        <f t="shared" ca="1" si="50"/>
        <v>0</v>
      </c>
      <c r="AF165" s="519">
        <f t="shared" ca="1" si="51"/>
        <v>0</v>
      </c>
      <c r="AG165" s="519">
        <f t="shared" ca="1" si="52"/>
        <v>0</v>
      </c>
      <c r="AH165" s="519">
        <f t="shared" ca="1" si="53"/>
        <v>0</v>
      </c>
      <c r="AI165" s="519">
        <f t="shared" ca="1" si="66"/>
        <v>0</v>
      </c>
      <c r="AJ165" s="519">
        <f t="shared" ca="1" si="54"/>
        <v>0</v>
      </c>
      <c r="AK165" s="519">
        <f t="shared" ca="1" si="55"/>
        <v>0.55334133257656348</v>
      </c>
      <c r="AL165" s="519">
        <f t="shared" ca="1" si="56"/>
        <v>0</v>
      </c>
      <c r="AM165" s="519">
        <f t="shared" ca="1" si="57"/>
        <v>0</v>
      </c>
      <c r="AN165" s="519">
        <f t="shared" ca="1" si="58"/>
        <v>0.25520221932586024</v>
      </c>
      <c r="AO165" s="519">
        <f t="shared" ca="1" si="59"/>
        <v>0</v>
      </c>
      <c r="AP165" s="519">
        <f t="shared" ca="1" si="60"/>
        <v>0</v>
      </c>
      <c r="AQ165" s="519">
        <f t="shared" ca="1" si="61"/>
        <v>0</v>
      </c>
      <c r="AS165" s="536"/>
      <c r="AT165" s="536"/>
      <c r="AU165" s="519" t="str">
        <f t="shared" si="67"/>
        <v>Vector</v>
      </c>
      <c r="AV165" s="519" t="str">
        <f t="shared" si="62"/>
        <v>PAK0331</v>
      </c>
      <c r="AW165" s="519">
        <f t="shared" si="63"/>
        <v>138.15479999999999</v>
      </c>
      <c r="AX165" s="538"/>
      <c r="AY165" s="539">
        <f t="shared" ca="1" si="68"/>
        <v>4.190931933937553</v>
      </c>
      <c r="AZ165" s="189"/>
    </row>
    <row r="166" spans="1:52" x14ac:dyDescent="0.3">
      <c r="A166" s="556">
        <v>1</v>
      </c>
      <c r="B166" s="519" t="str">
        <f t="shared" si="64"/>
        <v>PAO</v>
      </c>
      <c r="C166" s="519" t="str">
        <f>AMDs!C147</f>
        <v>Powerco</v>
      </c>
      <c r="D166" s="519" t="str">
        <f>AMDs!D147</f>
        <v>PAO1101</v>
      </c>
      <c r="E166" s="519">
        <f>IF(AMDs!C147="other",0,AMDs!E147)</f>
        <v>33.198900000000002</v>
      </c>
      <c r="H166" s="519">
        <f ca="1">_xlfn.IFNA(IF(VLOOKUP($B166&amp;OFFSET(H$10,$A166*2,0),'Mapping A'!$B$6:$E$1011,4,0)=1,$E166,""),0)</f>
        <v>0</v>
      </c>
      <c r="I166" s="519">
        <f ca="1">_xlfn.IFNA(IF(VLOOKUP($B166&amp;OFFSET(I$10,$A166*2,0),'Mapping A'!$B$6:$E$1011,4,0)=1,$E166,""),0)</f>
        <v>33.198900000000002</v>
      </c>
      <c r="J166" s="519">
        <f ca="1">_xlfn.IFNA(IF(VLOOKUP($B166&amp;OFFSET(J$10,$A166*2,0),'Mapping A'!$B$6:$E$1011,4,0)=1,$E166,""),0)</f>
        <v>33.198900000000002</v>
      </c>
      <c r="K166" s="519">
        <f ca="1">_xlfn.IFNA(IF(VLOOKUP($B166&amp;OFFSET(K$10,$A166*2,0),'Mapping A'!$B$6:$E$1011,4,0)=1,$E166,""),0)</f>
        <v>0</v>
      </c>
      <c r="L166" s="519">
        <f ca="1">_xlfn.IFNA(IF(VLOOKUP($B166&amp;OFFSET(L$10,$A166*2,0),'Mapping A'!$B$6:$E$1011,4,0)=1,$E166,""),0)</f>
        <v>0</v>
      </c>
      <c r="M166" s="519">
        <f ca="1">_xlfn.IFNA(IF(VLOOKUP($B166&amp;OFFSET(M$10,$A166*2,0),'Mapping A'!$B$6:$E$1011,4,0)=1,$E166,""),0)</f>
        <v>0</v>
      </c>
      <c r="N166" s="519">
        <f ca="1">_xlfn.IFNA(IF(VLOOKUP($B166&amp;OFFSET(N$10,$A166*2,0),'Mapping A'!$B$6:$E$1011,4,0)=1,$E166,""),0)</f>
        <v>0</v>
      </c>
      <c r="O166" s="519">
        <f ca="1">_xlfn.IFNA(IF(VLOOKUP($B166&amp;OFFSET(O$10,$A166*2,0),'Mapping A'!$B$6:$E$1011,4,0)=1,$E166,""),0)</f>
        <v>0</v>
      </c>
      <c r="P166" s="519">
        <f ca="1">_xlfn.IFNA(IF(VLOOKUP($B166&amp;OFFSET(P$10,$A166*2,0),'Mapping A'!$B$6:$E$1011,4,0)=1,$E166,""),0)</f>
        <v>0</v>
      </c>
      <c r="Q166" s="519">
        <f ca="1">_xlfn.IFNA(IF(VLOOKUP($B166&amp;OFFSET(Q$10,$A166*2,0),'Mapping A'!$B$6:$E$1011,4,0)=1,$E166,""),0)</f>
        <v>0</v>
      </c>
      <c r="R166" s="519">
        <f ca="1">_xlfn.IFNA(IF(VLOOKUP($B166&amp;OFFSET(R$10,$A166*2,0),'Mapping A'!$B$6:$E$1011,4,0)=1,$E166,""),0)</f>
        <v>0</v>
      </c>
      <c r="S166" s="519">
        <f ca="1">_xlfn.IFNA(IF(VLOOKUP($B166&amp;OFFSET(S$10,$A166*2,0),'Mapping A'!$B$6:$E$1011,4,0)=1,$E166,""),0)</f>
        <v>0</v>
      </c>
      <c r="T166" s="519">
        <f ca="1">_xlfn.IFNA(IF(VLOOKUP($B166&amp;OFFSET(T$10,$A166*2,0),'Mapping A'!$B$6:$E$1011,4,0)=1,$E166,""),0)</f>
        <v>0</v>
      </c>
      <c r="Y166" s="534" t="str">
        <f t="shared" si="69"/>
        <v>PowercoPAO1101</v>
      </c>
      <c r="Z166" s="519" t="str">
        <f t="shared" si="48"/>
        <v>Powerco</v>
      </c>
      <c r="AA166" s="519" t="str">
        <f t="shared" si="49"/>
        <v>PAO1101</v>
      </c>
      <c r="AB166" s="519">
        <f t="shared" si="65"/>
        <v>33.198900000000002</v>
      </c>
      <c r="AC166" s="324"/>
      <c r="AE166" s="519">
        <f t="shared" ca="1" si="50"/>
        <v>0</v>
      </c>
      <c r="AF166" s="519">
        <f t="shared" ca="1" si="51"/>
        <v>0</v>
      </c>
      <c r="AG166" s="519">
        <f t="shared" ca="1" si="52"/>
        <v>0</v>
      </c>
      <c r="AH166" s="519">
        <f t="shared" ca="1" si="53"/>
        <v>0</v>
      </c>
      <c r="AI166" s="519">
        <f t="shared" ca="1" si="66"/>
        <v>0</v>
      </c>
      <c r="AJ166" s="519">
        <f t="shared" ca="1" si="54"/>
        <v>0</v>
      </c>
      <c r="AK166" s="519">
        <f t="shared" ca="1" si="55"/>
        <v>0</v>
      </c>
      <c r="AL166" s="519">
        <f t="shared" ca="1" si="56"/>
        <v>0</v>
      </c>
      <c r="AM166" s="519">
        <f t="shared" ca="1" si="57"/>
        <v>0</v>
      </c>
      <c r="AN166" s="519">
        <f t="shared" ca="1" si="58"/>
        <v>0</v>
      </c>
      <c r="AO166" s="519">
        <f t="shared" ca="1" si="59"/>
        <v>0</v>
      </c>
      <c r="AP166" s="519">
        <f t="shared" ca="1" si="60"/>
        <v>0</v>
      </c>
      <c r="AQ166" s="519">
        <f t="shared" ca="1" si="61"/>
        <v>0</v>
      </c>
      <c r="AS166" s="536"/>
      <c r="AT166" s="536"/>
      <c r="AU166" s="519" t="str">
        <f t="shared" si="67"/>
        <v>Powerco</v>
      </c>
      <c r="AV166" s="519" t="str">
        <f t="shared" si="62"/>
        <v>PAO1101</v>
      </c>
      <c r="AW166" s="519">
        <f t="shared" si="63"/>
        <v>33.198900000000002</v>
      </c>
      <c r="AX166" s="538"/>
      <c r="AY166" s="539">
        <f t="shared" ca="1" si="68"/>
        <v>1.0070900915610563</v>
      </c>
      <c r="AZ166" s="189"/>
    </row>
    <row r="167" spans="1:52" x14ac:dyDescent="0.3">
      <c r="A167" s="556">
        <v>1</v>
      </c>
      <c r="B167" s="519" t="str">
        <f t="shared" si="64"/>
        <v>PEN</v>
      </c>
      <c r="C167" s="519" t="str">
        <f>AMDs!C148</f>
        <v>Vector</v>
      </c>
      <c r="D167" s="519" t="str">
        <f>AMDs!D148</f>
        <v>PEN0221</v>
      </c>
      <c r="E167" s="519">
        <f>IF(AMDs!C148="other",0,AMDs!E148)</f>
        <v>55.412700000000001</v>
      </c>
      <c r="H167" s="519">
        <f ca="1">_xlfn.IFNA(IF(VLOOKUP($B167&amp;OFFSET(H$10,$A167*2,0),'Mapping A'!$B$6:$E$1011,4,0)=1,$E167,""),0)</f>
        <v>55.412700000000001</v>
      </c>
      <c r="I167" s="519">
        <f ca="1">_xlfn.IFNA(IF(VLOOKUP($B167&amp;OFFSET(I$10,$A167*2,0),'Mapping A'!$B$6:$E$1011,4,0)=1,$E167,""),0)</f>
        <v>55.412700000000001</v>
      </c>
      <c r="J167" s="519">
        <f ca="1">_xlfn.IFNA(IF(VLOOKUP($B167&amp;OFFSET(J$10,$A167*2,0),'Mapping A'!$B$6:$E$1011,4,0)=1,$E167,""),0)</f>
        <v>55.412700000000001</v>
      </c>
      <c r="K167" s="519">
        <f ca="1">_xlfn.IFNA(IF(VLOOKUP($B167&amp;OFFSET(K$10,$A167*2,0),'Mapping A'!$B$6:$E$1011,4,0)=1,$E167,""),0)</f>
        <v>0</v>
      </c>
      <c r="L167" s="519">
        <f ca="1">_xlfn.IFNA(IF(VLOOKUP($B167&amp;OFFSET(L$10,$A167*2,0),'Mapping A'!$B$6:$E$1011,4,0)=1,$E167,""),0)</f>
        <v>0</v>
      </c>
      <c r="M167" s="519">
        <f ca="1">_xlfn.IFNA(IF(VLOOKUP($B167&amp;OFFSET(M$10,$A167*2,0),'Mapping A'!$B$6:$E$1011,4,0)=1,$E167,""),0)</f>
        <v>55.412700000000001</v>
      </c>
      <c r="N167" s="519">
        <f ca="1">_xlfn.IFNA(IF(VLOOKUP($B167&amp;OFFSET(N$10,$A167*2,0),'Mapping A'!$B$6:$E$1011,4,0)=1,$E167,""),0)</f>
        <v>55.412700000000001</v>
      </c>
      <c r="O167" s="519">
        <f ca="1">_xlfn.IFNA(IF(VLOOKUP($B167&amp;OFFSET(O$10,$A167*2,0),'Mapping A'!$B$6:$E$1011,4,0)=1,$E167,""),0)</f>
        <v>0</v>
      </c>
      <c r="P167" s="519">
        <f ca="1">_xlfn.IFNA(IF(VLOOKUP($B167&amp;OFFSET(P$10,$A167*2,0),'Mapping A'!$B$6:$E$1011,4,0)=1,$E167,""),0)</f>
        <v>0</v>
      </c>
      <c r="Q167" s="519">
        <f ca="1">_xlfn.IFNA(IF(VLOOKUP($B167&amp;OFFSET(Q$10,$A167*2,0),'Mapping A'!$B$6:$E$1011,4,0)=1,$E167,""),0)</f>
        <v>55.412700000000001</v>
      </c>
      <c r="R167" s="519">
        <f ca="1">_xlfn.IFNA(IF(VLOOKUP($B167&amp;OFFSET(R$10,$A167*2,0),'Mapping A'!$B$6:$E$1011,4,0)=1,$E167,""),0)</f>
        <v>0</v>
      </c>
      <c r="S167" s="519">
        <f ca="1">_xlfn.IFNA(IF(VLOOKUP($B167&amp;OFFSET(S$10,$A167*2,0),'Mapping A'!$B$6:$E$1011,4,0)=1,$E167,""),0)</f>
        <v>0</v>
      </c>
      <c r="T167" s="519">
        <f ca="1">_xlfn.IFNA(IF(VLOOKUP($B167&amp;OFFSET(T$10,$A167*2,0),'Mapping A'!$B$6:$E$1011,4,0)=1,$E167,""),0)</f>
        <v>0</v>
      </c>
      <c r="Y167" s="534" t="str">
        <f t="shared" si="69"/>
        <v>VectorPEN0221</v>
      </c>
      <c r="Z167" s="519" t="str">
        <f t="shared" si="48"/>
        <v>Vector</v>
      </c>
      <c r="AA167" s="519" t="str">
        <f t="shared" si="49"/>
        <v>PEN0221</v>
      </c>
      <c r="AB167" s="519">
        <f t="shared" si="65"/>
        <v>55.412700000000001</v>
      </c>
      <c r="AC167" s="324"/>
      <c r="AE167" s="519">
        <f t="shared" ca="1" si="50"/>
        <v>0</v>
      </c>
      <c r="AF167" s="519">
        <f t="shared" ca="1" si="51"/>
        <v>0</v>
      </c>
      <c r="AG167" s="519">
        <f t="shared" ca="1" si="52"/>
        <v>0</v>
      </c>
      <c r="AH167" s="519">
        <f t="shared" ca="1" si="53"/>
        <v>0</v>
      </c>
      <c r="AI167" s="519">
        <f t="shared" ca="1" si="66"/>
        <v>0</v>
      </c>
      <c r="AJ167" s="519">
        <f t="shared" ca="1" si="54"/>
        <v>0</v>
      </c>
      <c r="AK167" s="519">
        <f t="shared" ca="1" si="55"/>
        <v>0.22194044115488815</v>
      </c>
      <c r="AL167" s="519">
        <f t="shared" ca="1" si="56"/>
        <v>0</v>
      </c>
      <c r="AM167" s="519">
        <f t="shared" ca="1" si="57"/>
        <v>0</v>
      </c>
      <c r="AN167" s="519">
        <f t="shared" ca="1" si="58"/>
        <v>0.1023594114633592</v>
      </c>
      <c r="AO167" s="519">
        <f t="shared" ca="1" si="59"/>
        <v>0</v>
      </c>
      <c r="AP167" s="519">
        <f t="shared" ca="1" si="60"/>
        <v>0</v>
      </c>
      <c r="AQ167" s="519">
        <f t="shared" ca="1" si="61"/>
        <v>0</v>
      </c>
      <c r="AS167" s="536"/>
      <c r="AT167" s="536"/>
      <c r="AU167" s="519" t="str">
        <f t="shared" si="67"/>
        <v>Vector</v>
      </c>
      <c r="AV167" s="519" t="str">
        <f t="shared" si="62"/>
        <v>PEN0221</v>
      </c>
      <c r="AW167" s="519">
        <f t="shared" si="63"/>
        <v>55.412700000000001</v>
      </c>
      <c r="AX167" s="538"/>
      <c r="AY167" s="539">
        <f t="shared" ca="1" si="68"/>
        <v>1.680946691506205</v>
      </c>
      <c r="AZ167" s="189"/>
    </row>
    <row r="168" spans="1:52" x14ac:dyDescent="0.3">
      <c r="A168" s="556">
        <v>1</v>
      </c>
      <c r="B168" s="519" t="str">
        <f t="shared" si="64"/>
        <v>PEN</v>
      </c>
      <c r="C168" s="519" t="str">
        <f>AMDs!C149</f>
        <v>Kiwirail</v>
      </c>
      <c r="D168" s="519" t="str">
        <f>AMDs!D149</f>
        <v>PEN0251</v>
      </c>
      <c r="E168" s="519">
        <f>IF(AMDs!C149="other",0,AMDs!E149)</f>
        <v>1.5266999999999999</v>
      </c>
      <c r="H168" s="519">
        <f ca="1">_xlfn.IFNA(IF(VLOOKUP($B168&amp;OFFSET(H$10,$A168*2,0),'Mapping A'!$B$6:$E$1011,4,0)=1,$E168,""),0)</f>
        <v>1.5266999999999999</v>
      </c>
      <c r="I168" s="519">
        <f ca="1">_xlfn.IFNA(IF(VLOOKUP($B168&amp;OFFSET(I$10,$A168*2,0),'Mapping A'!$B$6:$E$1011,4,0)=1,$E168,""),0)</f>
        <v>1.5266999999999999</v>
      </c>
      <c r="J168" s="519">
        <f ca="1">_xlfn.IFNA(IF(VLOOKUP($B168&amp;OFFSET(J$10,$A168*2,0),'Mapping A'!$B$6:$E$1011,4,0)=1,$E168,""),0)</f>
        <v>1.5266999999999999</v>
      </c>
      <c r="K168" s="519">
        <f ca="1">_xlfn.IFNA(IF(VLOOKUP($B168&amp;OFFSET(K$10,$A168*2,0),'Mapping A'!$B$6:$E$1011,4,0)=1,$E168,""),0)</f>
        <v>0</v>
      </c>
      <c r="L168" s="519">
        <f ca="1">_xlfn.IFNA(IF(VLOOKUP($B168&amp;OFFSET(L$10,$A168*2,0),'Mapping A'!$B$6:$E$1011,4,0)=1,$E168,""),0)</f>
        <v>0</v>
      </c>
      <c r="M168" s="519">
        <f ca="1">_xlfn.IFNA(IF(VLOOKUP($B168&amp;OFFSET(M$10,$A168*2,0),'Mapping A'!$B$6:$E$1011,4,0)=1,$E168,""),0)</f>
        <v>1.5266999999999999</v>
      </c>
      <c r="N168" s="519">
        <f ca="1">_xlfn.IFNA(IF(VLOOKUP($B168&amp;OFFSET(N$10,$A168*2,0),'Mapping A'!$B$6:$E$1011,4,0)=1,$E168,""),0)</f>
        <v>1.5266999999999999</v>
      </c>
      <c r="O168" s="519">
        <f ca="1">_xlfn.IFNA(IF(VLOOKUP($B168&amp;OFFSET(O$10,$A168*2,0),'Mapping A'!$B$6:$E$1011,4,0)=1,$E168,""),0)</f>
        <v>0</v>
      </c>
      <c r="P168" s="519">
        <f ca="1">_xlfn.IFNA(IF(VLOOKUP($B168&amp;OFFSET(P$10,$A168*2,0),'Mapping A'!$B$6:$E$1011,4,0)=1,$E168,""),0)</f>
        <v>0</v>
      </c>
      <c r="Q168" s="519">
        <f ca="1">_xlfn.IFNA(IF(VLOOKUP($B168&amp;OFFSET(Q$10,$A168*2,0),'Mapping A'!$B$6:$E$1011,4,0)=1,$E168,""),0)</f>
        <v>1.5266999999999999</v>
      </c>
      <c r="R168" s="519">
        <f ca="1">_xlfn.IFNA(IF(VLOOKUP($B168&amp;OFFSET(R$10,$A168*2,0),'Mapping A'!$B$6:$E$1011,4,0)=1,$E168,""),0)</f>
        <v>0</v>
      </c>
      <c r="S168" s="519">
        <f ca="1">_xlfn.IFNA(IF(VLOOKUP($B168&amp;OFFSET(S$10,$A168*2,0),'Mapping A'!$B$6:$E$1011,4,0)=1,$E168,""),0)</f>
        <v>0</v>
      </c>
      <c r="T168" s="519">
        <f ca="1">_xlfn.IFNA(IF(VLOOKUP($B168&amp;OFFSET(T$10,$A168*2,0),'Mapping A'!$B$6:$E$1011,4,0)=1,$E168,""),0)</f>
        <v>0</v>
      </c>
      <c r="Y168" s="534" t="str">
        <f t="shared" si="69"/>
        <v>KiwirailPEN0251</v>
      </c>
      <c r="Z168" s="519" t="str">
        <f t="shared" si="48"/>
        <v>Kiwirail</v>
      </c>
      <c r="AA168" s="519" t="str">
        <f t="shared" si="49"/>
        <v>PEN0251</v>
      </c>
      <c r="AB168" s="519">
        <f t="shared" si="65"/>
        <v>1.5266999999999999</v>
      </c>
      <c r="AC168" s="324"/>
      <c r="AE168" s="519">
        <f t="shared" ca="1" si="50"/>
        <v>0</v>
      </c>
      <c r="AF168" s="519">
        <f t="shared" ca="1" si="51"/>
        <v>0</v>
      </c>
      <c r="AG168" s="519">
        <f t="shared" ca="1" si="52"/>
        <v>0</v>
      </c>
      <c r="AH168" s="519">
        <f t="shared" ca="1" si="53"/>
        <v>0</v>
      </c>
      <c r="AI168" s="519">
        <f t="shared" ca="1" si="66"/>
        <v>0</v>
      </c>
      <c r="AJ168" s="519">
        <f t="shared" ca="1" si="54"/>
        <v>0</v>
      </c>
      <c r="AK168" s="519">
        <f t="shared" ca="1" si="55"/>
        <v>6.1147800325767861E-3</v>
      </c>
      <c r="AL168" s="519">
        <f t="shared" ca="1" si="56"/>
        <v>0</v>
      </c>
      <c r="AM168" s="519">
        <f t="shared" ca="1" si="57"/>
        <v>0</v>
      </c>
      <c r="AN168" s="519">
        <f t="shared" ca="1" si="58"/>
        <v>2.8201497757934634E-3</v>
      </c>
      <c r="AO168" s="519">
        <f t="shared" ca="1" si="59"/>
        <v>0</v>
      </c>
      <c r="AP168" s="519">
        <f t="shared" ca="1" si="60"/>
        <v>0</v>
      </c>
      <c r="AQ168" s="519">
        <f t="shared" ca="1" si="61"/>
        <v>0</v>
      </c>
      <c r="AS168" s="536"/>
      <c r="AT168" s="536"/>
      <c r="AU168" s="519" t="str">
        <f t="shared" si="67"/>
        <v>Kiwirail</v>
      </c>
      <c r="AV168" s="519" t="str">
        <f t="shared" si="62"/>
        <v>PEN0251</v>
      </c>
      <c r="AW168" s="519">
        <f t="shared" si="63"/>
        <v>1.5266999999999999</v>
      </c>
      <c r="AX168" s="538"/>
      <c r="AY168" s="539">
        <f t="shared" ca="1" si="68"/>
        <v>4.6312511643044334E-2</v>
      </c>
      <c r="AZ168" s="189"/>
    </row>
    <row r="169" spans="1:52" x14ac:dyDescent="0.3">
      <c r="A169" s="556">
        <v>1</v>
      </c>
      <c r="B169" s="519" t="str">
        <f t="shared" si="64"/>
        <v>PEN</v>
      </c>
      <c r="C169" s="519" t="str">
        <f>AMDs!C150</f>
        <v>Other</v>
      </c>
      <c r="D169" s="519" t="str">
        <f>AMDs!D150</f>
        <v>PEN0331</v>
      </c>
      <c r="E169" s="519">
        <f>IF(AMDs!C150="other",0,AMDs!E150)</f>
        <v>0</v>
      </c>
      <c r="H169" s="519">
        <f ca="1">_xlfn.IFNA(IF(VLOOKUP($B169&amp;OFFSET(H$10,$A169*2,0),'Mapping A'!$B$6:$E$1011,4,0)=1,$E169,""),0)</f>
        <v>0</v>
      </c>
      <c r="I169" s="519">
        <f ca="1">_xlfn.IFNA(IF(VLOOKUP($B169&amp;OFFSET(I$10,$A169*2,0),'Mapping A'!$B$6:$E$1011,4,0)=1,$E169,""),0)</f>
        <v>0</v>
      </c>
      <c r="J169" s="519">
        <f ca="1">_xlfn.IFNA(IF(VLOOKUP($B169&amp;OFFSET(J$10,$A169*2,0),'Mapping A'!$B$6:$E$1011,4,0)=1,$E169,""),0)</f>
        <v>0</v>
      </c>
      <c r="K169" s="519">
        <f ca="1">_xlfn.IFNA(IF(VLOOKUP($B169&amp;OFFSET(K$10,$A169*2,0),'Mapping A'!$B$6:$E$1011,4,0)=1,$E169,""),0)</f>
        <v>0</v>
      </c>
      <c r="L169" s="519">
        <f ca="1">_xlfn.IFNA(IF(VLOOKUP($B169&amp;OFFSET(L$10,$A169*2,0),'Mapping A'!$B$6:$E$1011,4,0)=1,$E169,""),0)</f>
        <v>0</v>
      </c>
      <c r="M169" s="519">
        <f ca="1">_xlfn.IFNA(IF(VLOOKUP($B169&amp;OFFSET(M$10,$A169*2,0),'Mapping A'!$B$6:$E$1011,4,0)=1,$E169,""),0)</f>
        <v>0</v>
      </c>
      <c r="N169" s="519">
        <f ca="1">_xlfn.IFNA(IF(VLOOKUP($B169&amp;OFFSET(N$10,$A169*2,0),'Mapping A'!$B$6:$E$1011,4,0)=1,$E169,""),0)</f>
        <v>0</v>
      </c>
      <c r="O169" s="519">
        <f ca="1">_xlfn.IFNA(IF(VLOOKUP($B169&amp;OFFSET(O$10,$A169*2,0),'Mapping A'!$B$6:$E$1011,4,0)=1,$E169,""),0)</f>
        <v>0</v>
      </c>
      <c r="P169" s="519">
        <f ca="1">_xlfn.IFNA(IF(VLOOKUP($B169&amp;OFFSET(P$10,$A169*2,0),'Mapping A'!$B$6:$E$1011,4,0)=1,$E169,""),0)</f>
        <v>0</v>
      </c>
      <c r="Q169" s="519">
        <f ca="1">_xlfn.IFNA(IF(VLOOKUP($B169&amp;OFFSET(Q$10,$A169*2,0),'Mapping A'!$B$6:$E$1011,4,0)=1,$E169,""),0)</f>
        <v>0</v>
      </c>
      <c r="R169" s="519">
        <f ca="1">_xlfn.IFNA(IF(VLOOKUP($B169&amp;OFFSET(R$10,$A169*2,0),'Mapping A'!$B$6:$E$1011,4,0)=1,$E169,""),0)</f>
        <v>0</v>
      </c>
      <c r="S169" s="519">
        <f ca="1">_xlfn.IFNA(IF(VLOOKUP($B169&amp;OFFSET(S$10,$A169*2,0),'Mapping A'!$B$6:$E$1011,4,0)=1,$E169,""),0)</f>
        <v>0</v>
      </c>
      <c r="T169" s="519">
        <f ca="1">_xlfn.IFNA(IF(VLOOKUP($B169&amp;OFFSET(T$10,$A169*2,0),'Mapping A'!$B$6:$E$1011,4,0)=1,$E169,""),0)</f>
        <v>0</v>
      </c>
      <c r="Y169" s="534" t="str">
        <f t="shared" si="69"/>
        <v>OtherPEN0331</v>
      </c>
      <c r="Z169" s="519" t="str">
        <f t="shared" si="48"/>
        <v>Other</v>
      </c>
      <c r="AA169" s="519" t="str">
        <f t="shared" si="49"/>
        <v>PEN0331</v>
      </c>
      <c r="AB169" s="519">
        <f t="shared" si="65"/>
        <v>0</v>
      </c>
      <c r="AC169" s="324"/>
      <c r="AE169" s="519">
        <f t="shared" ca="1" si="50"/>
        <v>0</v>
      </c>
      <c r="AF169" s="519">
        <f t="shared" ca="1" si="51"/>
        <v>0</v>
      </c>
      <c r="AG169" s="519">
        <f t="shared" ca="1" si="52"/>
        <v>0</v>
      </c>
      <c r="AH169" s="519">
        <f t="shared" ca="1" si="53"/>
        <v>0</v>
      </c>
      <c r="AI169" s="519">
        <f t="shared" ca="1" si="66"/>
        <v>0</v>
      </c>
      <c r="AJ169" s="519">
        <f t="shared" ca="1" si="54"/>
        <v>0</v>
      </c>
      <c r="AK169" s="519">
        <f t="shared" ca="1" si="55"/>
        <v>0</v>
      </c>
      <c r="AL169" s="519">
        <f t="shared" ca="1" si="56"/>
        <v>0</v>
      </c>
      <c r="AM169" s="519">
        <f t="shared" ca="1" si="57"/>
        <v>0</v>
      </c>
      <c r="AN169" s="519">
        <f t="shared" ca="1" si="58"/>
        <v>0</v>
      </c>
      <c r="AO169" s="519">
        <f t="shared" ca="1" si="59"/>
        <v>0</v>
      </c>
      <c r="AP169" s="519">
        <f t="shared" ca="1" si="60"/>
        <v>0</v>
      </c>
      <c r="AQ169" s="519">
        <f t="shared" ca="1" si="61"/>
        <v>0</v>
      </c>
      <c r="AS169" s="536"/>
      <c r="AT169" s="536"/>
      <c r="AU169" s="519" t="str">
        <f t="shared" si="67"/>
        <v>Other</v>
      </c>
      <c r="AV169" s="519" t="str">
        <f t="shared" si="62"/>
        <v>PEN0331</v>
      </c>
      <c r="AW169" s="519">
        <f t="shared" si="63"/>
        <v>0</v>
      </c>
      <c r="AX169" s="538"/>
      <c r="AY169" s="539">
        <f t="shared" ca="1" si="68"/>
        <v>0</v>
      </c>
      <c r="AZ169" s="189"/>
    </row>
    <row r="170" spans="1:52" x14ac:dyDescent="0.3">
      <c r="A170" s="556">
        <v>1</v>
      </c>
      <c r="B170" s="519" t="str">
        <f t="shared" si="64"/>
        <v>PEN</v>
      </c>
      <c r="C170" s="519" t="str">
        <f>AMDs!C151</f>
        <v>Vector</v>
      </c>
      <c r="D170" s="519" t="str">
        <f>AMDs!D151</f>
        <v>PEN0331</v>
      </c>
      <c r="E170" s="519">
        <f>IF(AMDs!C151="other",0,AMDs!E151)</f>
        <v>267.10739999999998</v>
      </c>
      <c r="H170" s="519">
        <f ca="1">_xlfn.IFNA(IF(VLOOKUP($B170&amp;OFFSET(H$10,$A170*2,0),'Mapping A'!$B$6:$E$1011,4,0)=1,$E170,""),0)</f>
        <v>267.10739999999998</v>
      </c>
      <c r="I170" s="519">
        <f ca="1">_xlfn.IFNA(IF(VLOOKUP($B170&amp;OFFSET(I$10,$A170*2,0),'Mapping A'!$B$6:$E$1011,4,0)=1,$E170,""),0)</f>
        <v>267.10739999999998</v>
      </c>
      <c r="J170" s="519">
        <f ca="1">_xlfn.IFNA(IF(VLOOKUP($B170&amp;OFFSET(J$10,$A170*2,0),'Mapping A'!$B$6:$E$1011,4,0)=1,$E170,""),0)</f>
        <v>267.10739999999998</v>
      </c>
      <c r="K170" s="519">
        <f ca="1">_xlfn.IFNA(IF(VLOOKUP($B170&amp;OFFSET(K$10,$A170*2,0),'Mapping A'!$B$6:$E$1011,4,0)=1,$E170,""),0)</f>
        <v>0</v>
      </c>
      <c r="L170" s="519">
        <f ca="1">_xlfn.IFNA(IF(VLOOKUP($B170&amp;OFFSET(L$10,$A170*2,0),'Mapping A'!$B$6:$E$1011,4,0)=1,$E170,""),0)</f>
        <v>0</v>
      </c>
      <c r="M170" s="519">
        <f ca="1">_xlfn.IFNA(IF(VLOOKUP($B170&amp;OFFSET(M$10,$A170*2,0),'Mapping A'!$B$6:$E$1011,4,0)=1,$E170,""),0)</f>
        <v>267.10739999999998</v>
      </c>
      <c r="N170" s="519">
        <f ca="1">_xlfn.IFNA(IF(VLOOKUP($B170&amp;OFFSET(N$10,$A170*2,0),'Mapping A'!$B$6:$E$1011,4,0)=1,$E170,""),0)</f>
        <v>267.10739999999998</v>
      </c>
      <c r="O170" s="519">
        <f ca="1">_xlfn.IFNA(IF(VLOOKUP($B170&amp;OFFSET(O$10,$A170*2,0),'Mapping A'!$B$6:$E$1011,4,0)=1,$E170,""),0)</f>
        <v>0</v>
      </c>
      <c r="P170" s="519">
        <f ca="1">_xlfn.IFNA(IF(VLOOKUP($B170&amp;OFFSET(P$10,$A170*2,0),'Mapping A'!$B$6:$E$1011,4,0)=1,$E170,""),0)</f>
        <v>0</v>
      </c>
      <c r="Q170" s="519">
        <f ca="1">_xlfn.IFNA(IF(VLOOKUP($B170&amp;OFFSET(Q$10,$A170*2,0),'Mapping A'!$B$6:$E$1011,4,0)=1,$E170,""),0)</f>
        <v>267.10739999999998</v>
      </c>
      <c r="R170" s="519">
        <f ca="1">_xlfn.IFNA(IF(VLOOKUP($B170&amp;OFFSET(R$10,$A170*2,0),'Mapping A'!$B$6:$E$1011,4,0)=1,$E170,""),0)</f>
        <v>0</v>
      </c>
      <c r="S170" s="519">
        <f ca="1">_xlfn.IFNA(IF(VLOOKUP($B170&amp;OFFSET(S$10,$A170*2,0),'Mapping A'!$B$6:$E$1011,4,0)=1,$E170,""),0)</f>
        <v>0</v>
      </c>
      <c r="T170" s="519">
        <f ca="1">_xlfn.IFNA(IF(VLOOKUP($B170&amp;OFFSET(T$10,$A170*2,0),'Mapping A'!$B$6:$E$1011,4,0)=1,$E170,""),0)</f>
        <v>0</v>
      </c>
      <c r="Y170" s="534" t="str">
        <f t="shared" si="69"/>
        <v>VectorPEN0331</v>
      </c>
      <c r="Z170" s="519" t="str">
        <f t="shared" si="48"/>
        <v>Vector</v>
      </c>
      <c r="AA170" s="519" t="str">
        <f t="shared" si="49"/>
        <v>PEN0331</v>
      </c>
      <c r="AB170" s="519">
        <f t="shared" si="65"/>
        <v>267.10739999999998</v>
      </c>
      <c r="AC170" s="324"/>
      <c r="AE170" s="519">
        <f t="shared" ca="1" si="50"/>
        <v>0</v>
      </c>
      <c r="AF170" s="519">
        <f t="shared" ca="1" si="51"/>
        <v>0</v>
      </c>
      <c r="AG170" s="519">
        <f t="shared" ca="1" si="52"/>
        <v>0</v>
      </c>
      <c r="AH170" s="519">
        <f t="shared" ca="1" si="53"/>
        <v>0</v>
      </c>
      <c r="AI170" s="519">
        <f t="shared" ca="1" si="66"/>
        <v>0</v>
      </c>
      <c r="AJ170" s="519">
        <f t="shared" ca="1" si="54"/>
        <v>0</v>
      </c>
      <c r="AK170" s="519">
        <f t="shared" ca="1" si="55"/>
        <v>1.0698257654244454</v>
      </c>
      <c r="AL170" s="519">
        <f t="shared" ca="1" si="56"/>
        <v>0</v>
      </c>
      <c r="AM170" s="519">
        <f t="shared" ca="1" si="57"/>
        <v>0</v>
      </c>
      <c r="AN170" s="519">
        <f t="shared" ca="1" si="58"/>
        <v>0.49340595678442067</v>
      </c>
      <c r="AO170" s="519">
        <f t="shared" ca="1" si="59"/>
        <v>0</v>
      </c>
      <c r="AP170" s="519">
        <f t="shared" ca="1" si="60"/>
        <v>0</v>
      </c>
      <c r="AQ170" s="519">
        <f t="shared" ca="1" si="61"/>
        <v>0</v>
      </c>
      <c r="AS170" s="536"/>
      <c r="AT170" s="536"/>
      <c r="AU170" s="519" t="str">
        <f t="shared" si="67"/>
        <v>Vector</v>
      </c>
      <c r="AV170" s="519" t="str">
        <f t="shared" si="62"/>
        <v>PEN0331</v>
      </c>
      <c r="AW170" s="519">
        <f t="shared" si="63"/>
        <v>267.10739999999998</v>
      </c>
      <c r="AX170" s="538"/>
      <c r="AY170" s="539">
        <f t="shared" ca="1" si="68"/>
        <v>8.1027147261697134</v>
      </c>
      <c r="AZ170" s="189"/>
    </row>
    <row r="171" spans="1:52" x14ac:dyDescent="0.3">
      <c r="A171" s="556">
        <v>1</v>
      </c>
      <c r="B171" s="519" t="str">
        <f t="shared" si="64"/>
        <v>PEN</v>
      </c>
      <c r="C171" s="519" t="str">
        <f>AMDs!C152</f>
        <v>Vector</v>
      </c>
      <c r="D171" s="519" t="str">
        <f>AMDs!D152</f>
        <v>PEN1101</v>
      </c>
      <c r="E171" s="519">
        <f>IF(AMDs!C152="other",0,AMDs!E152)</f>
        <v>200.09010000000001</v>
      </c>
      <c r="H171" s="519">
        <f ca="1">_xlfn.IFNA(IF(VLOOKUP($B171&amp;OFFSET(H$10,$A171*2,0),'Mapping A'!$B$6:$E$1011,4,0)=1,$E171,""),0)</f>
        <v>200.09010000000001</v>
      </c>
      <c r="I171" s="519">
        <f ca="1">_xlfn.IFNA(IF(VLOOKUP($B171&amp;OFFSET(I$10,$A171*2,0),'Mapping A'!$B$6:$E$1011,4,0)=1,$E171,""),0)</f>
        <v>200.09010000000001</v>
      </c>
      <c r="J171" s="519">
        <f ca="1">_xlfn.IFNA(IF(VLOOKUP($B171&amp;OFFSET(J$10,$A171*2,0),'Mapping A'!$B$6:$E$1011,4,0)=1,$E171,""),0)</f>
        <v>200.09010000000001</v>
      </c>
      <c r="K171" s="519">
        <f ca="1">_xlfn.IFNA(IF(VLOOKUP($B171&amp;OFFSET(K$10,$A171*2,0),'Mapping A'!$B$6:$E$1011,4,0)=1,$E171,""),0)</f>
        <v>0</v>
      </c>
      <c r="L171" s="519">
        <f ca="1">_xlfn.IFNA(IF(VLOOKUP($B171&amp;OFFSET(L$10,$A171*2,0),'Mapping A'!$B$6:$E$1011,4,0)=1,$E171,""),0)</f>
        <v>0</v>
      </c>
      <c r="M171" s="519">
        <f ca="1">_xlfn.IFNA(IF(VLOOKUP($B171&amp;OFFSET(M$10,$A171*2,0),'Mapping A'!$B$6:$E$1011,4,0)=1,$E171,""),0)</f>
        <v>200.09010000000001</v>
      </c>
      <c r="N171" s="519">
        <f ca="1">_xlfn.IFNA(IF(VLOOKUP($B171&amp;OFFSET(N$10,$A171*2,0),'Mapping A'!$B$6:$E$1011,4,0)=1,$E171,""),0)</f>
        <v>200.09010000000001</v>
      </c>
      <c r="O171" s="519">
        <f ca="1">_xlfn.IFNA(IF(VLOOKUP($B171&amp;OFFSET(O$10,$A171*2,0),'Mapping A'!$B$6:$E$1011,4,0)=1,$E171,""),0)</f>
        <v>0</v>
      </c>
      <c r="P171" s="519">
        <f ca="1">_xlfn.IFNA(IF(VLOOKUP($B171&amp;OFFSET(P$10,$A171*2,0),'Mapping A'!$B$6:$E$1011,4,0)=1,$E171,""),0)</f>
        <v>0</v>
      </c>
      <c r="Q171" s="519">
        <f ca="1">_xlfn.IFNA(IF(VLOOKUP($B171&amp;OFFSET(Q$10,$A171*2,0),'Mapping A'!$B$6:$E$1011,4,0)=1,$E171,""),0)</f>
        <v>200.09010000000001</v>
      </c>
      <c r="R171" s="519">
        <f ca="1">_xlfn.IFNA(IF(VLOOKUP($B171&amp;OFFSET(R$10,$A171*2,0),'Mapping A'!$B$6:$E$1011,4,0)=1,$E171,""),0)</f>
        <v>0</v>
      </c>
      <c r="S171" s="519">
        <f ca="1">_xlfn.IFNA(IF(VLOOKUP($B171&amp;OFFSET(S$10,$A171*2,0),'Mapping A'!$B$6:$E$1011,4,0)=1,$E171,""),0)</f>
        <v>0</v>
      </c>
      <c r="T171" s="519">
        <f ca="1">_xlfn.IFNA(IF(VLOOKUP($B171&amp;OFFSET(T$10,$A171*2,0),'Mapping A'!$B$6:$E$1011,4,0)=1,$E171,""),0)</f>
        <v>0</v>
      </c>
      <c r="Y171" s="534" t="str">
        <f t="shared" si="69"/>
        <v>VectorPEN1101</v>
      </c>
      <c r="Z171" s="519" t="str">
        <f t="shared" si="48"/>
        <v>Vector</v>
      </c>
      <c r="AA171" s="519" t="str">
        <f t="shared" si="49"/>
        <v>PEN1101</v>
      </c>
      <c r="AB171" s="519">
        <f t="shared" si="65"/>
        <v>200.09010000000001</v>
      </c>
      <c r="AC171" s="324"/>
      <c r="AE171" s="519">
        <f t="shared" ca="1" si="50"/>
        <v>0</v>
      </c>
      <c r="AF171" s="519">
        <f t="shared" ca="1" si="51"/>
        <v>0</v>
      </c>
      <c r="AG171" s="519">
        <f t="shared" ca="1" si="52"/>
        <v>0</v>
      </c>
      <c r="AH171" s="519">
        <f t="shared" ca="1" si="53"/>
        <v>0</v>
      </c>
      <c r="AI171" s="519">
        <f t="shared" ca="1" si="66"/>
        <v>0</v>
      </c>
      <c r="AJ171" s="519">
        <f t="shared" ca="1" si="54"/>
        <v>0</v>
      </c>
      <c r="AK171" s="519">
        <f t="shared" ca="1" si="55"/>
        <v>0.8014062672406449</v>
      </c>
      <c r="AL171" s="519">
        <f t="shared" ca="1" si="56"/>
        <v>0</v>
      </c>
      <c r="AM171" s="519">
        <f t="shared" ca="1" si="57"/>
        <v>0</v>
      </c>
      <c r="AN171" s="519">
        <f t="shared" ca="1" si="58"/>
        <v>0.36961030369652959</v>
      </c>
      <c r="AO171" s="519">
        <f t="shared" ca="1" si="59"/>
        <v>0</v>
      </c>
      <c r="AP171" s="519">
        <f t="shared" ca="1" si="60"/>
        <v>0</v>
      </c>
      <c r="AQ171" s="519">
        <f t="shared" ca="1" si="61"/>
        <v>0</v>
      </c>
      <c r="AS171" s="536"/>
      <c r="AT171" s="536"/>
      <c r="AU171" s="519" t="str">
        <f t="shared" si="67"/>
        <v>Vector</v>
      </c>
      <c r="AV171" s="519" t="str">
        <f t="shared" si="62"/>
        <v>PEN1101</v>
      </c>
      <c r="AW171" s="519">
        <f t="shared" si="63"/>
        <v>200.09010000000001</v>
      </c>
      <c r="AX171" s="538"/>
      <c r="AY171" s="539">
        <f t="shared" ca="1" si="68"/>
        <v>6.069741983302487</v>
      </c>
      <c r="AZ171" s="189"/>
    </row>
    <row r="172" spans="1:52" x14ac:dyDescent="0.3">
      <c r="A172" s="556">
        <v>1</v>
      </c>
      <c r="B172" s="519" t="str">
        <f t="shared" si="64"/>
        <v>PNI</v>
      </c>
      <c r="C172" s="519" t="str">
        <f>AMDs!C153</f>
        <v>Wellington Electricity</v>
      </c>
      <c r="D172" s="519" t="str">
        <f>AMDs!D153</f>
        <v>PNI0331</v>
      </c>
      <c r="E172" s="519">
        <f>IF(AMDs!C153="other",0,AMDs!E153)</f>
        <v>20.357399999999998</v>
      </c>
      <c r="H172" s="519">
        <f ca="1">_xlfn.IFNA(IF(VLOOKUP($B172&amp;OFFSET(H$10,$A172*2,0),'Mapping A'!$B$6:$E$1011,4,0)=1,$E172,""),0)</f>
        <v>0</v>
      </c>
      <c r="I172" s="519">
        <f ca="1">_xlfn.IFNA(IF(VLOOKUP($B172&amp;OFFSET(I$10,$A172*2,0),'Mapping A'!$B$6:$E$1011,4,0)=1,$E172,""),0)</f>
        <v>20.357399999999998</v>
      </c>
      <c r="J172" s="519">
        <f ca="1">_xlfn.IFNA(IF(VLOOKUP($B172&amp;OFFSET(J$10,$A172*2,0),'Mapping A'!$B$6:$E$1011,4,0)=1,$E172,""),0)</f>
        <v>20.357399999999998</v>
      </c>
      <c r="K172" s="519">
        <f ca="1">_xlfn.IFNA(IF(VLOOKUP($B172&amp;OFFSET(K$10,$A172*2,0),'Mapping A'!$B$6:$E$1011,4,0)=1,$E172,""),0)</f>
        <v>0</v>
      </c>
      <c r="L172" s="519">
        <f ca="1">_xlfn.IFNA(IF(VLOOKUP($B172&amp;OFFSET(L$10,$A172*2,0),'Mapping A'!$B$6:$E$1011,4,0)=1,$E172,""),0)</f>
        <v>0</v>
      </c>
      <c r="M172" s="519">
        <f ca="1">_xlfn.IFNA(IF(VLOOKUP($B172&amp;OFFSET(M$10,$A172*2,0),'Mapping A'!$B$6:$E$1011,4,0)=1,$E172,""),0)</f>
        <v>0</v>
      </c>
      <c r="N172" s="519">
        <f ca="1">_xlfn.IFNA(IF(VLOOKUP($B172&amp;OFFSET(N$10,$A172*2,0),'Mapping A'!$B$6:$E$1011,4,0)=1,$E172,""),0)</f>
        <v>0</v>
      </c>
      <c r="O172" s="519">
        <f ca="1">_xlfn.IFNA(IF(VLOOKUP($B172&amp;OFFSET(O$10,$A172*2,0),'Mapping A'!$B$6:$E$1011,4,0)=1,$E172,""),0)</f>
        <v>0</v>
      </c>
      <c r="P172" s="519">
        <f ca="1">_xlfn.IFNA(IF(VLOOKUP($B172&amp;OFFSET(P$10,$A172*2,0),'Mapping A'!$B$6:$E$1011,4,0)=1,$E172,""),0)</f>
        <v>0</v>
      </c>
      <c r="Q172" s="519">
        <f ca="1">_xlfn.IFNA(IF(VLOOKUP($B172&amp;OFFSET(Q$10,$A172*2,0),'Mapping A'!$B$6:$E$1011,4,0)=1,$E172,""),0)</f>
        <v>0</v>
      </c>
      <c r="R172" s="519">
        <f ca="1">_xlfn.IFNA(IF(VLOOKUP($B172&amp;OFFSET(R$10,$A172*2,0),'Mapping A'!$B$6:$E$1011,4,0)=1,$E172,""),0)</f>
        <v>0</v>
      </c>
      <c r="S172" s="519">
        <f ca="1">_xlfn.IFNA(IF(VLOOKUP($B172&amp;OFFSET(S$10,$A172*2,0),'Mapping A'!$B$6:$E$1011,4,0)=1,$E172,""),0)</f>
        <v>0</v>
      </c>
      <c r="T172" s="519">
        <f ca="1">_xlfn.IFNA(IF(VLOOKUP($B172&amp;OFFSET(T$10,$A172*2,0),'Mapping A'!$B$6:$E$1011,4,0)=1,$E172,""),0)</f>
        <v>0</v>
      </c>
      <c r="Y172" s="534" t="str">
        <f t="shared" si="69"/>
        <v>Wellington ElectricityPNI0331</v>
      </c>
      <c r="Z172" s="519" t="str">
        <f t="shared" si="48"/>
        <v>Wellington Electricity</v>
      </c>
      <c r="AA172" s="519" t="str">
        <f t="shared" si="49"/>
        <v>PNI0331</v>
      </c>
      <c r="AB172" s="519">
        <f t="shared" si="65"/>
        <v>20.357399999999998</v>
      </c>
      <c r="AC172" s="324"/>
      <c r="AE172" s="519">
        <f t="shared" ca="1" si="50"/>
        <v>0</v>
      </c>
      <c r="AF172" s="519">
        <f t="shared" ca="1" si="51"/>
        <v>0</v>
      </c>
      <c r="AG172" s="519">
        <f t="shared" ca="1" si="52"/>
        <v>0</v>
      </c>
      <c r="AH172" s="519">
        <f t="shared" ca="1" si="53"/>
        <v>0</v>
      </c>
      <c r="AI172" s="519">
        <f t="shared" ca="1" si="66"/>
        <v>0</v>
      </c>
      <c r="AJ172" s="519">
        <f t="shared" ca="1" si="54"/>
        <v>0</v>
      </c>
      <c r="AK172" s="519">
        <f t="shared" ca="1" si="55"/>
        <v>0</v>
      </c>
      <c r="AL172" s="519">
        <f t="shared" ca="1" si="56"/>
        <v>0</v>
      </c>
      <c r="AM172" s="519">
        <f t="shared" ca="1" si="57"/>
        <v>0</v>
      </c>
      <c r="AN172" s="519">
        <f t="shared" ca="1" si="58"/>
        <v>0</v>
      </c>
      <c r="AO172" s="519">
        <f t="shared" ca="1" si="59"/>
        <v>0</v>
      </c>
      <c r="AP172" s="519">
        <f t="shared" ca="1" si="60"/>
        <v>0</v>
      </c>
      <c r="AQ172" s="519">
        <f t="shared" ca="1" si="61"/>
        <v>0</v>
      </c>
      <c r="AS172" s="536"/>
      <c r="AT172" s="536"/>
      <c r="AU172" s="519" t="str">
        <f t="shared" si="67"/>
        <v>Wellington Electricity</v>
      </c>
      <c r="AV172" s="519" t="str">
        <f t="shared" si="62"/>
        <v>PNI0331</v>
      </c>
      <c r="AW172" s="519">
        <f t="shared" si="63"/>
        <v>20.357399999999998</v>
      </c>
      <c r="AX172" s="538"/>
      <c r="AY172" s="539">
        <f t="shared" ca="1" si="68"/>
        <v>0.617542624302162</v>
      </c>
      <c r="AZ172" s="189"/>
    </row>
    <row r="173" spans="1:52" x14ac:dyDescent="0.3">
      <c r="A173" s="556">
        <v>1</v>
      </c>
      <c r="B173" s="519" t="str">
        <f t="shared" si="64"/>
        <v>PPI</v>
      </c>
      <c r="C173" s="519" t="str">
        <f>AMDs!C154</f>
        <v>Contact</v>
      </c>
      <c r="D173" s="519" t="str">
        <f>AMDs!D154</f>
        <v>PPI2201</v>
      </c>
      <c r="E173" s="519">
        <f>IF(AMDs!C154="other",0,AMDs!E154)</f>
        <v>2.8140000000000001</v>
      </c>
      <c r="H173" s="519">
        <f ca="1">_xlfn.IFNA(IF(VLOOKUP($B173&amp;OFFSET(H$10,$A173*2,0),'Mapping A'!$B$6:$E$1011,4,0)=1,$E173,""),0)</f>
        <v>0</v>
      </c>
      <c r="I173" s="519">
        <f ca="1">_xlfn.IFNA(IF(VLOOKUP($B173&amp;OFFSET(I$10,$A173*2,0),'Mapping A'!$B$6:$E$1011,4,0)=1,$E173,""),0)</f>
        <v>2.8140000000000001</v>
      </c>
      <c r="J173" s="519">
        <f ca="1">_xlfn.IFNA(IF(VLOOKUP($B173&amp;OFFSET(J$10,$A173*2,0),'Mapping A'!$B$6:$E$1011,4,0)=1,$E173,""),0)</f>
        <v>2.8140000000000001</v>
      </c>
      <c r="K173" s="519">
        <f ca="1">_xlfn.IFNA(IF(VLOOKUP($B173&amp;OFFSET(K$10,$A173*2,0),'Mapping A'!$B$6:$E$1011,4,0)=1,$E173,""),0)</f>
        <v>0</v>
      </c>
      <c r="L173" s="519">
        <f ca="1">_xlfn.IFNA(IF(VLOOKUP($B173&amp;OFFSET(L$10,$A173*2,0),'Mapping A'!$B$6:$E$1011,4,0)=1,$E173,""),0)</f>
        <v>0</v>
      </c>
      <c r="M173" s="519">
        <f ca="1">_xlfn.IFNA(IF(VLOOKUP($B173&amp;OFFSET(M$10,$A173*2,0),'Mapping A'!$B$6:$E$1011,4,0)=1,$E173,""),0)</f>
        <v>2.8140000000000001</v>
      </c>
      <c r="N173" s="519">
        <f ca="1">_xlfn.IFNA(IF(VLOOKUP($B173&amp;OFFSET(N$10,$A173*2,0),'Mapping A'!$B$6:$E$1011,4,0)=1,$E173,""),0)</f>
        <v>0</v>
      </c>
      <c r="O173" s="519">
        <f ca="1">_xlfn.IFNA(IF(VLOOKUP($B173&amp;OFFSET(O$10,$A173*2,0),'Mapping A'!$B$6:$E$1011,4,0)=1,$E173,""),0)</f>
        <v>0</v>
      </c>
      <c r="P173" s="519">
        <f ca="1">_xlfn.IFNA(IF(VLOOKUP($B173&amp;OFFSET(P$10,$A173*2,0),'Mapping A'!$B$6:$E$1011,4,0)=1,$E173,""),0)</f>
        <v>0</v>
      </c>
      <c r="Q173" s="519">
        <f ca="1">_xlfn.IFNA(IF(VLOOKUP($B173&amp;OFFSET(Q$10,$A173*2,0),'Mapping A'!$B$6:$E$1011,4,0)=1,$E173,""),0)</f>
        <v>0</v>
      </c>
      <c r="R173" s="519">
        <f ca="1">_xlfn.IFNA(IF(VLOOKUP($B173&amp;OFFSET(R$10,$A173*2,0),'Mapping A'!$B$6:$E$1011,4,0)=1,$E173,""),0)</f>
        <v>0</v>
      </c>
      <c r="S173" s="519">
        <f ca="1">_xlfn.IFNA(IF(VLOOKUP($B173&amp;OFFSET(S$10,$A173*2,0),'Mapping A'!$B$6:$E$1011,4,0)=1,$E173,""),0)</f>
        <v>0</v>
      </c>
      <c r="T173" s="519">
        <f ca="1">_xlfn.IFNA(IF(VLOOKUP($B173&amp;OFFSET(T$10,$A173*2,0),'Mapping A'!$B$6:$E$1011,4,0)=1,$E173,""),0)</f>
        <v>0</v>
      </c>
      <c r="Y173" s="534" t="str">
        <f t="shared" si="69"/>
        <v>ContactPPI2201</v>
      </c>
      <c r="Z173" s="519" t="str">
        <f t="shared" si="48"/>
        <v>Contact</v>
      </c>
      <c r="AA173" s="519" t="str">
        <f t="shared" si="49"/>
        <v>PPI2201</v>
      </c>
      <c r="AB173" s="519">
        <f t="shared" si="65"/>
        <v>2.8140000000000001</v>
      </c>
      <c r="AC173" s="324"/>
      <c r="AE173" s="519">
        <f t="shared" ca="1" si="50"/>
        <v>0</v>
      </c>
      <c r="AF173" s="519">
        <f t="shared" ca="1" si="51"/>
        <v>0</v>
      </c>
      <c r="AG173" s="519">
        <f t="shared" ca="1" si="52"/>
        <v>0</v>
      </c>
      <c r="AH173" s="519">
        <f t="shared" ca="1" si="53"/>
        <v>0</v>
      </c>
      <c r="AI173" s="519">
        <f t="shared" ca="1" si="66"/>
        <v>0</v>
      </c>
      <c r="AJ173" s="519">
        <f t="shared" ca="1" si="54"/>
        <v>0</v>
      </c>
      <c r="AK173" s="519">
        <f t="shared" ca="1" si="55"/>
        <v>0</v>
      </c>
      <c r="AL173" s="519">
        <f t="shared" ca="1" si="56"/>
        <v>0</v>
      </c>
      <c r="AM173" s="519">
        <f t="shared" ca="1" si="57"/>
        <v>0</v>
      </c>
      <c r="AN173" s="519">
        <f t="shared" ca="1" si="58"/>
        <v>0</v>
      </c>
      <c r="AO173" s="519">
        <f t="shared" ca="1" si="59"/>
        <v>0</v>
      </c>
      <c r="AP173" s="519">
        <f t="shared" ca="1" si="60"/>
        <v>0</v>
      </c>
      <c r="AQ173" s="519">
        <f t="shared" ca="1" si="61"/>
        <v>0</v>
      </c>
      <c r="AS173" s="536"/>
      <c r="AT173" s="536"/>
      <c r="AU173" s="519" t="str">
        <f t="shared" si="67"/>
        <v>Contact</v>
      </c>
      <c r="AV173" s="519" t="str">
        <f t="shared" si="62"/>
        <v>PPI2201</v>
      </c>
      <c r="AW173" s="519">
        <f t="shared" si="63"/>
        <v>2.8140000000000001</v>
      </c>
      <c r="AX173" s="538"/>
      <c r="AY173" s="539">
        <f t="shared" ca="1" si="68"/>
        <v>8.5362813757468237E-2</v>
      </c>
      <c r="AZ173" s="189"/>
    </row>
    <row r="174" spans="1:52" x14ac:dyDescent="0.3">
      <c r="A174" s="556">
        <v>1</v>
      </c>
      <c r="B174" s="519" t="str">
        <f t="shared" si="64"/>
        <v>PRM</v>
      </c>
      <c r="C174" s="519" t="str">
        <f>AMDs!C155</f>
        <v>Electra</v>
      </c>
      <c r="D174" s="519" t="str">
        <f>AMDs!D155</f>
        <v>PRM0331</v>
      </c>
      <c r="E174" s="519">
        <f>IF(AMDs!C155="other",0,AMDs!E155)</f>
        <v>59.570700000000002</v>
      </c>
      <c r="H174" s="519">
        <f ca="1">_xlfn.IFNA(IF(VLOOKUP($B174&amp;OFFSET(H$10,$A174*2,0),'Mapping A'!$B$6:$E$1011,4,0)=1,$E174,""),0)</f>
        <v>0</v>
      </c>
      <c r="I174" s="519">
        <f ca="1">_xlfn.IFNA(IF(VLOOKUP($B174&amp;OFFSET(I$10,$A174*2,0),'Mapping A'!$B$6:$E$1011,4,0)=1,$E174,""),0)</f>
        <v>59.570700000000002</v>
      </c>
      <c r="J174" s="519">
        <f ca="1">_xlfn.IFNA(IF(VLOOKUP($B174&amp;OFFSET(J$10,$A174*2,0),'Mapping A'!$B$6:$E$1011,4,0)=1,$E174,""),0)</f>
        <v>59.570700000000002</v>
      </c>
      <c r="K174" s="519">
        <f ca="1">_xlfn.IFNA(IF(VLOOKUP($B174&amp;OFFSET(K$10,$A174*2,0),'Mapping A'!$B$6:$E$1011,4,0)=1,$E174,""),0)</f>
        <v>0</v>
      </c>
      <c r="L174" s="519">
        <f ca="1">_xlfn.IFNA(IF(VLOOKUP($B174&amp;OFFSET(L$10,$A174*2,0),'Mapping A'!$B$6:$E$1011,4,0)=1,$E174,""),0)</f>
        <v>0</v>
      </c>
      <c r="M174" s="519">
        <f ca="1">_xlfn.IFNA(IF(VLOOKUP($B174&amp;OFFSET(M$10,$A174*2,0),'Mapping A'!$B$6:$E$1011,4,0)=1,$E174,""),0)</f>
        <v>0</v>
      </c>
      <c r="N174" s="519">
        <f ca="1">_xlfn.IFNA(IF(VLOOKUP($B174&amp;OFFSET(N$10,$A174*2,0),'Mapping A'!$B$6:$E$1011,4,0)=1,$E174,""),0)</f>
        <v>0</v>
      </c>
      <c r="O174" s="519">
        <f ca="1">_xlfn.IFNA(IF(VLOOKUP($B174&amp;OFFSET(O$10,$A174*2,0),'Mapping A'!$B$6:$E$1011,4,0)=1,$E174,""),0)</f>
        <v>0</v>
      </c>
      <c r="P174" s="519">
        <f ca="1">_xlfn.IFNA(IF(VLOOKUP($B174&amp;OFFSET(P$10,$A174*2,0),'Mapping A'!$B$6:$E$1011,4,0)=1,$E174,""),0)</f>
        <v>0</v>
      </c>
      <c r="Q174" s="519">
        <f ca="1">_xlfn.IFNA(IF(VLOOKUP($B174&amp;OFFSET(Q$10,$A174*2,0),'Mapping A'!$B$6:$E$1011,4,0)=1,$E174,""),0)</f>
        <v>0</v>
      </c>
      <c r="R174" s="519">
        <f ca="1">_xlfn.IFNA(IF(VLOOKUP($B174&amp;OFFSET(R$10,$A174*2,0),'Mapping A'!$B$6:$E$1011,4,0)=1,$E174,""),0)</f>
        <v>0</v>
      </c>
      <c r="S174" s="519">
        <f ca="1">_xlfn.IFNA(IF(VLOOKUP($B174&amp;OFFSET(S$10,$A174*2,0),'Mapping A'!$B$6:$E$1011,4,0)=1,$E174,""),0)</f>
        <v>0</v>
      </c>
      <c r="T174" s="519">
        <f ca="1">_xlfn.IFNA(IF(VLOOKUP($B174&amp;OFFSET(T$10,$A174*2,0),'Mapping A'!$B$6:$E$1011,4,0)=1,$E174,""),0)</f>
        <v>0</v>
      </c>
      <c r="Y174" s="534" t="str">
        <f t="shared" si="69"/>
        <v>ElectraPRM0331</v>
      </c>
      <c r="Z174" s="519" t="str">
        <f t="shared" si="48"/>
        <v>Electra</v>
      </c>
      <c r="AA174" s="519" t="str">
        <f t="shared" si="49"/>
        <v>PRM0331</v>
      </c>
      <c r="AB174" s="519">
        <f t="shared" si="65"/>
        <v>59.570700000000002</v>
      </c>
      <c r="AC174" s="324"/>
      <c r="AE174" s="519">
        <f t="shared" ca="1" si="50"/>
        <v>0</v>
      </c>
      <c r="AF174" s="519">
        <f t="shared" ca="1" si="51"/>
        <v>0</v>
      </c>
      <c r="AG174" s="519">
        <f t="shared" ca="1" si="52"/>
        <v>0</v>
      </c>
      <c r="AH174" s="519">
        <f t="shared" ca="1" si="53"/>
        <v>0</v>
      </c>
      <c r="AI174" s="519">
        <f t="shared" ca="1" si="66"/>
        <v>0</v>
      </c>
      <c r="AJ174" s="519">
        <f t="shared" ca="1" si="54"/>
        <v>0</v>
      </c>
      <c r="AK174" s="519">
        <f t="shared" ca="1" si="55"/>
        <v>0</v>
      </c>
      <c r="AL174" s="519">
        <f t="shared" ca="1" si="56"/>
        <v>0</v>
      </c>
      <c r="AM174" s="519">
        <f t="shared" ca="1" si="57"/>
        <v>0</v>
      </c>
      <c r="AN174" s="519">
        <f t="shared" ca="1" si="58"/>
        <v>0</v>
      </c>
      <c r="AO174" s="519">
        <f t="shared" ca="1" si="59"/>
        <v>0</v>
      </c>
      <c r="AP174" s="519">
        <f t="shared" ca="1" si="60"/>
        <v>0</v>
      </c>
      <c r="AQ174" s="519">
        <f t="shared" ca="1" si="61"/>
        <v>0</v>
      </c>
      <c r="AS174" s="536"/>
      <c r="AT174" s="536"/>
      <c r="AU174" s="519" t="str">
        <f t="shared" si="67"/>
        <v>Electra</v>
      </c>
      <c r="AV174" s="519" t="str">
        <f t="shared" si="62"/>
        <v>PRM0331</v>
      </c>
      <c r="AW174" s="519">
        <f t="shared" si="63"/>
        <v>59.570700000000002</v>
      </c>
      <c r="AX174" s="538"/>
      <c r="AY174" s="539">
        <f t="shared" ca="1" si="68"/>
        <v>1.8070798043717176</v>
      </c>
      <c r="AZ174" s="189"/>
    </row>
    <row r="175" spans="1:52" x14ac:dyDescent="0.3">
      <c r="A175" s="556">
        <v>1</v>
      </c>
      <c r="B175" s="519" t="str">
        <f t="shared" si="64"/>
        <v>RDF</v>
      </c>
      <c r="C175" s="519" t="str">
        <f>AMDs!C156</f>
        <v>Unison</v>
      </c>
      <c r="D175" s="519" t="str">
        <f>AMDs!D156</f>
        <v>RDF0331</v>
      </c>
      <c r="E175" s="519">
        <f>IF(AMDs!C156="other",0,AMDs!E156)</f>
        <v>64.010099999999994</v>
      </c>
      <c r="H175" s="519">
        <f ca="1">_xlfn.IFNA(IF(VLOOKUP($B175&amp;OFFSET(H$10,$A175*2,0),'Mapping A'!$B$6:$E$1011,4,0)=1,$E175,""),0)</f>
        <v>0</v>
      </c>
      <c r="I175" s="519">
        <f ca="1">_xlfn.IFNA(IF(VLOOKUP($B175&amp;OFFSET(I$10,$A175*2,0),'Mapping A'!$B$6:$E$1011,4,0)=1,$E175,""),0)</f>
        <v>64.010099999999994</v>
      </c>
      <c r="J175" s="519">
        <f ca="1">_xlfn.IFNA(IF(VLOOKUP($B175&amp;OFFSET(J$10,$A175*2,0),'Mapping A'!$B$6:$E$1011,4,0)=1,$E175,""),0)</f>
        <v>64.010099999999994</v>
      </c>
      <c r="K175" s="519">
        <f ca="1">_xlfn.IFNA(IF(VLOOKUP($B175&amp;OFFSET(K$10,$A175*2,0),'Mapping A'!$B$6:$E$1011,4,0)=1,$E175,""),0)</f>
        <v>0</v>
      </c>
      <c r="L175" s="519">
        <f ca="1">_xlfn.IFNA(IF(VLOOKUP($B175&amp;OFFSET(L$10,$A175*2,0),'Mapping A'!$B$6:$E$1011,4,0)=1,$E175,""),0)</f>
        <v>0</v>
      </c>
      <c r="M175" s="519">
        <f ca="1">_xlfn.IFNA(IF(VLOOKUP($B175&amp;OFFSET(M$10,$A175*2,0),'Mapping A'!$B$6:$E$1011,4,0)=1,$E175,""),0)</f>
        <v>64.010099999999994</v>
      </c>
      <c r="N175" s="519">
        <f ca="1">_xlfn.IFNA(IF(VLOOKUP($B175&amp;OFFSET(N$10,$A175*2,0),'Mapping A'!$B$6:$E$1011,4,0)=1,$E175,""),0)</f>
        <v>0</v>
      </c>
      <c r="O175" s="519">
        <f ca="1">_xlfn.IFNA(IF(VLOOKUP($B175&amp;OFFSET(O$10,$A175*2,0),'Mapping A'!$B$6:$E$1011,4,0)=1,$E175,""),0)</f>
        <v>0</v>
      </c>
      <c r="P175" s="519">
        <f ca="1">_xlfn.IFNA(IF(VLOOKUP($B175&amp;OFFSET(P$10,$A175*2,0),'Mapping A'!$B$6:$E$1011,4,0)=1,$E175,""),0)</f>
        <v>0</v>
      </c>
      <c r="Q175" s="519">
        <f ca="1">_xlfn.IFNA(IF(VLOOKUP($B175&amp;OFFSET(Q$10,$A175*2,0),'Mapping A'!$B$6:$E$1011,4,0)=1,$E175,""),0)</f>
        <v>0</v>
      </c>
      <c r="R175" s="519">
        <f ca="1">_xlfn.IFNA(IF(VLOOKUP($B175&amp;OFFSET(R$10,$A175*2,0),'Mapping A'!$B$6:$E$1011,4,0)=1,$E175,""),0)</f>
        <v>0</v>
      </c>
      <c r="S175" s="519">
        <f ca="1">_xlfn.IFNA(IF(VLOOKUP($B175&amp;OFFSET(S$10,$A175*2,0),'Mapping A'!$B$6:$E$1011,4,0)=1,$E175,""),0)</f>
        <v>0</v>
      </c>
      <c r="T175" s="519">
        <f ca="1">_xlfn.IFNA(IF(VLOOKUP($B175&amp;OFFSET(T$10,$A175*2,0),'Mapping A'!$B$6:$E$1011,4,0)=1,$E175,""),0)</f>
        <v>0</v>
      </c>
      <c r="Y175" s="534" t="str">
        <f t="shared" si="69"/>
        <v>UnisonRDF0331</v>
      </c>
      <c r="Z175" s="519" t="str">
        <f t="shared" si="48"/>
        <v>Unison</v>
      </c>
      <c r="AA175" s="519" t="str">
        <f t="shared" si="49"/>
        <v>RDF0331</v>
      </c>
      <c r="AB175" s="519">
        <f t="shared" si="65"/>
        <v>64.010099999999994</v>
      </c>
      <c r="AC175" s="324"/>
      <c r="AE175" s="519">
        <f t="shared" ca="1" si="50"/>
        <v>0</v>
      </c>
      <c r="AF175" s="519">
        <f t="shared" ca="1" si="51"/>
        <v>0</v>
      </c>
      <c r="AG175" s="519">
        <f t="shared" ca="1" si="52"/>
        <v>0</v>
      </c>
      <c r="AH175" s="519">
        <f t="shared" ca="1" si="53"/>
        <v>0</v>
      </c>
      <c r="AI175" s="519">
        <f t="shared" ca="1" si="66"/>
        <v>0</v>
      </c>
      <c r="AJ175" s="519">
        <f t="shared" ca="1" si="54"/>
        <v>0</v>
      </c>
      <c r="AK175" s="519">
        <f t="shared" ca="1" si="55"/>
        <v>0</v>
      </c>
      <c r="AL175" s="519">
        <f t="shared" ca="1" si="56"/>
        <v>0</v>
      </c>
      <c r="AM175" s="519">
        <f t="shared" ca="1" si="57"/>
        <v>0</v>
      </c>
      <c r="AN175" s="519">
        <f t="shared" ca="1" si="58"/>
        <v>0</v>
      </c>
      <c r="AO175" s="519">
        <f t="shared" ca="1" si="59"/>
        <v>0</v>
      </c>
      <c r="AP175" s="519">
        <f t="shared" ca="1" si="60"/>
        <v>0</v>
      </c>
      <c r="AQ175" s="519">
        <f t="shared" ca="1" si="61"/>
        <v>0</v>
      </c>
      <c r="AS175" s="536"/>
      <c r="AT175" s="536"/>
      <c r="AU175" s="519" t="str">
        <f t="shared" si="67"/>
        <v>Unison</v>
      </c>
      <c r="AV175" s="519" t="str">
        <f t="shared" si="62"/>
        <v>RDF0331</v>
      </c>
      <c r="AW175" s="519">
        <f t="shared" si="63"/>
        <v>64.010099999999994</v>
      </c>
      <c r="AX175" s="538"/>
      <c r="AY175" s="539">
        <f t="shared" ca="1" si="68"/>
        <v>1.9417491986129771</v>
      </c>
      <c r="AZ175" s="189"/>
    </row>
    <row r="176" spans="1:52" x14ac:dyDescent="0.3">
      <c r="A176" s="556">
        <v>1</v>
      </c>
      <c r="B176" s="519" t="str">
        <f t="shared" si="64"/>
        <v>RFN</v>
      </c>
      <c r="C176" s="519" t="str">
        <f>AMDs!C157</f>
        <v>Westpower</v>
      </c>
      <c r="D176" s="519" t="str">
        <f>AMDs!D157</f>
        <v>RFN110</v>
      </c>
      <c r="E176" s="519">
        <f>IF(AMDs!C157="other",0,AMDs!E157)</f>
        <v>6.35</v>
      </c>
      <c r="H176" s="519">
        <f ca="1">_xlfn.IFNA(IF(VLOOKUP($B176&amp;OFFSET(H$10,$A176*2,0),'Mapping A'!$B$6:$E$1011,4,0)=1,$E176,""),0)</f>
        <v>0</v>
      </c>
      <c r="I176" s="519">
        <f ca="1">_xlfn.IFNA(IF(VLOOKUP($B176&amp;OFFSET(I$10,$A176*2,0),'Mapping A'!$B$6:$E$1011,4,0)=1,$E176,""),0)</f>
        <v>6.35</v>
      </c>
      <c r="J176" s="519">
        <f ca="1">_xlfn.IFNA(IF(VLOOKUP($B176&amp;OFFSET(J$10,$A176*2,0),'Mapping A'!$B$6:$E$1011,4,0)=1,$E176,""),0)</f>
        <v>0</v>
      </c>
      <c r="K176" s="519">
        <f ca="1">_xlfn.IFNA(IF(VLOOKUP($B176&amp;OFFSET(K$10,$A176*2,0),'Mapping A'!$B$6:$E$1011,4,0)=1,$E176,""),0)</f>
        <v>0</v>
      </c>
      <c r="L176" s="519">
        <f ca="1">_xlfn.IFNA(IF(VLOOKUP($B176&amp;OFFSET(L$10,$A176*2,0),'Mapping A'!$B$6:$E$1011,4,0)=1,$E176,""),0)</f>
        <v>0</v>
      </c>
      <c r="M176" s="519">
        <f ca="1">_xlfn.IFNA(IF(VLOOKUP($B176&amp;OFFSET(M$10,$A176*2,0),'Mapping A'!$B$6:$E$1011,4,0)=1,$E176,""),0)</f>
        <v>0</v>
      </c>
      <c r="N176" s="519">
        <f ca="1">_xlfn.IFNA(IF(VLOOKUP($B176&amp;OFFSET(N$10,$A176*2,0),'Mapping A'!$B$6:$E$1011,4,0)=1,$E176,""),0)</f>
        <v>0</v>
      </c>
      <c r="O176" s="519">
        <f ca="1">_xlfn.IFNA(IF(VLOOKUP($B176&amp;OFFSET(O$10,$A176*2,0),'Mapping A'!$B$6:$E$1011,4,0)=1,$E176,""),0)</f>
        <v>0</v>
      </c>
      <c r="P176" s="519">
        <f ca="1">_xlfn.IFNA(IF(VLOOKUP($B176&amp;OFFSET(P$10,$A176*2,0),'Mapping A'!$B$6:$E$1011,4,0)=1,$E176,""),0)</f>
        <v>6.35</v>
      </c>
      <c r="Q176" s="519">
        <f ca="1">_xlfn.IFNA(IF(VLOOKUP($B176&amp;OFFSET(Q$10,$A176*2,0),'Mapping A'!$B$6:$E$1011,4,0)=1,$E176,""),0)</f>
        <v>0</v>
      </c>
      <c r="R176" s="519">
        <f ca="1">_xlfn.IFNA(IF(VLOOKUP($B176&amp;OFFSET(R$10,$A176*2,0),'Mapping A'!$B$6:$E$1011,4,0)=1,$E176,""),0)</f>
        <v>0</v>
      </c>
      <c r="S176" s="519">
        <f ca="1">_xlfn.IFNA(IF(VLOOKUP($B176&amp;OFFSET(S$10,$A176*2,0),'Mapping A'!$B$6:$E$1011,4,0)=1,$E176,""),0)</f>
        <v>0</v>
      </c>
      <c r="T176" s="519">
        <f ca="1">_xlfn.IFNA(IF(VLOOKUP($B176&amp;OFFSET(T$10,$A176*2,0),'Mapping A'!$B$6:$E$1011,4,0)=1,$E176,""),0)</f>
        <v>6.35</v>
      </c>
      <c r="Y176" s="534" t="str">
        <f t="shared" si="69"/>
        <v>WestpowerRFN110</v>
      </c>
      <c r="Z176" s="519" t="str">
        <f t="shared" si="48"/>
        <v>Westpower</v>
      </c>
      <c r="AA176" s="519" t="str">
        <f t="shared" si="49"/>
        <v>RFN110</v>
      </c>
      <c r="AB176" s="519">
        <f t="shared" si="65"/>
        <v>6.35</v>
      </c>
      <c r="AC176" s="324"/>
      <c r="AE176" s="519">
        <f t="shared" ca="1" si="50"/>
        <v>0</v>
      </c>
      <c r="AF176" s="519">
        <f t="shared" ca="1" si="51"/>
        <v>0</v>
      </c>
      <c r="AG176" s="519">
        <f t="shared" ca="1" si="52"/>
        <v>0</v>
      </c>
      <c r="AH176" s="519">
        <f t="shared" ca="1" si="53"/>
        <v>0</v>
      </c>
      <c r="AI176" s="519">
        <f t="shared" ca="1" si="66"/>
        <v>0</v>
      </c>
      <c r="AJ176" s="519">
        <f t="shared" ca="1" si="54"/>
        <v>0</v>
      </c>
      <c r="AK176" s="519">
        <f t="shared" ca="1" si="55"/>
        <v>0</v>
      </c>
      <c r="AL176" s="519">
        <f t="shared" ca="1" si="56"/>
        <v>0</v>
      </c>
      <c r="AM176" s="519">
        <f t="shared" ca="1" si="57"/>
        <v>1.6915575544108871E-2</v>
      </c>
      <c r="AN176" s="519">
        <f t="shared" ca="1" si="58"/>
        <v>0</v>
      </c>
      <c r="AO176" s="519">
        <f t="shared" ca="1" si="59"/>
        <v>0</v>
      </c>
      <c r="AP176" s="519">
        <f t="shared" ca="1" si="60"/>
        <v>0</v>
      </c>
      <c r="AQ176" s="519">
        <f t="shared" ca="1" si="61"/>
        <v>0</v>
      </c>
      <c r="AS176" s="536"/>
      <c r="AT176" s="536"/>
      <c r="AU176" s="519" t="str">
        <f t="shared" si="67"/>
        <v>Westpower</v>
      </c>
      <c r="AV176" s="519" t="str">
        <f t="shared" si="62"/>
        <v>RFN110</v>
      </c>
      <c r="AW176" s="519">
        <f t="shared" si="63"/>
        <v>6.35</v>
      </c>
      <c r="AX176" s="538"/>
      <c r="AY176" s="539">
        <f t="shared" ca="1" si="68"/>
        <v>0.19262752926791873</v>
      </c>
      <c r="AZ176" s="189"/>
    </row>
    <row r="177" spans="1:52" x14ac:dyDescent="0.3">
      <c r="A177" s="556">
        <v>1</v>
      </c>
      <c r="B177" s="519" t="str">
        <f t="shared" si="64"/>
        <v>ROS</v>
      </c>
      <c r="C177" s="519" t="str">
        <f>AMDs!C158</f>
        <v>Vector</v>
      </c>
      <c r="D177" s="519" t="str">
        <f>AMDs!D158</f>
        <v>ROS0221</v>
      </c>
      <c r="E177" s="519">
        <f>IF(AMDs!C158="other",0,AMDs!E158)</f>
        <v>127.68210000000001</v>
      </c>
      <c r="H177" s="519">
        <f ca="1">_xlfn.IFNA(IF(VLOOKUP($B177&amp;OFFSET(H$10,$A177*2,0),'Mapping A'!$B$6:$E$1011,4,0)=1,$E177,""),0)</f>
        <v>127.68210000000001</v>
      </c>
      <c r="I177" s="519">
        <f ca="1">_xlfn.IFNA(IF(VLOOKUP($B177&amp;OFFSET(I$10,$A177*2,0),'Mapping A'!$B$6:$E$1011,4,0)=1,$E177,""),0)</f>
        <v>127.68210000000001</v>
      </c>
      <c r="J177" s="519">
        <f ca="1">_xlfn.IFNA(IF(VLOOKUP($B177&amp;OFFSET(J$10,$A177*2,0),'Mapping A'!$B$6:$E$1011,4,0)=1,$E177,""),0)</f>
        <v>127.68210000000001</v>
      </c>
      <c r="K177" s="519">
        <f ca="1">_xlfn.IFNA(IF(VLOOKUP($B177&amp;OFFSET(K$10,$A177*2,0),'Mapping A'!$B$6:$E$1011,4,0)=1,$E177,""),0)</f>
        <v>0</v>
      </c>
      <c r="L177" s="519">
        <f ca="1">_xlfn.IFNA(IF(VLOOKUP($B177&amp;OFFSET(L$10,$A177*2,0),'Mapping A'!$B$6:$E$1011,4,0)=1,$E177,""),0)</f>
        <v>0</v>
      </c>
      <c r="M177" s="519">
        <f ca="1">_xlfn.IFNA(IF(VLOOKUP($B177&amp;OFFSET(M$10,$A177*2,0),'Mapping A'!$B$6:$E$1011,4,0)=1,$E177,""),0)</f>
        <v>127.68210000000001</v>
      </c>
      <c r="N177" s="519">
        <f ca="1">_xlfn.IFNA(IF(VLOOKUP($B177&amp;OFFSET(N$10,$A177*2,0),'Mapping A'!$B$6:$E$1011,4,0)=1,$E177,""),0)</f>
        <v>127.68210000000001</v>
      </c>
      <c r="O177" s="519">
        <f ca="1">_xlfn.IFNA(IF(VLOOKUP($B177&amp;OFFSET(O$10,$A177*2,0),'Mapping A'!$B$6:$E$1011,4,0)=1,$E177,""),0)</f>
        <v>0</v>
      </c>
      <c r="P177" s="519">
        <f ca="1">_xlfn.IFNA(IF(VLOOKUP($B177&amp;OFFSET(P$10,$A177*2,0),'Mapping A'!$B$6:$E$1011,4,0)=1,$E177,""),0)</f>
        <v>0</v>
      </c>
      <c r="Q177" s="519">
        <f ca="1">_xlfn.IFNA(IF(VLOOKUP($B177&amp;OFFSET(Q$10,$A177*2,0),'Mapping A'!$B$6:$E$1011,4,0)=1,$E177,""),0)</f>
        <v>127.68210000000001</v>
      </c>
      <c r="R177" s="519">
        <f ca="1">_xlfn.IFNA(IF(VLOOKUP($B177&amp;OFFSET(R$10,$A177*2,0),'Mapping A'!$B$6:$E$1011,4,0)=1,$E177,""),0)</f>
        <v>0</v>
      </c>
      <c r="S177" s="519">
        <f ca="1">_xlfn.IFNA(IF(VLOOKUP($B177&amp;OFFSET(S$10,$A177*2,0),'Mapping A'!$B$6:$E$1011,4,0)=1,$E177,""),0)</f>
        <v>0</v>
      </c>
      <c r="T177" s="519">
        <f ca="1">_xlfn.IFNA(IF(VLOOKUP($B177&amp;OFFSET(T$10,$A177*2,0),'Mapping A'!$B$6:$E$1011,4,0)=1,$E177,""),0)</f>
        <v>0</v>
      </c>
      <c r="Y177" s="534" t="str">
        <f t="shared" si="69"/>
        <v>VectorROS0221</v>
      </c>
      <c r="Z177" s="519" t="str">
        <f t="shared" si="48"/>
        <v>Vector</v>
      </c>
      <c r="AA177" s="519" t="str">
        <f t="shared" si="49"/>
        <v>ROS0221</v>
      </c>
      <c r="AB177" s="519">
        <f t="shared" si="65"/>
        <v>127.68210000000001</v>
      </c>
      <c r="AC177" s="324"/>
      <c r="AE177" s="519">
        <f t="shared" ca="1" si="50"/>
        <v>0</v>
      </c>
      <c r="AF177" s="519">
        <f t="shared" ca="1" si="51"/>
        <v>0</v>
      </c>
      <c r="AG177" s="519">
        <f t="shared" ca="1" si="52"/>
        <v>0</v>
      </c>
      <c r="AH177" s="519">
        <f t="shared" ca="1" si="53"/>
        <v>0</v>
      </c>
      <c r="AI177" s="519">
        <f t="shared" ca="1" si="66"/>
        <v>0</v>
      </c>
      <c r="AJ177" s="519">
        <f t="shared" ca="1" si="54"/>
        <v>0</v>
      </c>
      <c r="AK177" s="519">
        <f t="shared" ca="1" si="55"/>
        <v>0.51139579196795215</v>
      </c>
      <c r="AL177" s="519">
        <f t="shared" ca="1" si="56"/>
        <v>0</v>
      </c>
      <c r="AM177" s="519">
        <f t="shared" ca="1" si="57"/>
        <v>0</v>
      </c>
      <c r="AN177" s="519">
        <f t="shared" ca="1" si="58"/>
        <v>0.23585684527925502</v>
      </c>
      <c r="AO177" s="519">
        <f t="shared" ca="1" si="59"/>
        <v>0</v>
      </c>
      <c r="AP177" s="519">
        <f t="shared" ca="1" si="60"/>
        <v>0</v>
      </c>
      <c r="AQ177" s="519">
        <f t="shared" ca="1" si="61"/>
        <v>0</v>
      </c>
      <c r="AS177" s="536"/>
      <c r="AT177" s="536"/>
      <c r="AU177" s="519" t="str">
        <f t="shared" si="67"/>
        <v>Vector</v>
      </c>
      <c r="AV177" s="519" t="str">
        <f t="shared" si="62"/>
        <v>ROS0221</v>
      </c>
      <c r="AW177" s="519">
        <f t="shared" si="63"/>
        <v>127.68210000000001</v>
      </c>
      <c r="AX177" s="538"/>
      <c r="AY177" s="539">
        <f t="shared" ca="1" si="68"/>
        <v>3.8732421188565875</v>
      </c>
      <c r="AZ177" s="189"/>
    </row>
    <row r="178" spans="1:52" x14ac:dyDescent="0.3">
      <c r="A178" s="556">
        <v>1</v>
      </c>
      <c r="B178" s="519" t="str">
        <f t="shared" si="64"/>
        <v>ROS</v>
      </c>
      <c r="C178" s="519" t="str">
        <f>AMDs!C159</f>
        <v>Vector</v>
      </c>
      <c r="D178" s="519" t="str">
        <f>AMDs!D159</f>
        <v>ROS1101</v>
      </c>
      <c r="E178" s="519">
        <f>IF(AMDs!C159="other",0,AMDs!E159)</f>
        <v>149.40449999999899</v>
      </c>
      <c r="H178" s="519">
        <f ca="1">_xlfn.IFNA(IF(VLOOKUP($B178&amp;OFFSET(H$10,$A178*2,0),'Mapping A'!$B$6:$E$1011,4,0)=1,$E178,""),0)</f>
        <v>149.40449999999899</v>
      </c>
      <c r="I178" s="519">
        <f ca="1">_xlfn.IFNA(IF(VLOOKUP($B178&amp;OFFSET(I$10,$A178*2,0),'Mapping A'!$B$6:$E$1011,4,0)=1,$E178,""),0)</f>
        <v>149.40449999999899</v>
      </c>
      <c r="J178" s="519">
        <f ca="1">_xlfn.IFNA(IF(VLOOKUP($B178&amp;OFFSET(J$10,$A178*2,0),'Mapping A'!$B$6:$E$1011,4,0)=1,$E178,""),0)</f>
        <v>149.40449999999899</v>
      </c>
      <c r="K178" s="519">
        <f ca="1">_xlfn.IFNA(IF(VLOOKUP($B178&amp;OFFSET(K$10,$A178*2,0),'Mapping A'!$B$6:$E$1011,4,0)=1,$E178,""),0)</f>
        <v>0</v>
      </c>
      <c r="L178" s="519">
        <f ca="1">_xlfn.IFNA(IF(VLOOKUP($B178&amp;OFFSET(L$10,$A178*2,0),'Mapping A'!$B$6:$E$1011,4,0)=1,$E178,""),0)</f>
        <v>0</v>
      </c>
      <c r="M178" s="519">
        <f ca="1">_xlfn.IFNA(IF(VLOOKUP($B178&amp;OFFSET(M$10,$A178*2,0),'Mapping A'!$B$6:$E$1011,4,0)=1,$E178,""),0)</f>
        <v>149.40449999999899</v>
      </c>
      <c r="N178" s="519">
        <f ca="1">_xlfn.IFNA(IF(VLOOKUP($B178&amp;OFFSET(N$10,$A178*2,0),'Mapping A'!$B$6:$E$1011,4,0)=1,$E178,""),0)</f>
        <v>149.40449999999899</v>
      </c>
      <c r="O178" s="519">
        <f ca="1">_xlfn.IFNA(IF(VLOOKUP($B178&amp;OFFSET(O$10,$A178*2,0),'Mapping A'!$B$6:$E$1011,4,0)=1,$E178,""),0)</f>
        <v>0</v>
      </c>
      <c r="P178" s="519">
        <f ca="1">_xlfn.IFNA(IF(VLOOKUP($B178&amp;OFFSET(P$10,$A178*2,0),'Mapping A'!$B$6:$E$1011,4,0)=1,$E178,""),0)</f>
        <v>0</v>
      </c>
      <c r="Q178" s="519">
        <f ca="1">_xlfn.IFNA(IF(VLOOKUP($B178&amp;OFFSET(Q$10,$A178*2,0),'Mapping A'!$B$6:$E$1011,4,0)=1,$E178,""),0)</f>
        <v>149.40449999999899</v>
      </c>
      <c r="R178" s="519">
        <f ca="1">_xlfn.IFNA(IF(VLOOKUP($B178&amp;OFFSET(R$10,$A178*2,0),'Mapping A'!$B$6:$E$1011,4,0)=1,$E178,""),0)</f>
        <v>0</v>
      </c>
      <c r="S178" s="519">
        <f ca="1">_xlfn.IFNA(IF(VLOOKUP($B178&amp;OFFSET(S$10,$A178*2,0),'Mapping A'!$B$6:$E$1011,4,0)=1,$E178,""),0)</f>
        <v>0</v>
      </c>
      <c r="T178" s="519">
        <f ca="1">_xlfn.IFNA(IF(VLOOKUP($B178&amp;OFFSET(T$10,$A178*2,0),'Mapping A'!$B$6:$E$1011,4,0)=1,$E178,""),0)</f>
        <v>0</v>
      </c>
      <c r="Y178" s="534" t="str">
        <f t="shared" si="69"/>
        <v>VectorROS1101</v>
      </c>
      <c r="Z178" s="519" t="str">
        <f t="shared" si="48"/>
        <v>Vector</v>
      </c>
      <c r="AA178" s="519" t="str">
        <f t="shared" si="49"/>
        <v>ROS1101</v>
      </c>
      <c r="AB178" s="519">
        <f t="shared" si="65"/>
        <v>149.40449999999899</v>
      </c>
      <c r="AC178" s="324"/>
      <c r="AE178" s="519">
        <f t="shared" ca="1" si="50"/>
        <v>0</v>
      </c>
      <c r="AF178" s="519">
        <f t="shared" ca="1" si="51"/>
        <v>0</v>
      </c>
      <c r="AG178" s="519">
        <f t="shared" ca="1" si="52"/>
        <v>0</v>
      </c>
      <c r="AH178" s="519">
        <f t="shared" ca="1" si="53"/>
        <v>0</v>
      </c>
      <c r="AI178" s="519">
        <f t="shared" ca="1" si="66"/>
        <v>0</v>
      </c>
      <c r="AJ178" s="519">
        <f t="shared" ca="1" si="54"/>
        <v>0</v>
      </c>
      <c r="AK178" s="519">
        <f t="shared" ca="1" si="55"/>
        <v>0.59839893454975579</v>
      </c>
      <c r="AL178" s="519">
        <f t="shared" ca="1" si="56"/>
        <v>0</v>
      </c>
      <c r="AM178" s="519">
        <f t="shared" ca="1" si="57"/>
        <v>0</v>
      </c>
      <c r="AN178" s="519">
        <f t="shared" ca="1" si="58"/>
        <v>0.2759828828044355</v>
      </c>
      <c r="AO178" s="519">
        <f t="shared" ca="1" si="59"/>
        <v>0</v>
      </c>
      <c r="AP178" s="519">
        <f t="shared" ca="1" si="60"/>
        <v>0</v>
      </c>
      <c r="AQ178" s="519">
        <f t="shared" ca="1" si="61"/>
        <v>0</v>
      </c>
      <c r="AS178" s="536"/>
      <c r="AT178" s="536"/>
      <c r="AU178" s="519" t="str">
        <f t="shared" si="67"/>
        <v>Vector</v>
      </c>
      <c r="AV178" s="519" t="str">
        <f t="shared" si="62"/>
        <v>ROS1101</v>
      </c>
      <c r="AW178" s="519">
        <f t="shared" si="63"/>
        <v>149.40449999999899</v>
      </c>
      <c r="AX178" s="538"/>
      <c r="AY178" s="539">
        <f t="shared" ca="1" si="68"/>
        <v>4.5321920781903255</v>
      </c>
      <c r="AZ178" s="189"/>
    </row>
    <row r="179" spans="1:52" x14ac:dyDescent="0.3">
      <c r="A179" s="556">
        <v>1</v>
      </c>
      <c r="B179" s="519" t="str">
        <f t="shared" si="64"/>
        <v>ROT</v>
      </c>
      <c r="C179" s="519" t="str">
        <f>AMDs!C160</f>
        <v>Unison</v>
      </c>
      <c r="D179" s="519" t="str">
        <f>AMDs!D160</f>
        <v>ROT0111</v>
      </c>
      <c r="E179" s="519">
        <f>IF(AMDs!C160="other",0,AMDs!E160)</f>
        <v>29.420999999999999</v>
      </c>
      <c r="H179" s="519">
        <f ca="1">_xlfn.IFNA(IF(VLOOKUP($B179&amp;OFFSET(H$10,$A179*2,0),'Mapping A'!$B$6:$E$1011,4,0)=1,$E179,""),0)</f>
        <v>0</v>
      </c>
      <c r="I179" s="519">
        <f ca="1">_xlfn.IFNA(IF(VLOOKUP($B179&amp;OFFSET(I$10,$A179*2,0),'Mapping A'!$B$6:$E$1011,4,0)=1,$E179,""),0)</f>
        <v>29.420999999999999</v>
      </c>
      <c r="J179" s="519">
        <f ca="1">_xlfn.IFNA(IF(VLOOKUP($B179&amp;OFFSET(J$10,$A179*2,0),'Mapping A'!$B$6:$E$1011,4,0)=1,$E179,""),0)</f>
        <v>29.420999999999999</v>
      </c>
      <c r="K179" s="519">
        <f ca="1">_xlfn.IFNA(IF(VLOOKUP($B179&amp;OFFSET(K$10,$A179*2,0),'Mapping A'!$B$6:$E$1011,4,0)=1,$E179,""),0)</f>
        <v>0</v>
      </c>
      <c r="L179" s="519">
        <f ca="1">_xlfn.IFNA(IF(VLOOKUP($B179&amp;OFFSET(L$10,$A179*2,0),'Mapping A'!$B$6:$E$1011,4,0)=1,$E179,""),0)</f>
        <v>0</v>
      </c>
      <c r="M179" s="519">
        <f ca="1">_xlfn.IFNA(IF(VLOOKUP($B179&amp;OFFSET(M$10,$A179*2,0),'Mapping A'!$B$6:$E$1011,4,0)=1,$E179,""),0)</f>
        <v>29.420999999999999</v>
      </c>
      <c r="N179" s="519">
        <f ca="1">_xlfn.IFNA(IF(VLOOKUP($B179&amp;OFFSET(N$10,$A179*2,0),'Mapping A'!$B$6:$E$1011,4,0)=1,$E179,""),0)</f>
        <v>0</v>
      </c>
      <c r="O179" s="519">
        <f ca="1">_xlfn.IFNA(IF(VLOOKUP($B179&amp;OFFSET(O$10,$A179*2,0),'Mapping A'!$B$6:$E$1011,4,0)=1,$E179,""),0)</f>
        <v>0</v>
      </c>
      <c r="P179" s="519">
        <f ca="1">_xlfn.IFNA(IF(VLOOKUP($B179&amp;OFFSET(P$10,$A179*2,0),'Mapping A'!$B$6:$E$1011,4,0)=1,$E179,""),0)</f>
        <v>0</v>
      </c>
      <c r="Q179" s="519">
        <f ca="1">_xlfn.IFNA(IF(VLOOKUP($B179&amp;OFFSET(Q$10,$A179*2,0),'Mapping A'!$B$6:$E$1011,4,0)=1,$E179,""),0)</f>
        <v>0</v>
      </c>
      <c r="R179" s="519">
        <f ca="1">_xlfn.IFNA(IF(VLOOKUP($B179&amp;OFFSET(R$10,$A179*2,0),'Mapping A'!$B$6:$E$1011,4,0)=1,$E179,""),0)</f>
        <v>0</v>
      </c>
      <c r="S179" s="519">
        <f ca="1">_xlfn.IFNA(IF(VLOOKUP($B179&amp;OFFSET(S$10,$A179*2,0),'Mapping A'!$B$6:$E$1011,4,0)=1,$E179,""),0)</f>
        <v>0</v>
      </c>
      <c r="T179" s="519">
        <f ca="1">_xlfn.IFNA(IF(VLOOKUP($B179&amp;OFFSET(T$10,$A179*2,0),'Mapping A'!$B$6:$E$1011,4,0)=1,$E179,""),0)</f>
        <v>0</v>
      </c>
      <c r="Y179" s="534" t="str">
        <f t="shared" si="69"/>
        <v>UnisonROT0111</v>
      </c>
      <c r="Z179" s="519" t="str">
        <f t="shared" si="48"/>
        <v>Unison</v>
      </c>
      <c r="AA179" s="519" t="str">
        <f t="shared" si="49"/>
        <v>ROT0111</v>
      </c>
      <c r="AB179" s="519">
        <f t="shared" si="65"/>
        <v>29.420999999999999</v>
      </c>
      <c r="AC179" s="324"/>
      <c r="AE179" s="519">
        <f t="shared" ca="1" si="50"/>
        <v>0</v>
      </c>
      <c r="AF179" s="519">
        <f t="shared" ca="1" si="51"/>
        <v>0</v>
      </c>
      <c r="AG179" s="519">
        <f t="shared" ca="1" si="52"/>
        <v>0</v>
      </c>
      <c r="AH179" s="519">
        <f t="shared" ca="1" si="53"/>
        <v>0</v>
      </c>
      <c r="AI179" s="519">
        <f t="shared" ca="1" si="66"/>
        <v>0</v>
      </c>
      <c r="AJ179" s="519">
        <f t="shared" ca="1" si="54"/>
        <v>0</v>
      </c>
      <c r="AK179" s="519">
        <f t="shared" ca="1" si="55"/>
        <v>0</v>
      </c>
      <c r="AL179" s="519">
        <f t="shared" ca="1" si="56"/>
        <v>0</v>
      </c>
      <c r="AM179" s="519">
        <f t="shared" ca="1" si="57"/>
        <v>0</v>
      </c>
      <c r="AN179" s="519">
        <f t="shared" ca="1" si="58"/>
        <v>0</v>
      </c>
      <c r="AO179" s="519">
        <f t="shared" ca="1" si="59"/>
        <v>0</v>
      </c>
      <c r="AP179" s="519">
        <f t="shared" ca="1" si="60"/>
        <v>0</v>
      </c>
      <c r="AQ179" s="519">
        <f t="shared" ca="1" si="61"/>
        <v>0</v>
      </c>
      <c r="AS179" s="536"/>
      <c r="AT179" s="536"/>
      <c r="AU179" s="519" t="str">
        <f t="shared" si="67"/>
        <v>Unison</v>
      </c>
      <c r="AV179" s="519" t="str">
        <f t="shared" si="62"/>
        <v>ROT0111</v>
      </c>
      <c r="AW179" s="519">
        <f t="shared" si="63"/>
        <v>29.420999999999999</v>
      </c>
      <c r="AX179" s="538"/>
      <c r="AY179" s="539">
        <f t="shared" ca="1" si="68"/>
        <v>0.89248732891203741</v>
      </c>
      <c r="AZ179" s="189"/>
    </row>
    <row r="180" spans="1:52" x14ac:dyDescent="0.3">
      <c r="A180" s="556">
        <v>1</v>
      </c>
      <c r="B180" s="519" t="str">
        <f t="shared" si="64"/>
        <v>ROT</v>
      </c>
      <c r="C180" s="519" t="str">
        <f>AMDs!C161</f>
        <v>Unison</v>
      </c>
      <c r="D180" s="519" t="str">
        <f>AMDs!D161</f>
        <v>ROT0331</v>
      </c>
      <c r="E180" s="519">
        <f>IF(AMDs!C161="other",0,AMDs!E161)</f>
        <v>44.011800000000001</v>
      </c>
      <c r="H180" s="519">
        <f ca="1">_xlfn.IFNA(IF(VLOOKUP($B180&amp;OFFSET(H$10,$A180*2,0),'Mapping A'!$B$6:$E$1011,4,0)=1,$E180,""),0)</f>
        <v>0</v>
      </c>
      <c r="I180" s="519">
        <f ca="1">_xlfn.IFNA(IF(VLOOKUP($B180&amp;OFFSET(I$10,$A180*2,0),'Mapping A'!$B$6:$E$1011,4,0)=1,$E180,""),0)</f>
        <v>44.011800000000001</v>
      </c>
      <c r="J180" s="519">
        <f ca="1">_xlfn.IFNA(IF(VLOOKUP($B180&amp;OFFSET(J$10,$A180*2,0),'Mapping A'!$B$6:$E$1011,4,0)=1,$E180,""),0)</f>
        <v>44.011800000000001</v>
      </c>
      <c r="K180" s="519">
        <f ca="1">_xlfn.IFNA(IF(VLOOKUP($B180&amp;OFFSET(K$10,$A180*2,0),'Mapping A'!$B$6:$E$1011,4,0)=1,$E180,""),0)</f>
        <v>0</v>
      </c>
      <c r="L180" s="519">
        <f ca="1">_xlfn.IFNA(IF(VLOOKUP($B180&amp;OFFSET(L$10,$A180*2,0),'Mapping A'!$B$6:$E$1011,4,0)=1,$E180,""),0)</f>
        <v>0</v>
      </c>
      <c r="M180" s="519">
        <f ca="1">_xlfn.IFNA(IF(VLOOKUP($B180&amp;OFFSET(M$10,$A180*2,0),'Mapping A'!$B$6:$E$1011,4,0)=1,$E180,""),0)</f>
        <v>44.011800000000001</v>
      </c>
      <c r="N180" s="519">
        <f ca="1">_xlfn.IFNA(IF(VLOOKUP($B180&amp;OFFSET(N$10,$A180*2,0),'Mapping A'!$B$6:$E$1011,4,0)=1,$E180,""),0)</f>
        <v>0</v>
      </c>
      <c r="O180" s="519">
        <f ca="1">_xlfn.IFNA(IF(VLOOKUP($B180&amp;OFFSET(O$10,$A180*2,0),'Mapping A'!$B$6:$E$1011,4,0)=1,$E180,""),0)</f>
        <v>0</v>
      </c>
      <c r="P180" s="519">
        <f ca="1">_xlfn.IFNA(IF(VLOOKUP($B180&amp;OFFSET(P$10,$A180*2,0),'Mapping A'!$B$6:$E$1011,4,0)=1,$E180,""),0)</f>
        <v>0</v>
      </c>
      <c r="Q180" s="519">
        <f ca="1">_xlfn.IFNA(IF(VLOOKUP($B180&amp;OFFSET(Q$10,$A180*2,0),'Mapping A'!$B$6:$E$1011,4,0)=1,$E180,""),0)</f>
        <v>0</v>
      </c>
      <c r="R180" s="519">
        <f ca="1">_xlfn.IFNA(IF(VLOOKUP($B180&amp;OFFSET(R$10,$A180*2,0),'Mapping A'!$B$6:$E$1011,4,0)=1,$E180,""),0)</f>
        <v>0</v>
      </c>
      <c r="S180" s="519">
        <f ca="1">_xlfn.IFNA(IF(VLOOKUP($B180&amp;OFFSET(S$10,$A180*2,0),'Mapping A'!$B$6:$E$1011,4,0)=1,$E180,""),0)</f>
        <v>0</v>
      </c>
      <c r="T180" s="519">
        <f ca="1">_xlfn.IFNA(IF(VLOOKUP($B180&amp;OFFSET(T$10,$A180*2,0),'Mapping A'!$B$6:$E$1011,4,0)=1,$E180,""),0)</f>
        <v>0</v>
      </c>
      <c r="Y180" s="534" t="str">
        <f t="shared" si="69"/>
        <v>UnisonROT0331</v>
      </c>
      <c r="Z180" s="519" t="str">
        <f t="shared" si="48"/>
        <v>Unison</v>
      </c>
      <c r="AA180" s="519" t="str">
        <f t="shared" si="49"/>
        <v>ROT0331</v>
      </c>
      <c r="AB180" s="519">
        <f t="shared" si="65"/>
        <v>44.011800000000001</v>
      </c>
      <c r="AC180" s="324"/>
      <c r="AE180" s="519">
        <f t="shared" ca="1" si="50"/>
        <v>0</v>
      </c>
      <c r="AF180" s="519">
        <f t="shared" ca="1" si="51"/>
        <v>0</v>
      </c>
      <c r="AG180" s="519">
        <f t="shared" ca="1" si="52"/>
        <v>0</v>
      </c>
      <c r="AH180" s="519">
        <f t="shared" ca="1" si="53"/>
        <v>0</v>
      </c>
      <c r="AI180" s="519">
        <f t="shared" ca="1" si="66"/>
        <v>0</v>
      </c>
      <c r="AJ180" s="519">
        <f t="shared" ca="1" si="54"/>
        <v>0</v>
      </c>
      <c r="AK180" s="519">
        <f t="shared" ca="1" si="55"/>
        <v>0</v>
      </c>
      <c r="AL180" s="519">
        <f t="shared" ca="1" si="56"/>
        <v>0</v>
      </c>
      <c r="AM180" s="519">
        <f t="shared" ca="1" si="57"/>
        <v>0</v>
      </c>
      <c r="AN180" s="519">
        <f t="shared" ca="1" si="58"/>
        <v>0</v>
      </c>
      <c r="AO180" s="519">
        <f t="shared" ca="1" si="59"/>
        <v>0</v>
      </c>
      <c r="AP180" s="519">
        <f t="shared" ca="1" si="60"/>
        <v>0</v>
      </c>
      <c r="AQ180" s="519">
        <f t="shared" ca="1" si="61"/>
        <v>0</v>
      </c>
      <c r="AS180" s="536"/>
      <c r="AT180" s="536"/>
      <c r="AU180" s="519" t="str">
        <f t="shared" si="67"/>
        <v>Unison</v>
      </c>
      <c r="AV180" s="519" t="str">
        <f t="shared" si="62"/>
        <v>ROT0331</v>
      </c>
      <c r="AW180" s="519">
        <f t="shared" si="63"/>
        <v>44.011800000000001</v>
      </c>
      <c r="AX180" s="538"/>
      <c r="AY180" s="539">
        <f t="shared" ca="1" si="68"/>
        <v>1.335099888603746</v>
      </c>
      <c r="AZ180" s="189"/>
    </row>
    <row r="181" spans="1:52" x14ac:dyDescent="0.3">
      <c r="A181" s="556">
        <v>1</v>
      </c>
      <c r="B181" s="519" t="str">
        <f t="shared" si="64"/>
        <v>ROT</v>
      </c>
      <c r="C181" s="519" t="str">
        <f>AMDs!C162</f>
        <v>TrustPower</v>
      </c>
      <c r="D181" s="519" t="str">
        <f>AMDs!D162</f>
        <v>ROT1101</v>
      </c>
      <c r="E181" s="519">
        <f>IF(AMDs!C162="other",0,AMDs!E162)</f>
        <v>7.3499999999999996E-2</v>
      </c>
      <c r="H181" s="519">
        <f ca="1">_xlfn.IFNA(IF(VLOOKUP($B181&amp;OFFSET(H$10,$A181*2,0),'Mapping A'!$B$6:$E$1011,4,0)=1,$E181,""),0)</f>
        <v>0</v>
      </c>
      <c r="I181" s="519">
        <f ca="1">_xlfn.IFNA(IF(VLOOKUP($B181&amp;OFFSET(I$10,$A181*2,0),'Mapping A'!$B$6:$E$1011,4,0)=1,$E181,""),0)</f>
        <v>7.3499999999999996E-2</v>
      </c>
      <c r="J181" s="519">
        <f ca="1">_xlfn.IFNA(IF(VLOOKUP($B181&amp;OFFSET(J$10,$A181*2,0),'Mapping A'!$B$6:$E$1011,4,0)=1,$E181,""),0)</f>
        <v>7.3499999999999996E-2</v>
      </c>
      <c r="K181" s="519">
        <f ca="1">_xlfn.IFNA(IF(VLOOKUP($B181&amp;OFFSET(K$10,$A181*2,0),'Mapping A'!$B$6:$E$1011,4,0)=1,$E181,""),0)</f>
        <v>0</v>
      </c>
      <c r="L181" s="519">
        <f ca="1">_xlfn.IFNA(IF(VLOOKUP($B181&amp;OFFSET(L$10,$A181*2,0),'Mapping A'!$B$6:$E$1011,4,0)=1,$E181,""),0)</f>
        <v>0</v>
      </c>
      <c r="M181" s="519">
        <f ca="1">_xlfn.IFNA(IF(VLOOKUP($B181&amp;OFFSET(M$10,$A181*2,0),'Mapping A'!$B$6:$E$1011,4,0)=1,$E181,""),0)</f>
        <v>7.3499999999999996E-2</v>
      </c>
      <c r="N181" s="519">
        <f ca="1">_xlfn.IFNA(IF(VLOOKUP($B181&amp;OFFSET(N$10,$A181*2,0),'Mapping A'!$B$6:$E$1011,4,0)=1,$E181,""),0)</f>
        <v>0</v>
      </c>
      <c r="O181" s="519">
        <f ca="1">_xlfn.IFNA(IF(VLOOKUP($B181&amp;OFFSET(O$10,$A181*2,0),'Mapping A'!$B$6:$E$1011,4,0)=1,$E181,""),0)</f>
        <v>0</v>
      </c>
      <c r="P181" s="519">
        <f ca="1">_xlfn.IFNA(IF(VLOOKUP($B181&amp;OFFSET(P$10,$A181*2,0),'Mapping A'!$B$6:$E$1011,4,0)=1,$E181,""),0)</f>
        <v>0</v>
      </c>
      <c r="Q181" s="519">
        <f ca="1">_xlfn.IFNA(IF(VLOOKUP($B181&amp;OFFSET(Q$10,$A181*2,0),'Mapping A'!$B$6:$E$1011,4,0)=1,$E181,""),0)</f>
        <v>0</v>
      </c>
      <c r="R181" s="519">
        <f ca="1">_xlfn.IFNA(IF(VLOOKUP($B181&amp;OFFSET(R$10,$A181*2,0),'Mapping A'!$B$6:$E$1011,4,0)=1,$E181,""),0)</f>
        <v>0</v>
      </c>
      <c r="S181" s="519">
        <f ca="1">_xlfn.IFNA(IF(VLOOKUP($B181&amp;OFFSET(S$10,$A181*2,0),'Mapping A'!$B$6:$E$1011,4,0)=1,$E181,""),0)</f>
        <v>0</v>
      </c>
      <c r="T181" s="519">
        <f ca="1">_xlfn.IFNA(IF(VLOOKUP($B181&amp;OFFSET(T$10,$A181*2,0),'Mapping A'!$B$6:$E$1011,4,0)=1,$E181,""),0)</f>
        <v>0</v>
      </c>
      <c r="Y181" s="534" t="str">
        <f t="shared" si="69"/>
        <v>TrustPowerROT1101</v>
      </c>
      <c r="Z181" s="519" t="str">
        <f t="shared" si="48"/>
        <v>TrustPower</v>
      </c>
      <c r="AA181" s="519" t="str">
        <f t="shared" si="49"/>
        <v>ROT1101</v>
      </c>
      <c r="AB181" s="519">
        <f t="shared" si="65"/>
        <v>7.3499999999999996E-2</v>
      </c>
      <c r="AC181" s="324"/>
      <c r="AE181" s="519">
        <f t="shared" ca="1" si="50"/>
        <v>0</v>
      </c>
      <c r="AF181" s="519">
        <f t="shared" ca="1" si="51"/>
        <v>0</v>
      </c>
      <c r="AG181" s="519">
        <f t="shared" ca="1" si="52"/>
        <v>0</v>
      </c>
      <c r="AH181" s="519">
        <f t="shared" ca="1" si="53"/>
        <v>0</v>
      </c>
      <c r="AI181" s="519">
        <f t="shared" ca="1" si="66"/>
        <v>0</v>
      </c>
      <c r="AJ181" s="519">
        <f t="shared" ca="1" si="54"/>
        <v>0</v>
      </c>
      <c r="AK181" s="519">
        <f t="shared" ca="1" si="55"/>
        <v>0</v>
      </c>
      <c r="AL181" s="519">
        <f t="shared" ca="1" si="56"/>
        <v>0</v>
      </c>
      <c r="AM181" s="519">
        <f t="shared" ca="1" si="57"/>
        <v>0</v>
      </c>
      <c r="AN181" s="519">
        <f t="shared" ca="1" si="58"/>
        <v>0</v>
      </c>
      <c r="AO181" s="519">
        <f t="shared" ca="1" si="59"/>
        <v>0</v>
      </c>
      <c r="AP181" s="519">
        <f t="shared" ca="1" si="60"/>
        <v>0</v>
      </c>
      <c r="AQ181" s="519">
        <f t="shared" ca="1" si="61"/>
        <v>0</v>
      </c>
      <c r="AS181" s="536"/>
      <c r="AT181" s="536"/>
      <c r="AU181" s="519" t="str">
        <f t="shared" si="67"/>
        <v>TrustPower</v>
      </c>
      <c r="AV181" s="519" t="str">
        <f t="shared" si="62"/>
        <v>ROT1101</v>
      </c>
      <c r="AW181" s="519">
        <f t="shared" si="63"/>
        <v>7.3499999999999996E-2</v>
      </c>
      <c r="AX181" s="538"/>
      <c r="AY181" s="539">
        <f t="shared" ca="1" si="68"/>
        <v>2.2296257324711851E-3</v>
      </c>
      <c r="AZ181" s="189"/>
    </row>
    <row r="182" spans="1:52" x14ac:dyDescent="0.3">
      <c r="A182" s="556">
        <v>1</v>
      </c>
      <c r="B182" s="519" t="str">
        <f t="shared" si="64"/>
        <v>SBK</v>
      </c>
      <c r="C182" s="519" t="str">
        <f>AMDs!C163</f>
        <v>Mainpower</v>
      </c>
      <c r="D182" s="519" t="str">
        <f>AMDs!D163</f>
        <v>SBK0331</v>
      </c>
      <c r="E182" s="519">
        <f>IF(AMDs!C163="other",0,AMDs!E163)</f>
        <v>43.917299999999997</v>
      </c>
      <c r="H182" s="519">
        <f ca="1">_xlfn.IFNA(IF(VLOOKUP($B182&amp;OFFSET(H$10,$A182*2,0),'Mapping A'!$B$6:$E$1011,4,0)=1,$E182,""),0)</f>
        <v>0</v>
      </c>
      <c r="I182" s="519">
        <f ca="1">_xlfn.IFNA(IF(VLOOKUP($B182&amp;OFFSET(I$10,$A182*2,0),'Mapping A'!$B$6:$E$1011,4,0)=1,$E182,""),0)</f>
        <v>43.917299999999997</v>
      </c>
      <c r="J182" s="519">
        <f ca="1">_xlfn.IFNA(IF(VLOOKUP($B182&amp;OFFSET(J$10,$A182*2,0),'Mapping A'!$B$6:$E$1011,4,0)=1,$E182,""),0)</f>
        <v>0</v>
      </c>
      <c r="K182" s="519">
        <f ca="1">_xlfn.IFNA(IF(VLOOKUP($B182&amp;OFFSET(K$10,$A182*2,0),'Mapping A'!$B$6:$E$1011,4,0)=1,$E182,""),0)</f>
        <v>0</v>
      </c>
      <c r="L182" s="519">
        <f ca="1">_xlfn.IFNA(IF(VLOOKUP($B182&amp;OFFSET(L$10,$A182*2,0),'Mapping A'!$B$6:$E$1011,4,0)=1,$E182,""),0)</f>
        <v>0</v>
      </c>
      <c r="M182" s="519">
        <f ca="1">_xlfn.IFNA(IF(VLOOKUP($B182&amp;OFFSET(M$10,$A182*2,0),'Mapping A'!$B$6:$E$1011,4,0)=1,$E182,""),0)</f>
        <v>0</v>
      </c>
      <c r="N182" s="519">
        <f ca="1">_xlfn.IFNA(IF(VLOOKUP($B182&amp;OFFSET(N$10,$A182*2,0),'Mapping A'!$B$6:$E$1011,4,0)=1,$E182,""),0)</f>
        <v>0</v>
      </c>
      <c r="O182" s="519">
        <f ca="1">_xlfn.IFNA(IF(VLOOKUP($B182&amp;OFFSET(O$10,$A182*2,0),'Mapping A'!$B$6:$E$1011,4,0)=1,$E182,""),0)</f>
        <v>0</v>
      </c>
      <c r="P182" s="519">
        <f ca="1">_xlfn.IFNA(IF(VLOOKUP($B182&amp;OFFSET(P$10,$A182*2,0),'Mapping A'!$B$6:$E$1011,4,0)=1,$E182,""),0)</f>
        <v>43.917299999999997</v>
      </c>
      <c r="Q182" s="519">
        <f ca="1">_xlfn.IFNA(IF(VLOOKUP($B182&amp;OFFSET(Q$10,$A182*2,0),'Mapping A'!$B$6:$E$1011,4,0)=1,$E182,""),0)</f>
        <v>0</v>
      </c>
      <c r="R182" s="519">
        <f ca="1">_xlfn.IFNA(IF(VLOOKUP($B182&amp;OFFSET(R$10,$A182*2,0),'Mapping A'!$B$6:$E$1011,4,0)=1,$E182,""),0)</f>
        <v>0</v>
      </c>
      <c r="S182" s="519">
        <f ca="1">_xlfn.IFNA(IF(VLOOKUP($B182&amp;OFFSET(S$10,$A182*2,0),'Mapping A'!$B$6:$E$1011,4,0)=1,$E182,""),0)</f>
        <v>0</v>
      </c>
      <c r="T182" s="519">
        <f ca="1">_xlfn.IFNA(IF(VLOOKUP($B182&amp;OFFSET(T$10,$A182*2,0),'Mapping A'!$B$6:$E$1011,4,0)=1,$E182,""),0)</f>
        <v>0</v>
      </c>
      <c r="Y182" s="534" t="str">
        <f t="shared" si="69"/>
        <v>MainpowerSBK0331</v>
      </c>
      <c r="Z182" s="519" t="str">
        <f t="shared" si="48"/>
        <v>Mainpower</v>
      </c>
      <c r="AA182" s="519" t="str">
        <f t="shared" si="49"/>
        <v>SBK0331</v>
      </c>
      <c r="AB182" s="519">
        <f t="shared" si="65"/>
        <v>43.917299999999997</v>
      </c>
      <c r="AC182" s="324"/>
      <c r="AE182" s="519">
        <f t="shared" ca="1" si="50"/>
        <v>0</v>
      </c>
      <c r="AF182" s="519">
        <f t="shared" ca="1" si="51"/>
        <v>0</v>
      </c>
      <c r="AG182" s="519">
        <f t="shared" ca="1" si="52"/>
        <v>0</v>
      </c>
      <c r="AH182" s="519">
        <f t="shared" ca="1" si="53"/>
        <v>0</v>
      </c>
      <c r="AI182" s="519">
        <f t="shared" ca="1" si="66"/>
        <v>0</v>
      </c>
      <c r="AJ182" s="519">
        <f t="shared" ca="1" si="54"/>
        <v>0</v>
      </c>
      <c r="AK182" s="519">
        <f t="shared" ca="1" si="55"/>
        <v>0</v>
      </c>
      <c r="AL182" s="519">
        <f t="shared" ca="1" si="56"/>
        <v>0</v>
      </c>
      <c r="AM182" s="519">
        <f t="shared" ca="1" si="57"/>
        <v>0.11698998517217206</v>
      </c>
      <c r="AN182" s="519">
        <f t="shared" ca="1" si="58"/>
        <v>0</v>
      </c>
      <c r="AO182" s="519">
        <f t="shared" ca="1" si="59"/>
        <v>0</v>
      </c>
      <c r="AP182" s="519">
        <f t="shared" ca="1" si="60"/>
        <v>0</v>
      </c>
      <c r="AQ182" s="519">
        <f t="shared" ca="1" si="61"/>
        <v>0</v>
      </c>
      <c r="AS182" s="536"/>
      <c r="AT182" s="536"/>
      <c r="AU182" s="519" t="str">
        <f t="shared" si="67"/>
        <v>Mainpower</v>
      </c>
      <c r="AV182" s="519" t="str">
        <f t="shared" si="62"/>
        <v>SBK0331</v>
      </c>
      <c r="AW182" s="519">
        <f t="shared" si="63"/>
        <v>43.917299999999997</v>
      </c>
      <c r="AX182" s="538"/>
      <c r="AY182" s="539">
        <f t="shared" ca="1" si="68"/>
        <v>1.3322332269477115</v>
      </c>
      <c r="AZ182" s="189"/>
    </row>
    <row r="183" spans="1:52" x14ac:dyDescent="0.3">
      <c r="A183" s="556">
        <v>1</v>
      </c>
      <c r="B183" s="519" t="str">
        <f t="shared" si="64"/>
        <v>SDN</v>
      </c>
      <c r="C183" s="519" t="str">
        <f>AMDs!C164</f>
        <v>Aurora Energy</v>
      </c>
      <c r="D183" s="519" t="str">
        <f>AMDs!D164</f>
        <v>SDN0331</v>
      </c>
      <c r="E183" s="519">
        <f>IF(AMDs!C164="other",0,AMDs!E164)</f>
        <v>73.109399999999994</v>
      </c>
      <c r="H183" s="519">
        <f ca="1">_xlfn.IFNA(IF(VLOOKUP($B183&amp;OFFSET(H$10,$A183*2,0),'Mapping A'!$B$6:$E$1011,4,0)=1,$E183,""),0)</f>
        <v>0</v>
      </c>
      <c r="I183" s="519">
        <f ca="1">_xlfn.IFNA(IF(VLOOKUP($B183&amp;OFFSET(I$10,$A183*2,0),'Mapping A'!$B$6:$E$1011,4,0)=1,$E183,""),0)</f>
        <v>73.109399999999994</v>
      </c>
      <c r="J183" s="519">
        <f ca="1">_xlfn.IFNA(IF(VLOOKUP($B183&amp;OFFSET(J$10,$A183*2,0),'Mapping A'!$B$6:$E$1011,4,0)=1,$E183,""),0)</f>
        <v>0</v>
      </c>
      <c r="K183" s="519">
        <f ca="1">_xlfn.IFNA(IF(VLOOKUP($B183&amp;OFFSET(K$10,$A183*2,0),'Mapping A'!$B$6:$E$1011,4,0)=1,$E183,""),0)</f>
        <v>0</v>
      </c>
      <c r="L183" s="519">
        <f ca="1">_xlfn.IFNA(IF(VLOOKUP($B183&amp;OFFSET(L$10,$A183*2,0),'Mapping A'!$B$6:$E$1011,4,0)=1,$E183,""),0)</f>
        <v>0</v>
      </c>
      <c r="M183" s="519">
        <f ca="1">_xlfn.IFNA(IF(VLOOKUP($B183&amp;OFFSET(M$10,$A183*2,0),'Mapping A'!$B$6:$E$1011,4,0)=1,$E183,""),0)</f>
        <v>0</v>
      </c>
      <c r="N183" s="519">
        <f ca="1">_xlfn.IFNA(IF(VLOOKUP($B183&amp;OFFSET(N$10,$A183*2,0),'Mapping A'!$B$6:$E$1011,4,0)=1,$E183,""),0)</f>
        <v>0</v>
      </c>
      <c r="O183" s="519">
        <f ca="1">_xlfn.IFNA(IF(VLOOKUP($B183&amp;OFFSET(O$10,$A183*2,0),'Mapping A'!$B$6:$E$1011,4,0)=1,$E183,""),0)</f>
        <v>0</v>
      </c>
      <c r="P183" s="519">
        <f ca="1">_xlfn.IFNA(IF(VLOOKUP($B183&amp;OFFSET(P$10,$A183*2,0),'Mapping A'!$B$6:$E$1011,4,0)=1,$E183,""),0)</f>
        <v>0</v>
      </c>
      <c r="Q183" s="519">
        <f ca="1">_xlfn.IFNA(IF(VLOOKUP($B183&amp;OFFSET(Q$10,$A183*2,0),'Mapping A'!$B$6:$E$1011,4,0)=1,$E183,""),0)</f>
        <v>0</v>
      </c>
      <c r="R183" s="519">
        <f ca="1">_xlfn.IFNA(IF(VLOOKUP($B183&amp;OFFSET(R$10,$A183*2,0),'Mapping A'!$B$6:$E$1011,4,0)=1,$E183,""),0)</f>
        <v>0</v>
      </c>
      <c r="S183" s="519">
        <f ca="1">_xlfn.IFNA(IF(VLOOKUP($B183&amp;OFFSET(S$10,$A183*2,0),'Mapping A'!$B$6:$E$1011,4,0)=1,$E183,""),0)</f>
        <v>0</v>
      </c>
      <c r="T183" s="519">
        <f ca="1">_xlfn.IFNA(IF(VLOOKUP($B183&amp;OFFSET(T$10,$A183*2,0),'Mapping A'!$B$6:$E$1011,4,0)=1,$E183,""),0)</f>
        <v>0</v>
      </c>
      <c r="Y183" s="534" t="str">
        <f t="shared" si="69"/>
        <v>Aurora EnergySDN0331</v>
      </c>
      <c r="Z183" s="519" t="str">
        <f t="shared" si="48"/>
        <v>Aurora Energy</v>
      </c>
      <c r="AA183" s="519" t="str">
        <f t="shared" si="49"/>
        <v>SDN0331</v>
      </c>
      <c r="AB183" s="519">
        <f t="shared" si="65"/>
        <v>73.109399999999994</v>
      </c>
      <c r="AC183" s="324"/>
      <c r="AE183" s="519">
        <f t="shared" ca="1" si="50"/>
        <v>0</v>
      </c>
      <c r="AF183" s="519">
        <f t="shared" ca="1" si="51"/>
        <v>0</v>
      </c>
      <c r="AG183" s="519">
        <f t="shared" ca="1" si="52"/>
        <v>0</v>
      </c>
      <c r="AH183" s="519">
        <f t="shared" ca="1" si="53"/>
        <v>0</v>
      </c>
      <c r="AI183" s="519">
        <f t="shared" ca="1" si="66"/>
        <v>0</v>
      </c>
      <c r="AJ183" s="519">
        <f t="shared" ca="1" si="54"/>
        <v>0</v>
      </c>
      <c r="AK183" s="519">
        <f t="shared" ca="1" si="55"/>
        <v>0</v>
      </c>
      <c r="AL183" s="519">
        <f t="shared" ca="1" si="56"/>
        <v>0</v>
      </c>
      <c r="AM183" s="519">
        <f t="shared" ca="1" si="57"/>
        <v>0</v>
      </c>
      <c r="AN183" s="519">
        <f t="shared" ca="1" si="58"/>
        <v>0</v>
      </c>
      <c r="AO183" s="519">
        <f t="shared" ca="1" si="59"/>
        <v>0</v>
      </c>
      <c r="AP183" s="519">
        <f t="shared" ca="1" si="60"/>
        <v>0</v>
      </c>
      <c r="AQ183" s="519">
        <f t="shared" ca="1" si="61"/>
        <v>0</v>
      </c>
      <c r="AS183" s="536"/>
      <c r="AT183" s="536"/>
      <c r="AU183" s="519" t="str">
        <f t="shared" si="67"/>
        <v>Aurora Energy</v>
      </c>
      <c r="AV183" s="519" t="str">
        <f t="shared" si="62"/>
        <v>SDN0331</v>
      </c>
      <c r="AW183" s="519">
        <f t="shared" si="63"/>
        <v>73.109399999999994</v>
      </c>
      <c r="AX183" s="538"/>
      <c r="AY183" s="539">
        <f t="shared" ca="1" si="68"/>
        <v>2.2177768642929099</v>
      </c>
      <c r="AZ183" s="189"/>
    </row>
    <row r="184" spans="1:52" x14ac:dyDescent="0.3">
      <c r="A184" s="556">
        <v>1</v>
      </c>
      <c r="B184" s="519" t="str">
        <f t="shared" si="64"/>
        <v>SFD</v>
      </c>
      <c r="C184" s="519" t="str">
        <f>AMDs!C165</f>
        <v>Powerco</v>
      </c>
      <c r="D184" s="519" t="str">
        <f>AMDs!D165</f>
        <v>SFD0331</v>
      </c>
      <c r="E184" s="519">
        <f>IF(AMDs!C165="other",0,AMDs!E165)</f>
        <v>35.160299999999999</v>
      </c>
      <c r="H184" s="519">
        <f ca="1">_xlfn.IFNA(IF(VLOOKUP($B184&amp;OFFSET(H$10,$A184*2,0),'Mapping A'!$B$6:$E$1011,4,0)=1,$E184,""),0)</f>
        <v>0</v>
      </c>
      <c r="I184" s="519">
        <f ca="1">_xlfn.IFNA(IF(VLOOKUP($B184&amp;OFFSET(I$10,$A184*2,0),'Mapping A'!$B$6:$E$1011,4,0)=1,$E184,""),0)</f>
        <v>35.160299999999999</v>
      </c>
      <c r="J184" s="519">
        <f ca="1">_xlfn.IFNA(IF(VLOOKUP($B184&amp;OFFSET(J$10,$A184*2,0),'Mapping A'!$B$6:$E$1011,4,0)=1,$E184,""),0)</f>
        <v>35.160299999999999</v>
      </c>
      <c r="K184" s="519">
        <f ca="1">_xlfn.IFNA(IF(VLOOKUP($B184&amp;OFFSET(K$10,$A184*2,0),'Mapping A'!$B$6:$E$1011,4,0)=1,$E184,""),0)</f>
        <v>0</v>
      </c>
      <c r="L184" s="519">
        <f ca="1">_xlfn.IFNA(IF(VLOOKUP($B184&amp;OFFSET(L$10,$A184*2,0),'Mapping A'!$B$6:$E$1011,4,0)=1,$E184,""),0)</f>
        <v>0</v>
      </c>
      <c r="M184" s="519">
        <f ca="1">_xlfn.IFNA(IF(VLOOKUP($B184&amp;OFFSET(M$10,$A184*2,0),'Mapping A'!$B$6:$E$1011,4,0)=1,$E184,""),0)</f>
        <v>0</v>
      </c>
      <c r="N184" s="519">
        <f ca="1">_xlfn.IFNA(IF(VLOOKUP($B184&amp;OFFSET(N$10,$A184*2,0),'Mapping A'!$B$6:$E$1011,4,0)=1,$E184,""),0)</f>
        <v>0</v>
      </c>
      <c r="O184" s="519">
        <f ca="1">_xlfn.IFNA(IF(VLOOKUP($B184&amp;OFFSET(O$10,$A184*2,0),'Mapping A'!$B$6:$E$1011,4,0)=1,$E184,""),0)</f>
        <v>0</v>
      </c>
      <c r="P184" s="519">
        <f ca="1">_xlfn.IFNA(IF(VLOOKUP($B184&amp;OFFSET(P$10,$A184*2,0),'Mapping A'!$B$6:$E$1011,4,0)=1,$E184,""),0)</f>
        <v>0</v>
      </c>
      <c r="Q184" s="519">
        <f ca="1">_xlfn.IFNA(IF(VLOOKUP($B184&amp;OFFSET(Q$10,$A184*2,0),'Mapping A'!$B$6:$E$1011,4,0)=1,$E184,""),0)</f>
        <v>0</v>
      </c>
      <c r="R184" s="519">
        <f ca="1">_xlfn.IFNA(IF(VLOOKUP($B184&amp;OFFSET(R$10,$A184*2,0),'Mapping A'!$B$6:$E$1011,4,0)=1,$E184,""),0)</f>
        <v>0</v>
      </c>
      <c r="S184" s="519">
        <f ca="1">_xlfn.IFNA(IF(VLOOKUP($B184&amp;OFFSET(S$10,$A184*2,0),'Mapping A'!$B$6:$E$1011,4,0)=1,$E184,""),0)</f>
        <v>0</v>
      </c>
      <c r="T184" s="519">
        <f ca="1">_xlfn.IFNA(IF(VLOOKUP($B184&amp;OFFSET(T$10,$A184*2,0),'Mapping A'!$B$6:$E$1011,4,0)=1,$E184,""),0)</f>
        <v>0</v>
      </c>
      <c r="Y184" s="534" t="str">
        <f t="shared" si="69"/>
        <v>PowercoSFD0331</v>
      </c>
      <c r="Z184" s="519" t="str">
        <f t="shared" si="48"/>
        <v>Powerco</v>
      </c>
      <c r="AA184" s="519" t="str">
        <f t="shared" si="49"/>
        <v>SFD0331</v>
      </c>
      <c r="AB184" s="519">
        <f t="shared" si="65"/>
        <v>35.160299999999999</v>
      </c>
      <c r="AC184" s="324"/>
      <c r="AE184" s="519">
        <f t="shared" ca="1" si="50"/>
        <v>0</v>
      </c>
      <c r="AF184" s="519">
        <f t="shared" ca="1" si="51"/>
        <v>0</v>
      </c>
      <c r="AG184" s="519">
        <f t="shared" ca="1" si="52"/>
        <v>0</v>
      </c>
      <c r="AH184" s="519">
        <f t="shared" ca="1" si="53"/>
        <v>0</v>
      </c>
      <c r="AI184" s="519">
        <f t="shared" ca="1" si="66"/>
        <v>0</v>
      </c>
      <c r="AJ184" s="519">
        <f t="shared" ca="1" si="54"/>
        <v>0</v>
      </c>
      <c r="AK184" s="519">
        <f t="shared" ca="1" si="55"/>
        <v>0</v>
      </c>
      <c r="AL184" s="519">
        <f t="shared" ca="1" si="56"/>
        <v>0</v>
      </c>
      <c r="AM184" s="519">
        <f t="shared" ca="1" si="57"/>
        <v>0</v>
      </c>
      <c r="AN184" s="519">
        <f t="shared" ca="1" si="58"/>
        <v>0</v>
      </c>
      <c r="AO184" s="519">
        <f t="shared" ca="1" si="59"/>
        <v>0</v>
      </c>
      <c r="AP184" s="519">
        <f t="shared" ca="1" si="60"/>
        <v>0</v>
      </c>
      <c r="AQ184" s="519">
        <f t="shared" ca="1" si="61"/>
        <v>0</v>
      </c>
      <c r="AS184" s="536"/>
      <c r="AT184" s="536"/>
      <c r="AU184" s="519" t="str">
        <f t="shared" si="67"/>
        <v>Powerco</v>
      </c>
      <c r="AV184" s="519" t="str">
        <f t="shared" si="62"/>
        <v>SFD0331</v>
      </c>
      <c r="AW184" s="519">
        <f t="shared" si="63"/>
        <v>35.160299999999999</v>
      </c>
      <c r="AX184" s="538"/>
      <c r="AY184" s="539">
        <f t="shared" ca="1" si="68"/>
        <v>1.0665892468218587</v>
      </c>
      <c r="AZ184" s="189"/>
    </row>
    <row r="185" spans="1:52" x14ac:dyDescent="0.3">
      <c r="A185" s="556">
        <v>1</v>
      </c>
      <c r="B185" s="519" t="str">
        <f t="shared" si="64"/>
        <v>SFD</v>
      </c>
      <c r="C185" s="519" t="str">
        <f>AMDs!C166</f>
        <v>Contact</v>
      </c>
      <c r="D185" s="519" t="str">
        <f>AMDs!D166</f>
        <v>SFD2201</v>
      </c>
      <c r="E185" s="519">
        <f>IF(AMDs!C166="other",0,AMDs!E166)</f>
        <v>9.1980000000000004</v>
      </c>
      <c r="H185" s="519">
        <f ca="1">_xlfn.IFNA(IF(VLOOKUP($B185&amp;OFFSET(H$10,$A185*2,0),'Mapping A'!$B$6:$E$1011,4,0)=1,$E185,""),0)</f>
        <v>0</v>
      </c>
      <c r="I185" s="519">
        <f ca="1">_xlfn.IFNA(IF(VLOOKUP($B185&amp;OFFSET(I$10,$A185*2,0),'Mapping A'!$B$6:$E$1011,4,0)=1,$E185,""),0)</f>
        <v>9.1980000000000004</v>
      </c>
      <c r="J185" s="519">
        <f ca="1">_xlfn.IFNA(IF(VLOOKUP($B185&amp;OFFSET(J$10,$A185*2,0),'Mapping A'!$B$6:$E$1011,4,0)=1,$E185,""),0)</f>
        <v>9.1980000000000004</v>
      </c>
      <c r="K185" s="519">
        <f ca="1">_xlfn.IFNA(IF(VLOOKUP($B185&amp;OFFSET(K$10,$A185*2,0),'Mapping A'!$B$6:$E$1011,4,0)=1,$E185,""),0)</f>
        <v>0</v>
      </c>
      <c r="L185" s="519">
        <f ca="1">_xlfn.IFNA(IF(VLOOKUP($B185&amp;OFFSET(L$10,$A185*2,0),'Mapping A'!$B$6:$E$1011,4,0)=1,$E185,""),0)</f>
        <v>0</v>
      </c>
      <c r="M185" s="519">
        <f ca="1">_xlfn.IFNA(IF(VLOOKUP($B185&amp;OFFSET(M$10,$A185*2,0),'Mapping A'!$B$6:$E$1011,4,0)=1,$E185,""),0)</f>
        <v>0</v>
      </c>
      <c r="N185" s="519">
        <f ca="1">_xlfn.IFNA(IF(VLOOKUP($B185&amp;OFFSET(N$10,$A185*2,0),'Mapping A'!$B$6:$E$1011,4,0)=1,$E185,""),0)</f>
        <v>0</v>
      </c>
      <c r="O185" s="519">
        <f ca="1">_xlfn.IFNA(IF(VLOOKUP($B185&amp;OFFSET(O$10,$A185*2,0),'Mapping A'!$B$6:$E$1011,4,0)=1,$E185,""),0)</f>
        <v>0</v>
      </c>
      <c r="P185" s="519">
        <f ca="1">_xlfn.IFNA(IF(VLOOKUP($B185&amp;OFFSET(P$10,$A185*2,0),'Mapping A'!$B$6:$E$1011,4,0)=1,$E185,""),0)</f>
        <v>0</v>
      </c>
      <c r="Q185" s="519">
        <f ca="1">_xlfn.IFNA(IF(VLOOKUP($B185&amp;OFFSET(Q$10,$A185*2,0),'Mapping A'!$B$6:$E$1011,4,0)=1,$E185,""),0)</f>
        <v>0</v>
      </c>
      <c r="R185" s="519">
        <f ca="1">_xlfn.IFNA(IF(VLOOKUP($B185&amp;OFFSET(R$10,$A185*2,0),'Mapping A'!$B$6:$E$1011,4,0)=1,$E185,""),0)</f>
        <v>0</v>
      </c>
      <c r="S185" s="519">
        <f ca="1">_xlfn.IFNA(IF(VLOOKUP($B185&amp;OFFSET(S$10,$A185*2,0),'Mapping A'!$B$6:$E$1011,4,0)=1,$E185,""),0)</f>
        <v>0</v>
      </c>
      <c r="T185" s="519">
        <f ca="1">_xlfn.IFNA(IF(VLOOKUP($B185&amp;OFFSET(T$10,$A185*2,0),'Mapping A'!$B$6:$E$1011,4,0)=1,$E185,""),0)</f>
        <v>0</v>
      </c>
      <c r="Y185" s="534" t="str">
        <f t="shared" si="69"/>
        <v>ContactSFD2201</v>
      </c>
      <c r="Z185" s="519" t="str">
        <f t="shared" si="48"/>
        <v>Contact</v>
      </c>
      <c r="AA185" s="519" t="str">
        <f t="shared" si="49"/>
        <v>SFD2201</v>
      </c>
      <c r="AB185" s="519">
        <f t="shared" si="65"/>
        <v>9.1980000000000004</v>
      </c>
      <c r="AC185" s="324"/>
      <c r="AE185" s="519">
        <f t="shared" ca="1" si="50"/>
        <v>0</v>
      </c>
      <c r="AF185" s="519">
        <f t="shared" ca="1" si="51"/>
        <v>0</v>
      </c>
      <c r="AG185" s="519">
        <f t="shared" ca="1" si="52"/>
        <v>0</v>
      </c>
      <c r="AH185" s="519">
        <f t="shared" ca="1" si="53"/>
        <v>0</v>
      </c>
      <c r="AI185" s="519">
        <f t="shared" ca="1" si="66"/>
        <v>0</v>
      </c>
      <c r="AJ185" s="519">
        <f t="shared" ca="1" si="54"/>
        <v>0</v>
      </c>
      <c r="AK185" s="519">
        <f t="shared" ca="1" si="55"/>
        <v>0</v>
      </c>
      <c r="AL185" s="519">
        <f t="shared" ca="1" si="56"/>
        <v>0</v>
      </c>
      <c r="AM185" s="519">
        <f t="shared" ca="1" si="57"/>
        <v>0</v>
      </c>
      <c r="AN185" s="519">
        <f t="shared" ca="1" si="58"/>
        <v>0</v>
      </c>
      <c r="AO185" s="519">
        <f t="shared" ca="1" si="59"/>
        <v>0</v>
      </c>
      <c r="AP185" s="519">
        <f t="shared" ca="1" si="60"/>
        <v>0</v>
      </c>
      <c r="AQ185" s="519">
        <f t="shared" ca="1" si="61"/>
        <v>0</v>
      </c>
      <c r="AS185" s="536"/>
      <c r="AT185" s="536"/>
      <c r="AU185" s="519" t="str">
        <f t="shared" si="67"/>
        <v>Contact</v>
      </c>
      <c r="AV185" s="519" t="str">
        <f t="shared" si="62"/>
        <v>SFD2201</v>
      </c>
      <c r="AW185" s="519">
        <f t="shared" si="63"/>
        <v>9.1980000000000004</v>
      </c>
      <c r="AX185" s="538"/>
      <c r="AY185" s="539">
        <f t="shared" ca="1" si="68"/>
        <v>0.27902173452067974</v>
      </c>
      <c r="AZ185" s="189"/>
    </row>
    <row r="186" spans="1:52" x14ac:dyDescent="0.3">
      <c r="A186" s="556">
        <v>1</v>
      </c>
      <c r="B186" s="519" t="str">
        <f t="shared" si="64"/>
        <v>STK</v>
      </c>
      <c r="C186" s="519" t="str">
        <f>AMDs!C167</f>
        <v>Network Tasman</v>
      </c>
      <c r="D186" s="519" t="str">
        <f>AMDs!D167</f>
        <v>STK0331</v>
      </c>
      <c r="E186" s="519">
        <f>IF(AMDs!C167="other",0,AMDs!E167)</f>
        <v>154.61670000000001</v>
      </c>
      <c r="H186" s="519">
        <f ca="1">_xlfn.IFNA(IF(VLOOKUP($B186&amp;OFFSET(H$10,$A186*2,0),'Mapping A'!$B$6:$E$1011,4,0)=1,$E186,""),0)</f>
        <v>0</v>
      </c>
      <c r="I186" s="519">
        <f ca="1">_xlfn.IFNA(IF(VLOOKUP($B186&amp;OFFSET(I$10,$A186*2,0),'Mapping A'!$B$6:$E$1011,4,0)=1,$E186,""),0)</f>
        <v>154.61670000000001</v>
      </c>
      <c r="J186" s="519">
        <f ca="1">_xlfn.IFNA(IF(VLOOKUP($B186&amp;OFFSET(J$10,$A186*2,0),'Mapping A'!$B$6:$E$1011,4,0)=1,$E186,""),0)</f>
        <v>0</v>
      </c>
      <c r="K186" s="519">
        <f ca="1">_xlfn.IFNA(IF(VLOOKUP($B186&amp;OFFSET(K$10,$A186*2,0),'Mapping A'!$B$6:$E$1011,4,0)=1,$E186,""),0)</f>
        <v>0</v>
      </c>
      <c r="L186" s="519">
        <f ca="1">_xlfn.IFNA(IF(VLOOKUP($B186&amp;OFFSET(L$10,$A186*2,0),'Mapping A'!$B$6:$E$1011,4,0)=1,$E186,""),0)</f>
        <v>0</v>
      </c>
      <c r="M186" s="519">
        <f ca="1">_xlfn.IFNA(IF(VLOOKUP($B186&amp;OFFSET(M$10,$A186*2,0),'Mapping A'!$B$6:$E$1011,4,0)=1,$E186,""),0)</f>
        <v>0</v>
      </c>
      <c r="N186" s="519">
        <f ca="1">_xlfn.IFNA(IF(VLOOKUP($B186&amp;OFFSET(N$10,$A186*2,0),'Mapping A'!$B$6:$E$1011,4,0)=1,$E186,""),0)</f>
        <v>0</v>
      </c>
      <c r="O186" s="519">
        <f ca="1">_xlfn.IFNA(IF(VLOOKUP($B186&amp;OFFSET(O$10,$A186*2,0),'Mapping A'!$B$6:$E$1011,4,0)=1,$E186,""),0)</f>
        <v>0</v>
      </c>
      <c r="P186" s="519">
        <f ca="1">_xlfn.IFNA(IF(VLOOKUP($B186&amp;OFFSET(P$10,$A186*2,0),'Mapping A'!$B$6:$E$1011,4,0)=1,$E186,""),0)</f>
        <v>154.61670000000001</v>
      </c>
      <c r="Q186" s="519">
        <f ca="1">_xlfn.IFNA(IF(VLOOKUP($B186&amp;OFFSET(Q$10,$A186*2,0),'Mapping A'!$B$6:$E$1011,4,0)=1,$E186,""),0)</f>
        <v>0</v>
      </c>
      <c r="R186" s="519">
        <f ca="1">_xlfn.IFNA(IF(VLOOKUP($B186&amp;OFFSET(R$10,$A186*2,0),'Mapping A'!$B$6:$E$1011,4,0)=1,$E186,""),0)</f>
        <v>0</v>
      </c>
      <c r="S186" s="519">
        <f ca="1">_xlfn.IFNA(IF(VLOOKUP($B186&amp;OFFSET(S$10,$A186*2,0),'Mapping A'!$B$6:$E$1011,4,0)=1,$E186,""),0)</f>
        <v>0</v>
      </c>
      <c r="T186" s="519">
        <f ca="1">_xlfn.IFNA(IF(VLOOKUP($B186&amp;OFFSET(T$10,$A186*2,0),'Mapping A'!$B$6:$E$1011,4,0)=1,$E186,""),0)</f>
        <v>154.61670000000001</v>
      </c>
      <c r="Y186" s="534" t="str">
        <f t="shared" si="69"/>
        <v>Network TasmanSTK0331</v>
      </c>
      <c r="Z186" s="519" t="str">
        <f t="shared" si="48"/>
        <v>Network Tasman</v>
      </c>
      <c r="AA186" s="519" t="str">
        <f t="shared" si="49"/>
        <v>STK0331</v>
      </c>
      <c r="AB186" s="519">
        <f t="shared" si="65"/>
        <v>154.61670000000001</v>
      </c>
      <c r="AC186" s="324"/>
      <c r="AE186" s="519">
        <f t="shared" ca="1" si="50"/>
        <v>0</v>
      </c>
      <c r="AF186" s="519">
        <f t="shared" ca="1" si="51"/>
        <v>0</v>
      </c>
      <c r="AG186" s="519">
        <f t="shared" ca="1" si="52"/>
        <v>0</v>
      </c>
      <c r="AH186" s="519">
        <f t="shared" ca="1" si="53"/>
        <v>0</v>
      </c>
      <c r="AI186" s="519">
        <f t="shared" ca="1" si="66"/>
        <v>0</v>
      </c>
      <c r="AJ186" s="519">
        <f t="shared" ca="1" si="54"/>
        <v>0</v>
      </c>
      <c r="AK186" s="519">
        <f t="shared" ca="1" si="55"/>
        <v>0</v>
      </c>
      <c r="AL186" s="519">
        <f t="shared" ca="1" si="56"/>
        <v>0</v>
      </c>
      <c r="AM186" s="519">
        <f t="shared" ca="1" si="57"/>
        <v>0.41187881405209736</v>
      </c>
      <c r="AN186" s="519">
        <f t="shared" ca="1" si="58"/>
        <v>0</v>
      </c>
      <c r="AO186" s="519">
        <f t="shared" ca="1" si="59"/>
        <v>0</v>
      </c>
      <c r="AP186" s="519">
        <f t="shared" ca="1" si="60"/>
        <v>0</v>
      </c>
      <c r="AQ186" s="519">
        <f t="shared" ca="1" si="61"/>
        <v>0</v>
      </c>
      <c r="AS186" s="536"/>
      <c r="AT186" s="536"/>
      <c r="AU186" s="519" t="str">
        <f t="shared" si="67"/>
        <v>Network Tasman</v>
      </c>
      <c r="AV186" s="519" t="str">
        <f t="shared" si="62"/>
        <v>STK0331</v>
      </c>
      <c r="AW186" s="519">
        <f t="shared" si="63"/>
        <v>154.61670000000001</v>
      </c>
      <c r="AX186" s="538"/>
      <c r="AY186" s="539">
        <f t="shared" ca="1" si="68"/>
        <v>4.6903043944187424</v>
      </c>
      <c r="AZ186" s="189"/>
    </row>
    <row r="187" spans="1:52" x14ac:dyDescent="0.3">
      <c r="A187" s="556">
        <v>1</v>
      </c>
      <c r="B187" s="519" t="str">
        <f t="shared" si="64"/>
        <v>STU</v>
      </c>
      <c r="C187" s="519" t="str">
        <f>AMDs!C168</f>
        <v>Alpine Energy</v>
      </c>
      <c r="D187" s="519" t="str">
        <f>AMDs!D168</f>
        <v>STU0111</v>
      </c>
      <c r="E187" s="519">
        <f>IF(AMDs!C168="other",0,AMDs!E168)</f>
        <v>13.7319</v>
      </c>
      <c r="H187" s="519">
        <f ca="1">_xlfn.IFNA(IF(VLOOKUP($B187&amp;OFFSET(H$10,$A187*2,0),'Mapping A'!$B$6:$E$1011,4,0)=1,$E187,""),0)</f>
        <v>0</v>
      </c>
      <c r="I187" s="519">
        <f ca="1">_xlfn.IFNA(IF(VLOOKUP($B187&amp;OFFSET(I$10,$A187*2,0),'Mapping A'!$B$6:$E$1011,4,0)=1,$E187,""),0)</f>
        <v>13.7319</v>
      </c>
      <c r="J187" s="519">
        <f ca="1">_xlfn.IFNA(IF(VLOOKUP($B187&amp;OFFSET(J$10,$A187*2,0),'Mapping A'!$B$6:$E$1011,4,0)=1,$E187,""),0)</f>
        <v>0</v>
      </c>
      <c r="K187" s="519">
        <f ca="1">_xlfn.IFNA(IF(VLOOKUP($B187&amp;OFFSET(K$10,$A187*2,0),'Mapping A'!$B$6:$E$1011,4,0)=1,$E187,""),0)</f>
        <v>0</v>
      </c>
      <c r="L187" s="519">
        <f ca="1">_xlfn.IFNA(IF(VLOOKUP($B187&amp;OFFSET(L$10,$A187*2,0),'Mapping A'!$B$6:$E$1011,4,0)=1,$E187,""),0)</f>
        <v>0</v>
      </c>
      <c r="M187" s="519">
        <f ca="1">_xlfn.IFNA(IF(VLOOKUP($B187&amp;OFFSET(M$10,$A187*2,0),'Mapping A'!$B$6:$E$1011,4,0)=1,$E187,""),0)</f>
        <v>0</v>
      </c>
      <c r="N187" s="519">
        <f ca="1">_xlfn.IFNA(IF(VLOOKUP($B187&amp;OFFSET(N$10,$A187*2,0),'Mapping A'!$B$6:$E$1011,4,0)=1,$E187,""),0)</f>
        <v>0</v>
      </c>
      <c r="O187" s="519">
        <f ca="1">_xlfn.IFNA(IF(VLOOKUP($B187&amp;OFFSET(O$10,$A187*2,0),'Mapping A'!$B$6:$E$1011,4,0)=1,$E187,""),0)</f>
        <v>0</v>
      </c>
      <c r="P187" s="519">
        <f ca="1">_xlfn.IFNA(IF(VLOOKUP($B187&amp;OFFSET(P$10,$A187*2,0),'Mapping A'!$B$6:$E$1011,4,0)=1,$E187,""),0)</f>
        <v>0</v>
      </c>
      <c r="Q187" s="519">
        <f ca="1">_xlfn.IFNA(IF(VLOOKUP($B187&amp;OFFSET(Q$10,$A187*2,0),'Mapping A'!$B$6:$E$1011,4,0)=1,$E187,""),0)</f>
        <v>0</v>
      </c>
      <c r="R187" s="519">
        <f ca="1">_xlfn.IFNA(IF(VLOOKUP($B187&amp;OFFSET(R$10,$A187*2,0),'Mapping A'!$B$6:$E$1011,4,0)=1,$E187,""),0)</f>
        <v>0</v>
      </c>
      <c r="S187" s="519">
        <f ca="1">_xlfn.IFNA(IF(VLOOKUP($B187&amp;OFFSET(S$10,$A187*2,0),'Mapping A'!$B$6:$E$1011,4,0)=1,$E187,""),0)</f>
        <v>0</v>
      </c>
      <c r="T187" s="519">
        <f ca="1">_xlfn.IFNA(IF(VLOOKUP($B187&amp;OFFSET(T$10,$A187*2,0),'Mapping A'!$B$6:$E$1011,4,0)=1,$E187,""),0)</f>
        <v>0</v>
      </c>
      <c r="Y187" s="534" t="str">
        <f t="shared" si="69"/>
        <v>Alpine EnergySTU0111</v>
      </c>
      <c r="Z187" s="519" t="str">
        <f t="shared" si="48"/>
        <v>Alpine Energy</v>
      </c>
      <c r="AA187" s="519" t="str">
        <f t="shared" si="49"/>
        <v>STU0111</v>
      </c>
      <c r="AB187" s="519">
        <f t="shared" si="65"/>
        <v>13.7319</v>
      </c>
      <c r="AC187" s="324"/>
      <c r="AE187" s="519">
        <f t="shared" ca="1" si="50"/>
        <v>0</v>
      </c>
      <c r="AF187" s="519">
        <f t="shared" ca="1" si="51"/>
        <v>0</v>
      </c>
      <c r="AG187" s="519">
        <f t="shared" ca="1" si="52"/>
        <v>0</v>
      </c>
      <c r="AH187" s="519">
        <f t="shared" ca="1" si="53"/>
        <v>0</v>
      </c>
      <c r="AI187" s="519">
        <f t="shared" ca="1" si="66"/>
        <v>0</v>
      </c>
      <c r="AJ187" s="519">
        <f t="shared" ca="1" si="54"/>
        <v>0</v>
      </c>
      <c r="AK187" s="519">
        <f t="shared" ca="1" si="55"/>
        <v>0</v>
      </c>
      <c r="AL187" s="519">
        <f t="shared" ca="1" si="56"/>
        <v>0</v>
      </c>
      <c r="AM187" s="519">
        <f t="shared" ca="1" si="57"/>
        <v>0</v>
      </c>
      <c r="AN187" s="519">
        <f t="shared" ca="1" si="58"/>
        <v>0</v>
      </c>
      <c r="AO187" s="519">
        <f t="shared" ca="1" si="59"/>
        <v>0</v>
      </c>
      <c r="AP187" s="519">
        <f t="shared" ca="1" si="60"/>
        <v>0</v>
      </c>
      <c r="AQ187" s="519">
        <f t="shared" ca="1" si="61"/>
        <v>0</v>
      </c>
      <c r="AS187" s="536"/>
      <c r="AT187" s="536"/>
      <c r="AU187" s="519" t="str">
        <f t="shared" si="67"/>
        <v>Alpine Energy</v>
      </c>
      <c r="AV187" s="519" t="str">
        <f t="shared" si="62"/>
        <v>STU0111</v>
      </c>
      <c r="AW187" s="519">
        <f t="shared" si="63"/>
        <v>13.7319</v>
      </c>
      <c r="AX187" s="538"/>
      <c r="AY187" s="539">
        <f t="shared" ca="1" si="68"/>
        <v>0.41655779041797375</v>
      </c>
      <c r="AZ187" s="189"/>
    </row>
    <row r="188" spans="1:52" x14ac:dyDescent="0.3">
      <c r="A188" s="556">
        <v>1</v>
      </c>
      <c r="B188" s="519" t="str">
        <f t="shared" si="64"/>
        <v>SVL</v>
      </c>
      <c r="C188" s="519" t="str">
        <f>AMDs!C169</f>
        <v>Vector</v>
      </c>
      <c r="D188" s="519" t="str">
        <f>AMDs!D169</f>
        <v>SVL0331</v>
      </c>
      <c r="E188" s="519">
        <f>IF(AMDs!C169="other",0,AMDs!E169)</f>
        <v>92.301299999999998</v>
      </c>
      <c r="H188" s="519">
        <f ca="1">_xlfn.IFNA(IF(VLOOKUP($B188&amp;OFFSET(H$10,$A188*2,0),'Mapping A'!$B$6:$E$1011,4,0)=1,$E188,""),0)</f>
        <v>92.301299999999998</v>
      </c>
      <c r="I188" s="519">
        <f ca="1">_xlfn.IFNA(IF(VLOOKUP($B188&amp;OFFSET(I$10,$A188*2,0),'Mapping A'!$B$6:$E$1011,4,0)=1,$E188,""),0)</f>
        <v>92.301299999999998</v>
      </c>
      <c r="J188" s="519">
        <f ca="1">_xlfn.IFNA(IF(VLOOKUP($B188&amp;OFFSET(J$10,$A188*2,0),'Mapping A'!$B$6:$E$1011,4,0)=1,$E188,""),0)</f>
        <v>92.301299999999998</v>
      </c>
      <c r="K188" s="519">
        <f ca="1">_xlfn.IFNA(IF(VLOOKUP($B188&amp;OFFSET(K$10,$A188*2,0),'Mapping A'!$B$6:$E$1011,4,0)=1,$E188,""),0)</f>
        <v>92.301299999999998</v>
      </c>
      <c r="L188" s="519">
        <f ca="1">_xlfn.IFNA(IF(VLOOKUP($B188&amp;OFFSET(L$10,$A188*2,0),'Mapping A'!$B$6:$E$1011,4,0)=1,$E188,""),0)</f>
        <v>0</v>
      </c>
      <c r="M188" s="519">
        <f ca="1">_xlfn.IFNA(IF(VLOOKUP($B188&amp;OFFSET(M$10,$A188*2,0),'Mapping A'!$B$6:$E$1011,4,0)=1,$E188,""),0)</f>
        <v>92.301299999999998</v>
      </c>
      <c r="N188" s="519">
        <f ca="1">_xlfn.IFNA(IF(VLOOKUP($B188&amp;OFFSET(N$10,$A188*2,0),'Mapping A'!$B$6:$E$1011,4,0)=1,$E188,""),0)</f>
        <v>92.301299999999998</v>
      </c>
      <c r="O188" s="519">
        <f ca="1">_xlfn.IFNA(IF(VLOOKUP($B188&amp;OFFSET(O$10,$A188*2,0),'Mapping A'!$B$6:$E$1011,4,0)=1,$E188,""),0)</f>
        <v>0</v>
      </c>
      <c r="P188" s="519">
        <f ca="1">_xlfn.IFNA(IF(VLOOKUP($B188&amp;OFFSET(P$10,$A188*2,0),'Mapping A'!$B$6:$E$1011,4,0)=1,$E188,""),0)</f>
        <v>0</v>
      </c>
      <c r="Q188" s="519">
        <f ca="1">_xlfn.IFNA(IF(VLOOKUP($B188&amp;OFFSET(Q$10,$A188*2,0),'Mapping A'!$B$6:$E$1011,4,0)=1,$E188,""),0)</f>
        <v>92.301299999999998</v>
      </c>
      <c r="R188" s="519">
        <f ca="1">_xlfn.IFNA(IF(VLOOKUP($B188&amp;OFFSET(R$10,$A188*2,0),'Mapping A'!$B$6:$E$1011,4,0)=1,$E188,""),0)</f>
        <v>0</v>
      </c>
      <c r="S188" s="519">
        <f ca="1">_xlfn.IFNA(IF(VLOOKUP($B188&amp;OFFSET(S$10,$A188*2,0),'Mapping A'!$B$6:$E$1011,4,0)=1,$E188,""),0)</f>
        <v>0</v>
      </c>
      <c r="T188" s="519">
        <f ca="1">_xlfn.IFNA(IF(VLOOKUP($B188&amp;OFFSET(T$10,$A188*2,0),'Mapping A'!$B$6:$E$1011,4,0)=1,$E188,""),0)</f>
        <v>0</v>
      </c>
      <c r="Y188" s="534" t="str">
        <f t="shared" si="69"/>
        <v>VectorSVL0331</v>
      </c>
      <c r="Z188" s="519" t="str">
        <f t="shared" si="48"/>
        <v>Vector</v>
      </c>
      <c r="AA188" s="519" t="str">
        <f t="shared" si="49"/>
        <v>SVL0331</v>
      </c>
      <c r="AB188" s="519">
        <f t="shared" si="65"/>
        <v>92.301299999999998</v>
      </c>
      <c r="AC188" s="324"/>
      <c r="AE188" s="519">
        <f t="shared" ca="1" si="50"/>
        <v>0</v>
      </c>
      <c r="AF188" s="519">
        <f t="shared" ca="1" si="51"/>
        <v>0</v>
      </c>
      <c r="AG188" s="519">
        <f t="shared" ca="1" si="52"/>
        <v>0</v>
      </c>
      <c r="AH188" s="519">
        <f t="shared" ca="1" si="53"/>
        <v>1.6200835610351589</v>
      </c>
      <c r="AI188" s="519">
        <f t="shared" ca="1" si="66"/>
        <v>0</v>
      </c>
      <c r="AJ188" s="519">
        <f t="shared" ca="1" si="54"/>
        <v>0</v>
      </c>
      <c r="AK188" s="519">
        <f t="shared" ca="1" si="55"/>
        <v>0.36968765718273383</v>
      </c>
      <c r="AL188" s="519">
        <f t="shared" ca="1" si="56"/>
        <v>0</v>
      </c>
      <c r="AM188" s="519">
        <f t="shared" ca="1" si="57"/>
        <v>0</v>
      </c>
      <c r="AN188" s="519">
        <f t="shared" ca="1" si="58"/>
        <v>0.17050074703638252</v>
      </c>
      <c r="AO188" s="519">
        <f t="shared" ca="1" si="59"/>
        <v>0</v>
      </c>
      <c r="AP188" s="519">
        <f t="shared" ca="1" si="60"/>
        <v>0</v>
      </c>
      <c r="AQ188" s="519">
        <f t="shared" ca="1" si="61"/>
        <v>0</v>
      </c>
      <c r="AS188" s="536"/>
      <c r="AT188" s="536"/>
      <c r="AU188" s="519" t="str">
        <f t="shared" si="67"/>
        <v>Vector</v>
      </c>
      <c r="AV188" s="519" t="str">
        <f t="shared" si="62"/>
        <v>SVL0331</v>
      </c>
      <c r="AW188" s="519">
        <f t="shared" si="63"/>
        <v>92.301299999999998</v>
      </c>
      <c r="AX188" s="538"/>
      <c r="AY188" s="539">
        <f t="shared" ca="1" si="68"/>
        <v>2.7999639948373147</v>
      </c>
      <c r="AZ188" s="189"/>
    </row>
    <row r="189" spans="1:52" x14ac:dyDescent="0.3">
      <c r="A189" s="556">
        <v>1</v>
      </c>
      <c r="B189" s="519" t="str">
        <f t="shared" si="64"/>
        <v>SWN</v>
      </c>
      <c r="C189" s="519" t="str">
        <f>AMDs!C170</f>
        <v>Kiwirail</v>
      </c>
      <c r="D189" s="519" t="str">
        <f>AMDs!D170</f>
        <v>SWN0251</v>
      </c>
      <c r="E189" s="519">
        <f>IF(AMDs!C170="other",0,AMDs!E170)</f>
        <v>3.1604999999999999</v>
      </c>
      <c r="H189" s="519">
        <f ca="1">_xlfn.IFNA(IF(VLOOKUP($B189&amp;OFFSET(H$10,$A189*2,0),'Mapping A'!$B$6:$E$1011,4,0)=1,$E189,""),0)</f>
        <v>3.1604999999999999</v>
      </c>
      <c r="I189" s="519">
        <f ca="1">_xlfn.IFNA(IF(VLOOKUP($B189&amp;OFFSET(I$10,$A189*2,0),'Mapping A'!$B$6:$E$1011,4,0)=1,$E189,""),0)</f>
        <v>3.1604999999999999</v>
      </c>
      <c r="J189" s="519">
        <f ca="1">_xlfn.IFNA(IF(VLOOKUP($B189&amp;OFFSET(J$10,$A189*2,0),'Mapping A'!$B$6:$E$1011,4,0)=1,$E189,""),0)</f>
        <v>3.1604999999999999</v>
      </c>
      <c r="K189" s="519">
        <f ca="1">_xlfn.IFNA(IF(VLOOKUP($B189&amp;OFFSET(K$10,$A189*2,0),'Mapping A'!$B$6:$E$1011,4,0)=1,$E189,""),0)</f>
        <v>0</v>
      </c>
      <c r="L189" s="519">
        <f ca="1">_xlfn.IFNA(IF(VLOOKUP($B189&amp;OFFSET(L$10,$A189*2,0),'Mapping A'!$B$6:$E$1011,4,0)=1,$E189,""),0)</f>
        <v>0</v>
      </c>
      <c r="M189" s="519">
        <f ca="1">_xlfn.IFNA(IF(VLOOKUP($B189&amp;OFFSET(M$10,$A189*2,0),'Mapping A'!$B$6:$E$1011,4,0)=1,$E189,""),0)</f>
        <v>3.1604999999999999</v>
      </c>
      <c r="N189" s="519">
        <f ca="1">_xlfn.IFNA(IF(VLOOKUP($B189&amp;OFFSET(N$10,$A189*2,0),'Mapping A'!$B$6:$E$1011,4,0)=1,$E189,""),0)</f>
        <v>3.1604999999999999</v>
      </c>
      <c r="O189" s="519">
        <f ca="1">_xlfn.IFNA(IF(VLOOKUP($B189&amp;OFFSET(O$10,$A189*2,0),'Mapping A'!$B$6:$E$1011,4,0)=1,$E189,""),0)</f>
        <v>0</v>
      </c>
      <c r="P189" s="519">
        <f ca="1">_xlfn.IFNA(IF(VLOOKUP($B189&amp;OFFSET(P$10,$A189*2,0),'Mapping A'!$B$6:$E$1011,4,0)=1,$E189,""),0)</f>
        <v>0</v>
      </c>
      <c r="Q189" s="519">
        <f ca="1">_xlfn.IFNA(IF(VLOOKUP($B189&amp;OFFSET(Q$10,$A189*2,0),'Mapping A'!$B$6:$E$1011,4,0)=1,$E189,""),0)</f>
        <v>3.1604999999999999</v>
      </c>
      <c r="R189" s="519">
        <f ca="1">_xlfn.IFNA(IF(VLOOKUP($B189&amp;OFFSET(R$10,$A189*2,0),'Mapping A'!$B$6:$E$1011,4,0)=1,$E189,""),0)</f>
        <v>0</v>
      </c>
      <c r="S189" s="519">
        <f ca="1">_xlfn.IFNA(IF(VLOOKUP($B189&amp;OFFSET(S$10,$A189*2,0),'Mapping A'!$B$6:$E$1011,4,0)=1,$E189,""),0)</f>
        <v>0</v>
      </c>
      <c r="T189" s="519">
        <f ca="1">_xlfn.IFNA(IF(VLOOKUP($B189&amp;OFFSET(T$10,$A189*2,0),'Mapping A'!$B$6:$E$1011,4,0)=1,$E189,""),0)</f>
        <v>0</v>
      </c>
      <c r="Y189" s="534" t="str">
        <f t="shared" si="69"/>
        <v>KiwirailSWN0251</v>
      </c>
      <c r="Z189" s="519" t="str">
        <f t="shared" si="48"/>
        <v>Kiwirail</v>
      </c>
      <c r="AA189" s="519" t="str">
        <f t="shared" si="49"/>
        <v>SWN0251</v>
      </c>
      <c r="AB189" s="519">
        <f t="shared" si="65"/>
        <v>3.1604999999999999</v>
      </c>
      <c r="AC189" s="324"/>
      <c r="AE189" s="519">
        <f t="shared" ca="1" si="50"/>
        <v>0</v>
      </c>
      <c r="AF189" s="519">
        <f t="shared" ca="1" si="51"/>
        <v>0</v>
      </c>
      <c r="AG189" s="519">
        <f t="shared" ca="1" si="52"/>
        <v>0</v>
      </c>
      <c r="AH189" s="519">
        <f t="shared" ca="1" si="53"/>
        <v>0</v>
      </c>
      <c r="AI189" s="519">
        <f t="shared" ca="1" si="66"/>
        <v>0</v>
      </c>
      <c r="AJ189" s="519">
        <f t="shared" ca="1" si="54"/>
        <v>0</v>
      </c>
      <c r="AK189" s="519">
        <f t="shared" ca="1" si="55"/>
        <v>1.2658519874866662E-2</v>
      </c>
      <c r="AL189" s="519">
        <f t="shared" ca="1" si="56"/>
        <v>0</v>
      </c>
      <c r="AM189" s="519">
        <f t="shared" ca="1" si="57"/>
        <v>0</v>
      </c>
      <c r="AN189" s="519">
        <f t="shared" ca="1" si="58"/>
        <v>5.8381367435614345E-3</v>
      </c>
      <c r="AO189" s="519">
        <f t="shared" ca="1" si="59"/>
        <v>0</v>
      </c>
      <c r="AP189" s="519">
        <f t="shared" ca="1" si="60"/>
        <v>0</v>
      </c>
      <c r="AQ189" s="519">
        <f t="shared" ca="1" si="61"/>
        <v>0</v>
      </c>
      <c r="AS189" s="536"/>
      <c r="AT189" s="536"/>
      <c r="AU189" s="519" t="str">
        <f t="shared" si="67"/>
        <v>Kiwirail</v>
      </c>
      <c r="AV189" s="519" t="str">
        <f t="shared" si="62"/>
        <v>SWN0251</v>
      </c>
      <c r="AW189" s="519">
        <f t="shared" si="63"/>
        <v>3.1604999999999999</v>
      </c>
      <c r="AX189" s="538"/>
      <c r="AY189" s="539">
        <f t="shared" ca="1" si="68"/>
        <v>9.5873906496260972E-2</v>
      </c>
      <c r="AZ189" s="189"/>
    </row>
    <row r="190" spans="1:52" x14ac:dyDescent="0.3">
      <c r="A190" s="556">
        <v>1</v>
      </c>
      <c r="B190" s="519" t="str">
        <f t="shared" si="64"/>
        <v>SWN</v>
      </c>
      <c r="C190" s="519" t="str">
        <f>AMDs!C171</f>
        <v>MRP</v>
      </c>
      <c r="D190" s="519" t="str">
        <f>AMDs!D171</f>
        <v>SWN2201</v>
      </c>
      <c r="E190" s="519">
        <f>IF(AMDs!C171="other",0,AMDs!E171)</f>
        <v>3.738</v>
      </c>
      <c r="H190" s="519">
        <f ca="1">_xlfn.IFNA(IF(VLOOKUP($B190&amp;OFFSET(H$10,$A190*2,0),'Mapping A'!$B$6:$E$1011,4,0)=1,$E190,""),0)</f>
        <v>3.738</v>
      </c>
      <c r="I190" s="519">
        <f ca="1">_xlfn.IFNA(IF(VLOOKUP($B190&amp;OFFSET(I$10,$A190*2,0),'Mapping A'!$B$6:$E$1011,4,0)=1,$E190,""),0)</f>
        <v>3.738</v>
      </c>
      <c r="J190" s="519">
        <f ca="1">_xlfn.IFNA(IF(VLOOKUP($B190&amp;OFFSET(J$10,$A190*2,0),'Mapping A'!$B$6:$E$1011,4,0)=1,$E190,""),0)</f>
        <v>3.738</v>
      </c>
      <c r="K190" s="519">
        <f ca="1">_xlfn.IFNA(IF(VLOOKUP($B190&amp;OFFSET(K$10,$A190*2,0),'Mapping A'!$B$6:$E$1011,4,0)=1,$E190,""),0)</f>
        <v>0</v>
      </c>
      <c r="L190" s="519">
        <f ca="1">_xlfn.IFNA(IF(VLOOKUP($B190&amp;OFFSET(L$10,$A190*2,0),'Mapping A'!$B$6:$E$1011,4,0)=1,$E190,""),0)</f>
        <v>0</v>
      </c>
      <c r="M190" s="519">
        <f ca="1">_xlfn.IFNA(IF(VLOOKUP($B190&amp;OFFSET(M$10,$A190*2,0),'Mapping A'!$B$6:$E$1011,4,0)=1,$E190,""),0)</f>
        <v>3.738</v>
      </c>
      <c r="N190" s="519">
        <f ca="1">_xlfn.IFNA(IF(VLOOKUP($B190&amp;OFFSET(N$10,$A190*2,0),'Mapping A'!$B$6:$E$1011,4,0)=1,$E190,""),0)</f>
        <v>3.738</v>
      </c>
      <c r="O190" s="519">
        <f ca="1">_xlfn.IFNA(IF(VLOOKUP($B190&amp;OFFSET(O$10,$A190*2,0),'Mapping A'!$B$6:$E$1011,4,0)=1,$E190,""),0)</f>
        <v>0</v>
      </c>
      <c r="P190" s="519">
        <f ca="1">_xlfn.IFNA(IF(VLOOKUP($B190&amp;OFFSET(P$10,$A190*2,0),'Mapping A'!$B$6:$E$1011,4,0)=1,$E190,""),0)</f>
        <v>0</v>
      </c>
      <c r="Q190" s="519">
        <f ca="1">_xlfn.IFNA(IF(VLOOKUP($B190&amp;OFFSET(Q$10,$A190*2,0),'Mapping A'!$B$6:$E$1011,4,0)=1,$E190,""),0)</f>
        <v>3.738</v>
      </c>
      <c r="R190" s="519">
        <f ca="1">_xlfn.IFNA(IF(VLOOKUP($B190&amp;OFFSET(R$10,$A190*2,0),'Mapping A'!$B$6:$E$1011,4,0)=1,$E190,""),0)</f>
        <v>0</v>
      </c>
      <c r="S190" s="519">
        <f ca="1">_xlfn.IFNA(IF(VLOOKUP($B190&amp;OFFSET(S$10,$A190*2,0),'Mapping A'!$B$6:$E$1011,4,0)=1,$E190,""),0)</f>
        <v>0</v>
      </c>
      <c r="T190" s="519">
        <f ca="1">_xlfn.IFNA(IF(VLOOKUP($B190&amp;OFFSET(T$10,$A190*2,0),'Mapping A'!$B$6:$E$1011,4,0)=1,$E190,""),0)</f>
        <v>0</v>
      </c>
      <c r="Y190" s="534" t="str">
        <f t="shared" si="69"/>
        <v>MRPSWN2201</v>
      </c>
      <c r="Z190" s="519" t="str">
        <f t="shared" si="48"/>
        <v>MRP</v>
      </c>
      <c r="AA190" s="519" t="str">
        <f t="shared" si="49"/>
        <v>SWN2201</v>
      </c>
      <c r="AB190" s="519">
        <f t="shared" si="65"/>
        <v>3.738</v>
      </c>
      <c r="AC190" s="324"/>
      <c r="AE190" s="519">
        <f t="shared" ca="1" si="50"/>
        <v>0</v>
      </c>
      <c r="AF190" s="519">
        <f t="shared" ca="1" si="51"/>
        <v>0</v>
      </c>
      <c r="AG190" s="519">
        <f t="shared" ca="1" si="52"/>
        <v>0</v>
      </c>
      <c r="AH190" s="519">
        <f t="shared" ca="1" si="53"/>
        <v>0</v>
      </c>
      <c r="AI190" s="519">
        <f t="shared" ca="1" si="66"/>
        <v>0</v>
      </c>
      <c r="AJ190" s="519">
        <f t="shared" ca="1" si="54"/>
        <v>0</v>
      </c>
      <c r="AK190" s="519">
        <f t="shared" ca="1" si="55"/>
        <v>1.4971538456652929E-2</v>
      </c>
      <c r="AL190" s="519">
        <f t="shared" ca="1" si="56"/>
        <v>0</v>
      </c>
      <c r="AM190" s="519">
        <f t="shared" ca="1" si="57"/>
        <v>0</v>
      </c>
      <c r="AN190" s="519">
        <f t="shared" ca="1" si="58"/>
        <v>6.904905915972993E-3</v>
      </c>
      <c r="AO190" s="519">
        <f t="shared" ca="1" si="59"/>
        <v>0</v>
      </c>
      <c r="AP190" s="519">
        <f t="shared" ca="1" si="60"/>
        <v>0</v>
      </c>
      <c r="AQ190" s="519">
        <f t="shared" ca="1" si="61"/>
        <v>0</v>
      </c>
      <c r="AS190" s="536"/>
      <c r="AT190" s="536"/>
      <c r="AU190" s="519" t="str">
        <f t="shared" si="67"/>
        <v>MRP</v>
      </c>
      <c r="AV190" s="519" t="str">
        <f t="shared" si="62"/>
        <v>SWN2201</v>
      </c>
      <c r="AW190" s="519">
        <f t="shared" si="63"/>
        <v>3.738</v>
      </c>
      <c r="AX190" s="538"/>
      <c r="AY190" s="539">
        <f t="shared" ca="1" si="68"/>
        <v>0.11339239439424886</v>
      </c>
      <c r="AZ190" s="189"/>
    </row>
    <row r="191" spans="1:52" x14ac:dyDescent="0.3">
      <c r="A191" s="556">
        <v>1</v>
      </c>
      <c r="B191" s="519" t="str">
        <f t="shared" si="64"/>
        <v>TAK</v>
      </c>
      <c r="C191" s="519" t="str">
        <f>AMDs!C172</f>
        <v>Vector</v>
      </c>
      <c r="D191" s="519" t="str">
        <f>AMDs!D172</f>
        <v>TAK0331</v>
      </c>
      <c r="E191" s="519">
        <f>IF(AMDs!C172="other",0,AMDs!E172)</f>
        <v>119.8008</v>
      </c>
      <c r="H191" s="519">
        <f ca="1">_xlfn.IFNA(IF(VLOOKUP($B191&amp;OFFSET(H$10,$A191*2,0),'Mapping A'!$B$6:$E$1011,4,0)=1,$E191,""),0)</f>
        <v>119.8008</v>
      </c>
      <c r="I191" s="519">
        <f ca="1">_xlfn.IFNA(IF(VLOOKUP($B191&amp;OFFSET(I$10,$A191*2,0),'Mapping A'!$B$6:$E$1011,4,0)=1,$E191,""),0)</f>
        <v>119.8008</v>
      </c>
      <c r="J191" s="519">
        <f ca="1">_xlfn.IFNA(IF(VLOOKUP($B191&amp;OFFSET(J$10,$A191*2,0),'Mapping A'!$B$6:$E$1011,4,0)=1,$E191,""),0)</f>
        <v>119.8008</v>
      </c>
      <c r="K191" s="519">
        <f ca="1">_xlfn.IFNA(IF(VLOOKUP($B191&amp;OFFSET(K$10,$A191*2,0),'Mapping A'!$B$6:$E$1011,4,0)=1,$E191,""),0)</f>
        <v>0</v>
      </c>
      <c r="L191" s="519">
        <f ca="1">_xlfn.IFNA(IF(VLOOKUP($B191&amp;OFFSET(L$10,$A191*2,0),'Mapping A'!$B$6:$E$1011,4,0)=1,$E191,""),0)</f>
        <v>0</v>
      </c>
      <c r="M191" s="519">
        <f ca="1">_xlfn.IFNA(IF(VLOOKUP($B191&amp;OFFSET(M$10,$A191*2,0),'Mapping A'!$B$6:$E$1011,4,0)=1,$E191,""),0)</f>
        <v>119.8008</v>
      </c>
      <c r="N191" s="519">
        <f ca="1">_xlfn.IFNA(IF(VLOOKUP($B191&amp;OFFSET(N$10,$A191*2,0),'Mapping A'!$B$6:$E$1011,4,0)=1,$E191,""),0)</f>
        <v>119.8008</v>
      </c>
      <c r="O191" s="519">
        <f ca="1">_xlfn.IFNA(IF(VLOOKUP($B191&amp;OFFSET(O$10,$A191*2,0),'Mapping A'!$B$6:$E$1011,4,0)=1,$E191,""),0)</f>
        <v>0</v>
      </c>
      <c r="P191" s="519">
        <f ca="1">_xlfn.IFNA(IF(VLOOKUP($B191&amp;OFFSET(P$10,$A191*2,0),'Mapping A'!$B$6:$E$1011,4,0)=1,$E191,""),0)</f>
        <v>0</v>
      </c>
      <c r="Q191" s="519">
        <f ca="1">_xlfn.IFNA(IF(VLOOKUP($B191&amp;OFFSET(Q$10,$A191*2,0),'Mapping A'!$B$6:$E$1011,4,0)=1,$E191,""),0)</f>
        <v>119.8008</v>
      </c>
      <c r="R191" s="519">
        <f ca="1">_xlfn.IFNA(IF(VLOOKUP($B191&amp;OFFSET(R$10,$A191*2,0),'Mapping A'!$B$6:$E$1011,4,0)=1,$E191,""),0)</f>
        <v>0</v>
      </c>
      <c r="S191" s="519">
        <f ca="1">_xlfn.IFNA(IF(VLOOKUP($B191&amp;OFFSET(S$10,$A191*2,0),'Mapping A'!$B$6:$E$1011,4,0)=1,$E191,""),0)</f>
        <v>0</v>
      </c>
      <c r="T191" s="519">
        <f ca="1">_xlfn.IFNA(IF(VLOOKUP($B191&amp;OFFSET(T$10,$A191*2,0),'Mapping A'!$B$6:$E$1011,4,0)=1,$E191,""),0)</f>
        <v>0</v>
      </c>
      <c r="Y191" s="534" t="str">
        <f t="shared" si="69"/>
        <v>VectorTAK0331</v>
      </c>
      <c r="Z191" s="519" t="str">
        <f t="shared" si="48"/>
        <v>Vector</v>
      </c>
      <c r="AA191" s="519" t="str">
        <f t="shared" si="49"/>
        <v>TAK0331</v>
      </c>
      <c r="AB191" s="519">
        <f t="shared" si="65"/>
        <v>119.8008</v>
      </c>
      <c r="AC191" s="324"/>
      <c r="AE191" s="519">
        <f t="shared" ca="1" si="50"/>
        <v>0</v>
      </c>
      <c r="AF191" s="519">
        <f t="shared" ca="1" si="51"/>
        <v>0</v>
      </c>
      <c r="AG191" s="519">
        <f t="shared" ca="1" si="52"/>
        <v>0</v>
      </c>
      <c r="AH191" s="519">
        <f t="shared" ca="1" si="53"/>
        <v>0</v>
      </c>
      <c r="AI191" s="519">
        <f t="shared" ca="1" si="66"/>
        <v>0</v>
      </c>
      <c r="AJ191" s="519">
        <f t="shared" ca="1" si="54"/>
        <v>0</v>
      </c>
      <c r="AK191" s="519">
        <f t="shared" ca="1" si="55"/>
        <v>0.47982939655906531</v>
      </c>
      <c r="AL191" s="519">
        <f t="shared" ca="1" si="56"/>
        <v>0</v>
      </c>
      <c r="AM191" s="519">
        <f t="shared" ca="1" si="57"/>
        <v>0</v>
      </c>
      <c r="AN191" s="519">
        <f t="shared" ca="1" si="58"/>
        <v>0.22129835544630744</v>
      </c>
      <c r="AO191" s="519">
        <f t="shared" ca="1" si="59"/>
        <v>0</v>
      </c>
      <c r="AP191" s="519">
        <f t="shared" ca="1" si="60"/>
        <v>0</v>
      </c>
      <c r="AQ191" s="519">
        <f t="shared" ca="1" si="61"/>
        <v>0</v>
      </c>
      <c r="AS191" s="536"/>
      <c r="AT191" s="536"/>
      <c r="AU191" s="519" t="str">
        <f t="shared" si="67"/>
        <v>Vector</v>
      </c>
      <c r="AV191" s="519" t="str">
        <f t="shared" si="62"/>
        <v>TAK0331</v>
      </c>
      <c r="AW191" s="519">
        <f t="shared" si="63"/>
        <v>119.8008</v>
      </c>
      <c r="AX191" s="538"/>
      <c r="AY191" s="539">
        <f t="shared" ca="1" si="68"/>
        <v>3.6341625367433195</v>
      </c>
      <c r="AZ191" s="189"/>
    </row>
    <row r="192" spans="1:52" x14ac:dyDescent="0.3">
      <c r="A192" s="556">
        <v>1</v>
      </c>
      <c r="B192" s="519" t="str">
        <f t="shared" si="64"/>
        <v>TGA</v>
      </c>
      <c r="C192" s="519" t="str">
        <f>AMDs!C173</f>
        <v>Powerco</v>
      </c>
      <c r="D192" s="519" t="str">
        <f>AMDs!D173</f>
        <v>TGA0111</v>
      </c>
      <c r="E192" s="519">
        <f>IF(AMDs!C173="other",0,AMDs!E173)</f>
        <v>28.242899999999999</v>
      </c>
      <c r="H192" s="519">
        <f ca="1">_xlfn.IFNA(IF(VLOOKUP($B192&amp;OFFSET(H$10,$A192*2,0),'Mapping A'!$B$6:$E$1011,4,0)=1,$E192,""),0)</f>
        <v>0</v>
      </c>
      <c r="I192" s="519">
        <f ca="1">_xlfn.IFNA(IF(VLOOKUP($B192&amp;OFFSET(I$10,$A192*2,0),'Mapping A'!$B$6:$E$1011,4,0)=1,$E192,""),0)</f>
        <v>28.242899999999999</v>
      </c>
      <c r="J192" s="519">
        <f ca="1">_xlfn.IFNA(IF(VLOOKUP($B192&amp;OFFSET(J$10,$A192*2,0),'Mapping A'!$B$6:$E$1011,4,0)=1,$E192,""),0)</f>
        <v>28.242899999999999</v>
      </c>
      <c r="K192" s="519">
        <f ca="1">_xlfn.IFNA(IF(VLOOKUP($B192&amp;OFFSET(K$10,$A192*2,0),'Mapping A'!$B$6:$E$1011,4,0)=1,$E192,""),0)</f>
        <v>0</v>
      </c>
      <c r="L192" s="519">
        <f ca="1">_xlfn.IFNA(IF(VLOOKUP($B192&amp;OFFSET(L$10,$A192*2,0),'Mapping A'!$B$6:$E$1011,4,0)=1,$E192,""),0)</f>
        <v>0</v>
      </c>
      <c r="M192" s="519">
        <f ca="1">_xlfn.IFNA(IF(VLOOKUP($B192&amp;OFFSET(M$10,$A192*2,0),'Mapping A'!$B$6:$E$1011,4,0)=1,$E192,""),0)</f>
        <v>28.242899999999999</v>
      </c>
      <c r="N192" s="519">
        <f ca="1">_xlfn.IFNA(IF(VLOOKUP($B192&amp;OFFSET(N$10,$A192*2,0),'Mapping A'!$B$6:$E$1011,4,0)=1,$E192,""),0)</f>
        <v>0</v>
      </c>
      <c r="O192" s="519">
        <f ca="1">_xlfn.IFNA(IF(VLOOKUP($B192&amp;OFFSET(O$10,$A192*2,0),'Mapping A'!$B$6:$E$1011,4,0)=1,$E192,""),0)</f>
        <v>0</v>
      </c>
      <c r="P192" s="519">
        <f ca="1">_xlfn.IFNA(IF(VLOOKUP($B192&amp;OFFSET(P$10,$A192*2,0),'Mapping A'!$B$6:$E$1011,4,0)=1,$E192,""),0)</f>
        <v>0</v>
      </c>
      <c r="Q192" s="519">
        <f ca="1">_xlfn.IFNA(IF(VLOOKUP($B192&amp;OFFSET(Q$10,$A192*2,0),'Mapping A'!$B$6:$E$1011,4,0)=1,$E192,""),0)</f>
        <v>0</v>
      </c>
      <c r="R192" s="519">
        <f ca="1">_xlfn.IFNA(IF(VLOOKUP($B192&amp;OFFSET(R$10,$A192*2,0),'Mapping A'!$B$6:$E$1011,4,0)=1,$E192,""),0)</f>
        <v>0</v>
      </c>
      <c r="S192" s="519">
        <f ca="1">_xlfn.IFNA(IF(VLOOKUP($B192&amp;OFFSET(S$10,$A192*2,0),'Mapping A'!$B$6:$E$1011,4,0)=1,$E192,""),0)</f>
        <v>0</v>
      </c>
      <c r="T192" s="519">
        <f ca="1">_xlfn.IFNA(IF(VLOOKUP($B192&amp;OFFSET(T$10,$A192*2,0),'Mapping A'!$B$6:$E$1011,4,0)=1,$E192,""),0)</f>
        <v>0</v>
      </c>
      <c r="Y192" s="534" t="str">
        <f t="shared" si="69"/>
        <v>PowercoTGA0111</v>
      </c>
      <c r="Z192" s="519" t="str">
        <f t="shared" si="48"/>
        <v>Powerco</v>
      </c>
      <c r="AA192" s="519" t="str">
        <f t="shared" si="49"/>
        <v>TGA0111</v>
      </c>
      <c r="AB192" s="519">
        <f t="shared" si="65"/>
        <v>28.242899999999999</v>
      </c>
      <c r="AC192" s="324"/>
      <c r="AE192" s="519">
        <f t="shared" ca="1" si="50"/>
        <v>0</v>
      </c>
      <c r="AF192" s="519">
        <f t="shared" ca="1" si="51"/>
        <v>0</v>
      </c>
      <c r="AG192" s="519">
        <f t="shared" ca="1" si="52"/>
        <v>0</v>
      </c>
      <c r="AH192" s="519">
        <f t="shared" ca="1" si="53"/>
        <v>0</v>
      </c>
      <c r="AI192" s="519">
        <f t="shared" ca="1" si="66"/>
        <v>0</v>
      </c>
      <c r="AJ192" s="519">
        <f t="shared" ca="1" si="54"/>
        <v>0</v>
      </c>
      <c r="AK192" s="519">
        <f t="shared" ca="1" si="55"/>
        <v>0</v>
      </c>
      <c r="AL192" s="519">
        <f t="shared" ca="1" si="56"/>
        <v>0</v>
      </c>
      <c r="AM192" s="519">
        <f t="shared" ca="1" si="57"/>
        <v>0</v>
      </c>
      <c r="AN192" s="519">
        <f t="shared" ca="1" si="58"/>
        <v>0</v>
      </c>
      <c r="AO192" s="519">
        <f t="shared" ca="1" si="59"/>
        <v>0</v>
      </c>
      <c r="AP192" s="519">
        <f t="shared" ca="1" si="60"/>
        <v>0</v>
      </c>
      <c r="AQ192" s="519">
        <f t="shared" ca="1" si="61"/>
        <v>0</v>
      </c>
      <c r="AS192" s="536"/>
      <c r="AT192" s="536"/>
      <c r="AU192" s="519" t="str">
        <f t="shared" si="67"/>
        <v>Powerco</v>
      </c>
      <c r="AV192" s="519" t="str">
        <f t="shared" si="62"/>
        <v>TGA0111</v>
      </c>
      <c r="AW192" s="519">
        <f t="shared" si="63"/>
        <v>28.242899999999999</v>
      </c>
      <c r="AX192" s="538"/>
      <c r="AY192" s="539">
        <f t="shared" ca="1" si="68"/>
        <v>0.85674961360014201</v>
      </c>
      <c r="AZ192" s="189"/>
    </row>
    <row r="193" spans="1:52" x14ac:dyDescent="0.3">
      <c r="A193" s="556">
        <v>1</v>
      </c>
      <c r="B193" s="519" t="str">
        <f t="shared" si="64"/>
        <v>TGA</v>
      </c>
      <c r="C193" s="519" t="str">
        <f>AMDs!C174</f>
        <v>Powerco</v>
      </c>
      <c r="D193" s="519" t="str">
        <f>AMDs!D174</f>
        <v>TGA0331</v>
      </c>
      <c r="E193" s="519">
        <f>IF(AMDs!C174="other",0,AMDs!E174)</f>
        <v>81.511499999999998</v>
      </c>
      <c r="H193" s="519">
        <f ca="1">_xlfn.IFNA(IF(VLOOKUP($B193&amp;OFFSET(H$10,$A193*2,0),'Mapping A'!$B$6:$E$1011,4,0)=1,$E193,""),0)</f>
        <v>0</v>
      </c>
      <c r="I193" s="519">
        <f ca="1">_xlfn.IFNA(IF(VLOOKUP($B193&amp;OFFSET(I$10,$A193*2,0),'Mapping A'!$B$6:$E$1011,4,0)=1,$E193,""),0)</f>
        <v>81.511499999999998</v>
      </c>
      <c r="J193" s="519">
        <f ca="1">_xlfn.IFNA(IF(VLOOKUP($B193&amp;OFFSET(J$10,$A193*2,0),'Mapping A'!$B$6:$E$1011,4,0)=1,$E193,""),0)</f>
        <v>81.511499999999998</v>
      </c>
      <c r="K193" s="519">
        <f ca="1">_xlfn.IFNA(IF(VLOOKUP($B193&amp;OFFSET(K$10,$A193*2,0),'Mapping A'!$B$6:$E$1011,4,0)=1,$E193,""),0)</f>
        <v>0</v>
      </c>
      <c r="L193" s="519">
        <f ca="1">_xlfn.IFNA(IF(VLOOKUP($B193&amp;OFFSET(L$10,$A193*2,0),'Mapping A'!$B$6:$E$1011,4,0)=1,$E193,""),0)</f>
        <v>0</v>
      </c>
      <c r="M193" s="519">
        <f ca="1">_xlfn.IFNA(IF(VLOOKUP($B193&amp;OFFSET(M$10,$A193*2,0),'Mapping A'!$B$6:$E$1011,4,0)=1,$E193,""),0)</f>
        <v>81.511499999999998</v>
      </c>
      <c r="N193" s="519">
        <f ca="1">_xlfn.IFNA(IF(VLOOKUP($B193&amp;OFFSET(N$10,$A193*2,0),'Mapping A'!$B$6:$E$1011,4,0)=1,$E193,""),0)</f>
        <v>0</v>
      </c>
      <c r="O193" s="519">
        <f ca="1">_xlfn.IFNA(IF(VLOOKUP($B193&amp;OFFSET(O$10,$A193*2,0),'Mapping A'!$B$6:$E$1011,4,0)=1,$E193,""),0)</f>
        <v>0</v>
      </c>
      <c r="P193" s="519">
        <f ca="1">_xlfn.IFNA(IF(VLOOKUP($B193&amp;OFFSET(P$10,$A193*2,0),'Mapping A'!$B$6:$E$1011,4,0)=1,$E193,""),0)</f>
        <v>0</v>
      </c>
      <c r="Q193" s="519">
        <f ca="1">_xlfn.IFNA(IF(VLOOKUP($B193&amp;OFFSET(Q$10,$A193*2,0),'Mapping A'!$B$6:$E$1011,4,0)=1,$E193,""),0)</f>
        <v>0</v>
      </c>
      <c r="R193" s="519">
        <f ca="1">_xlfn.IFNA(IF(VLOOKUP($B193&amp;OFFSET(R$10,$A193*2,0),'Mapping A'!$B$6:$E$1011,4,0)=1,$E193,""),0)</f>
        <v>0</v>
      </c>
      <c r="S193" s="519">
        <f ca="1">_xlfn.IFNA(IF(VLOOKUP($B193&amp;OFFSET(S$10,$A193*2,0),'Mapping A'!$B$6:$E$1011,4,0)=1,$E193,""),0)</f>
        <v>0</v>
      </c>
      <c r="T193" s="519">
        <f ca="1">_xlfn.IFNA(IF(VLOOKUP($B193&amp;OFFSET(T$10,$A193*2,0),'Mapping A'!$B$6:$E$1011,4,0)=1,$E193,""),0)</f>
        <v>0</v>
      </c>
      <c r="Y193" s="534" t="str">
        <f t="shared" si="69"/>
        <v>PowercoTGA0331</v>
      </c>
      <c r="Z193" s="519" t="str">
        <f t="shared" si="48"/>
        <v>Powerco</v>
      </c>
      <c r="AA193" s="519" t="str">
        <f t="shared" si="49"/>
        <v>TGA0331</v>
      </c>
      <c r="AB193" s="519">
        <f t="shared" si="65"/>
        <v>81.511499999999998</v>
      </c>
      <c r="AC193" s="324"/>
      <c r="AE193" s="519">
        <f t="shared" ca="1" si="50"/>
        <v>0</v>
      </c>
      <c r="AF193" s="519">
        <f t="shared" ca="1" si="51"/>
        <v>0</v>
      </c>
      <c r="AG193" s="519">
        <f t="shared" ca="1" si="52"/>
        <v>0</v>
      </c>
      <c r="AH193" s="519">
        <f t="shared" ca="1" si="53"/>
        <v>0</v>
      </c>
      <c r="AI193" s="519">
        <f t="shared" ca="1" si="66"/>
        <v>0</v>
      </c>
      <c r="AJ193" s="519">
        <f t="shared" ca="1" si="54"/>
        <v>0</v>
      </c>
      <c r="AK193" s="519">
        <f t="shared" ca="1" si="55"/>
        <v>0</v>
      </c>
      <c r="AL193" s="519">
        <f t="shared" ca="1" si="56"/>
        <v>0</v>
      </c>
      <c r="AM193" s="519">
        <f t="shared" ca="1" si="57"/>
        <v>0</v>
      </c>
      <c r="AN193" s="519">
        <f t="shared" ca="1" si="58"/>
        <v>0</v>
      </c>
      <c r="AO193" s="519">
        <f t="shared" ca="1" si="59"/>
        <v>0</v>
      </c>
      <c r="AP193" s="519">
        <f t="shared" ca="1" si="60"/>
        <v>0</v>
      </c>
      <c r="AQ193" s="519">
        <f t="shared" ca="1" si="61"/>
        <v>0</v>
      </c>
      <c r="AS193" s="536"/>
      <c r="AT193" s="536"/>
      <c r="AU193" s="519" t="str">
        <f t="shared" si="67"/>
        <v>Powerco</v>
      </c>
      <c r="AV193" s="519" t="str">
        <f t="shared" si="62"/>
        <v>TGA0331</v>
      </c>
      <c r="AW193" s="519">
        <f t="shared" si="63"/>
        <v>81.511499999999998</v>
      </c>
      <c r="AX193" s="538"/>
      <c r="AY193" s="539">
        <f t="shared" ca="1" si="68"/>
        <v>2.4726549373105446</v>
      </c>
      <c r="AZ193" s="189"/>
    </row>
    <row r="194" spans="1:52" x14ac:dyDescent="0.3">
      <c r="A194" s="556">
        <v>1</v>
      </c>
      <c r="B194" s="519" t="str">
        <f t="shared" si="64"/>
        <v>THI</v>
      </c>
      <c r="C194" s="519" t="str">
        <f>AMDs!C175</f>
        <v>Contact</v>
      </c>
      <c r="D194" s="519" t="str">
        <f>AMDs!D175</f>
        <v>THI2201</v>
      </c>
      <c r="E194" s="519">
        <f>IF(AMDs!C175="other",0,AMDs!E175)</f>
        <v>9.0299999999999994</v>
      </c>
      <c r="H194" s="519">
        <f ca="1">_xlfn.IFNA(IF(VLOOKUP($B194&amp;OFFSET(H$10,$A194*2,0),'Mapping A'!$B$6:$E$1011,4,0)=1,$E194,""),0)</f>
        <v>0</v>
      </c>
      <c r="I194" s="519">
        <f ca="1">_xlfn.IFNA(IF(VLOOKUP($B194&amp;OFFSET(I$10,$A194*2,0),'Mapping A'!$B$6:$E$1011,4,0)=1,$E194,""),0)</f>
        <v>9.0299999999999994</v>
      </c>
      <c r="J194" s="519">
        <f ca="1">_xlfn.IFNA(IF(VLOOKUP($B194&amp;OFFSET(J$10,$A194*2,0),'Mapping A'!$B$6:$E$1011,4,0)=1,$E194,""),0)</f>
        <v>9.0299999999999994</v>
      </c>
      <c r="K194" s="519">
        <f ca="1">_xlfn.IFNA(IF(VLOOKUP($B194&amp;OFFSET(K$10,$A194*2,0),'Mapping A'!$B$6:$E$1011,4,0)=1,$E194,""),0)</f>
        <v>0</v>
      </c>
      <c r="L194" s="519">
        <f ca="1">_xlfn.IFNA(IF(VLOOKUP($B194&amp;OFFSET(L$10,$A194*2,0),'Mapping A'!$B$6:$E$1011,4,0)=1,$E194,""),0)</f>
        <v>0</v>
      </c>
      <c r="M194" s="519">
        <f ca="1">_xlfn.IFNA(IF(VLOOKUP($B194&amp;OFFSET(M$10,$A194*2,0),'Mapping A'!$B$6:$E$1011,4,0)=1,$E194,""),0)</f>
        <v>0</v>
      </c>
      <c r="N194" s="519">
        <f ca="1">_xlfn.IFNA(IF(VLOOKUP($B194&amp;OFFSET(N$10,$A194*2,0),'Mapping A'!$B$6:$E$1011,4,0)=1,$E194,""),0)</f>
        <v>0</v>
      </c>
      <c r="O194" s="519">
        <f ca="1">_xlfn.IFNA(IF(VLOOKUP($B194&amp;OFFSET(O$10,$A194*2,0),'Mapping A'!$B$6:$E$1011,4,0)=1,$E194,""),0)</f>
        <v>0</v>
      </c>
      <c r="P194" s="519">
        <f ca="1">_xlfn.IFNA(IF(VLOOKUP($B194&amp;OFFSET(P$10,$A194*2,0),'Mapping A'!$B$6:$E$1011,4,0)=1,$E194,""),0)</f>
        <v>0</v>
      </c>
      <c r="Q194" s="519">
        <f ca="1">_xlfn.IFNA(IF(VLOOKUP($B194&amp;OFFSET(Q$10,$A194*2,0),'Mapping A'!$B$6:$E$1011,4,0)=1,$E194,""),0)</f>
        <v>0</v>
      </c>
      <c r="R194" s="519">
        <f ca="1">_xlfn.IFNA(IF(VLOOKUP($B194&amp;OFFSET(R$10,$A194*2,0),'Mapping A'!$B$6:$E$1011,4,0)=1,$E194,""),0)</f>
        <v>0</v>
      </c>
      <c r="S194" s="519">
        <f ca="1">_xlfn.IFNA(IF(VLOOKUP($B194&amp;OFFSET(S$10,$A194*2,0),'Mapping A'!$B$6:$E$1011,4,0)=1,$E194,""),0)</f>
        <v>0</v>
      </c>
      <c r="T194" s="519">
        <f ca="1">_xlfn.IFNA(IF(VLOOKUP($B194&amp;OFFSET(T$10,$A194*2,0),'Mapping A'!$B$6:$E$1011,4,0)=1,$E194,""),0)</f>
        <v>0</v>
      </c>
      <c r="Y194" s="534" t="str">
        <f t="shared" si="69"/>
        <v>ContactTHI2201</v>
      </c>
      <c r="Z194" s="519" t="str">
        <f t="shared" si="48"/>
        <v>Contact</v>
      </c>
      <c r="AA194" s="519" t="str">
        <f t="shared" si="49"/>
        <v>THI2201</v>
      </c>
      <c r="AB194" s="519">
        <f t="shared" si="65"/>
        <v>9.0299999999999994</v>
      </c>
      <c r="AC194" s="324"/>
      <c r="AE194" s="519">
        <f t="shared" ca="1" si="50"/>
        <v>0</v>
      </c>
      <c r="AF194" s="519">
        <f t="shared" ca="1" si="51"/>
        <v>0</v>
      </c>
      <c r="AG194" s="519">
        <f t="shared" ca="1" si="52"/>
        <v>0</v>
      </c>
      <c r="AH194" s="519">
        <f t="shared" ca="1" si="53"/>
        <v>0</v>
      </c>
      <c r="AI194" s="519">
        <f t="shared" ca="1" si="66"/>
        <v>0</v>
      </c>
      <c r="AJ194" s="519">
        <f t="shared" ca="1" si="54"/>
        <v>0</v>
      </c>
      <c r="AK194" s="519">
        <f t="shared" ca="1" si="55"/>
        <v>0</v>
      </c>
      <c r="AL194" s="519">
        <f t="shared" ca="1" si="56"/>
        <v>0</v>
      </c>
      <c r="AM194" s="519">
        <f t="shared" ca="1" si="57"/>
        <v>0</v>
      </c>
      <c r="AN194" s="519">
        <f t="shared" ca="1" si="58"/>
        <v>0</v>
      </c>
      <c r="AO194" s="519">
        <f t="shared" ca="1" si="59"/>
        <v>0</v>
      </c>
      <c r="AP194" s="519">
        <f t="shared" ca="1" si="60"/>
        <v>0</v>
      </c>
      <c r="AQ194" s="519">
        <f t="shared" ca="1" si="61"/>
        <v>0</v>
      </c>
      <c r="AS194" s="536"/>
      <c r="AT194" s="536"/>
      <c r="AU194" s="519" t="str">
        <f t="shared" si="67"/>
        <v>Contact</v>
      </c>
      <c r="AV194" s="519" t="str">
        <f t="shared" si="62"/>
        <v>THI2201</v>
      </c>
      <c r="AW194" s="519">
        <f t="shared" si="63"/>
        <v>9.0299999999999994</v>
      </c>
      <c r="AX194" s="538"/>
      <c r="AY194" s="539">
        <f t="shared" ca="1" si="68"/>
        <v>0.27392544713217415</v>
      </c>
      <c r="AZ194" s="189"/>
    </row>
    <row r="195" spans="1:52" x14ac:dyDescent="0.3">
      <c r="A195" s="556">
        <v>1</v>
      </c>
      <c r="B195" s="519" t="str">
        <f t="shared" si="64"/>
        <v>TIM</v>
      </c>
      <c r="C195" s="519" t="str">
        <f>AMDs!C176</f>
        <v>Alpine Energy</v>
      </c>
      <c r="D195" s="519" t="str">
        <f>AMDs!D176</f>
        <v>TIM0111</v>
      </c>
      <c r="E195" s="519">
        <f>IF(AMDs!C176="other",0,AMDs!E176)</f>
        <v>65.599800000000002</v>
      </c>
      <c r="H195" s="519">
        <f ca="1">_xlfn.IFNA(IF(VLOOKUP($B195&amp;OFFSET(H$10,$A195*2,0),'Mapping A'!$B$6:$E$1011,4,0)=1,$E195,""),0)</f>
        <v>0</v>
      </c>
      <c r="I195" s="519">
        <f ca="1">_xlfn.IFNA(IF(VLOOKUP($B195&amp;OFFSET(I$10,$A195*2,0),'Mapping A'!$B$6:$E$1011,4,0)=1,$E195,""),0)</f>
        <v>65.599800000000002</v>
      </c>
      <c r="J195" s="519">
        <f ca="1">_xlfn.IFNA(IF(VLOOKUP($B195&amp;OFFSET(J$10,$A195*2,0),'Mapping A'!$B$6:$E$1011,4,0)=1,$E195,""),0)</f>
        <v>0</v>
      </c>
      <c r="K195" s="519">
        <f ca="1">_xlfn.IFNA(IF(VLOOKUP($B195&amp;OFFSET(K$10,$A195*2,0),'Mapping A'!$B$6:$E$1011,4,0)=1,$E195,""),0)</f>
        <v>0</v>
      </c>
      <c r="L195" s="519">
        <f ca="1">_xlfn.IFNA(IF(VLOOKUP($B195&amp;OFFSET(L$10,$A195*2,0),'Mapping A'!$B$6:$E$1011,4,0)=1,$E195,""),0)</f>
        <v>0</v>
      </c>
      <c r="M195" s="519">
        <f ca="1">_xlfn.IFNA(IF(VLOOKUP($B195&amp;OFFSET(M$10,$A195*2,0),'Mapping A'!$B$6:$E$1011,4,0)=1,$E195,""),0)</f>
        <v>0</v>
      </c>
      <c r="N195" s="519">
        <f ca="1">_xlfn.IFNA(IF(VLOOKUP($B195&amp;OFFSET(N$10,$A195*2,0),'Mapping A'!$B$6:$E$1011,4,0)=1,$E195,""),0)</f>
        <v>0</v>
      </c>
      <c r="O195" s="519">
        <f ca="1">_xlfn.IFNA(IF(VLOOKUP($B195&amp;OFFSET(O$10,$A195*2,0),'Mapping A'!$B$6:$E$1011,4,0)=1,$E195,""),0)</f>
        <v>0</v>
      </c>
      <c r="P195" s="519">
        <f ca="1">_xlfn.IFNA(IF(VLOOKUP($B195&amp;OFFSET(P$10,$A195*2,0),'Mapping A'!$B$6:$E$1011,4,0)=1,$E195,""),0)</f>
        <v>0</v>
      </c>
      <c r="Q195" s="519">
        <f ca="1">_xlfn.IFNA(IF(VLOOKUP($B195&amp;OFFSET(Q$10,$A195*2,0),'Mapping A'!$B$6:$E$1011,4,0)=1,$E195,""),0)</f>
        <v>0</v>
      </c>
      <c r="R195" s="519">
        <f ca="1">_xlfn.IFNA(IF(VLOOKUP($B195&amp;OFFSET(R$10,$A195*2,0),'Mapping A'!$B$6:$E$1011,4,0)=1,$E195,""),0)</f>
        <v>0</v>
      </c>
      <c r="S195" s="519">
        <f ca="1">_xlfn.IFNA(IF(VLOOKUP($B195&amp;OFFSET(S$10,$A195*2,0),'Mapping A'!$B$6:$E$1011,4,0)=1,$E195,""),0)</f>
        <v>0</v>
      </c>
      <c r="T195" s="519">
        <f ca="1">_xlfn.IFNA(IF(VLOOKUP($B195&amp;OFFSET(T$10,$A195*2,0),'Mapping A'!$B$6:$E$1011,4,0)=1,$E195,""),0)</f>
        <v>0</v>
      </c>
      <c r="Y195" s="534" t="str">
        <f t="shared" si="69"/>
        <v>Alpine EnergyTIM0111</v>
      </c>
      <c r="Z195" s="519" t="str">
        <f t="shared" si="48"/>
        <v>Alpine Energy</v>
      </c>
      <c r="AA195" s="519" t="str">
        <f t="shared" si="49"/>
        <v>TIM0111</v>
      </c>
      <c r="AB195" s="519">
        <f t="shared" si="65"/>
        <v>65.599800000000002</v>
      </c>
      <c r="AC195" s="324"/>
      <c r="AE195" s="519">
        <f t="shared" ca="1" si="50"/>
        <v>0</v>
      </c>
      <c r="AF195" s="519">
        <f t="shared" ca="1" si="51"/>
        <v>0</v>
      </c>
      <c r="AG195" s="519">
        <f t="shared" ca="1" si="52"/>
        <v>0</v>
      </c>
      <c r="AH195" s="519">
        <f t="shared" ca="1" si="53"/>
        <v>0</v>
      </c>
      <c r="AI195" s="519">
        <f t="shared" ca="1" si="66"/>
        <v>0</v>
      </c>
      <c r="AJ195" s="519">
        <f t="shared" ca="1" si="54"/>
        <v>0</v>
      </c>
      <c r="AK195" s="519">
        <f t="shared" ca="1" si="55"/>
        <v>0</v>
      </c>
      <c r="AL195" s="519">
        <f t="shared" ca="1" si="56"/>
        <v>0</v>
      </c>
      <c r="AM195" s="519">
        <f t="shared" ca="1" si="57"/>
        <v>0</v>
      </c>
      <c r="AN195" s="519">
        <f t="shared" ca="1" si="58"/>
        <v>0</v>
      </c>
      <c r="AO195" s="519">
        <f t="shared" ca="1" si="59"/>
        <v>0</v>
      </c>
      <c r="AP195" s="519">
        <f t="shared" ca="1" si="60"/>
        <v>0</v>
      </c>
      <c r="AQ195" s="519">
        <f t="shared" ca="1" si="61"/>
        <v>0</v>
      </c>
      <c r="AS195" s="536"/>
      <c r="AT195" s="536"/>
      <c r="AU195" s="519" t="str">
        <f t="shared" si="67"/>
        <v>Alpine Energy</v>
      </c>
      <c r="AV195" s="519" t="str">
        <f t="shared" si="62"/>
        <v>TIM0111</v>
      </c>
      <c r="AW195" s="519">
        <f t="shared" si="63"/>
        <v>65.599800000000002</v>
      </c>
      <c r="AX195" s="538"/>
      <c r="AY195" s="539">
        <f t="shared" ca="1" si="68"/>
        <v>1.9899728180267113</v>
      </c>
      <c r="AZ195" s="189"/>
    </row>
    <row r="196" spans="1:52" x14ac:dyDescent="0.3">
      <c r="A196" s="556">
        <v>1</v>
      </c>
      <c r="B196" s="519" t="str">
        <f t="shared" si="64"/>
        <v>TKA</v>
      </c>
      <c r="C196" s="519" t="str">
        <f>AMDs!C177</f>
        <v>Genesis</v>
      </c>
      <c r="D196" s="519" t="str">
        <f>AMDs!D177</f>
        <v>TKA0111</v>
      </c>
      <c r="E196" s="519">
        <f>IF(AMDs!C177="other",0,AMDs!E177)</f>
        <v>0.17849999999999999</v>
      </c>
      <c r="H196" s="519">
        <f ca="1">_xlfn.IFNA(IF(VLOOKUP($B196&amp;OFFSET(H$10,$A196*2,0),'Mapping A'!$B$6:$E$1011,4,0)=1,$E196,""),0)</f>
        <v>0</v>
      </c>
      <c r="I196" s="519">
        <f ca="1">_xlfn.IFNA(IF(VLOOKUP($B196&amp;OFFSET(I$10,$A196*2,0),'Mapping A'!$B$6:$E$1011,4,0)=1,$E196,""),0)</f>
        <v>0.17849999999999999</v>
      </c>
      <c r="J196" s="519">
        <f ca="1">_xlfn.IFNA(IF(VLOOKUP($B196&amp;OFFSET(J$10,$A196*2,0),'Mapping A'!$B$6:$E$1011,4,0)=1,$E196,""),0)</f>
        <v>0</v>
      </c>
      <c r="K196" s="519">
        <f ca="1">_xlfn.IFNA(IF(VLOOKUP($B196&amp;OFFSET(K$10,$A196*2,0),'Mapping A'!$B$6:$E$1011,4,0)=1,$E196,""),0)</f>
        <v>0</v>
      </c>
      <c r="L196" s="519">
        <f ca="1">_xlfn.IFNA(IF(VLOOKUP($B196&amp;OFFSET(L$10,$A196*2,0),'Mapping A'!$B$6:$E$1011,4,0)=1,$E196,""),0)</f>
        <v>0</v>
      </c>
      <c r="M196" s="519">
        <f ca="1">_xlfn.IFNA(IF(VLOOKUP($B196&amp;OFFSET(M$10,$A196*2,0),'Mapping A'!$B$6:$E$1011,4,0)=1,$E196,""),0)</f>
        <v>0</v>
      </c>
      <c r="N196" s="519">
        <f ca="1">_xlfn.IFNA(IF(VLOOKUP($B196&amp;OFFSET(N$10,$A196*2,0),'Mapping A'!$B$6:$E$1011,4,0)=1,$E196,""),0)</f>
        <v>0</v>
      </c>
      <c r="O196" s="519">
        <f ca="1">_xlfn.IFNA(IF(VLOOKUP($B196&amp;OFFSET(O$10,$A196*2,0),'Mapping A'!$B$6:$E$1011,4,0)=1,$E196,""),0)</f>
        <v>0</v>
      </c>
      <c r="P196" s="519">
        <f ca="1">_xlfn.IFNA(IF(VLOOKUP($B196&amp;OFFSET(P$10,$A196*2,0),'Mapping A'!$B$6:$E$1011,4,0)=1,$E196,""),0)</f>
        <v>0</v>
      </c>
      <c r="Q196" s="519">
        <f ca="1">_xlfn.IFNA(IF(VLOOKUP($B196&amp;OFFSET(Q$10,$A196*2,0),'Mapping A'!$B$6:$E$1011,4,0)=1,$E196,""),0)</f>
        <v>0</v>
      </c>
      <c r="R196" s="519">
        <f ca="1">_xlfn.IFNA(IF(VLOOKUP($B196&amp;OFFSET(R$10,$A196*2,0),'Mapping A'!$B$6:$E$1011,4,0)=1,$E196,""),0)</f>
        <v>0</v>
      </c>
      <c r="S196" s="519">
        <f ca="1">_xlfn.IFNA(IF(VLOOKUP($B196&amp;OFFSET(S$10,$A196*2,0),'Mapping A'!$B$6:$E$1011,4,0)=1,$E196,""),0)</f>
        <v>0</v>
      </c>
      <c r="T196" s="519">
        <f ca="1">_xlfn.IFNA(IF(VLOOKUP($B196&amp;OFFSET(T$10,$A196*2,0),'Mapping A'!$B$6:$E$1011,4,0)=1,$E196,""),0)</f>
        <v>0</v>
      </c>
      <c r="Y196" s="534" t="str">
        <f t="shared" si="69"/>
        <v>GenesisTKA0111</v>
      </c>
      <c r="Z196" s="519" t="str">
        <f t="shared" si="48"/>
        <v>Genesis</v>
      </c>
      <c r="AA196" s="519" t="str">
        <f t="shared" si="49"/>
        <v>TKA0111</v>
      </c>
      <c r="AB196" s="519">
        <f t="shared" si="65"/>
        <v>0.17849999999999999</v>
      </c>
      <c r="AC196" s="324"/>
      <c r="AE196" s="519">
        <f t="shared" ca="1" si="50"/>
        <v>0</v>
      </c>
      <c r="AF196" s="519">
        <f t="shared" ca="1" si="51"/>
        <v>0</v>
      </c>
      <c r="AG196" s="519">
        <f t="shared" ca="1" si="52"/>
        <v>0</v>
      </c>
      <c r="AH196" s="519">
        <f t="shared" ca="1" si="53"/>
        <v>0</v>
      </c>
      <c r="AI196" s="519">
        <f t="shared" ca="1" si="66"/>
        <v>0</v>
      </c>
      <c r="AJ196" s="519">
        <f t="shared" ca="1" si="54"/>
        <v>0</v>
      </c>
      <c r="AK196" s="519">
        <f t="shared" ca="1" si="55"/>
        <v>0</v>
      </c>
      <c r="AL196" s="519">
        <f t="shared" ca="1" si="56"/>
        <v>0</v>
      </c>
      <c r="AM196" s="519">
        <f t="shared" ca="1" si="57"/>
        <v>0</v>
      </c>
      <c r="AN196" s="519">
        <f t="shared" ca="1" si="58"/>
        <v>0</v>
      </c>
      <c r="AO196" s="519">
        <f t="shared" ca="1" si="59"/>
        <v>0</v>
      </c>
      <c r="AP196" s="519">
        <f t="shared" ca="1" si="60"/>
        <v>0</v>
      </c>
      <c r="AQ196" s="519">
        <f t="shared" ca="1" si="61"/>
        <v>0</v>
      </c>
      <c r="AS196" s="536"/>
      <c r="AT196" s="536"/>
      <c r="AU196" s="519" t="str">
        <f t="shared" si="67"/>
        <v>Genesis</v>
      </c>
      <c r="AV196" s="519" t="str">
        <f t="shared" si="62"/>
        <v>TKA0111</v>
      </c>
      <c r="AW196" s="519">
        <f t="shared" si="63"/>
        <v>0.17849999999999999</v>
      </c>
      <c r="AX196" s="538"/>
      <c r="AY196" s="539">
        <f t="shared" ca="1" si="68"/>
        <v>5.4148053502871638E-3</v>
      </c>
      <c r="AZ196" s="189"/>
    </row>
    <row r="197" spans="1:52" x14ac:dyDescent="0.3">
      <c r="A197" s="556">
        <v>1</v>
      </c>
      <c r="B197" s="519" t="str">
        <f t="shared" si="64"/>
        <v>TKA</v>
      </c>
      <c r="C197" s="519" t="str">
        <f>AMDs!C178</f>
        <v>Alpine Energy</v>
      </c>
      <c r="D197" s="519" t="str">
        <f>AMDs!D178</f>
        <v>TKA0331</v>
      </c>
      <c r="E197" s="519">
        <f>IF(AMDs!C178="other",0,AMDs!E178)</f>
        <v>3.9375</v>
      </c>
      <c r="H197" s="519">
        <f ca="1">_xlfn.IFNA(IF(VLOOKUP($B197&amp;OFFSET(H$10,$A197*2,0),'Mapping A'!$B$6:$E$1011,4,0)=1,$E197,""),0)</f>
        <v>0</v>
      </c>
      <c r="I197" s="519">
        <f ca="1">_xlfn.IFNA(IF(VLOOKUP($B197&amp;OFFSET(I$10,$A197*2,0),'Mapping A'!$B$6:$E$1011,4,0)=1,$E197,""),0)</f>
        <v>3.9375</v>
      </c>
      <c r="J197" s="519">
        <f ca="1">_xlfn.IFNA(IF(VLOOKUP($B197&amp;OFFSET(J$10,$A197*2,0),'Mapping A'!$B$6:$E$1011,4,0)=1,$E197,""),0)</f>
        <v>0</v>
      </c>
      <c r="K197" s="519">
        <f ca="1">_xlfn.IFNA(IF(VLOOKUP($B197&amp;OFFSET(K$10,$A197*2,0),'Mapping A'!$B$6:$E$1011,4,0)=1,$E197,""),0)</f>
        <v>0</v>
      </c>
      <c r="L197" s="519">
        <f ca="1">_xlfn.IFNA(IF(VLOOKUP($B197&amp;OFFSET(L$10,$A197*2,0),'Mapping A'!$B$6:$E$1011,4,0)=1,$E197,""),0)</f>
        <v>0</v>
      </c>
      <c r="M197" s="519">
        <f ca="1">_xlfn.IFNA(IF(VLOOKUP($B197&amp;OFFSET(M$10,$A197*2,0),'Mapping A'!$B$6:$E$1011,4,0)=1,$E197,""),0)</f>
        <v>0</v>
      </c>
      <c r="N197" s="519">
        <f ca="1">_xlfn.IFNA(IF(VLOOKUP($B197&amp;OFFSET(N$10,$A197*2,0),'Mapping A'!$B$6:$E$1011,4,0)=1,$E197,""),0)</f>
        <v>0</v>
      </c>
      <c r="O197" s="519">
        <f ca="1">_xlfn.IFNA(IF(VLOOKUP($B197&amp;OFFSET(O$10,$A197*2,0),'Mapping A'!$B$6:$E$1011,4,0)=1,$E197,""),0)</f>
        <v>0</v>
      </c>
      <c r="P197" s="519">
        <f ca="1">_xlfn.IFNA(IF(VLOOKUP($B197&amp;OFFSET(P$10,$A197*2,0),'Mapping A'!$B$6:$E$1011,4,0)=1,$E197,""),0)</f>
        <v>0</v>
      </c>
      <c r="Q197" s="519">
        <f ca="1">_xlfn.IFNA(IF(VLOOKUP($B197&amp;OFFSET(Q$10,$A197*2,0),'Mapping A'!$B$6:$E$1011,4,0)=1,$E197,""),0)</f>
        <v>0</v>
      </c>
      <c r="R197" s="519">
        <f ca="1">_xlfn.IFNA(IF(VLOOKUP($B197&amp;OFFSET(R$10,$A197*2,0),'Mapping A'!$B$6:$E$1011,4,0)=1,$E197,""),0)</f>
        <v>0</v>
      </c>
      <c r="S197" s="519">
        <f ca="1">_xlfn.IFNA(IF(VLOOKUP($B197&amp;OFFSET(S$10,$A197*2,0),'Mapping A'!$B$6:$E$1011,4,0)=1,$E197,""),0)</f>
        <v>0</v>
      </c>
      <c r="T197" s="519">
        <f ca="1">_xlfn.IFNA(IF(VLOOKUP($B197&amp;OFFSET(T$10,$A197*2,0),'Mapping A'!$B$6:$E$1011,4,0)=1,$E197,""),0)</f>
        <v>0</v>
      </c>
      <c r="Y197" s="534" t="str">
        <f t="shared" si="69"/>
        <v>Alpine EnergyTKA0331</v>
      </c>
      <c r="Z197" s="519" t="str">
        <f t="shared" si="48"/>
        <v>Alpine Energy</v>
      </c>
      <c r="AA197" s="519" t="str">
        <f t="shared" si="49"/>
        <v>TKA0331</v>
      </c>
      <c r="AB197" s="519">
        <f t="shared" si="65"/>
        <v>3.9375</v>
      </c>
      <c r="AC197" s="324"/>
      <c r="AE197" s="519">
        <f t="shared" ca="1" si="50"/>
        <v>0</v>
      </c>
      <c r="AF197" s="519">
        <f t="shared" ca="1" si="51"/>
        <v>0</v>
      </c>
      <c r="AG197" s="519">
        <f t="shared" ca="1" si="52"/>
        <v>0</v>
      </c>
      <c r="AH197" s="519">
        <f t="shared" ca="1" si="53"/>
        <v>0</v>
      </c>
      <c r="AI197" s="519">
        <f t="shared" ca="1" si="66"/>
        <v>0</v>
      </c>
      <c r="AJ197" s="519">
        <f t="shared" ca="1" si="54"/>
        <v>0</v>
      </c>
      <c r="AK197" s="519">
        <f t="shared" ca="1" si="55"/>
        <v>0</v>
      </c>
      <c r="AL197" s="519">
        <f t="shared" ca="1" si="56"/>
        <v>0</v>
      </c>
      <c r="AM197" s="519">
        <f t="shared" ca="1" si="57"/>
        <v>0</v>
      </c>
      <c r="AN197" s="519">
        <f t="shared" ca="1" si="58"/>
        <v>0</v>
      </c>
      <c r="AO197" s="519">
        <f t="shared" ca="1" si="59"/>
        <v>0</v>
      </c>
      <c r="AP197" s="519">
        <f t="shared" ca="1" si="60"/>
        <v>0</v>
      </c>
      <c r="AQ197" s="519">
        <f t="shared" ca="1" si="61"/>
        <v>0</v>
      </c>
      <c r="AS197" s="536"/>
      <c r="AT197" s="536"/>
      <c r="AU197" s="519" t="str">
        <f t="shared" si="67"/>
        <v>Alpine Energy</v>
      </c>
      <c r="AV197" s="519" t="str">
        <f t="shared" si="62"/>
        <v>TKA0331</v>
      </c>
      <c r="AW197" s="519">
        <f t="shared" si="63"/>
        <v>3.9375</v>
      </c>
      <c r="AX197" s="538"/>
      <c r="AY197" s="539">
        <f t="shared" ca="1" si="68"/>
        <v>0.11944423566809922</v>
      </c>
      <c r="AZ197" s="189"/>
    </row>
    <row r="198" spans="1:52" x14ac:dyDescent="0.3">
      <c r="A198" s="556">
        <v>1</v>
      </c>
      <c r="B198" s="519" t="str">
        <f t="shared" si="64"/>
        <v>TKB</v>
      </c>
      <c r="C198" s="519" t="str">
        <f>AMDs!C179</f>
        <v>Genesis</v>
      </c>
      <c r="D198" s="519" t="str">
        <f>AMDs!D179</f>
        <v>TKB2201</v>
      </c>
      <c r="E198" s="519">
        <f>IF(AMDs!C179="other",0,AMDs!E179)</f>
        <v>1.0500000000000001E-2</v>
      </c>
      <c r="H198" s="519">
        <f ca="1">_xlfn.IFNA(IF(VLOOKUP($B198&amp;OFFSET(H$10,$A198*2,0),'Mapping A'!$B$6:$E$1011,4,0)=1,$E198,""),0)</f>
        <v>0</v>
      </c>
      <c r="I198" s="519">
        <f ca="1">_xlfn.IFNA(IF(VLOOKUP($B198&amp;OFFSET(I$10,$A198*2,0),'Mapping A'!$B$6:$E$1011,4,0)=1,$E198,""),0)</f>
        <v>0</v>
      </c>
      <c r="J198" s="519">
        <f ca="1">_xlfn.IFNA(IF(VLOOKUP($B198&amp;OFFSET(J$10,$A198*2,0),'Mapping A'!$B$6:$E$1011,4,0)=1,$E198,""),0)</f>
        <v>0</v>
      </c>
      <c r="K198" s="519">
        <f ca="1">_xlfn.IFNA(IF(VLOOKUP($B198&amp;OFFSET(K$10,$A198*2,0),'Mapping A'!$B$6:$E$1011,4,0)=1,$E198,""),0)</f>
        <v>0</v>
      </c>
      <c r="L198" s="519">
        <f ca="1">_xlfn.IFNA(IF(VLOOKUP($B198&amp;OFFSET(L$10,$A198*2,0),'Mapping A'!$B$6:$E$1011,4,0)=1,$E198,""),0)</f>
        <v>0</v>
      </c>
      <c r="M198" s="519">
        <f ca="1">_xlfn.IFNA(IF(VLOOKUP($B198&amp;OFFSET(M$10,$A198*2,0),'Mapping A'!$B$6:$E$1011,4,0)=1,$E198,""),0)</f>
        <v>0</v>
      </c>
      <c r="N198" s="519">
        <f ca="1">_xlfn.IFNA(IF(VLOOKUP($B198&amp;OFFSET(N$10,$A198*2,0),'Mapping A'!$B$6:$E$1011,4,0)=1,$E198,""),0)</f>
        <v>0</v>
      </c>
      <c r="O198" s="519">
        <f ca="1">_xlfn.IFNA(IF(VLOOKUP($B198&amp;OFFSET(O$10,$A198*2,0),'Mapping A'!$B$6:$E$1011,4,0)=1,$E198,""),0)</f>
        <v>0</v>
      </c>
      <c r="P198" s="519">
        <f ca="1">_xlfn.IFNA(IF(VLOOKUP($B198&amp;OFFSET(P$10,$A198*2,0),'Mapping A'!$B$6:$E$1011,4,0)=1,$E198,""),0)</f>
        <v>0</v>
      </c>
      <c r="Q198" s="519">
        <f ca="1">_xlfn.IFNA(IF(VLOOKUP($B198&amp;OFFSET(Q$10,$A198*2,0),'Mapping A'!$B$6:$E$1011,4,0)=1,$E198,""),0)</f>
        <v>0</v>
      </c>
      <c r="R198" s="519">
        <f ca="1">_xlfn.IFNA(IF(VLOOKUP($B198&amp;OFFSET(R$10,$A198*2,0),'Mapping A'!$B$6:$E$1011,4,0)=1,$E198,""),0)</f>
        <v>0</v>
      </c>
      <c r="S198" s="519">
        <f ca="1">_xlfn.IFNA(IF(VLOOKUP($B198&amp;OFFSET(S$10,$A198*2,0),'Mapping A'!$B$6:$E$1011,4,0)=1,$E198,""),0)</f>
        <v>0</v>
      </c>
      <c r="T198" s="519">
        <f ca="1">_xlfn.IFNA(IF(VLOOKUP($B198&amp;OFFSET(T$10,$A198*2,0),'Mapping A'!$B$6:$E$1011,4,0)=1,$E198,""),0)</f>
        <v>0</v>
      </c>
      <c r="Y198" s="534" t="str">
        <f t="shared" si="69"/>
        <v>GenesisTKB2201</v>
      </c>
      <c r="Z198" s="519" t="str">
        <f t="shared" si="48"/>
        <v>Genesis</v>
      </c>
      <c r="AA198" s="519" t="str">
        <f t="shared" si="49"/>
        <v>TKB2201</v>
      </c>
      <c r="AB198" s="519">
        <f t="shared" si="65"/>
        <v>1.0500000000000001E-2</v>
      </c>
      <c r="AC198" s="324"/>
      <c r="AE198" s="519">
        <f t="shared" ca="1" si="50"/>
        <v>0</v>
      </c>
      <c r="AF198" s="519">
        <f t="shared" ca="1" si="51"/>
        <v>0</v>
      </c>
      <c r="AG198" s="519">
        <f t="shared" ca="1" si="52"/>
        <v>0</v>
      </c>
      <c r="AH198" s="519">
        <f t="shared" ca="1" si="53"/>
        <v>0</v>
      </c>
      <c r="AI198" s="519">
        <f t="shared" ca="1" si="66"/>
        <v>0</v>
      </c>
      <c r="AJ198" s="519">
        <f t="shared" ca="1" si="54"/>
        <v>0</v>
      </c>
      <c r="AK198" s="519">
        <f t="shared" ca="1" si="55"/>
        <v>0</v>
      </c>
      <c r="AL198" s="519">
        <f t="shared" ca="1" si="56"/>
        <v>0</v>
      </c>
      <c r="AM198" s="519">
        <f t="shared" ca="1" si="57"/>
        <v>0</v>
      </c>
      <c r="AN198" s="519">
        <f t="shared" ca="1" si="58"/>
        <v>0</v>
      </c>
      <c r="AO198" s="519">
        <f t="shared" ca="1" si="59"/>
        <v>0</v>
      </c>
      <c r="AP198" s="519">
        <f t="shared" ca="1" si="60"/>
        <v>0</v>
      </c>
      <c r="AQ198" s="519">
        <f t="shared" ca="1" si="61"/>
        <v>0</v>
      </c>
      <c r="AS198" s="536"/>
      <c r="AT198" s="536"/>
      <c r="AU198" s="519" t="str">
        <f t="shared" si="67"/>
        <v>Genesis</v>
      </c>
      <c r="AV198" s="519" t="str">
        <f t="shared" si="62"/>
        <v>TKB2201</v>
      </c>
      <c r="AW198" s="519">
        <f t="shared" si="63"/>
        <v>1.0500000000000001E-2</v>
      </c>
      <c r="AX198" s="538"/>
      <c r="AY198" s="539">
        <f t="shared" ca="1" si="68"/>
        <v>3.1851796178159793E-4</v>
      </c>
      <c r="AZ198" s="189"/>
    </row>
    <row r="199" spans="1:52" x14ac:dyDescent="0.3">
      <c r="A199" s="556">
        <v>1</v>
      </c>
      <c r="B199" s="519" t="str">
        <f t="shared" si="64"/>
        <v>TKH</v>
      </c>
      <c r="C199" s="519" t="str">
        <f>AMDs!C180</f>
        <v>Horizon</v>
      </c>
      <c r="D199" s="519" t="str">
        <f>AMDs!D180</f>
        <v>TKH0111</v>
      </c>
      <c r="E199" s="519">
        <f>IF(AMDs!C180="other",0,AMDs!E180)</f>
        <v>1.722</v>
      </c>
      <c r="H199" s="519">
        <f ca="1">_xlfn.IFNA(IF(VLOOKUP($B199&amp;OFFSET(H$10,$A199*2,0),'Mapping A'!$B$6:$E$1011,4,0)=1,$E199,""),0)</f>
        <v>0</v>
      </c>
      <c r="I199" s="519">
        <f ca="1">_xlfn.IFNA(IF(VLOOKUP($B199&amp;OFFSET(I$10,$A199*2,0),'Mapping A'!$B$6:$E$1011,4,0)=1,$E199,""),0)</f>
        <v>1.722</v>
      </c>
      <c r="J199" s="519">
        <f ca="1">_xlfn.IFNA(IF(VLOOKUP($B199&amp;OFFSET(J$10,$A199*2,0),'Mapping A'!$B$6:$E$1011,4,0)=1,$E199,""),0)</f>
        <v>1.722</v>
      </c>
      <c r="K199" s="519">
        <f ca="1">_xlfn.IFNA(IF(VLOOKUP($B199&amp;OFFSET(K$10,$A199*2,0),'Mapping A'!$B$6:$E$1011,4,0)=1,$E199,""),0)</f>
        <v>0</v>
      </c>
      <c r="L199" s="519">
        <f ca="1">_xlfn.IFNA(IF(VLOOKUP($B199&amp;OFFSET(L$10,$A199*2,0),'Mapping A'!$B$6:$E$1011,4,0)=1,$E199,""),0)</f>
        <v>0</v>
      </c>
      <c r="M199" s="519">
        <f ca="1">_xlfn.IFNA(IF(VLOOKUP($B199&amp;OFFSET(M$10,$A199*2,0),'Mapping A'!$B$6:$E$1011,4,0)=1,$E199,""),0)</f>
        <v>1.722</v>
      </c>
      <c r="N199" s="519">
        <f ca="1">_xlfn.IFNA(IF(VLOOKUP($B199&amp;OFFSET(N$10,$A199*2,0),'Mapping A'!$B$6:$E$1011,4,0)=1,$E199,""),0)</f>
        <v>0</v>
      </c>
      <c r="O199" s="519">
        <f ca="1">_xlfn.IFNA(IF(VLOOKUP($B199&amp;OFFSET(O$10,$A199*2,0),'Mapping A'!$B$6:$E$1011,4,0)=1,$E199,""),0)</f>
        <v>0</v>
      </c>
      <c r="P199" s="519">
        <f ca="1">_xlfn.IFNA(IF(VLOOKUP($B199&amp;OFFSET(P$10,$A199*2,0),'Mapping A'!$B$6:$E$1011,4,0)=1,$E199,""),0)</f>
        <v>0</v>
      </c>
      <c r="Q199" s="519">
        <f ca="1">_xlfn.IFNA(IF(VLOOKUP($B199&amp;OFFSET(Q$10,$A199*2,0),'Mapping A'!$B$6:$E$1011,4,0)=1,$E199,""),0)</f>
        <v>0</v>
      </c>
      <c r="R199" s="519">
        <f ca="1">_xlfn.IFNA(IF(VLOOKUP($B199&amp;OFFSET(R$10,$A199*2,0),'Mapping A'!$B$6:$E$1011,4,0)=1,$E199,""),0)</f>
        <v>0</v>
      </c>
      <c r="S199" s="519">
        <f ca="1">_xlfn.IFNA(IF(VLOOKUP($B199&amp;OFFSET(S$10,$A199*2,0),'Mapping A'!$B$6:$E$1011,4,0)=1,$E199,""),0)</f>
        <v>0</v>
      </c>
      <c r="T199" s="519">
        <f ca="1">_xlfn.IFNA(IF(VLOOKUP($B199&amp;OFFSET(T$10,$A199*2,0),'Mapping A'!$B$6:$E$1011,4,0)=1,$E199,""),0)</f>
        <v>0</v>
      </c>
      <c r="Y199" s="534" t="str">
        <f t="shared" si="69"/>
        <v>HorizonTKH0111</v>
      </c>
      <c r="Z199" s="519" t="str">
        <f t="shared" si="48"/>
        <v>Horizon</v>
      </c>
      <c r="AA199" s="519" t="str">
        <f t="shared" si="49"/>
        <v>TKH0111</v>
      </c>
      <c r="AB199" s="519">
        <f t="shared" si="65"/>
        <v>1.722</v>
      </c>
      <c r="AC199" s="324"/>
      <c r="AE199" s="519">
        <f t="shared" ca="1" si="50"/>
        <v>0</v>
      </c>
      <c r="AF199" s="519">
        <f t="shared" ca="1" si="51"/>
        <v>0</v>
      </c>
      <c r="AG199" s="519">
        <f t="shared" ca="1" si="52"/>
        <v>0</v>
      </c>
      <c r="AH199" s="519">
        <f t="shared" ca="1" si="53"/>
        <v>0</v>
      </c>
      <c r="AI199" s="519">
        <f t="shared" ca="1" si="66"/>
        <v>0</v>
      </c>
      <c r="AJ199" s="519">
        <f t="shared" ca="1" si="54"/>
        <v>0</v>
      </c>
      <c r="AK199" s="519">
        <f t="shared" ca="1" si="55"/>
        <v>0</v>
      </c>
      <c r="AL199" s="519">
        <f t="shared" ca="1" si="56"/>
        <v>0</v>
      </c>
      <c r="AM199" s="519">
        <f t="shared" ca="1" si="57"/>
        <v>0</v>
      </c>
      <c r="AN199" s="519">
        <f t="shared" ca="1" si="58"/>
        <v>0</v>
      </c>
      <c r="AO199" s="519">
        <f t="shared" ca="1" si="59"/>
        <v>0</v>
      </c>
      <c r="AP199" s="519">
        <f t="shared" ca="1" si="60"/>
        <v>0</v>
      </c>
      <c r="AQ199" s="519">
        <f t="shared" ca="1" si="61"/>
        <v>0</v>
      </c>
      <c r="AS199" s="536"/>
      <c r="AT199" s="536"/>
      <c r="AU199" s="519" t="str">
        <f t="shared" si="67"/>
        <v>Horizon</v>
      </c>
      <c r="AV199" s="519" t="str">
        <f t="shared" si="62"/>
        <v>TKH0111</v>
      </c>
      <c r="AW199" s="519">
        <f t="shared" si="63"/>
        <v>1.722</v>
      </c>
      <c r="AX199" s="538"/>
      <c r="AY199" s="539">
        <f t="shared" ca="1" si="68"/>
        <v>5.2236945732182058E-2</v>
      </c>
      <c r="AZ199" s="189"/>
    </row>
    <row r="200" spans="1:52" x14ac:dyDescent="0.3">
      <c r="A200" s="556">
        <v>1</v>
      </c>
      <c r="B200" s="519" t="str">
        <f t="shared" si="64"/>
        <v>TKR</v>
      </c>
      <c r="C200" s="519" t="str">
        <f>AMDs!C181</f>
        <v>Wellington Electricity</v>
      </c>
      <c r="D200" s="519" t="str">
        <f>AMDs!D181</f>
        <v>TKR0331</v>
      </c>
      <c r="E200" s="519">
        <f>IF(AMDs!C181="other",0,AMDs!E181)</f>
        <v>95.283299999999997</v>
      </c>
      <c r="H200" s="519">
        <f ca="1">_xlfn.IFNA(IF(VLOOKUP($B200&amp;OFFSET(H$10,$A200*2,0),'Mapping A'!$B$6:$E$1011,4,0)=1,$E200,""),0)</f>
        <v>0</v>
      </c>
      <c r="I200" s="519">
        <f ca="1">_xlfn.IFNA(IF(VLOOKUP($B200&amp;OFFSET(I$10,$A200*2,0),'Mapping A'!$B$6:$E$1011,4,0)=1,$E200,""),0)</f>
        <v>95.283299999999997</v>
      </c>
      <c r="J200" s="519">
        <f ca="1">_xlfn.IFNA(IF(VLOOKUP($B200&amp;OFFSET(J$10,$A200*2,0),'Mapping A'!$B$6:$E$1011,4,0)=1,$E200,""),0)</f>
        <v>95.283299999999997</v>
      </c>
      <c r="K200" s="519">
        <f ca="1">_xlfn.IFNA(IF(VLOOKUP($B200&amp;OFFSET(K$10,$A200*2,0),'Mapping A'!$B$6:$E$1011,4,0)=1,$E200,""),0)</f>
        <v>0</v>
      </c>
      <c r="L200" s="519">
        <f ca="1">_xlfn.IFNA(IF(VLOOKUP($B200&amp;OFFSET(L$10,$A200*2,0),'Mapping A'!$B$6:$E$1011,4,0)=1,$E200,""),0)</f>
        <v>0</v>
      </c>
      <c r="M200" s="519">
        <f ca="1">_xlfn.IFNA(IF(VLOOKUP($B200&amp;OFFSET(M$10,$A200*2,0),'Mapping A'!$B$6:$E$1011,4,0)=1,$E200,""),0)</f>
        <v>0</v>
      </c>
      <c r="N200" s="519">
        <f ca="1">_xlfn.IFNA(IF(VLOOKUP($B200&amp;OFFSET(N$10,$A200*2,0),'Mapping A'!$B$6:$E$1011,4,0)=1,$E200,""),0)</f>
        <v>0</v>
      </c>
      <c r="O200" s="519">
        <f ca="1">_xlfn.IFNA(IF(VLOOKUP($B200&amp;OFFSET(O$10,$A200*2,0),'Mapping A'!$B$6:$E$1011,4,0)=1,$E200,""),0)</f>
        <v>0</v>
      </c>
      <c r="P200" s="519">
        <f ca="1">_xlfn.IFNA(IF(VLOOKUP($B200&amp;OFFSET(P$10,$A200*2,0),'Mapping A'!$B$6:$E$1011,4,0)=1,$E200,""),0)</f>
        <v>0</v>
      </c>
      <c r="Q200" s="519">
        <f ca="1">_xlfn.IFNA(IF(VLOOKUP($B200&amp;OFFSET(Q$10,$A200*2,0),'Mapping A'!$B$6:$E$1011,4,0)=1,$E200,""),0)</f>
        <v>0</v>
      </c>
      <c r="R200" s="519">
        <f ca="1">_xlfn.IFNA(IF(VLOOKUP($B200&amp;OFFSET(R$10,$A200*2,0),'Mapping A'!$B$6:$E$1011,4,0)=1,$E200,""),0)</f>
        <v>0</v>
      </c>
      <c r="S200" s="519">
        <f ca="1">_xlfn.IFNA(IF(VLOOKUP($B200&amp;OFFSET(S$10,$A200*2,0),'Mapping A'!$B$6:$E$1011,4,0)=1,$E200,""),0)</f>
        <v>0</v>
      </c>
      <c r="T200" s="519">
        <f ca="1">_xlfn.IFNA(IF(VLOOKUP($B200&amp;OFFSET(T$10,$A200*2,0),'Mapping A'!$B$6:$E$1011,4,0)=1,$E200,""),0)</f>
        <v>0</v>
      </c>
      <c r="Y200" s="534" t="str">
        <f t="shared" si="69"/>
        <v>Wellington ElectricityTKR0331</v>
      </c>
      <c r="Z200" s="519" t="str">
        <f t="shared" si="48"/>
        <v>Wellington Electricity</v>
      </c>
      <c r="AA200" s="519" t="str">
        <f t="shared" si="49"/>
        <v>TKR0331</v>
      </c>
      <c r="AB200" s="519">
        <f t="shared" si="65"/>
        <v>95.283299999999997</v>
      </c>
      <c r="AC200" s="324"/>
      <c r="AE200" s="519">
        <f t="shared" ca="1" si="50"/>
        <v>0</v>
      </c>
      <c r="AF200" s="519">
        <f t="shared" ca="1" si="51"/>
        <v>0</v>
      </c>
      <c r="AG200" s="519">
        <f t="shared" ca="1" si="52"/>
        <v>0</v>
      </c>
      <c r="AH200" s="519">
        <f t="shared" ca="1" si="53"/>
        <v>0</v>
      </c>
      <c r="AI200" s="519">
        <f t="shared" ca="1" si="66"/>
        <v>0</v>
      </c>
      <c r="AJ200" s="519">
        <f t="shared" ca="1" si="54"/>
        <v>0</v>
      </c>
      <c r="AK200" s="519">
        <f t="shared" ca="1" si="55"/>
        <v>0</v>
      </c>
      <c r="AL200" s="519">
        <f t="shared" ca="1" si="56"/>
        <v>0</v>
      </c>
      <c r="AM200" s="519">
        <f t="shared" ca="1" si="57"/>
        <v>0</v>
      </c>
      <c r="AN200" s="519">
        <f t="shared" ca="1" si="58"/>
        <v>0</v>
      </c>
      <c r="AO200" s="519">
        <f t="shared" ca="1" si="59"/>
        <v>0</v>
      </c>
      <c r="AP200" s="519">
        <f t="shared" ca="1" si="60"/>
        <v>0</v>
      </c>
      <c r="AQ200" s="519">
        <f t="shared" ca="1" si="61"/>
        <v>0</v>
      </c>
      <c r="AS200" s="536"/>
      <c r="AT200" s="536"/>
      <c r="AU200" s="519" t="str">
        <f t="shared" si="67"/>
        <v>Wellington Electricity</v>
      </c>
      <c r="AV200" s="519" t="str">
        <f t="shared" si="62"/>
        <v>TKR0331</v>
      </c>
      <c r="AW200" s="519">
        <f t="shared" si="63"/>
        <v>95.283299999999997</v>
      </c>
      <c r="AX200" s="538"/>
      <c r="AY200" s="539">
        <f t="shared" ca="1" si="68"/>
        <v>2.8904230959832886</v>
      </c>
      <c r="AZ200" s="189"/>
    </row>
    <row r="201" spans="1:52" x14ac:dyDescent="0.3">
      <c r="A201" s="556">
        <v>1</v>
      </c>
      <c r="B201" s="519" t="str">
        <f t="shared" si="64"/>
        <v>TKU</v>
      </c>
      <c r="C201" s="519" t="str">
        <f>AMDs!C182</f>
        <v>Genesis</v>
      </c>
      <c r="D201" s="519" t="str">
        <f>AMDs!D182</f>
        <v>TKU0331</v>
      </c>
      <c r="E201" s="519">
        <f>IF(AMDs!C182="other",0,AMDs!E182)</f>
        <v>0.51870000000000005</v>
      </c>
      <c r="H201" s="519">
        <f ca="1">_xlfn.IFNA(IF(VLOOKUP($B201&amp;OFFSET(H$10,$A201*2,0),'Mapping A'!$B$6:$E$1011,4,0)=1,$E201,""),0)</f>
        <v>0</v>
      </c>
      <c r="I201" s="519">
        <f ca="1">_xlfn.IFNA(IF(VLOOKUP($B201&amp;OFFSET(I$10,$A201*2,0),'Mapping A'!$B$6:$E$1011,4,0)=1,$E201,""),0)</f>
        <v>0.51870000000000005</v>
      </c>
      <c r="J201" s="519">
        <f ca="1">_xlfn.IFNA(IF(VLOOKUP($B201&amp;OFFSET(J$10,$A201*2,0),'Mapping A'!$B$6:$E$1011,4,0)=1,$E201,""),0)</f>
        <v>0.51870000000000005</v>
      </c>
      <c r="K201" s="519">
        <f ca="1">_xlfn.IFNA(IF(VLOOKUP($B201&amp;OFFSET(K$10,$A201*2,0),'Mapping A'!$B$6:$E$1011,4,0)=1,$E201,""),0)</f>
        <v>0</v>
      </c>
      <c r="L201" s="519">
        <f ca="1">_xlfn.IFNA(IF(VLOOKUP($B201&amp;OFFSET(L$10,$A201*2,0),'Mapping A'!$B$6:$E$1011,4,0)=1,$E201,""),0)</f>
        <v>0</v>
      </c>
      <c r="M201" s="519">
        <f ca="1">_xlfn.IFNA(IF(VLOOKUP($B201&amp;OFFSET(M$10,$A201*2,0),'Mapping A'!$B$6:$E$1011,4,0)=1,$E201,""),0)</f>
        <v>0</v>
      </c>
      <c r="N201" s="519">
        <f ca="1">_xlfn.IFNA(IF(VLOOKUP($B201&amp;OFFSET(N$10,$A201*2,0),'Mapping A'!$B$6:$E$1011,4,0)=1,$E201,""),0)</f>
        <v>0</v>
      </c>
      <c r="O201" s="519">
        <f ca="1">_xlfn.IFNA(IF(VLOOKUP($B201&amp;OFFSET(O$10,$A201*2,0),'Mapping A'!$B$6:$E$1011,4,0)=1,$E201,""),0)</f>
        <v>0</v>
      </c>
      <c r="P201" s="519">
        <f ca="1">_xlfn.IFNA(IF(VLOOKUP($B201&amp;OFFSET(P$10,$A201*2,0),'Mapping A'!$B$6:$E$1011,4,0)=1,$E201,""),0)</f>
        <v>0</v>
      </c>
      <c r="Q201" s="519">
        <f ca="1">_xlfn.IFNA(IF(VLOOKUP($B201&amp;OFFSET(Q$10,$A201*2,0),'Mapping A'!$B$6:$E$1011,4,0)=1,$E201,""),0)</f>
        <v>0</v>
      </c>
      <c r="R201" s="519">
        <f ca="1">_xlfn.IFNA(IF(VLOOKUP($B201&amp;OFFSET(R$10,$A201*2,0),'Mapping A'!$B$6:$E$1011,4,0)=1,$E201,""),0)</f>
        <v>0</v>
      </c>
      <c r="S201" s="519">
        <f ca="1">_xlfn.IFNA(IF(VLOOKUP($B201&amp;OFFSET(S$10,$A201*2,0),'Mapping A'!$B$6:$E$1011,4,0)=1,$E201,""),0)</f>
        <v>0</v>
      </c>
      <c r="T201" s="519">
        <f ca="1">_xlfn.IFNA(IF(VLOOKUP($B201&amp;OFFSET(T$10,$A201*2,0),'Mapping A'!$B$6:$E$1011,4,0)=1,$E201,""),0)</f>
        <v>0</v>
      </c>
      <c r="Y201" s="534" t="str">
        <f t="shared" si="69"/>
        <v>GenesisTKU0331</v>
      </c>
      <c r="Z201" s="519" t="str">
        <f t="shared" si="48"/>
        <v>Genesis</v>
      </c>
      <c r="AA201" s="519" t="str">
        <f t="shared" si="49"/>
        <v>TKU0331</v>
      </c>
      <c r="AB201" s="519">
        <f t="shared" si="65"/>
        <v>0.51870000000000005</v>
      </c>
      <c r="AC201" s="324"/>
      <c r="AE201" s="519">
        <f t="shared" ca="1" si="50"/>
        <v>0</v>
      </c>
      <c r="AF201" s="519">
        <f t="shared" ca="1" si="51"/>
        <v>0</v>
      </c>
      <c r="AG201" s="519">
        <f t="shared" ca="1" si="52"/>
        <v>0</v>
      </c>
      <c r="AH201" s="519">
        <f t="shared" ca="1" si="53"/>
        <v>0</v>
      </c>
      <c r="AI201" s="519">
        <f t="shared" ca="1" si="66"/>
        <v>0</v>
      </c>
      <c r="AJ201" s="519">
        <f t="shared" ca="1" si="54"/>
        <v>0</v>
      </c>
      <c r="AK201" s="519">
        <f t="shared" ca="1" si="55"/>
        <v>0</v>
      </c>
      <c r="AL201" s="519">
        <f t="shared" ca="1" si="56"/>
        <v>0</v>
      </c>
      <c r="AM201" s="519">
        <f t="shared" ca="1" si="57"/>
        <v>0</v>
      </c>
      <c r="AN201" s="519">
        <f t="shared" ca="1" si="58"/>
        <v>0</v>
      </c>
      <c r="AO201" s="519">
        <f t="shared" ca="1" si="59"/>
        <v>0</v>
      </c>
      <c r="AP201" s="519">
        <f t="shared" ca="1" si="60"/>
        <v>0</v>
      </c>
      <c r="AQ201" s="519">
        <f t="shared" ca="1" si="61"/>
        <v>0</v>
      </c>
      <c r="AS201" s="536"/>
      <c r="AT201" s="536"/>
      <c r="AU201" s="519" t="str">
        <f t="shared" si="67"/>
        <v>Genesis</v>
      </c>
      <c r="AV201" s="519" t="str">
        <f t="shared" si="62"/>
        <v>TKU0331</v>
      </c>
      <c r="AW201" s="519">
        <f t="shared" si="63"/>
        <v>0.51870000000000005</v>
      </c>
      <c r="AX201" s="538"/>
      <c r="AY201" s="539">
        <f t="shared" ca="1" si="68"/>
        <v>1.5734787312010938E-2</v>
      </c>
      <c r="AZ201" s="189"/>
    </row>
    <row r="202" spans="1:52" x14ac:dyDescent="0.3">
      <c r="A202" s="556">
        <v>1</v>
      </c>
      <c r="B202" s="519" t="str">
        <f t="shared" si="64"/>
        <v>TKU</v>
      </c>
      <c r="C202" s="519" t="str">
        <f>AMDs!C183</f>
        <v>The Lines Company</v>
      </c>
      <c r="D202" s="519" t="str">
        <f>AMDs!D183</f>
        <v>TKU0331</v>
      </c>
      <c r="E202" s="519">
        <f>IF(AMDs!C183="other",0,AMDs!E183)</f>
        <v>11.243399999999999</v>
      </c>
      <c r="H202" s="519">
        <f ca="1">_xlfn.IFNA(IF(VLOOKUP($B202&amp;OFFSET(H$10,$A202*2,0),'Mapping A'!$B$6:$E$1011,4,0)=1,$E202,""),0)</f>
        <v>0</v>
      </c>
      <c r="I202" s="519">
        <f ca="1">_xlfn.IFNA(IF(VLOOKUP($B202&amp;OFFSET(I$10,$A202*2,0),'Mapping A'!$B$6:$E$1011,4,0)=1,$E202,""),0)</f>
        <v>11.243399999999999</v>
      </c>
      <c r="J202" s="519">
        <f ca="1">_xlfn.IFNA(IF(VLOOKUP($B202&amp;OFFSET(J$10,$A202*2,0),'Mapping A'!$B$6:$E$1011,4,0)=1,$E202,""),0)</f>
        <v>11.243399999999999</v>
      </c>
      <c r="K202" s="519">
        <f ca="1">_xlfn.IFNA(IF(VLOOKUP($B202&amp;OFFSET(K$10,$A202*2,0),'Mapping A'!$B$6:$E$1011,4,0)=1,$E202,""),0)</f>
        <v>0</v>
      </c>
      <c r="L202" s="519">
        <f ca="1">_xlfn.IFNA(IF(VLOOKUP($B202&amp;OFFSET(L$10,$A202*2,0),'Mapping A'!$B$6:$E$1011,4,0)=1,$E202,""),0)</f>
        <v>0</v>
      </c>
      <c r="M202" s="519">
        <f ca="1">_xlfn.IFNA(IF(VLOOKUP($B202&amp;OFFSET(M$10,$A202*2,0),'Mapping A'!$B$6:$E$1011,4,0)=1,$E202,""),0)</f>
        <v>0</v>
      </c>
      <c r="N202" s="519">
        <f ca="1">_xlfn.IFNA(IF(VLOOKUP($B202&amp;OFFSET(N$10,$A202*2,0),'Mapping A'!$B$6:$E$1011,4,0)=1,$E202,""),0)</f>
        <v>0</v>
      </c>
      <c r="O202" s="519">
        <f ca="1">_xlfn.IFNA(IF(VLOOKUP($B202&amp;OFFSET(O$10,$A202*2,0),'Mapping A'!$B$6:$E$1011,4,0)=1,$E202,""),0)</f>
        <v>0</v>
      </c>
      <c r="P202" s="519">
        <f ca="1">_xlfn.IFNA(IF(VLOOKUP($B202&amp;OFFSET(P$10,$A202*2,0),'Mapping A'!$B$6:$E$1011,4,0)=1,$E202,""),0)</f>
        <v>0</v>
      </c>
      <c r="Q202" s="519">
        <f ca="1">_xlfn.IFNA(IF(VLOOKUP($B202&amp;OFFSET(Q$10,$A202*2,0),'Mapping A'!$B$6:$E$1011,4,0)=1,$E202,""),0)</f>
        <v>0</v>
      </c>
      <c r="R202" s="519">
        <f ca="1">_xlfn.IFNA(IF(VLOOKUP($B202&amp;OFFSET(R$10,$A202*2,0),'Mapping A'!$B$6:$E$1011,4,0)=1,$E202,""),0)</f>
        <v>0</v>
      </c>
      <c r="S202" s="519">
        <f ca="1">_xlfn.IFNA(IF(VLOOKUP($B202&amp;OFFSET(S$10,$A202*2,0),'Mapping A'!$B$6:$E$1011,4,0)=1,$E202,""),0)</f>
        <v>0</v>
      </c>
      <c r="T202" s="519">
        <f ca="1">_xlfn.IFNA(IF(VLOOKUP($B202&amp;OFFSET(T$10,$A202*2,0),'Mapping A'!$B$6:$E$1011,4,0)=1,$E202,""),0)</f>
        <v>0</v>
      </c>
      <c r="Y202" s="534" t="str">
        <f t="shared" si="69"/>
        <v>The Lines CompanyTKU0331</v>
      </c>
      <c r="Z202" s="519" t="str">
        <f t="shared" si="48"/>
        <v>The Lines Company</v>
      </c>
      <c r="AA202" s="519" t="str">
        <f t="shared" si="49"/>
        <v>TKU0331</v>
      </c>
      <c r="AB202" s="519">
        <f t="shared" si="65"/>
        <v>11.243399999999999</v>
      </c>
      <c r="AC202" s="324"/>
      <c r="AE202" s="519">
        <f t="shared" ca="1" si="50"/>
        <v>0</v>
      </c>
      <c r="AF202" s="519">
        <f t="shared" ca="1" si="51"/>
        <v>0</v>
      </c>
      <c r="AG202" s="519">
        <f t="shared" ca="1" si="52"/>
        <v>0</v>
      </c>
      <c r="AH202" s="519">
        <f t="shared" ca="1" si="53"/>
        <v>0</v>
      </c>
      <c r="AI202" s="519">
        <f t="shared" ca="1" si="66"/>
        <v>0</v>
      </c>
      <c r="AJ202" s="519">
        <f t="shared" ca="1" si="54"/>
        <v>0</v>
      </c>
      <c r="AK202" s="519">
        <f t="shared" ca="1" si="55"/>
        <v>0</v>
      </c>
      <c r="AL202" s="519">
        <f t="shared" ca="1" si="56"/>
        <v>0</v>
      </c>
      <c r="AM202" s="519">
        <f t="shared" ca="1" si="57"/>
        <v>0</v>
      </c>
      <c r="AN202" s="519">
        <f t="shared" ca="1" si="58"/>
        <v>0</v>
      </c>
      <c r="AO202" s="519">
        <f t="shared" ca="1" si="59"/>
        <v>0</v>
      </c>
      <c r="AP202" s="519">
        <f t="shared" ca="1" si="60"/>
        <v>0</v>
      </c>
      <c r="AQ202" s="519">
        <f t="shared" ca="1" si="61"/>
        <v>0</v>
      </c>
      <c r="AS202" s="536"/>
      <c r="AT202" s="536"/>
      <c r="AU202" s="519" t="str">
        <f t="shared" si="67"/>
        <v>The Lines Company</v>
      </c>
      <c r="AV202" s="519" t="str">
        <f t="shared" si="62"/>
        <v>TKU0331</v>
      </c>
      <c r="AW202" s="519">
        <f t="shared" si="63"/>
        <v>11.243399999999999</v>
      </c>
      <c r="AX202" s="538"/>
      <c r="AY202" s="539">
        <f t="shared" ca="1" si="68"/>
        <v>0.34106903347573503</v>
      </c>
      <c r="AZ202" s="189"/>
    </row>
    <row r="203" spans="1:52" x14ac:dyDescent="0.3">
      <c r="A203" s="556">
        <v>1</v>
      </c>
      <c r="B203" s="519" t="str">
        <f t="shared" si="64"/>
        <v>TKU</v>
      </c>
      <c r="C203" s="519" t="str">
        <f>AMDs!C184</f>
        <v>Genesis</v>
      </c>
      <c r="D203" s="519" t="str">
        <f>AMDs!D184</f>
        <v>TKU2201</v>
      </c>
      <c r="E203" s="519">
        <f>IF(AMDs!C184="other",0,AMDs!E184)</f>
        <v>6.4617000000000004</v>
      </c>
      <c r="H203" s="519">
        <f ca="1">_xlfn.IFNA(IF(VLOOKUP($B203&amp;OFFSET(H$10,$A203*2,0),'Mapping A'!$B$6:$E$1011,4,0)=1,$E203,""),0)</f>
        <v>0</v>
      </c>
      <c r="I203" s="519">
        <f ca="1">_xlfn.IFNA(IF(VLOOKUP($B203&amp;OFFSET(I$10,$A203*2,0),'Mapping A'!$B$6:$E$1011,4,0)=1,$E203,""),0)</f>
        <v>6.4617000000000004</v>
      </c>
      <c r="J203" s="519">
        <f ca="1">_xlfn.IFNA(IF(VLOOKUP($B203&amp;OFFSET(J$10,$A203*2,0),'Mapping A'!$B$6:$E$1011,4,0)=1,$E203,""),0)</f>
        <v>6.4617000000000004</v>
      </c>
      <c r="K203" s="519">
        <f ca="1">_xlfn.IFNA(IF(VLOOKUP($B203&amp;OFFSET(K$10,$A203*2,0),'Mapping A'!$B$6:$E$1011,4,0)=1,$E203,""),0)</f>
        <v>0</v>
      </c>
      <c r="L203" s="519">
        <f ca="1">_xlfn.IFNA(IF(VLOOKUP($B203&amp;OFFSET(L$10,$A203*2,0),'Mapping A'!$B$6:$E$1011,4,0)=1,$E203,""),0)</f>
        <v>0</v>
      </c>
      <c r="M203" s="519">
        <f ca="1">_xlfn.IFNA(IF(VLOOKUP($B203&amp;OFFSET(M$10,$A203*2,0),'Mapping A'!$B$6:$E$1011,4,0)=1,$E203,""),0)</f>
        <v>0</v>
      </c>
      <c r="N203" s="519">
        <f ca="1">_xlfn.IFNA(IF(VLOOKUP($B203&amp;OFFSET(N$10,$A203*2,0),'Mapping A'!$B$6:$E$1011,4,0)=1,$E203,""),0)</f>
        <v>0</v>
      </c>
      <c r="O203" s="519">
        <f ca="1">_xlfn.IFNA(IF(VLOOKUP($B203&amp;OFFSET(O$10,$A203*2,0),'Mapping A'!$B$6:$E$1011,4,0)=1,$E203,""),0)</f>
        <v>0</v>
      </c>
      <c r="P203" s="519">
        <f ca="1">_xlfn.IFNA(IF(VLOOKUP($B203&amp;OFFSET(P$10,$A203*2,0),'Mapping A'!$B$6:$E$1011,4,0)=1,$E203,""),0)</f>
        <v>0</v>
      </c>
      <c r="Q203" s="519">
        <f ca="1">_xlfn.IFNA(IF(VLOOKUP($B203&amp;OFFSET(Q$10,$A203*2,0),'Mapping A'!$B$6:$E$1011,4,0)=1,$E203,""),0)</f>
        <v>0</v>
      </c>
      <c r="R203" s="519">
        <f ca="1">_xlfn.IFNA(IF(VLOOKUP($B203&amp;OFFSET(R$10,$A203*2,0),'Mapping A'!$B$6:$E$1011,4,0)=1,$E203,""),0)</f>
        <v>0</v>
      </c>
      <c r="S203" s="519">
        <f ca="1">_xlfn.IFNA(IF(VLOOKUP($B203&amp;OFFSET(S$10,$A203*2,0),'Mapping A'!$B$6:$E$1011,4,0)=1,$E203,""),0)</f>
        <v>0</v>
      </c>
      <c r="T203" s="519">
        <f ca="1">_xlfn.IFNA(IF(VLOOKUP($B203&amp;OFFSET(T$10,$A203*2,0),'Mapping A'!$B$6:$E$1011,4,0)=1,$E203,""),0)</f>
        <v>0</v>
      </c>
      <c r="Y203" s="534" t="str">
        <f t="shared" si="69"/>
        <v>GenesisTKU2201</v>
      </c>
      <c r="Z203" s="519" t="str">
        <f t="shared" si="48"/>
        <v>Genesis</v>
      </c>
      <c r="AA203" s="519" t="str">
        <f t="shared" si="49"/>
        <v>TKU2201</v>
      </c>
      <c r="AB203" s="519">
        <f t="shared" si="65"/>
        <v>6.4617000000000004</v>
      </c>
      <c r="AC203" s="324"/>
      <c r="AE203" s="519">
        <f t="shared" ca="1" si="50"/>
        <v>0</v>
      </c>
      <c r="AF203" s="519">
        <f t="shared" ca="1" si="51"/>
        <v>0</v>
      </c>
      <c r="AG203" s="519">
        <f t="shared" ca="1" si="52"/>
        <v>0</v>
      </c>
      <c r="AH203" s="519">
        <f t="shared" ca="1" si="53"/>
        <v>0</v>
      </c>
      <c r="AI203" s="519">
        <f t="shared" ca="1" si="66"/>
        <v>0</v>
      </c>
      <c r="AJ203" s="519">
        <f t="shared" ca="1" si="54"/>
        <v>0</v>
      </c>
      <c r="AK203" s="519">
        <f t="shared" ca="1" si="55"/>
        <v>0</v>
      </c>
      <c r="AL203" s="519">
        <f t="shared" ca="1" si="56"/>
        <v>0</v>
      </c>
      <c r="AM203" s="519">
        <f t="shared" ca="1" si="57"/>
        <v>0</v>
      </c>
      <c r="AN203" s="519">
        <f t="shared" ca="1" si="58"/>
        <v>0</v>
      </c>
      <c r="AO203" s="519">
        <f t="shared" ca="1" si="59"/>
        <v>0</v>
      </c>
      <c r="AP203" s="519">
        <f t="shared" ca="1" si="60"/>
        <v>0</v>
      </c>
      <c r="AQ203" s="519">
        <f t="shared" ca="1" si="61"/>
        <v>0</v>
      </c>
      <c r="AS203" s="536"/>
      <c r="AT203" s="536"/>
      <c r="AU203" s="519" t="str">
        <f t="shared" si="67"/>
        <v>Genesis</v>
      </c>
      <c r="AV203" s="519" t="str">
        <f t="shared" si="62"/>
        <v>TKU2201</v>
      </c>
      <c r="AW203" s="519">
        <f t="shared" si="63"/>
        <v>6.4617000000000004</v>
      </c>
      <c r="AX203" s="538"/>
      <c r="AY203" s="539">
        <f t="shared" ca="1" si="68"/>
        <v>0.19601595368039537</v>
      </c>
      <c r="AZ203" s="189"/>
    </row>
    <row r="204" spans="1:52" x14ac:dyDescent="0.3">
      <c r="A204" s="556">
        <v>1</v>
      </c>
      <c r="B204" s="519" t="str">
        <f t="shared" si="64"/>
        <v>TMI</v>
      </c>
      <c r="C204" s="519" t="str">
        <f>AMDs!C185</f>
        <v>Powerco</v>
      </c>
      <c r="D204" s="519" t="str">
        <f>AMDs!D185</f>
        <v>TMI0331</v>
      </c>
      <c r="E204" s="519">
        <f>IF(AMDs!C185="other",0,AMDs!E185)</f>
        <v>29.761199999999999</v>
      </c>
      <c r="H204" s="519">
        <f ca="1">_xlfn.IFNA(IF(VLOOKUP($B204&amp;OFFSET(H$10,$A204*2,0),'Mapping A'!$B$6:$E$1011,4,0)=1,$E204,""),0)</f>
        <v>0</v>
      </c>
      <c r="I204" s="519">
        <f ca="1">_xlfn.IFNA(IF(VLOOKUP($B204&amp;OFFSET(I$10,$A204*2,0),'Mapping A'!$B$6:$E$1011,4,0)=1,$E204,""),0)</f>
        <v>29.761199999999999</v>
      </c>
      <c r="J204" s="519">
        <f ca="1">_xlfn.IFNA(IF(VLOOKUP($B204&amp;OFFSET(J$10,$A204*2,0),'Mapping A'!$B$6:$E$1011,4,0)=1,$E204,""),0)</f>
        <v>29.761199999999999</v>
      </c>
      <c r="K204" s="519">
        <f ca="1">_xlfn.IFNA(IF(VLOOKUP($B204&amp;OFFSET(K$10,$A204*2,0),'Mapping A'!$B$6:$E$1011,4,0)=1,$E204,""),0)</f>
        <v>0</v>
      </c>
      <c r="L204" s="519">
        <f ca="1">_xlfn.IFNA(IF(VLOOKUP($B204&amp;OFFSET(L$10,$A204*2,0),'Mapping A'!$B$6:$E$1011,4,0)=1,$E204,""),0)</f>
        <v>0</v>
      </c>
      <c r="M204" s="519">
        <f ca="1">_xlfn.IFNA(IF(VLOOKUP($B204&amp;OFFSET(M$10,$A204*2,0),'Mapping A'!$B$6:$E$1011,4,0)=1,$E204,""),0)</f>
        <v>29.761199999999999</v>
      </c>
      <c r="N204" s="519">
        <f ca="1">_xlfn.IFNA(IF(VLOOKUP($B204&amp;OFFSET(N$10,$A204*2,0),'Mapping A'!$B$6:$E$1011,4,0)=1,$E204,""),0)</f>
        <v>0</v>
      </c>
      <c r="O204" s="519">
        <f ca="1">_xlfn.IFNA(IF(VLOOKUP($B204&amp;OFFSET(O$10,$A204*2,0),'Mapping A'!$B$6:$E$1011,4,0)=1,$E204,""),0)</f>
        <v>0</v>
      </c>
      <c r="P204" s="519">
        <f ca="1">_xlfn.IFNA(IF(VLOOKUP($B204&amp;OFFSET(P$10,$A204*2,0),'Mapping A'!$B$6:$E$1011,4,0)=1,$E204,""),0)</f>
        <v>0</v>
      </c>
      <c r="Q204" s="519">
        <f ca="1">_xlfn.IFNA(IF(VLOOKUP($B204&amp;OFFSET(Q$10,$A204*2,0),'Mapping A'!$B$6:$E$1011,4,0)=1,$E204,""),0)</f>
        <v>0</v>
      </c>
      <c r="R204" s="519">
        <f ca="1">_xlfn.IFNA(IF(VLOOKUP($B204&amp;OFFSET(R$10,$A204*2,0),'Mapping A'!$B$6:$E$1011,4,0)=1,$E204,""),0)</f>
        <v>0</v>
      </c>
      <c r="S204" s="519">
        <f ca="1">_xlfn.IFNA(IF(VLOOKUP($B204&amp;OFFSET(S$10,$A204*2,0),'Mapping A'!$B$6:$E$1011,4,0)=1,$E204,""),0)</f>
        <v>0</v>
      </c>
      <c r="T204" s="519">
        <f ca="1">_xlfn.IFNA(IF(VLOOKUP($B204&amp;OFFSET(T$10,$A204*2,0),'Mapping A'!$B$6:$E$1011,4,0)=1,$E204,""),0)</f>
        <v>0</v>
      </c>
      <c r="Y204" s="534" t="str">
        <f t="shared" si="69"/>
        <v>PowercoTMI0331</v>
      </c>
      <c r="Z204" s="519" t="str">
        <f t="shared" si="48"/>
        <v>Powerco</v>
      </c>
      <c r="AA204" s="519" t="str">
        <f t="shared" si="49"/>
        <v>TMI0331</v>
      </c>
      <c r="AB204" s="519">
        <f t="shared" si="65"/>
        <v>29.761199999999999</v>
      </c>
      <c r="AC204" s="324"/>
      <c r="AE204" s="519">
        <f t="shared" ca="1" si="50"/>
        <v>0</v>
      </c>
      <c r="AF204" s="519">
        <f t="shared" ca="1" si="51"/>
        <v>0</v>
      </c>
      <c r="AG204" s="519">
        <f t="shared" ca="1" si="52"/>
        <v>0</v>
      </c>
      <c r="AH204" s="519">
        <f t="shared" ca="1" si="53"/>
        <v>0</v>
      </c>
      <c r="AI204" s="519">
        <f t="shared" ca="1" si="66"/>
        <v>0</v>
      </c>
      <c r="AJ204" s="519">
        <f t="shared" ca="1" si="54"/>
        <v>0</v>
      </c>
      <c r="AK204" s="519">
        <f t="shared" ca="1" si="55"/>
        <v>0</v>
      </c>
      <c r="AL204" s="519">
        <f t="shared" ca="1" si="56"/>
        <v>0</v>
      </c>
      <c r="AM204" s="519">
        <f t="shared" ca="1" si="57"/>
        <v>0</v>
      </c>
      <c r="AN204" s="519">
        <f t="shared" ca="1" si="58"/>
        <v>0</v>
      </c>
      <c r="AO204" s="519">
        <f t="shared" ca="1" si="59"/>
        <v>0</v>
      </c>
      <c r="AP204" s="519">
        <f t="shared" ca="1" si="60"/>
        <v>0</v>
      </c>
      <c r="AQ204" s="519">
        <f t="shared" ca="1" si="61"/>
        <v>0</v>
      </c>
      <c r="AS204" s="536"/>
      <c r="AT204" s="536"/>
      <c r="AU204" s="519" t="str">
        <f t="shared" si="67"/>
        <v>Powerco</v>
      </c>
      <c r="AV204" s="519" t="str">
        <f t="shared" si="62"/>
        <v>TMI0331</v>
      </c>
      <c r="AW204" s="519">
        <f t="shared" si="63"/>
        <v>29.761199999999999</v>
      </c>
      <c r="AX204" s="538"/>
      <c r="AY204" s="539">
        <f t="shared" ca="1" si="68"/>
        <v>0.90280731087376109</v>
      </c>
      <c r="AZ204" s="189"/>
    </row>
    <row r="205" spans="1:52" x14ac:dyDescent="0.3">
      <c r="A205" s="556">
        <v>1</v>
      </c>
      <c r="B205" s="519" t="str">
        <f t="shared" si="64"/>
        <v>TMK</v>
      </c>
      <c r="C205" s="519" t="str">
        <f>AMDs!C186</f>
        <v>Alpine Energy</v>
      </c>
      <c r="D205" s="519" t="str">
        <f>AMDs!D186</f>
        <v>TMK0331</v>
      </c>
      <c r="E205" s="519">
        <f>IF(AMDs!C186="other",0,AMDs!E186)</f>
        <v>56.823900000000002</v>
      </c>
      <c r="H205" s="519">
        <f ca="1">_xlfn.IFNA(IF(VLOOKUP($B205&amp;OFFSET(H$10,$A205*2,0),'Mapping A'!$B$6:$E$1011,4,0)=1,$E205,""),0)</f>
        <v>0</v>
      </c>
      <c r="I205" s="519">
        <f ca="1">_xlfn.IFNA(IF(VLOOKUP($B205&amp;OFFSET(I$10,$A205*2,0),'Mapping A'!$B$6:$E$1011,4,0)=1,$E205,""),0)</f>
        <v>56.823900000000002</v>
      </c>
      <c r="J205" s="519">
        <f ca="1">_xlfn.IFNA(IF(VLOOKUP($B205&amp;OFFSET(J$10,$A205*2,0),'Mapping A'!$B$6:$E$1011,4,0)=1,$E205,""),0)</f>
        <v>0</v>
      </c>
      <c r="K205" s="519">
        <f ca="1">_xlfn.IFNA(IF(VLOOKUP($B205&amp;OFFSET(K$10,$A205*2,0),'Mapping A'!$B$6:$E$1011,4,0)=1,$E205,""),0)</f>
        <v>0</v>
      </c>
      <c r="L205" s="519">
        <f ca="1">_xlfn.IFNA(IF(VLOOKUP($B205&amp;OFFSET(L$10,$A205*2,0),'Mapping A'!$B$6:$E$1011,4,0)=1,$E205,""),0)</f>
        <v>0</v>
      </c>
      <c r="M205" s="519">
        <f ca="1">_xlfn.IFNA(IF(VLOOKUP($B205&amp;OFFSET(M$10,$A205*2,0),'Mapping A'!$B$6:$E$1011,4,0)=1,$E205,""),0)</f>
        <v>0</v>
      </c>
      <c r="N205" s="519">
        <f ca="1">_xlfn.IFNA(IF(VLOOKUP($B205&amp;OFFSET(N$10,$A205*2,0),'Mapping A'!$B$6:$E$1011,4,0)=1,$E205,""),0)</f>
        <v>0</v>
      </c>
      <c r="O205" s="519">
        <f ca="1">_xlfn.IFNA(IF(VLOOKUP($B205&amp;OFFSET(O$10,$A205*2,0),'Mapping A'!$B$6:$E$1011,4,0)=1,$E205,""),0)</f>
        <v>0</v>
      </c>
      <c r="P205" s="519">
        <f ca="1">_xlfn.IFNA(IF(VLOOKUP($B205&amp;OFFSET(P$10,$A205*2,0),'Mapping A'!$B$6:$E$1011,4,0)=1,$E205,""),0)</f>
        <v>0</v>
      </c>
      <c r="Q205" s="519">
        <f ca="1">_xlfn.IFNA(IF(VLOOKUP($B205&amp;OFFSET(Q$10,$A205*2,0),'Mapping A'!$B$6:$E$1011,4,0)=1,$E205,""),0)</f>
        <v>0</v>
      </c>
      <c r="R205" s="519">
        <f ca="1">_xlfn.IFNA(IF(VLOOKUP($B205&amp;OFFSET(R$10,$A205*2,0),'Mapping A'!$B$6:$E$1011,4,0)=1,$E205,""),0)</f>
        <v>0</v>
      </c>
      <c r="S205" s="519">
        <f ca="1">_xlfn.IFNA(IF(VLOOKUP($B205&amp;OFFSET(S$10,$A205*2,0),'Mapping A'!$B$6:$E$1011,4,0)=1,$E205,""),0)</f>
        <v>0</v>
      </c>
      <c r="T205" s="519">
        <f ca="1">_xlfn.IFNA(IF(VLOOKUP($B205&amp;OFFSET(T$10,$A205*2,0),'Mapping A'!$B$6:$E$1011,4,0)=1,$E205,""),0)</f>
        <v>0</v>
      </c>
      <c r="Y205" s="534" t="str">
        <f t="shared" si="69"/>
        <v>Alpine EnergyTMK0331</v>
      </c>
      <c r="Z205" s="519" t="str">
        <f t="shared" si="48"/>
        <v>Alpine Energy</v>
      </c>
      <c r="AA205" s="519" t="str">
        <f t="shared" si="49"/>
        <v>TMK0331</v>
      </c>
      <c r="AB205" s="519">
        <f t="shared" si="65"/>
        <v>56.823900000000002</v>
      </c>
      <c r="AC205" s="324"/>
      <c r="AE205" s="519">
        <f t="shared" ca="1" si="50"/>
        <v>0</v>
      </c>
      <c r="AF205" s="519">
        <f t="shared" ca="1" si="51"/>
        <v>0</v>
      </c>
      <c r="AG205" s="519">
        <f t="shared" ca="1" si="52"/>
        <v>0</v>
      </c>
      <c r="AH205" s="519">
        <f t="shared" ca="1" si="53"/>
        <v>0</v>
      </c>
      <c r="AI205" s="519">
        <f t="shared" ca="1" si="66"/>
        <v>0</v>
      </c>
      <c r="AJ205" s="519">
        <f t="shared" ca="1" si="54"/>
        <v>0</v>
      </c>
      <c r="AK205" s="519">
        <f t="shared" ca="1" si="55"/>
        <v>0</v>
      </c>
      <c r="AL205" s="519">
        <f t="shared" ca="1" si="56"/>
        <v>0</v>
      </c>
      <c r="AM205" s="519">
        <f t="shared" ca="1" si="57"/>
        <v>0</v>
      </c>
      <c r="AN205" s="519">
        <f t="shared" ca="1" si="58"/>
        <v>0</v>
      </c>
      <c r="AO205" s="519">
        <f t="shared" ca="1" si="59"/>
        <v>0</v>
      </c>
      <c r="AP205" s="519">
        <f t="shared" ca="1" si="60"/>
        <v>0</v>
      </c>
      <c r="AQ205" s="519">
        <f t="shared" ca="1" si="61"/>
        <v>0</v>
      </c>
      <c r="AS205" s="536"/>
      <c r="AT205" s="536"/>
      <c r="AU205" s="519" t="str">
        <f t="shared" si="67"/>
        <v>Alpine Energy</v>
      </c>
      <c r="AV205" s="519" t="str">
        <f t="shared" si="62"/>
        <v>TMK0331</v>
      </c>
      <c r="AW205" s="519">
        <f t="shared" si="63"/>
        <v>56.823900000000002</v>
      </c>
      <c r="AX205" s="538"/>
      <c r="AY205" s="539">
        <f t="shared" ca="1" si="68"/>
        <v>1.7237555055696518</v>
      </c>
      <c r="AZ205" s="189"/>
    </row>
    <row r="206" spans="1:52" x14ac:dyDescent="0.3">
      <c r="A206" s="556">
        <v>1</v>
      </c>
      <c r="B206" s="519" t="str">
        <f t="shared" si="64"/>
        <v>TMN</v>
      </c>
      <c r="C206" s="519" t="str">
        <f>AMDs!C187</f>
        <v>Kiwirail</v>
      </c>
      <c r="D206" s="519" t="str">
        <f>AMDs!D187</f>
        <v>TMN0551</v>
      </c>
      <c r="E206" s="519">
        <f>IF(AMDs!C187="other",0,AMDs!E187)</f>
        <v>10.9053</v>
      </c>
      <c r="H206" s="519">
        <f ca="1">_xlfn.IFNA(IF(VLOOKUP($B206&amp;OFFSET(H$10,$A206*2,0),'Mapping A'!$B$6:$E$1011,4,0)=1,$E206,""),0)</f>
        <v>0</v>
      </c>
      <c r="I206" s="519">
        <f ca="1">_xlfn.IFNA(IF(VLOOKUP($B206&amp;OFFSET(I$10,$A206*2,0),'Mapping A'!$B$6:$E$1011,4,0)=1,$E206,""),0)</f>
        <v>10.9053</v>
      </c>
      <c r="J206" s="519">
        <f ca="1">_xlfn.IFNA(IF(VLOOKUP($B206&amp;OFFSET(J$10,$A206*2,0),'Mapping A'!$B$6:$E$1011,4,0)=1,$E206,""),0)</f>
        <v>10.9053</v>
      </c>
      <c r="K206" s="519">
        <f ca="1">_xlfn.IFNA(IF(VLOOKUP($B206&amp;OFFSET(K$10,$A206*2,0),'Mapping A'!$B$6:$E$1011,4,0)=1,$E206,""),0)</f>
        <v>0</v>
      </c>
      <c r="L206" s="519">
        <f ca="1">_xlfn.IFNA(IF(VLOOKUP($B206&amp;OFFSET(L$10,$A206*2,0),'Mapping A'!$B$6:$E$1011,4,0)=1,$E206,""),0)</f>
        <v>0</v>
      </c>
      <c r="M206" s="519">
        <f ca="1">_xlfn.IFNA(IF(VLOOKUP($B206&amp;OFFSET(M$10,$A206*2,0),'Mapping A'!$B$6:$E$1011,4,0)=1,$E206,""),0)</f>
        <v>0</v>
      </c>
      <c r="N206" s="519">
        <f ca="1">_xlfn.IFNA(IF(VLOOKUP($B206&amp;OFFSET(N$10,$A206*2,0),'Mapping A'!$B$6:$E$1011,4,0)=1,$E206,""),0)</f>
        <v>0</v>
      </c>
      <c r="O206" s="519">
        <f ca="1">_xlfn.IFNA(IF(VLOOKUP($B206&amp;OFFSET(O$10,$A206*2,0),'Mapping A'!$B$6:$E$1011,4,0)=1,$E206,""),0)</f>
        <v>0</v>
      </c>
      <c r="P206" s="519">
        <f ca="1">_xlfn.IFNA(IF(VLOOKUP($B206&amp;OFFSET(P$10,$A206*2,0),'Mapping A'!$B$6:$E$1011,4,0)=1,$E206,""),0)</f>
        <v>0</v>
      </c>
      <c r="Q206" s="519">
        <f ca="1">_xlfn.IFNA(IF(VLOOKUP($B206&amp;OFFSET(Q$10,$A206*2,0),'Mapping A'!$B$6:$E$1011,4,0)=1,$E206,""),0)</f>
        <v>0</v>
      </c>
      <c r="R206" s="519">
        <f ca="1">_xlfn.IFNA(IF(VLOOKUP($B206&amp;OFFSET(R$10,$A206*2,0),'Mapping A'!$B$6:$E$1011,4,0)=1,$E206,""),0)</f>
        <v>0</v>
      </c>
      <c r="S206" s="519">
        <f ca="1">_xlfn.IFNA(IF(VLOOKUP($B206&amp;OFFSET(S$10,$A206*2,0),'Mapping A'!$B$6:$E$1011,4,0)=1,$E206,""),0)</f>
        <v>0</v>
      </c>
      <c r="T206" s="519">
        <f ca="1">_xlfn.IFNA(IF(VLOOKUP($B206&amp;OFFSET(T$10,$A206*2,0),'Mapping A'!$B$6:$E$1011,4,0)=1,$E206,""),0)</f>
        <v>0</v>
      </c>
      <c r="Y206" s="534" t="str">
        <f t="shared" si="69"/>
        <v>KiwirailTMN0551</v>
      </c>
      <c r="Z206" s="519" t="str">
        <f t="shared" si="48"/>
        <v>Kiwirail</v>
      </c>
      <c r="AA206" s="519" t="str">
        <f t="shared" si="49"/>
        <v>TMN0551</v>
      </c>
      <c r="AB206" s="519">
        <f t="shared" si="65"/>
        <v>10.9053</v>
      </c>
      <c r="AC206" s="324"/>
      <c r="AE206" s="519">
        <f t="shared" ca="1" si="50"/>
        <v>0</v>
      </c>
      <c r="AF206" s="519">
        <f t="shared" ca="1" si="51"/>
        <v>0</v>
      </c>
      <c r="AG206" s="519">
        <f t="shared" ca="1" si="52"/>
        <v>0</v>
      </c>
      <c r="AH206" s="519">
        <f t="shared" ca="1" si="53"/>
        <v>0</v>
      </c>
      <c r="AI206" s="519">
        <f t="shared" ca="1" si="66"/>
        <v>0</v>
      </c>
      <c r="AJ206" s="519">
        <f t="shared" ca="1" si="54"/>
        <v>0</v>
      </c>
      <c r="AK206" s="519">
        <f t="shared" ca="1" si="55"/>
        <v>0</v>
      </c>
      <c r="AL206" s="519">
        <f t="shared" ca="1" si="56"/>
        <v>0</v>
      </c>
      <c r="AM206" s="519">
        <f t="shared" ca="1" si="57"/>
        <v>0</v>
      </c>
      <c r="AN206" s="519">
        <f t="shared" ca="1" si="58"/>
        <v>0</v>
      </c>
      <c r="AO206" s="519">
        <f t="shared" ca="1" si="59"/>
        <v>0</v>
      </c>
      <c r="AP206" s="519">
        <f t="shared" ca="1" si="60"/>
        <v>0</v>
      </c>
      <c r="AQ206" s="519">
        <f t="shared" ca="1" si="61"/>
        <v>0</v>
      </c>
      <c r="AS206" s="536"/>
      <c r="AT206" s="536"/>
      <c r="AU206" s="519" t="str">
        <f t="shared" si="67"/>
        <v>Kiwirail</v>
      </c>
      <c r="AV206" s="519" t="str">
        <f t="shared" si="62"/>
        <v>TMN0551</v>
      </c>
      <c r="AW206" s="519">
        <f t="shared" si="63"/>
        <v>10.9053</v>
      </c>
      <c r="AX206" s="538"/>
      <c r="AY206" s="539">
        <f t="shared" ca="1" si="68"/>
        <v>0.33081275510636765</v>
      </c>
      <c r="AZ206" s="189"/>
    </row>
    <row r="207" spans="1:52" x14ac:dyDescent="0.3">
      <c r="A207" s="556">
        <v>1</v>
      </c>
      <c r="B207" s="519" t="str">
        <f t="shared" si="64"/>
        <v>TMU</v>
      </c>
      <c r="C207" s="519" t="str">
        <f>AMDs!C188</f>
        <v>Waipa Power</v>
      </c>
      <c r="D207" s="519" t="str">
        <f>AMDs!D188</f>
        <v>TMU0111</v>
      </c>
      <c r="E207" s="519">
        <f>IF(AMDs!C188="other",0,AMDs!E188)</f>
        <v>36.290100000000002</v>
      </c>
      <c r="H207" s="519">
        <f ca="1">_xlfn.IFNA(IF(VLOOKUP($B207&amp;OFFSET(H$10,$A207*2,0),'Mapping A'!$B$6:$E$1011,4,0)=1,$E207,""),0)</f>
        <v>0</v>
      </c>
      <c r="I207" s="519">
        <f ca="1">_xlfn.IFNA(IF(VLOOKUP($B207&amp;OFFSET(I$10,$A207*2,0),'Mapping A'!$B$6:$E$1011,4,0)=1,$E207,""),0)</f>
        <v>36.290100000000002</v>
      </c>
      <c r="J207" s="519">
        <f ca="1">_xlfn.IFNA(IF(VLOOKUP($B207&amp;OFFSET(J$10,$A207*2,0),'Mapping A'!$B$6:$E$1011,4,0)=1,$E207,""),0)</f>
        <v>36.290100000000002</v>
      </c>
      <c r="K207" s="519">
        <f ca="1">_xlfn.IFNA(IF(VLOOKUP($B207&amp;OFFSET(K$10,$A207*2,0),'Mapping A'!$B$6:$E$1011,4,0)=1,$E207,""),0)</f>
        <v>0</v>
      </c>
      <c r="L207" s="519">
        <f ca="1">_xlfn.IFNA(IF(VLOOKUP($B207&amp;OFFSET(L$10,$A207*2,0),'Mapping A'!$B$6:$E$1011,4,0)=1,$E207,""),0)</f>
        <v>0</v>
      </c>
      <c r="M207" s="519">
        <f ca="1">_xlfn.IFNA(IF(VLOOKUP($B207&amp;OFFSET(M$10,$A207*2,0),'Mapping A'!$B$6:$E$1011,4,0)=1,$E207,""),0)</f>
        <v>36.290100000000002</v>
      </c>
      <c r="N207" s="519">
        <f ca="1">_xlfn.IFNA(IF(VLOOKUP($B207&amp;OFFSET(N$10,$A207*2,0),'Mapping A'!$B$6:$E$1011,4,0)=1,$E207,""),0)</f>
        <v>0</v>
      </c>
      <c r="O207" s="519">
        <f ca="1">_xlfn.IFNA(IF(VLOOKUP($B207&amp;OFFSET(O$10,$A207*2,0),'Mapping A'!$B$6:$E$1011,4,0)=1,$E207,""),0)</f>
        <v>0</v>
      </c>
      <c r="P207" s="519">
        <f ca="1">_xlfn.IFNA(IF(VLOOKUP($B207&amp;OFFSET(P$10,$A207*2,0),'Mapping A'!$B$6:$E$1011,4,0)=1,$E207,""),0)</f>
        <v>0</v>
      </c>
      <c r="Q207" s="519">
        <f ca="1">_xlfn.IFNA(IF(VLOOKUP($B207&amp;OFFSET(Q$10,$A207*2,0),'Mapping A'!$B$6:$E$1011,4,0)=1,$E207,""),0)</f>
        <v>0</v>
      </c>
      <c r="R207" s="519">
        <f ca="1">_xlfn.IFNA(IF(VLOOKUP($B207&amp;OFFSET(R$10,$A207*2,0),'Mapping A'!$B$6:$E$1011,4,0)=1,$E207,""),0)</f>
        <v>0</v>
      </c>
      <c r="S207" s="519">
        <f ca="1">_xlfn.IFNA(IF(VLOOKUP($B207&amp;OFFSET(S$10,$A207*2,0),'Mapping A'!$B$6:$E$1011,4,0)=1,$E207,""),0)</f>
        <v>0</v>
      </c>
      <c r="T207" s="519">
        <f ca="1">_xlfn.IFNA(IF(VLOOKUP($B207&amp;OFFSET(T$10,$A207*2,0),'Mapping A'!$B$6:$E$1011,4,0)=1,$E207,""),0)</f>
        <v>0</v>
      </c>
      <c r="Y207" s="534" t="str">
        <f t="shared" si="69"/>
        <v>Waipa PowerTMU0111</v>
      </c>
      <c r="Z207" s="519" t="str">
        <f t="shared" si="48"/>
        <v>Waipa Power</v>
      </c>
      <c r="AA207" s="519" t="str">
        <f t="shared" si="49"/>
        <v>TMU0111</v>
      </c>
      <c r="AB207" s="519">
        <f t="shared" si="65"/>
        <v>36.290100000000002</v>
      </c>
      <c r="AC207" s="324"/>
      <c r="AE207" s="519">
        <f t="shared" ca="1" si="50"/>
        <v>0</v>
      </c>
      <c r="AF207" s="519">
        <f t="shared" ca="1" si="51"/>
        <v>0</v>
      </c>
      <c r="AG207" s="519">
        <f t="shared" ca="1" si="52"/>
        <v>0</v>
      </c>
      <c r="AH207" s="519">
        <f t="shared" ca="1" si="53"/>
        <v>0</v>
      </c>
      <c r="AI207" s="519">
        <f t="shared" ca="1" si="66"/>
        <v>0</v>
      </c>
      <c r="AJ207" s="519">
        <f t="shared" ca="1" si="54"/>
        <v>0</v>
      </c>
      <c r="AK207" s="519">
        <f t="shared" ca="1" si="55"/>
        <v>0</v>
      </c>
      <c r="AL207" s="519">
        <f t="shared" ca="1" si="56"/>
        <v>0</v>
      </c>
      <c r="AM207" s="519">
        <f t="shared" ca="1" si="57"/>
        <v>0</v>
      </c>
      <c r="AN207" s="519">
        <f t="shared" ca="1" si="58"/>
        <v>0</v>
      </c>
      <c r="AO207" s="519">
        <f t="shared" ca="1" si="59"/>
        <v>0</v>
      </c>
      <c r="AP207" s="519">
        <f t="shared" ca="1" si="60"/>
        <v>0</v>
      </c>
      <c r="AQ207" s="519">
        <f t="shared" ca="1" si="61"/>
        <v>0</v>
      </c>
      <c r="AS207" s="536"/>
      <c r="AT207" s="536"/>
      <c r="AU207" s="519" t="str">
        <f t="shared" si="67"/>
        <v>Waipa Power</v>
      </c>
      <c r="AV207" s="519" t="str">
        <f t="shared" si="62"/>
        <v>TMU0111</v>
      </c>
      <c r="AW207" s="519">
        <f t="shared" si="63"/>
        <v>36.290100000000002</v>
      </c>
      <c r="AX207" s="538"/>
      <c r="AY207" s="539">
        <f t="shared" ca="1" si="68"/>
        <v>1.1008617795095588</v>
      </c>
      <c r="AZ207" s="189"/>
    </row>
    <row r="208" spans="1:52" x14ac:dyDescent="0.3">
      <c r="A208" s="556">
        <v>1</v>
      </c>
      <c r="B208" s="519" t="str">
        <f t="shared" si="64"/>
        <v>TNG</v>
      </c>
      <c r="C208" s="519" t="str">
        <f>AMDs!C189</f>
        <v>The Lines Company</v>
      </c>
      <c r="D208" s="519" t="str">
        <f>AMDs!D189</f>
        <v>TNG0111</v>
      </c>
      <c r="E208" s="519">
        <f>IF(AMDs!C189="other",0,AMDs!E189)</f>
        <v>1.0310999999999999</v>
      </c>
      <c r="H208" s="519">
        <f ca="1">_xlfn.IFNA(IF(VLOOKUP($B208&amp;OFFSET(H$10,$A208*2,0),'Mapping A'!$B$6:$E$1011,4,0)=1,$E208,""),0)</f>
        <v>0</v>
      </c>
      <c r="I208" s="519">
        <f ca="1">_xlfn.IFNA(IF(VLOOKUP($B208&amp;OFFSET(I$10,$A208*2,0),'Mapping A'!$B$6:$E$1011,4,0)=1,$E208,""),0)</f>
        <v>1.0310999999999999</v>
      </c>
      <c r="J208" s="519">
        <f ca="1">_xlfn.IFNA(IF(VLOOKUP($B208&amp;OFFSET(J$10,$A208*2,0),'Mapping A'!$B$6:$E$1011,4,0)=1,$E208,""),0)</f>
        <v>1.0310999999999999</v>
      </c>
      <c r="K208" s="519">
        <f ca="1">_xlfn.IFNA(IF(VLOOKUP($B208&amp;OFFSET(K$10,$A208*2,0),'Mapping A'!$B$6:$E$1011,4,0)=1,$E208,""),0)</f>
        <v>0</v>
      </c>
      <c r="L208" s="519">
        <f ca="1">_xlfn.IFNA(IF(VLOOKUP($B208&amp;OFFSET(L$10,$A208*2,0),'Mapping A'!$B$6:$E$1011,4,0)=1,$E208,""),0)</f>
        <v>0</v>
      </c>
      <c r="M208" s="519">
        <f ca="1">_xlfn.IFNA(IF(VLOOKUP($B208&amp;OFFSET(M$10,$A208*2,0),'Mapping A'!$B$6:$E$1011,4,0)=1,$E208,""),0)</f>
        <v>0</v>
      </c>
      <c r="N208" s="519">
        <f ca="1">_xlfn.IFNA(IF(VLOOKUP($B208&amp;OFFSET(N$10,$A208*2,0),'Mapping A'!$B$6:$E$1011,4,0)=1,$E208,""),0)</f>
        <v>0</v>
      </c>
      <c r="O208" s="519">
        <f ca="1">_xlfn.IFNA(IF(VLOOKUP($B208&amp;OFFSET(O$10,$A208*2,0),'Mapping A'!$B$6:$E$1011,4,0)=1,$E208,""),0)</f>
        <v>0</v>
      </c>
      <c r="P208" s="519">
        <f ca="1">_xlfn.IFNA(IF(VLOOKUP($B208&amp;OFFSET(P$10,$A208*2,0),'Mapping A'!$B$6:$E$1011,4,0)=1,$E208,""),0)</f>
        <v>0</v>
      </c>
      <c r="Q208" s="519">
        <f ca="1">_xlfn.IFNA(IF(VLOOKUP($B208&amp;OFFSET(Q$10,$A208*2,0),'Mapping A'!$B$6:$E$1011,4,0)=1,$E208,""),0)</f>
        <v>0</v>
      </c>
      <c r="R208" s="519">
        <f ca="1">_xlfn.IFNA(IF(VLOOKUP($B208&amp;OFFSET(R$10,$A208*2,0),'Mapping A'!$B$6:$E$1011,4,0)=1,$E208,""),0)</f>
        <v>0</v>
      </c>
      <c r="S208" s="519">
        <f ca="1">_xlfn.IFNA(IF(VLOOKUP($B208&amp;OFFSET(S$10,$A208*2,0),'Mapping A'!$B$6:$E$1011,4,0)=1,$E208,""),0)</f>
        <v>0</v>
      </c>
      <c r="T208" s="519">
        <f ca="1">_xlfn.IFNA(IF(VLOOKUP($B208&amp;OFFSET(T$10,$A208*2,0),'Mapping A'!$B$6:$E$1011,4,0)=1,$E208,""),0)</f>
        <v>0</v>
      </c>
      <c r="Y208" s="534" t="str">
        <f t="shared" si="69"/>
        <v>The Lines CompanyTNG0111</v>
      </c>
      <c r="Z208" s="519" t="str">
        <f t="shared" si="48"/>
        <v>The Lines Company</v>
      </c>
      <c r="AA208" s="519" t="str">
        <f t="shared" si="49"/>
        <v>TNG0111</v>
      </c>
      <c r="AB208" s="519">
        <f t="shared" si="65"/>
        <v>1.0310999999999999</v>
      </c>
      <c r="AC208" s="324"/>
      <c r="AE208" s="519">
        <f t="shared" ca="1" si="50"/>
        <v>0</v>
      </c>
      <c r="AF208" s="519">
        <f t="shared" ca="1" si="51"/>
        <v>0</v>
      </c>
      <c r="AG208" s="519">
        <f t="shared" ca="1" si="52"/>
        <v>0</v>
      </c>
      <c r="AH208" s="519">
        <f t="shared" ca="1" si="53"/>
        <v>0</v>
      </c>
      <c r="AI208" s="519">
        <f t="shared" ca="1" si="66"/>
        <v>0</v>
      </c>
      <c r="AJ208" s="519">
        <f t="shared" ca="1" si="54"/>
        <v>0</v>
      </c>
      <c r="AK208" s="519">
        <f t="shared" ca="1" si="55"/>
        <v>0</v>
      </c>
      <c r="AL208" s="519">
        <f t="shared" ca="1" si="56"/>
        <v>0</v>
      </c>
      <c r="AM208" s="519">
        <f t="shared" ca="1" si="57"/>
        <v>0</v>
      </c>
      <c r="AN208" s="519">
        <f t="shared" ca="1" si="58"/>
        <v>0</v>
      </c>
      <c r="AO208" s="519">
        <f t="shared" ca="1" si="59"/>
        <v>0</v>
      </c>
      <c r="AP208" s="519">
        <f t="shared" ca="1" si="60"/>
        <v>0</v>
      </c>
      <c r="AQ208" s="519">
        <f t="shared" ca="1" si="61"/>
        <v>0</v>
      </c>
      <c r="AS208" s="536"/>
      <c r="AT208" s="536"/>
      <c r="AU208" s="519" t="str">
        <f t="shared" si="67"/>
        <v>The Lines Company</v>
      </c>
      <c r="AV208" s="519" t="str">
        <f t="shared" si="62"/>
        <v>TNG0111</v>
      </c>
      <c r="AW208" s="519">
        <f t="shared" si="63"/>
        <v>1.0310999999999999</v>
      </c>
      <c r="AX208" s="538"/>
      <c r="AY208" s="539">
        <f t="shared" ca="1" si="68"/>
        <v>3.1278463846952917E-2</v>
      </c>
      <c r="AZ208" s="189"/>
    </row>
    <row r="209" spans="1:52" x14ac:dyDescent="0.3">
      <c r="A209" s="556">
        <v>1</v>
      </c>
      <c r="B209" s="519" t="str">
        <f t="shared" si="64"/>
        <v>TNG</v>
      </c>
      <c r="C209" s="519" t="str">
        <f>AMDs!C190</f>
        <v>Winstones</v>
      </c>
      <c r="D209" s="519" t="str">
        <f>AMDs!D190</f>
        <v>TNG0111</v>
      </c>
      <c r="E209" s="519">
        <f>IF(AMDs!C190="other",0,AMDs!E190)</f>
        <v>38.988599999999998</v>
      </c>
      <c r="H209" s="519">
        <f ca="1">_xlfn.IFNA(IF(VLOOKUP($B209&amp;OFFSET(H$10,$A209*2,0),'Mapping A'!$B$6:$E$1011,4,0)=1,$E209,""),0)</f>
        <v>0</v>
      </c>
      <c r="I209" s="519">
        <f ca="1">_xlfn.IFNA(IF(VLOOKUP($B209&amp;OFFSET(I$10,$A209*2,0),'Mapping A'!$B$6:$E$1011,4,0)=1,$E209,""),0)</f>
        <v>38.988599999999998</v>
      </c>
      <c r="J209" s="519">
        <f ca="1">_xlfn.IFNA(IF(VLOOKUP($B209&amp;OFFSET(J$10,$A209*2,0),'Mapping A'!$B$6:$E$1011,4,0)=1,$E209,""),0)</f>
        <v>38.988599999999998</v>
      </c>
      <c r="K209" s="519">
        <f ca="1">_xlfn.IFNA(IF(VLOOKUP($B209&amp;OFFSET(K$10,$A209*2,0),'Mapping A'!$B$6:$E$1011,4,0)=1,$E209,""),0)</f>
        <v>0</v>
      </c>
      <c r="L209" s="519">
        <f ca="1">_xlfn.IFNA(IF(VLOOKUP($B209&amp;OFFSET(L$10,$A209*2,0),'Mapping A'!$B$6:$E$1011,4,0)=1,$E209,""),0)</f>
        <v>0</v>
      </c>
      <c r="M209" s="519">
        <f ca="1">_xlfn.IFNA(IF(VLOOKUP($B209&amp;OFFSET(M$10,$A209*2,0),'Mapping A'!$B$6:$E$1011,4,0)=1,$E209,""),0)</f>
        <v>0</v>
      </c>
      <c r="N209" s="519">
        <f ca="1">_xlfn.IFNA(IF(VLOOKUP($B209&amp;OFFSET(N$10,$A209*2,0),'Mapping A'!$B$6:$E$1011,4,0)=1,$E209,""),0)</f>
        <v>0</v>
      </c>
      <c r="O209" s="519">
        <f ca="1">_xlfn.IFNA(IF(VLOOKUP($B209&amp;OFFSET(O$10,$A209*2,0),'Mapping A'!$B$6:$E$1011,4,0)=1,$E209,""),0)</f>
        <v>0</v>
      </c>
      <c r="P209" s="519">
        <f ca="1">_xlfn.IFNA(IF(VLOOKUP($B209&amp;OFFSET(P$10,$A209*2,0),'Mapping A'!$B$6:$E$1011,4,0)=1,$E209,""),0)</f>
        <v>0</v>
      </c>
      <c r="Q209" s="519">
        <f ca="1">_xlfn.IFNA(IF(VLOOKUP($B209&amp;OFFSET(Q$10,$A209*2,0),'Mapping A'!$B$6:$E$1011,4,0)=1,$E209,""),0)</f>
        <v>0</v>
      </c>
      <c r="R209" s="519">
        <f ca="1">_xlfn.IFNA(IF(VLOOKUP($B209&amp;OFFSET(R$10,$A209*2,0),'Mapping A'!$B$6:$E$1011,4,0)=1,$E209,""),0)</f>
        <v>0</v>
      </c>
      <c r="S209" s="519">
        <f ca="1">_xlfn.IFNA(IF(VLOOKUP($B209&amp;OFFSET(S$10,$A209*2,0),'Mapping A'!$B$6:$E$1011,4,0)=1,$E209,""),0)</f>
        <v>0</v>
      </c>
      <c r="T209" s="519">
        <f ca="1">_xlfn.IFNA(IF(VLOOKUP($B209&amp;OFFSET(T$10,$A209*2,0),'Mapping A'!$B$6:$E$1011,4,0)=1,$E209,""),0)</f>
        <v>0</v>
      </c>
      <c r="Y209" s="534" t="str">
        <f t="shared" si="69"/>
        <v>WinstonesTNG0111</v>
      </c>
      <c r="Z209" s="519" t="str">
        <f t="shared" si="48"/>
        <v>Winstones</v>
      </c>
      <c r="AA209" s="519" t="str">
        <f t="shared" si="49"/>
        <v>TNG0111</v>
      </c>
      <c r="AB209" s="519">
        <f t="shared" si="65"/>
        <v>38.988599999999998</v>
      </c>
      <c r="AC209" s="324"/>
      <c r="AE209" s="519">
        <f t="shared" ca="1" si="50"/>
        <v>0</v>
      </c>
      <c r="AF209" s="519">
        <f t="shared" ca="1" si="51"/>
        <v>0</v>
      </c>
      <c r="AG209" s="519">
        <f t="shared" ca="1" si="52"/>
        <v>0</v>
      </c>
      <c r="AH209" s="519">
        <f t="shared" ca="1" si="53"/>
        <v>0</v>
      </c>
      <c r="AI209" s="519">
        <f t="shared" ca="1" si="66"/>
        <v>0</v>
      </c>
      <c r="AJ209" s="519">
        <f t="shared" ca="1" si="54"/>
        <v>0</v>
      </c>
      <c r="AK209" s="519">
        <f t="shared" ca="1" si="55"/>
        <v>0</v>
      </c>
      <c r="AL209" s="519">
        <f t="shared" ca="1" si="56"/>
        <v>0</v>
      </c>
      <c r="AM209" s="519">
        <f t="shared" ca="1" si="57"/>
        <v>0</v>
      </c>
      <c r="AN209" s="519">
        <f t="shared" ca="1" si="58"/>
        <v>0</v>
      </c>
      <c r="AO209" s="519">
        <f t="shared" ca="1" si="59"/>
        <v>0</v>
      </c>
      <c r="AP209" s="519">
        <f t="shared" ca="1" si="60"/>
        <v>0</v>
      </c>
      <c r="AQ209" s="519">
        <f t="shared" ca="1" si="61"/>
        <v>0</v>
      </c>
      <c r="AS209" s="536"/>
      <c r="AT209" s="536"/>
      <c r="AU209" s="519" t="str">
        <f t="shared" si="67"/>
        <v>Winstones</v>
      </c>
      <c r="AV209" s="519" t="str">
        <f t="shared" si="62"/>
        <v>TNG0111</v>
      </c>
      <c r="AW209" s="519">
        <f t="shared" si="63"/>
        <v>38.988599999999998</v>
      </c>
      <c r="AX209" s="538"/>
      <c r="AY209" s="539">
        <f t="shared" ca="1" si="68"/>
        <v>1.1827208956874293</v>
      </c>
      <c r="AZ209" s="189"/>
    </row>
    <row r="210" spans="1:52" x14ac:dyDescent="0.3">
      <c r="A210" s="556">
        <v>1</v>
      </c>
      <c r="B210" s="519" t="str">
        <f t="shared" si="64"/>
        <v>TNG</v>
      </c>
      <c r="C210" s="519" t="str">
        <f>AMDs!C191</f>
        <v>Kiwirail</v>
      </c>
      <c r="D210" s="519" t="str">
        <f>AMDs!D191</f>
        <v>TNG0551</v>
      </c>
      <c r="E210" s="519">
        <f>IF(AMDs!C191="other",0,AMDs!E191)</f>
        <v>9.0342000000000002</v>
      </c>
      <c r="H210" s="519">
        <f ca="1">_xlfn.IFNA(IF(VLOOKUP($B210&amp;OFFSET(H$10,$A210*2,0),'Mapping A'!$B$6:$E$1011,4,0)=1,$E210,""),0)</f>
        <v>0</v>
      </c>
      <c r="I210" s="519">
        <f ca="1">_xlfn.IFNA(IF(VLOOKUP($B210&amp;OFFSET(I$10,$A210*2,0),'Mapping A'!$B$6:$E$1011,4,0)=1,$E210,""),0)</f>
        <v>9.0342000000000002</v>
      </c>
      <c r="J210" s="519">
        <f ca="1">_xlfn.IFNA(IF(VLOOKUP($B210&amp;OFFSET(J$10,$A210*2,0),'Mapping A'!$B$6:$E$1011,4,0)=1,$E210,""),0)</f>
        <v>9.0342000000000002</v>
      </c>
      <c r="K210" s="519">
        <f ca="1">_xlfn.IFNA(IF(VLOOKUP($B210&amp;OFFSET(K$10,$A210*2,0),'Mapping A'!$B$6:$E$1011,4,0)=1,$E210,""),0)</f>
        <v>0</v>
      </c>
      <c r="L210" s="519">
        <f ca="1">_xlfn.IFNA(IF(VLOOKUP($B210&amp;OFFSET(L$10,$A210*2,0),'Mapping A'!$B$6:$E$1011,4,0)=1,$E210,""),0)</f>
        <v>0</v>
      </c>
      <c r="M210" s="519">
        <f ca="1">_xlfn.IFNA(IF(VLOOKUP($B210&amp;OFFSET(M$10,$A210*2,0),'Mapping A'!$B$6:$E$1011,4,0)=1,$E210,""),0)</f>
        <v>0</v>
      </c>
      <c r="N210" s="519">
        <f ca="1">_xlfn.IFNA(IF(VLOOKUP($B210&amp;OFFSET(N$10,$A210*2,0),'Mapping A'!$B$6:$E$1011,4,0)=1,$E210,""),0)</f>
        <v>0</v>
      </c>
      <c r="O210" s="519">
        <f ca="1">_xlfn.IFNA(IF(VLOOKUP($B210&amp;OFFSET(O$10,$A210*2,0),'Mapping A'!$B$6:$E$1011,4,0)=1,$E210,""),0)</f>
        <v>0</v>
      </c>
      <c r="P210" s="519">
        <f ca="1">_xlfn.IFNA(IF(VLOOKUP($B210&amp;OFFSET(P$10,$A210*2,0),'Mapping A'!$B$6:$E$1011,4,0)=1,$E210,""),0)</f>
        <v>0</v>
      </c>
      <c r="Q210" s="519">
        <f ca="1">_xlfn.IFNA(IF(VLOOKUP($B210&amp;OFFSET(Q$10,$A210*2,0),'Mapping A'!$B$6:$E$1011,4,0)=1,$E210,""),0)</f>
        <v>0</v>
      </c>
      <c r="R210" s="519">
        <f ca="1">_xlfn.IFNA(IF(VLOOKUP($B210&amp;OFFSET(R$10,$A210*2,0),'Mapping A'!$B$6:$E$1011,4,0)=1,$E210,""),0)</f>
        <v>0</v>
      </c>
      <c r="S210" s="519">
        <f ca="1">_xlfn.IFNA(IF(VLOOKUP($B210&amp;OFFSET(S$10,$A210*2,0),'Mapping A'!$B$6:$E$1011,4,0)=1,$E210,""),0)</f>
        <v>0</v>
      </c>
      <c r="T210" s="519">
        <f ca="1">_xlfn.IFNA(IF(VLOOKUP($B210&amp;OFFSET(T$10,$A210*2,0),'Mapping A'!$B$6:$E$1011,4,0)=1,$E210,""),0)</f>
        <v>0</v>
      </c>
      <c r="Y210" s="534" t="str">
        <f t="shared" si="69"/>
        <v>KiwirailTNG0551</v>
      </c>
      <c r="Z210" s="519" t="str">
        <f t="shared" si="48"/>
        <v>Kiwirail</v>
      </c>
      <c r="AA210" s="519" t="str">
        <f t="shared" si="49"/>
        <v>TNG0551</v>
      </c>
      <c r="AB210" s="519">
        <f t="shared" si="65"/>
        <v>9.0342000000000002</v>
      </c>
      <c r="AC210" s="324"/>
      <c r="AE210" s="519">
        <f t="shared" ca="1" si="50"/>
        <v>0</v>
      </c>
      <c r="AF210" s="519">
        <f t="shared" ca="1" si="51"/>
        <v>0</v>
      </c>
      <c r="AG210" s="519">
        <f t="shared" ca="1" si="52"/>
        <v>0</v>
      </c>
      <c r="AH210" s="519">
        <f t="shared" ca="1" si="53"/>
        <v>0</v>
      </c>
      <c r="AI210" s="519">
        <f t="shared" ca="1" si="66"/>
        <v>0</v>
      </c>
      <c r="AJ210" s="519">
        <f t="shared" ca="1" si="54"/>
        <v>0</v>
      </c>
      <c r="AK210" s="519">
        <f t="shared" ca="1" si="55"/>
        <v>0</v>
      </c>
      <c r="AL210" s="519">
        <f t="shared" ca="1" si="56"/>
        <v>0</v>
      </c>
      <c r="AM210" s="519">
        <f t="shared" ca="1" si="57"/>
        <v>0</v>
      </c>
      <c r="AN210" s="519">
        <f t="shared" ca="1" si="58"/>
        <v>0</v>
      </c>
      <c r="AO210" s="519">
        <f t="shared" ca="1" si="59"/>
        <v>0</v>
      </c>
      <c r="AP210" s="519">
        <f t="shared" ca="1" si="60"/>
        <v>0</v>
      </c>
      <c r="AQ210" s="519">
        <f t="shared" ca="1" si="61"/>
        <v>0</v>
      </c>
      <c r="AS210" s="536"/>
      <c r="AT210" s="536"/>
      <c r="AU210" s="519" t="str">
        <f t="shared" si="67"/>
        <v>Kiwirail</v>
      </c>
      <c r="AV210" s="519" t="str">
        <f t="shared" si="62"/>
        <v>TNG0551</v>
      </c>
      <c r="AW210" s="519">
        <f t="shared" si="63"/>
        <v>9.0342000000000002</v>
      </c>
      <c r="AX210" s="538"/>
      <c r="AY210" s="539">
        <f t="shared" ca="1" si="68"/>
        <v>0.27405285431688681</v>
      </c>
      <c r="AZ210" s="189"/>
    </row>
    <row r="211" spans="1:52" x14ac:dyDescent="0.3">
      <c r="A211" s="556">
        <v>1</v>
      </c>
      <c r="B211" s="519" t="str">
        <f t="shared" si="64"/>
        <v>TRK</v>
      </c>
      <c r="C211" s="519" t="str">
        <f>AMDs!C192</f>
        <v>Unison</v>
      </c>
      <c r="D211" s="519" t="str">
        <f>AMDs!D192</f>
        <v>TRK0111</v>
      </c>
      <c r="E211" s="519">
        <f>IF(AMDs!C192="other",0,AMDs!E192)</f>
        <v>8.2887000000000004</v>
      </c>
      <c r="H211" s="519">
        <f ca="1">_xlfn.IFNA(IF(VLOOKUP($B211&amp;OFFSET(H$10,$A211*2,0),'Mapping A'!$B$6:$E$1011,4,0)=1,$E211,""),0)</f>
        <v>0</v>
      </c>
      <c r="I211" s="519">
        <f ca="1">_xlfn.IFNA(IF(VLOOKUP($B211&amp;OFFSET(I$10,$A211*2,0),'Mapping A'!$B$6:$E$1011,4,0)=1,$E211,""),0)</f>
        <v>8.2887000000000004</v>
      </c>
      <c r="J211" s="519">
        <f ca="1">_xlfn.IFNA(IF(VLOOKUP($B211&amp;OFFSET(J$10,$A211*2,0),'Mapping A'!$B$6:$E$1011,4,0)=1,$E211,""),0)</f>
        <v>8.2887000000000004</v>
      </c>
      <c r="K211" s="519">
        <f ca="1">_xlfn.IFNA(IF(VLOOKUP($B211&amp;OFFSET(K$10,$A211*2,0),'Mapping A'!$B$6:$E$1011,4,0)=1,$E211,""),0)</f>
        <v>0</v>
      </c>
      <c r="L211" s="519">
        <f ca="1">_xlfn.IFNA(IF(VLOOKUP($B211&amp;OFFSET(L$10,$A211*2,0),'Mapping A'!$B$6:$E$1011,4,0)=1,$E211,""),0)</f>
        <v>0</v>
      </c>
      <c r="M211" s="519">
        <f ca="1">_xlfn.IFNA(IF(VLOOKUP($B211&amp;OFFSET(M$10,$A211*2,0),'Mapping A'!$B$6:$E$1011,4,0)=1,$E211,""),0)</f>
        <v>8.2887000000000004</v>
      </c>
      <c r="N211" s="519">
        <f ca="1">_xlfn.IFNA(IF(VLOOKUP($B211&amp;OFFSET(N$10,$A211*2,0),'Mapping A'!$B$6:$E$1011,4,0)=1,$E211,""),0)</f>
        <v>0</v>
      </c>
      <c r="O211" s="519">
        <f ca="1">_xlfn.IFNA(IF(VLOOKUP($B211&amp;OFFSET(O$10,$A211*2,0),'Mapping A'!$B$6:$E$1011,4,0)=1,$E211,""),0)</f>
        <v>0</v>
      </c>
      <c r="P211" s="519">
        <f ca="1">_xlfn.IFNA(IF(VLOOKUP($B211&amp;OFFSET(P$10,$A211*2,0),'Mapping A'!$B$6:$E$1011,4,0)=1,$E211,""),0)</f>
        <v>0</v>
      </c>
      <c r="Q211" s="519">
        <f ca="1">_xlfn.IFNA(IF(VLOOKUP($B211&amp;OFFSET(Q$10,$A211*2,0),'Mapping A'!$B$6:$E$1011,4,0)=1,$E211,""),0)</f>
        <v>0</v>
      </c>
      <c r="R211" s="519">
        <f ca="1">_xlfn.IFNA(IF(VLOOKUP($B211&amp;OFFSET(R$10,$A211*2,0),'Mapping A'!$B$6:$E$1011,4,0)=1,$E211,""),0)</f>
        <v>0</v>
      </c>
      <c r="S211" s="519">
        <f ca="1">_xlfn.IFNA(IF(VLOOKUP($B211&amp;OFFSET(S$10,$A211*2,0),'Mapping A'!$B$6:$E$1011,4,0)=1,$E211,""),0)</f>
        <v>0</v>
      </c>
      <c r="T211" s="519">
        <f ca="1">_xlfn.IFNA(IF(VLOOKUP($B211&amp;OFFSET(T$10,$A211*2,0),'Mapping A'!$B$6:$E$1011,4,0)=1,$E211,""),0)</f>
        <v>0</v>
      </c>
      <c r="Y211" s="534" t="str">
        <f t="shared" si="69"/>
        <v>UnisonTRK0111</v>
      </c>
      <c r="Z211" s="519" t="str">
        <f t="shared" si="48"/>
        <v>Unison</v>
      </c>
      <c r="AA211" s="519" t="str">
        <f t="shared" si="49"/>
        <v>TRK0111</v>
      </c>
      <c r="AB211" s="519">
        <f t="shared" si="65"/>
        <v>8.2887000000000004</v>
      </c>
      <c r="AC211" s="324"/>
      <c r="AE211" s="519">
        <f t="shared" ca="1" si="50"/>
        <v>0</v>
      </c>
      <c r="AF211" s="519">
        <f t="shared" ca="1" si="51"/>
        <v>0</v>
      </c>
      <c r="AG211" s="519">
        <f t="shared" ca="1" si="52"/>
        <v>0</v>
      </c>
      <c r="AH211" s="519">
        <f t="shared" ca="1" si="53"/>
        <v>0</v>
      </c>
      <c r="AI211" s="519">
        <f t="shared" ca="1" si="66"/>
        <v>0</v>
      </c>
      <c r="AJ211" s="519">
        <f t="shared" ca="1" si="54"/>
        <v>0</v>
      </c>
      <c r="AK211" s="519">
        <f t="shared" ca="1" si="55"/>
        <v>0</v>
      </c>
      <c r="AL211" s="519">
        <f t="shared" ca="1" si="56"/>
        <v>0</v>
      </c>
      <c r="AM211" s="519">
        <f t="shared" ca="1" si="57"/>
        <v>0</v>
      </c>
      <c r="AN211" s="519">
        <f t="shared" ca="1" si="58"/>
        <v>0</v>
      </c>
      <c r="AO211" s="519">
        <f t="shared" ca="1" si="59"/>
        <v>0</v>
      </c>
      <c r="AP211" s="519">
        <f t="shared" ca="1" si="60"/>
        <v>0</v>
      </c>
      <c r="AQ211" s="519">
        <f t="shared" ca="1" si="61"/>
        <v>0</v>
      </c>
      <c r="AS211" s="536"/>
      <c r="AT211" s="536"/>
      <c r="AU211" s="519" t="str">
        <f t="shared" si="67"/>
        <v>Unison</v>
      </c>
      <c r="AV211" s="519" t="str">
        <f t="shared" si="62"/>
        <v>TRK0111</v>
      </c>
      <c r="AW211" s="519">
        <f t="shared" si="63"/>
        <v>8.2887000000000004</v>
      </c>
      <c r="AX211" s="538"/>
      <c r="AY211" s="539">
        <f t="shared" ca="1" si="68"/>
        <v>0.25143807903039339</v>
      </c>
      <c r="AZ211" s="189"/>
    </row>
    <row r="212" spans="1:52" x14ac:dyDescent="0.3">
      <c r="A212" s="556">
        <v>1</v>
      </c>
      <c r="B212" s="519" t="str">
        <f t="shared" si="64"/>
        <v>TUI</v>
      </c>
      <c r="C212" s="519" t="str">
        <f>AMDs!C193</f>
        <v>Eastland Network</v>
      </c>
      <c r="D212" s="519" t="str">
        <f>AMDs!D193</f>
        <v>TUI1101</v>
      </c>
      <c r="E212" s="519">
        <f>IF(AMDs!C193="other",0,AMDs!E193)</f>
        <v>58.113299999999903</v>
      </c>
      <c r="H212" s="519">
        <f ca="1">_xlfn.IFNA(IF(VLOOKUP($B212&amp;OFFSET(H$10,$A212*2,0),'Mapping A'!$B$6:$E$1011,4,0)=1,$E212,""),0)</f>
        <v>0</v>
      </c>
      <c r="I212" s="519">
        <f ca="1">_xlfn.IFNA(IF(VLOOKUP($B212&amp;OFFSET(I$10,$A212*2,0),'Mapping A'!$B$6:$E$1011,4,0)=1,$E212,""),0)</f>
        <v>58.113299999999903</v>
      </c>
      <c r="J212" s="519">
        <f ca="1">_xlfn.IFNA(IF(VLOOKUP($B212&amp;OFFSET(J$10,$A212*2,0),'Mapping A'!$B$6:$E$1011,4,0)=1,$E212,""),0)</f>
        <v>58.113299999999903</v>
      </c>
      <c r="K212" s="519">
        <f ca="1">_xlfn.IFNA(IF(VLOOKUP($B212&amp;OFFSET(K$10,$A212*2,0),'Mapping A'!$B$6:$E$1011,4,0)=1,$E212,""),0)</f>
        <v>0</v>
      </c>
      <c r="L212" s="519">
        <f ca="1">_xlfn.IFNA(IF(VLOOKUP($B212&amp;OFFSET(L$10,$A212*2,0),'Mapping A'!$B$6:$E$1011,4,0)=1,$E212,""),0)</f>
        <v>0</v>
      </c>
      <c r="M212" s="519">
        <f ca="1">_xlfn.IFNA(IF(VLOOKUP($B212&amp;OFFSET(M$10,$A212*2,0),'Mapping A'!$B$6:$E$1011,4,0)=1,$E212,""),0)</f>
        <v>58.113299999999903</v>
      </c>
      <c r="N212" s="519">
        <f ca="1">_xlfn.IFNA(IF(VLOOKUP($B212&amp;OFFSET(N$10,$A212*2,0),'Mapping A'!$B$6:$E$1011,4,0)=1,$E212,""),0)</f>
        <v>0</v>
      </c>
      <c r="O212" s="519">
        <f ca="1">_xlfn.IFNA(IF(VLOOKUP($B212&amp;OFFSET(O$10,$A212*2,0),'Mapping A'!$B$6:$E$1011,4,0)=1,$E212,""),0)</f>
        <v>0</v>
      </c>
      <c r="P212" s="519">
        <f ca="1">_xlfn.IFNA(IF(VLOOKUP($B212&amp;OFFSET(P$10,$A212*2,0),'Mapping A'!$B$6:$E$1011,4,0)=1,$E212,""),0)</f>
        <v>0</v>
      </c>
      <c r="Q212" s="519">
        <f ca="1">_xlfn.IFNA(IF(VLOOKUP($B212&amp;OFFSET(Q$10,$A212*2,0),'Mapping A'!$B$6:$E$1011,4,0)=1,$E212,""),0)</f>
        <v>0</v>
      </c>
      <c r="R212" s="519">
        <f ca="1">_xlfn.IFNA(IF(VLOOKUP($B212&amp;OFFSET(R$10,$A212*2,0),'Mapping A'!$B$6:$E$1011,4,0)=1,$E212,""),0)</f>
        <v>0</v>
      </c>
      <c r="S212" s="519">
        <f ca="1">_xlfn.IFNA(IF(VLOOKUP($B212&amp;OFFSET(S$10,$A212*2,0),'Mapping A'!$B$6:$E$1011,4,0)=1,$E212,""),0)</f>
        <v>0</v>
      </c>
      <c r="T212" s="519">
        <f ca="1">_xlfn.IFNA(IF(VLOOKUP($B212&amp;OFFSET(T$10,$A212*2,0),'Mapping A'!$B$6:$E$1011,4,0)=1,$E212,""),0)</f>
        <v>0</v>
      </c>
      <c r="Y212" s="534" t="str">
        <f t="shared" si="69"/>
        <v>Eastland NetworkTUI1101</v>
      </c>
      <c r="Z212" s="519" t="str">
        <f t="shared" si="48"/>
        <v>Eastland Network</v>
      </c>
      <c r="AA212" s="519" t="str">
        <f t="shared" si="49"/>
        <v>TUI1101</v>
      </c>
      <c r="AB212" s="519">
        <f t="shared" si="65"/>
        <v>58.113299999999903</v>
      </c>
      <c r="AC212" s="324"/>
      <c r="AE212" s="519">
        <f t="shared" ca="1" si="50"/>
        <v>0</v>
      </c>
      <c r="AF212" s="519">
        <f t="shared" ca="1" si="51"/>
        <v>0</v>
      </c>
      <c r="AG212" s="519">
        <f t="shared" ca="1" si="52"/>
        <v>0</v>
      </c>
      <c r="AH212" s="519">
        <f t="shared" ca="1" si="53"/>
        <v>0</v>
      </c>
      <c r="AI212" s="519">
        <f t="shared" ca="1" si="66"/>
        <v>0</v>
      </c>
      <c r="AJ212" s="519">
        <f t="shared" ca="1" si="54"/>
        <v>0</v>
      </c>
      <c r="AK212" s="519">
        <f t="shared" ca="1" si="55"/>
        <v>0</v>
      </c>
      <c r="AL212" s="519">
        <f t="shared" ca="1" si="56"/>
        <v>0</v>
      </c>
      <c r="AM212" s="519">
        <f t="shared" ca="1" si="57"/>
        <v>0</v>
      </c>
      <c r="AN212" s="519">
        <f t="shared" ca="1" si="58"/>
        <v>0</v>
      </c>
      <c r="AO212" s="519">
        <f t="shared" ca="1" si="59"/>
        <v>0</v>
      </c>
      <c r="AP212" s="519">
        <f t="shared" ca="1" si="60"/>
        <v>0</v>
      </c>
      <c r="AQ212" s="519">
        <f t="shared" ca="1" si="61"/>
        <v>0</v>
      </c>
      <c r="AS212" s="536"/>
      <c r="AT212" s="536"/>
      <c r="AU212" s="519" t="str">
        <f t="shared" si="67"/>
        <v>Eastland Network</v>
      </c>
      <c r="AV212" s="519" t="str">
        <f t="shared" si="62"/>
        <v>TUI1101</v>
      </c>
      <c r="AW212" s="519">
        <f t="shared" si="63"/>
        <v>58.113299999999903</v>
      </c>
      <c r="AX212" s="538"/>
      <c r="AY212" s="539">
        <f t="shared" ca="1" si="68"/>
        <v>1.762869511276429</v>
      </c>
      <c r="AZ212" s="189"/>
    </row>
    <row r="213" spans="1:52" x14ac:dyDescent="0.3">
      <c r="A213" s="556">
        <v>1</v>
      </c>
      <c r="B213" s="519" t="str">
        <f t="shared" si="64"/>
        <v>TUI</v>
      </c>
      <c r="C213" s="519" t="str">
        <f>AMDs!C194</f>
        <v>Genesis</v>
      </c>
      <c r="D213" s="519" t="str">
        <f>AMDs!D194</f>
        <v>TUI1101</v>
      </c>
      <c r="E213" s="519">
        <f>IF(AMDs!C194="other",0,AMDs!E194)</f>
        <v>0.67200000000000004</v>
      </c>
      <c r="H213" s="519">
        <f ca="1">_xlfn.IFNA(IF(VLOOKUP($B213&amp;OFFSET(H$10,$A213*2,0),'Mapping A'!$B$6:$E$1011,4,0)=1,$E213,""),0)</f>
        <v>0</v>
      </c>
      <c r="I213" s="519">
        <f ca="1">_xlfn.IFNA(IF(VLOOKUP($B213&amp;OFFSET(I$10,$A213*2,0),'Mapping A'!$B$6:$E$1011,4,0)=1,$E213,""),0)</f>
        <v>0.67200000000000004</v>
      </c>
      <c r="J213" s="519">
        <f ca="1">_xlfn.IFNA(IF(VLOOKUP($B213&amp;OFFSET(J$10,$A213*2,0),'Mapping A'!$B$6:$E$1011,4,0)=1,$E213,""),0)</f>
        <v>0.67200000000000004</v>
      </c>
      <c r="K213" s="519">
        <f ca="1">_xlfn.IFNA(IF(VLOOKUP($B213&amp;OFFSET(K$10,$A213*2,0),'Mapping A'!$B$6:$E$1011,4,0)=1,$E213,""),0)</f>
        <v>0</v>
      </c>
      <c r="L213" s="519">
        <f ca="1">_xlfn.IFNA(IF(VLOOKUP($B213&amp;OFFSET(L$10,$A213*2,0),'Mapping A'!$B$6:$E$1011,4,0)=1,$E213,""),0)</f>
        <v>0</v>
      </c>
      <c r="M213" s="519">
        <f ca="1">_xlfn.IFNA(IF(VLOOKUP($B213&amp;OFFSET(M$10,$A213*2,0),'Mapping A'!$B$6:$E$1011,4,0)=1,$E213,""),0)</f>
        <v>0.67200000000000004</v>
      </c>
      <c r="N213" s="519">
        <f ca="1">_xlfn.IFNA(IF(VLOOKUP($B213&amp;OFFSET(N$10,$A213*2,0),'Mapping A'!$B$6:$E$1011,4,0)=1,$E213,""),0)</f>
        <v>0</v>
      </c>
      <c r="O213" s="519">
        <f ca="1">_xlfn.IFNA(IF(VLOOKUP($B213&amp;OFFSET(O$10,$A213*2,0),'Mapping A'!$B$6:$E$1011,4,0)=1,$E213,""),0)</f>
        <v>0</v>
      </c>
      <c r="P213" s="519">
        <f ca="1">_xlfn.IFNA(IF(VLOOKUP($B213&amp;OFFSET(P$10,$A213*2,0),'Mapping A'!$B$6:$E$1011,4,0)=1,$E213,""),0)</f>
        <v>0</v>
      </c>
      <c r="Q213" s="519">
        <f ca="1">_xlfn.IFNA(IF(VLOOKUP($B213&amp;OFFSET(Q$10,$A213*2,0),'Mapping A'!$B$6:$E$1011,4,0)=1,$E213,""),0)</f>
        <v>0</v>
      </c>
      <c r="R213" s="519">
        <f ca="1">_xlfn.IFNA(IF(VLOOKUP($B213&amp;OFFSET(R$10,$A213*2,0),'Mapping A'!$B$6:$E$1011,4,0)=1,$E213,""),0)</f>
        <v>0</v>
      </c>
      <c r="S213" s="519">
        <f ca="1">_xlfn.IFNA(IF(VLOOKUP($B213&amp;OFFSET(S$10,$A213*2,0),'Mapping A'!$B$6:$E$1011,4,0)=1,$E213,""),0)</f>
        <v>0</v>
      </c>
      <c r="T213" s="519">
        <f ca="1">_xlfn.IFNA(IF(VLOOKUP($B213&amp;OFFSET(T$10,$A213*2,0),'Mapping A'!$B$6:$E$1011,4,0)=1,$E213,""),0)</f>
        <v>0</v>
      </c>
      <c r="Y213" s="534" t="str">
        <f t="shared" si="69"/>
        <v>GenesisTUI1101</v>
      </c>
      <c r="Z213" s="519" t="str">
        <f t="shared" si="48"/>
        <v>Genesis</v>
      </c>
      <c r="AA213" s="519" t="str">
        <f t="shared" si="49"/>
        <v>TUI1101</v>
      </c>
      <c r="AB213" s="519">
        <f t="shared" si="65"/>
        <v>0.67200000000000004</v>
      </c>
      <c r="AC213" s="324"/>
      <c r="AE213" s="519">
        <f t="shared" ca="1" si="50"/>
        <v>0</v>
      </c>
      <c r="AF213" s="519">
        <f t="shared" ca="1" si="51"/>
        <v>0</v>
      </c>
      <c r="AG213" s="519">
        <f t="shared" ca="1" si="52"/>
        <v>0</v>
      </c>
      <c r="AH213" s="519">
        <f t="shared" ca="1" si="53"/>
        <v>0</v>
      </c>
      <c r="AI213" s="519">
        <f t="shared" ca="1" si="66"/>
        <v>0</v>
      </c>
      <c r="AJ213" s="519">
        <f t="shared" ca="1" si="54"/>
        <v>0</v>
      </c>
      <c r="AK213" s="519">
        <f t="shared" ca="1" si="55"/>
        <v>0</v>
      </c>
      <c r="AL213" s="519">
        <f t="shared" ca="1" si="56"/>
        <v>0</v>
      </c>
      <c r="AM213" s="519">
        <f t="shared" ca="1" si="57"/>
        <v>0</v>
      </c>
      <c r="AN213" s="519">
        <f t="shared" ca="1" si="58"/>
        <v>0</v>
      </c>
      <c r="AO213" s="519">
        <f t="shared" ca="1" si="59"/>
        <v>0</v>
      </c>
      <c r="AP213" s="519">
        <f t="shared" ca="1" si="60"/>
        <v>0</v>
      </c>
      <c r="AQ213" s="519">
        <f t="shared" ca="1" si="61"/>
        <v>0</v>
      </c>
      <c r="AS213" s="536"/>
      <c r="AT213" s="536"/>
      <c r="AU213" s="519" t="str">
        <f t="shared" si="67"/>
        <v>Genesis</v>
      </c>
      <c r="AV213" s="519" t="str">
        <f t="shared" si="62"/>
        <v>TUI1101</v>
      </c>
      <c r="AW213" s="519">
        <f t="shared" si="63"/>
        <v>0.67200000000000004</v>
      </c>
      <c r="AX213" s="538"/>
      <c r="AY213" s="539">
        <f t="shared" ca="1" si="68"/>
        <v>2.0385149554022267E-2</v>
      </c>
      <c r="AZ213" s="189"/>
    </row>
    <row r="214" spans="1:52" x14ac:dyDescent="0.3">
      <c r="A214" s="556">
        <v>1</v>
      </c>
      <c r="B214" s="519" t="str">
        <f t="shared" si="64"/>
        <v>TWC</v>
      </c>
      <c r="C214" s="519" t="str">
        <f>AMDs!C195</f>
        <v>TrustPower</v>
      </c>
      <c r="D214" s="519" t="str">
        <f>AMDs!D195</f>
        <v>TWC2201</v>
      </c>
      <c r="E214" s="519">
        <f>IF(AMDs!C195="other",0,AMDs!E195)</f>
        <v>1.1906999999999901</v>
      </c>
      <c r="H214" s="519">
        <f ca="1">_xlfn.IFNA(IF(VLOOKUP($B214&amp;OFFSET(H$10,$A214*2,0),'Mapping A'!$B$6:$E$1011,4,0)=1,$E214,""),0)</f>
        <v>0</v>
      </c>
      <c r="I214" s="519">
        <f ca="1">_xlfn.IFNA(IF(VLOOKUP($B214&amp;OFFSET(I$10,$A214*2,0),'Mapping A'!$B$6:$E$1011,4,0)=1,$E214,""),0)</f>
        <v>1.1906999999999901</v>
      </c>
      <c r="J214" s="519">
        <f ca="1">_xlfn.IFNA(IF(VLOOKUP($B214&amp;OFFSET(J$10,$A214*2,0),'Mapping A'!$B$6:$E$1011,4,0)=1,$E214,""),0)</f>
        <v>1.1906999999999901</v>
      </c>
      <c r="K214" s="519">
        <f ca="1">_xlfn.IFNA(IF(VLOOKUP($B214&amp;OFFSET(K$10,$A214*2,0),'Mapping A'!$B$6:$E$1011,4,0)=1,$E214,""),0)</f>
        <v>0</v>
      </c>
      <c r="L214" s="519">
        <f ca="1">_xlfn.IFNA(IF(VLOOKUP($B214&amp;OFFSET(L$10,$A214*2,0),'Mapping A'!$B$6:$E$1011,4,0)=1,$E214,""),0)</f>
        <v>0</v>
      </c>
      <c r="M214" s="519">
        <f ca="1">_xlfn.IFNA(IF(VLOOKUP($B214&amp;OFFSET(M$10,$A214*2,0),'Mapping A'!$B$6:$E$1011,4,0)=1,$E214,""),0)</f>
        <v>0</v>
      </c>
      <c r="N214" s="519">
        <f ca="1">_xlfn.IFNA(IF(VLOOKUP($B214&amp;OFFSET(N$10,$A214*2,0),'Mapping A'!$B$6:$E$1011,4,0)=1,$E214,""),0)</f>
        <v>0</v>
      </c>
      <c r="O214" s="519">
        <f ca="1">_xlfn.IFNA(IF(VLOOKUP($B214&amp;OFFSET(O$10,$A214*2,0),'Mapping A'!$B$6:$E$1011,4,0)=1,$E214,""),0)</f>
        <v>0</v>
      </c>
      <c r="P214" s="519">
        <f ca="1">_xlfn.IFNA(IF(VLOOKUP($B214&amp;OFFSET(P$10,$A214*2,0),'Mapping A'!$B$6:$E$1011,4,0)=1,$E214,""),0)</f>
        <v>0</v>
      </c>
      <c r="Q214" s="519">
        <f ca="1">_xlfn.IFNA(IF(VLOOKUP($B214&amp;OFFSET(Q$10,$A214*2,0),'Mapping A'!$B$6:$E$1011,4,0)=1,$E214,""),0)</f>
        <v>0</v>
      </c>
      <c r="R214" s="519">
        <f ca="1">_xlfn.IFNA(IF(VLOOKUP($B214&amp;OFFSET(R$10,$A214*2,0),'Mapping A'!$B$6:$E$1011,4,0)=1,$E214,""),0)</f>
        <v>0</v>
      </c>
      <c r="S214" s="519">
        <f ca="1">_xlfn.IFNA(IF(VLOOKUP($B214&amp;OFFSET(S$10,$A214*2,0),'Mapping A'!$B$6:$E$1011,4,0)=1,$E214,""),0)</f>
        <v>0</v>
      </c>
      <c r="T214" s="519">
        <f ca="1">_xlfn.IFNA(IF(VLOOKUP($B214&amp;OFFSET(T$10,$A214*2,0),'Mapping A'!$B$6:$E$1011,4,0)=1,$E214,""),0)</f>
        <v>0</v>
      </c>
      <c r="Y214" s="534" t="str">
        <f t="shared" si="69"/>
        <v>TrustPowerTWC2201</v>
      </c>
      <c r="Z214" s="519" t="str">
        <f t="shared" ref="Z214:Z246" si="70">C214</f>
        <v>TrustPower</v>
      </c>
      <c r="AA214" s="519" t="str">
        <f t="shared" ref="AA214:AA246" si="71">D214</f>
        <v>TWC2201</v>
      </c>
      <c r="AB214" s="519">
        <f t="shared" si="65"/>
        <v>1.1906999999999901</v>
      </c>
      <c r="AC214" s="324"/>
      <c r="AE214" s="519">
        <f t="shared" ref="AE214:AE246" ca="1" si="72">IF(SUMIF($A$22:$A$652,$A214,H$22:H$652)=0,0,OFFSET(H$11,$A214*2,0)*H$7*H214/SUMIF($A$22:$A$652,$A214,H$22:H$652))</f>
        <v>0</v>
      </c>
      <c r="AF214" s="519">
        <f t="shared" ref="AF214:AF246" ca="1" si="73">IF(SUMIF($A$22:$A$652,$A214,I$22:I$652)=0,0,OFFSET(I$11,$A214*2,0)*I$7*I214/SUMIF($A$22:$A$652,$A214,I$22:I$652))</f>
        <v>0</v>
      </c>
      <c r="AG214" s="519">
        <f t="shared" ref="AG214:AG246" ca="1" si="74">IF(SUMIF($A$22:$A$652,$A214,J$22:J$652)=0,0,OFFSET(J$11,$A214*2,0)*J$7*J214/SUMIF($A$22:$A$652,$A214,J$22:J$652))</f>
        <v>0</v>
      </c>
      <c r="AH214" s="519">
        <f t="shared" ref="AH214:AH246" ca="1" si="75">IF(SUMIF($A$22:$A$652,$A214,K$22:K$652)=0,0,OFFSET(K$11,$A214*2,0)*K$7*K214/SUMIF($A$22:$A$652,$A214,K$22:K$652))</f>
        <v>0</v>
      </c>
      <c r="AI214" s="519">
        <f t="shared" ca="1" si="66"/>
        <v>0</v>
      </c>
      <c r="AJ214" s="519">
        <f t="shared" ref="AJ214:AJ246" ca="1" si="76">IF(SUMIF($A$22:$A$652,$A214,M$22:M$652)=0,0,OFFSET(M$11,$A214*2,0)*M$7*M214/SUMIF($A$22:$A$652,$A214,M$22:M$652))</f>
        <v>0</v>
      </c>
      <c r="AK214" s="519">
        <f t="shared" ref="AK214:AK246" ca="1" si="77">IF(SUMIF($A$22:$A$652,$A214,N$22:N$652)=0,0,OFFSET(N$11,$A214*2,0)*N$7*N214/SUMIF($A$22:$A$652,$A214,N$22:N$652))</f>
        <v>0</v>
      </c>
      <c r="AL214" s="519">
        <f t="shared" ref="AL214:AL246" ca="1" si="78">IF(SUMIF($A$22:$A$652,$A214,O$22:O$652)=0,0,OFFSET(O$11,$A214*2,0)*O$7*O214/SUMIF($A$22:$A$652,$A214,O$22:O$652))</f>
        <v>0</v>
      </c>
      <c r="AM214" s="519">
        <f t="shared" ref="AM214:AM246" ca="1" si="79">IF(SUMIF($A$22:$A$652,$A214,P$22:P$652)=0,0,OFFSET(P$11,$A214*2,0)*P$7*P214/SUMIF($A$22:$A$652,$A214,P$22:P$652))</f>
        <v>0</v>
      </c>
      <c r="AN214" s="519">
        <f t="shared" ref="AN214:AN246" ca="1" si="80">IF(SUMIF($A$22:$A$652,$A214,Q$22:Q$652)=0,0,OFFSET(Q$11,$A214*2,0)*Q$7*Q214/SUMIF($A$22:$A$652,$A214,Q$22:Q$652))</f>
        <v>0</v>
      </c>
      <c r="AO214" s="519">
        <f t="shared" ref="AO214:AO246" ca="1" si="81">IF(SUMIF($A$22:$A$652,$A214,R$22:R$652)=0,0,OFFSET(R$11,$A214*2,0)*R$7*R214/SUMIF($A$22:$A$652,$A214,R$22:R$652))</f>
        <v>0</v>
      </c>
      <c r="AP214" s="519">
        <f t="shared" ref="AP214:AP246" ca="1" si="82">IF(SUMIF($A$22:$A$652,$A214,S$22:S$652)=0,0,OFFSET(S$11,$A214*2,0)*S$7*S214/SUMIF($A$22:$A$652,$A214,S$22:S$652))</f>
        <v>0</v>
      </c>
      <c r="AQ214" s="519">
        <f t="shared" ref="AQ214:AQ246" ca="1" si="83">IF(SUMIF($A$22:$A$652,$A214,T$22:T$652)=0,0,OFFSET(T$11,$A214*2,0)*T$7*T214/SUMIF($A$22:$A$652,$A214,T$22:T$652))</f>
        <v>0</v>
      </c>
      <c r="AS214" s="536"/>
      <c r="AT214" s="536"/>
      <c r="AU214" s="519" t="str">
        <f t="shared" si="67"/>
        <v>TrustPower</v>
      </c>
      <c r="AV214" s="519" t="str">
        <f t="shared" ref="AV214:AV246" si="84">D214</f>
        <v>TWC2201</v>
      </c>
      <c r="AW214" s="519">
        <f t="shared" ref="AW214:AW246" si="85">E214</f>
        <v>1.1906999999999901</v>
      </c>
      <c r="AX214" s="538"/>
      <c r="AY214" s="539">
        <f t="shared" ca="1" si="68"/>
        <v>3.6119936866032903E-2</v>
      </c>
      <c r="AZ214" s="189"/>
    </row>
    <row r="215" spans="1:52" x14ac:dyDescent="0.3">
      <c r="A215" s="556">
        <v>1</v>
      </c>
      <c r="B215" s="519" t="str">
        <f t="shared" ref="B215:B246" si="86">LEFT(D215,3)</f>
        <v>TWH</v>
      </c>
      <c r="C215" s="519" t="str">
        <f>AMDs!C196</f>
        <v>WEL</v>
      </c>
      <c r="D215" s="519" t="str">
        <f>AMDs!D196</f>
        <v>TWH0331</v>
      </c>
      <c r="E215" s="519">
        <f>IF(AMDs!C196="other",0,AMDs!E196)</f>
        <v>86.625</v>
      </c>
      <c r="H215" s="519">
        <f ca="1">_xlfn.IFNA(IF(VLOOKUP($B215&amp;OFFSET(H$10,$A215*2,0),'Mapping A'!$B$6:$E$1011,4,0)=1,$E215,""),0)</f>
        <v>0</v>
      </c>
      <c r="I215" s="519">
        <f ca="1">_xlfn.IFNA(IF(VLOOKUP($B215&amp;OFFSET(I$10,$A215*2,0),'Mapping A'!$B$6:$E$1011,4,0)=1,$E215,""),0)</f>
        <v>86.625</v>
      </c>
      <c r="J215" s="519">
        <f ca="1">_xlfn.IFNA(IF(VLOOKUP($B215&amp;OFFSET(J$10,$A215*2,0),'Mapping A'!$B$6:$E$1011,4,0)=1,$E215,""),0)</f>
        <v>86.625</v>
      </c>
      <c r="K215" s="519">
        <f ca="1">_xlfn.IFNA(IF(VLOOKUP($B215&amp;OFFSET(K$10,$A215*2,0),'Mapping A'!$B$6:$E$1011,4,0)=1,$E215,""),0)</f>
        <v>0</v>
      </c>
      <c r="L215" s="519">
        <f ca="1">_xlfn.IFNA(IF(VLOOKUP($B215&amp;OFFSET(L$10,$A215*2,0),'Mapping A'!$B$6:$E$1011,4,0)=1,$E215,""),0)</f>
        <v>0</v>
      </c>
      <c r="M215" s="519">
        <f ca="1">_xlfn.IFNA(IF(VLOOKUP($B215&amp;OFFSET(M$10,$A215*2,0),'Mapping A'!$B$6:$E$1011,4,0)=1,$E215,""),0)</f>
        <v>86.625</v>
      </c>
      <c r="N215" s="519">
        <f ca="1">_xlfn.IFNA(IF(VLOOKUP($B215&amp;OFFSET(N$10,$A215*2,0),'Mapping A'!$B$6:$E$1011,4,0)=1,$E215,""),0)</f>
        <v>0</v>
      </c>
      <c r="O215" s="519">
        <f ca="1">_xlfn.IFNA(IF(VLOOKUP($B215&amp;OFFSET(O$10,$A215*2,0),'Mapping A'!$B$6:$E$1011,4,0)=1,$E215,""),0)</f>
        <v>0</v>
      </c>
      <c r="P215" s="519">
        <f ca="1">_xlfn.IFNA(IF(VLOOKUP($B215&amp;OFFSET(P$10,$A215*2,0),'Mapping A'!$B$6:$E$1011,4,0)=1,$E215,""),0)</f>
        <v>0</v>
      </c>
      <c r="Q215" s="519">
        <f ca="1">_xlfn.IFNA(IF(VLOOKUP($B215&amp;OFFSET(Q$10,$A215*2,0),'Mapping A'!$B$6:$E$1011,4,0)=1,$E215,""),0)</f>
        <v>0</v>
      </c>
      <c r="R215" s="519">
        <f ca="1">_xlfn.IFNA(IF(VLOOKUP($B215&amp;OFFSET(R$10,$A215*2,0),'Mapping A'!$B$6:$E$1011,4,0)=1,$E215,""),0)</f>
        <v>0</v>
      </c>
      <c r="S215" s="519">
        <f ca="1">_xlfn.IFNA(IF(VLOOKUP($B215&amp;OFFSET(S$10,$A215*2,0),'Mapping A'!$B$6:$E$1011,4,0)=1,$E215,""),0)</f>
        <v>0</v>
      </c>
      <c r="T215" s="519">
        <f ca="1">_xlfn.IFNA(IF(VLOOKUP($B215&amp;OFFSET(T$10,$A215*2,0),'Mapping A'!$B$6:$E$1011,4,0)=1,$E215,""),0)</f>
        <v>0</v>
      </c>
      <c r="Y215" s="534" t="str">
        <f t="shared" si="69"/>
        <v>WELTWH0331</v>
      </c>
      <c r="Z215" s="519" t="str">
        <f t="shared" si="70"/>
        <v>WEL</v>
      </c>
      <c r="AA215" s="519" t="str">
        <f t="shared" si="71"/>
        <v>TWH0331</v>
      </c>
      <c r="AB215" s="519">
        <f t="shared" ref="AB215:AB246" si="87">E215</f>
        <v>86.625</v>
      </c>
      <c r="AC215" s="324"/>
      <c r="AE215" s="519">
        <f t="shared" ca="1" si="72"/>
        <v>0</v>
      </c>
      <c r="AF215" s="519">
        <f t="shared" ca="1" si="73"/>
        <v>0</v>
      </c>
      <c r="AG215" s="519">
        <f t="shared" ca="1" si="74"/>
        <v>0</v>
      </c>
      <c r="AH215" s="519">
        <f t="shared" ca="1" si="75"/>
        <v>0</v>
      </c>
      <c r="AI215" s="519">
        <f t="shared" ref="AI215:AI246" ca="1" si="88">IF(SUMIF($A$22:$A$652,$A215,L$22:L$652)=0,0,OFFSET(L$11,$A215*2,0)*L$7*L215/SUMIF($A$22:$A$652,$A215,L$22:L$652))</f>
        <v>0</v>
      </c>
      <c r="AJ215" s="519">
        <f t="shared" ca="1" si="76"/>
        <v>0</v>
      </c>
      <c r="AK215" s="519">
        <f t="shared" ca="1" si="77"/>
        <v>0</v>
      </c>
      <c r="AL215" s="519">
        <f t="shared" ca="1" si="78"/>
        <v>0</v>
      </c>
      <c r="AM215" s="519">
        <f t="shared" ca="1" si="79"/>
        <v>0</v>
      </c>
      <c r="AN215" s="519">
        <f t="shared" ca="1" si="80"/>
        <v>0</v>
      </c>
      <c r="AO215" s="519">
        <f t="shared" ca="1" si="81"/>
        <v>0</v>
      </c>
      <c r="AP215" s="519">
        <f t="shared" ca="1" si="82"/>
        <v>0</v>
      </c>
      <c r="AQ215" s="519">
        <f t="shared" ca="1" si="83"/>
        <v>0</v>
      </c>
      <c r="AS215" s="536"/>
      <c r="AT215" s="536"/>
      <c r="AU215" s="519" t="str">
        <f t="shared" ref="AU215:AU246" si="89">C215</f>
        <v>WEL</v>
      </c>
      <c r="AV215" s="519" t="str">
        <f t="shared" si="84"/>
        <v>TWH0331</v>
      </c>
      <c r="AW215" s="519">
        <f t="shared" si="85"/>
        <v>86.625</v>
      </c>
      <c r="AX215" s="538"/>
      <c r="AY215" s="539">
        <f t="shared" ref="AY215:AY246" ca="1" si="90">($AW$12-$AW$14)*AW215/$AW$13</f>
        <v>2.6277731846981824</v>
      </c>
      <c r="AZ215" s="189"/>
    </row>
    <row r="216" spans="1:52" x14ac:dyDescent="0.3">
      <c r="A216" s="556">
        <v>1</v>
      </c>
      <c r="B216" s="519" t="str">
        <f t="shared" si="86"/>
        <v>TWI</v>
      </c>
      <c r="C216" s="519" t="str">
        <f>AMDs!C197</f>
        <v>Pacific Aluminium</v>
      </c>
      <c r="D216" s="519" t="str">
        <f>AMDs!D197</f>
        <v>TWI2201</v>
      </c>
      <c r="E216" s="519">
        <f>IF(AMDs!C197="other",0,AMDs!E197)</f>
        <v>582.21400000000006</v>
      </c>
      <c r="H216" s="519">
        <f ca="1">_xlfn.IFNA(IF(VLOOKUP($B216&amp;OFFSET(H$10,$A216*2,0),'Mapping A'!$B$6:$E$1011,4,0)=1,$E216,""),0)</f>
        <v>0</v>
      </c>
      <c r="I216" s="519">
        <f ca="1">_xlfn.IFNA(IF(VLOOKUP($B216&amp;OFFSET(I$10,$A216*2,0),'Mapping A'!$B$6:$E$1011,4,0)=1,$E216,""),0)</f>
        <v>582.21400000000006</v>
      </c>
      <c r="J216" s="519">
        <f ca="1">_xlfn.IFNA(IF(VLOOKUP($B216&amp;OFFSET(J$10,$A216*2,0),'Mapping A'!$B$6:$E$1011,4,0)=1,$E216,""),0)</f>
        <v>0</v>
      </c>
      <c r="K216" s="519">
        <f ca="1">_xlfn.IFNA(IF(VLOOKUP($B216&amp;OFFSET(K$10,$A216*2,0),'Mapping A'!$B$6:$E$1011,4,0)=1,$E216,""),0)</f>
        <v>0</v>
      </c>
      <c r="L216" s="519">
        <f ca="1">_xlfn.IFNA(IF(VLOOKUP($B216&amp;OFFSET(L$10,$A216*2,0),'Mapping A'!$B$6:$E$1011,4,0)=1,$E216,""),0)</f>
        <v>0</v>
      </c>
      <c r="M216" s="519">
        <f ca="1">_xlfn.IFNA(IF(VLOOKUP($B216&amp;OFFSET(M$10,$A216*2,0),'Mapping A'!$B$6:$E$1011,4,0)=1,$E216,""),0)</f>
        <v>0</v>
      </c>
      <c r="N216" s="519">
        <f ca="1">_xlfn.IFNA(IF(VLOOKUP($B216&amp;OFFSET(N$10,$A216*2,0),'Mapping A'!$B$6:$E$1011,4,0)=1,$E216,""),0)</f>
        <v>0</v>
      </c>
      <c r="O216" s="519">
        <f ca="1">_xlfn.IFNA(IF(VLOOKUP($B216&amp;OFFSET(O$10,$A216*2,0),'Mapping A'!$B$6:$E$1011,4,0)=1,$E216,""),0)</f>
        <v>0</v>
      </c>
      <c r="P216" s="519">
        <f ca="1">_xlfn.IFNA(IF(VLOOKUP($B216&amp;OFFSET(P$10,$A216*2,0),'Mapping A'!$B$6:$E$1011,4,0)=1,$E216,""),0)</f>
        <v>0</v>
      </c>
      <c r="Q216" s="519">
        <f ca="1">_xlfn.IFNA(IF(VLOOKUP($B216&amp;OFFSET(Q$10,$A216*2,0),'Mapping A'!$B$6:$E$1011,4,0)=1,$E216,""),0)</f>
        <v>0</v>
      </c>
      <c r="R216" s="519">
        <f ca="1">_xlfn.IFNA(IF(VLOOKUP($B216&amp;OFFSET(R$10,$A216*2,0),'Mapping A'!$B$6:$E$1011,4,0)=1,$E216,""),0)</f>
        <v>582.21400000000006</v>
      </c>
      <c r="S216" s="519">
        <f ca="1">_xlfn.IFNA(IF(VLOOKUP($B216&amp;OFFSET(S$10,$A216*2,0),'Mapping A'!$B$6:$E$1011,4,0)=1,$E216,""),0)</f>
        <v>0</v>
      </c>
      <c r="T216" s="519">
        <f ca="1">_xlfn.IFNA(IF(VLOOKUP($B216&amp;OFFSET(T$10,$A216*2,0),'Mapping A'!$B$6:$E$1011,4,0)=1,$E216,""),0)</f>
        <v>0</v>
      </c>
      <c r="Y216" s="534" t="str">
        <f t="shared" ref="Y216:Y246" si="91">Z216&amp;AA216</f>
        <v>Pacific AluminiumTWI2201</v>
      </c>
      <c r="Z216" s="519" t="str">
        <f t="shared" si="70"/>
        <v>Pacific Aluminium</v>
      </c>
      <c r="AA216" s="519" t="str">
        <f t="shared" si="71"/>
        <v>TWI2201</v>
      </c>
      <c r="AB216" s="519">
        <f t="shared" si="87"/>
        <v>582.21400000000006</v>
      </c>
      <c r="AC216" s="324"/>
      <c r="AE216" s="519">
        <f t="shared" ca="1" si="72"/>
        <v>0</v>
      </c>
      <c r="AF216" s="519">
        <f t="shared" ca="1" si="73"/>
        <v>0</v>
      </c>
      <c r="AG216" s="519">
        <f t="shared" ca="1" si="74"/>
        <v>0</v>
      </c>
      <c r="AH216" s="519">
        <f t="shared" ca="1" si="75"/>
        <v>0</v>
      </c>
      <c r="AI216" s="519">
        <f t="shared" ca="1" si="88"/>
        <v>0</v>
      </c>
      <c r="AJ216" s="519">
        <f t="shared" ca="1" si="76"/>
        <v>0</v>
      </c>
      <c r="AK216" s="519">
        <f t="shared" ca="1" si="77"/>
        <v>0</v>
      </c>
      <c r="AL216" s="519">
        <f t="shared" ca="1" si="78"/>
        <v>0</v>
      </c>
      <c r="AM216" s="519">
        <f t="shared" ca="1" si="79"/>
        <v>0</v>
      </c>
      <c r="AN216" s="519">
        <f t="shared" ca="1" si="80"/>
        <v>0</v>
      </c>
      <c r="AO216" s="519">
        <f t="shared" ca="1" si="81"/>
        <v>1.414219581372655</v>
      </c>
      <c r="AP216" s="519">
        <f t="shared" ca="1" si="82"/>
        <v>0</v>
      </c>
      <c r="AQ216" s="519">
        <f t="shared" ca="1" si="83"/>
        <v>0</v>
      </c>
      <c r="AS216" s="536"/>
      <c r="AT216" s="536"/>
      <c r="AU216" s="519" t="str">
        <f t="shared" si="89"/>
        <v>Pacific Aluminium</v>
      </c>
      <c r="AV216" s="519" t="str">
        <f t="shared" si="84"/>
        <v>TWI2201</v>
      </c>
      <c r="AW216" s="519">
        <f t="shared" si="85"/>
        <v>582.21400000000006</v>
      </c>
      <c r="AX216" s="538"/>
      <c r="AY216" s="539">
        <f t="shared" ca="1" si="90"/>
        <v>17.661487295305836</v>
      </c>
      <c r="AZ216" s="189"/>
    </row>
    <row r="217" spans="1:52" x14ac:dyDescent="0.3">
      <c r="A217" s="556">
        <v>1</v>
      </c>
      <c r="B217" s="519" t="str">
        <f t="shared" si="86"/>
        <v>TWZ</v>
      </c>
      <c r="C217" s="519" t="str">
        <f>AMDs!C198</f>
        <v>Alpine Energy</v>
      </c>
      <c r="D217" s="519" t="str">
        <f>AMDs!D198</f>
        <v>TWZ0331</v>
      </c>
      <c r="E217" s="519">
        <f>IF(AMDs!C198="other",0,AMDs!E198)</f>
        <v>3.3369</v>
      </c>
      <c r="H217" s="519">
        <f ca="1">_xlfn.IFNA(IF(VLOOKUP($B217&amp;OFFSET(H$10,$A217*2,0),'Mapping A'!$B$6:$E$1011,4,0)=1,$E217,""),0)</f>
        <v>0</v>
      </c>
      <c r="I217" s="519">
        <f ca="1">_xlfn.IFNA(IF(VLOOKUP($B217&amp;OFFSET(I$10,$A217*2,0),'Mapping A'!$B$6:$E$1011,4,0)=1,$E217,""),0)</f>
        <v>3.3369</v>
      </c>
      <c r="J217" s="519">
        <f ca="1">_xlfn.IFNA(IF(VLOOKUP($B217&amp;OFFSET(J$10,$A217*2,0),'Mapping A'!$B$6:$E$1011,4,0)=1,$E217,""),0)</f>
        <v>0</v>
      </c>
      <c r="K217" s="519">
        <f ca="1">_xlfn.IFNA(IF(VLOOKUP($B217&amp;OFFSET(K$10,$A217*2,0),'Mapping A'!$B$6:$E$1011,4,0)=1,$E217,""),0)</f>
        <v>0</v>
      </c>
      <c r="L217" s="519">
        <f ca="1">_xlfn.IFNA(IF(VLOOKUP($B217&amp;OFFSET(L$10,$A217*2,0),'Mapping A'!$B$6:$E$1011,4,0)=1,$E217,""),0)</f>
        <v>0</v>
      </c>
      <c r="M217" s="519">
        <f ca="1">_xlfn.IFNA(IF(VLOOKUP($B217&amp;OFFSET(M$10,$A217*2,0),'Mapping A'!$B$6:$E$1011,4,0)=1,$E217,""),0)</f>
        <v>0</v>
      </c>
      <c r="N217" s="519">
        <f ca="1">_xlfn.IFNA(IF(VLOOKUP($B217&amp;OFFSET(N$10,$A217*2,0),'Mapping A'!$B$6:$E$1011,4,0)=1,$E217,""),0)</f>
        <v>0</v>
      </c>
      <c r="O217" s="519">
        <f ca="1">_xlfn.IFNA(IF(VLOOKUP($B217&amp;OFFSET(O$10,$A217*2,0),'Mapping A'!$B$6:$E$1011,4,0)=1,$E217,""),0)</f>
        <v>0</v>
      </c>
      <c r="P217" s="519">
        <f ca="1">_xlfn.IFNA(IF(VLOOKUP($B217&amp;OFFSET(P$10,$A217*2,0),'Mapping A'!$B$6:$E$1011,4,0)=1,$E217,""),0)</f>
        <v>0</v>
      </c>
      <c r="Q217" s="519">
        <f ca="1">_xlfn.IFNA(IF(VLOOKUP($B217&amp;OFFSET(Q$10,$A217*2,0),'Mapping A'!$B$6:$E$1011,4,0)=1,$E217,""),0)</f>
        <v>0</v>
      </c>
      <c r="R217" s="519">
        <f ca="1">_xlfn.IFNA(IF(VLOOKUP($B217&amp;OFFSET(R$10,$A217*2,0),'Mapping A'!$B$6:$E$1011,4,0)=1,$E217,""),0)</f>
        <v>0</v>
      </c>
      <c r="S217" s="519">
        <f ca="1">_xlfn.IFNA(IF(VLOOKUP($B217&amp;OFFSET(S$10,$A217*2,0),'Mapping A'!$B$6:$E$1011,4,0)=1,$E217,""),0)</f>
        <v>0</v>
      </c>
      <c r="T217" s="519">
        <f ca="1">_xlfn.IFNA(IF(VLOOKUP($B217&amp;OFFSET(T$10,$A217*2,0),'Mapping A'!$B$6:$E$1011,4,0)=1,$E217,""),0)</f>
        <v>0</v>
      </c>
      <c r="Y217" s="534" t="str">
        <f t="shared" si="91"/>
        <v>Alpine EnergyTWZ0331</v>
      </c>
      <c r="Z217" s="519" t="str">
        <f t="shared" si="70"/>
        <v>Alpine Energy</v>
      </c>
      <c r="AA217" s="519" t="str">
        <f t="shared" si="71"/>
        <v>TWZ0331</v>
      </c>
      <c r="AB217" s="519">
        <f t="shared" si="87"/>
        <v>3.3369</v>
      </c>
      <c r="AC217" s="324"/>
      <c r="AE217" s="519">
        <f t="shared" ca="1" si="72"/>
        <v>0</v>
      </c>
      <c r="AF217" s="519">
        <f t="shared" ca="1" si="73"/>
        <v>0</v>
      </c>
      <c r="AG217" s="519">
        <f t="shared" ca="1" si="74"/>
        <v>0</v>
      </c>
      <c r="AH217" s="519">
        <f t="shared" ca="1" si="75"/>
        <v>0</v>
      </c>
      <c r="AI217" s="519">
        <f t="shared" ca="1" si="88"/>
        <v>0</v>
      </c>
      <c r="AJ217" s="519">
        <f t="shared" ca="1" si="76"/>
        <v>0</v>
      </c>
      <c r="AK217" s="519">
        <f t="shared" ca="1" si="77"/>
        <v>0</v>
      </c>
      <c r="AL217" s="519">
        <f t="shared" ca="1" si="78"/>
        <v>0</v>
      </c>
      <c r="AM217" s="519">
        <f t="shared" ca="1" si="79"/>
        <v>0</v>
      </c>
      <c r="AN217" s="519">
        <f t="shared" ca="1" si="80"/>
        <v>0</v>
      </c>
      <c r="AO217" s="519">
        <f t="shared" ca="1" si="81"/>
        <v>0</v>
      </c>
      <c r="AP217" s="519">
        <f t="shared" ca="1" si="82"/>
        <v>0</v>
      </c>
      <c r="AQ217" s="519">
        <f t="shared" ca="1" si="83"/>
        <v>0</v>
      </c>
      <c r="AS217" s="536"/>
      <c r="AT217" s="536"/>
      <c r="AU217" s="519" t="str">
        <f t="shared" si="89"/>
        <v>Alpine Energy</v>
      </c>
      <c r="AV217" s="519" t="str">
        <f t="shared" si="84"/>
        <v>TWZ0331</v>
      </c>
      <c r="AW217" s="519">
        <f t="shared" si="85"/>
        <v>3.3369</v>
      </c>
      <c r="AX217" s="538"/>
      <c r="AY217" s="539">
        <f t="shared" ca="1" si="90"/>
        <v>0.10122500825419183</v>
      </c>
      <c r="AZ217" s="189"/>
    </row>
    <row r="218" spans="1:52" x14ac:dyDescent="0.3">
      <c r="A218" s="556">
        <v>1</v>
      </c>
      <c r="B218" s="519" t="str">
        <f t="shared" si="86"/>
        <v>TWZ</v>
      </c>
      <c r="C218" s="519" t="str">
        <f>AMDs!C199</f>
        <v>Meridian</v>
      </c>
      <c r="D218" s="519" t="str">
        <f>AMDs!D199</f>
        <v>TWZ0331</v>
      </c>
      <c r="E218" s="519">
        <f>IF(AMDs!C199="other",0,AMDs!E199)</f>
        <v>1.0983000000000001</v>
      </c>
      <c r="H218" s="519">
        <f ca="1">_xlfn.IFNA(IF(VLOOKUP($B218&amp;OFFSET(H$10,$A218*2,0),'Mapping A'!$B$6:$E$1011,4,0)=1,$E218,""),0)</f>
        <v>0</v>
      </c>
      <c r="I218" s="519">
        <f ca="1">_xlfn.IFNA(IF(VLOOKUP($B218&amp;OFFSET(I$10,$A218*2,0),'Mapping A'!$B$6:$E$1011,4,0)=1,$E218,""),0)</f>
        <v>1.0983000000000001</v>
      </c>
      <c r="J218" s="519">
        <f ca="1">_xlfn.IFNA(IF(VLOOKUP($B218&amp;OFFSET(J$10,$A218*2,0),'Mapping A'!$B$6:$E$1011,4,0)=1,$E218,""),0)</f>
        <v>0</v>
      </c>
      <c r="K218" s="519">
        <f ca="1">_xlfn.IFNA(IF(VLOOKUP($B218&amp;OFFSET(K$10,$A218*2,0),'Mapping A'!$B$6:$E$1011,4,0)=1,$E218,""),0)</f>
        <v>0</v>
      </c>
      <c r="L218" s="519">
        <f ca="1">_xlfn.IFNA(IF(VLOOKUP($B218&amp;OFFSET(L$10,$A218*2,0),'Mapping A'!$B$6:$E$1011,4,0)=1,$E218,""),0)</f>
        <v>0</v>
      </c>
      <c r="M218" s="519">
        <f ca="1">_xlfn.IFNA(IF(VLOOKUP($B218&amp;OFFSET(M$10,$A218*2,0),'Mapping A'!$B$6:$E$1011,4,0)=1,$E218,""),0)</f>
        <v>0</v>
      </c>
      <c r="N218" s="519">
        <f ca="1">_xlfn.IFNA(IF(VLOOKUP($B218&amp;OFFSET(N$10,$A218*2,0),'Mapping A'!$B$6:$E$1011,4,0)=1,$E218,""),0)</f>
        <v>0</v>
      </c>
      <c r="O218" s="519">
        <f ca="1">_xlfn.IFNA(IF(VLOOKUP($B218&amp;OFFSET(O$10,$A218*2,0),'Mapping A'!$B$6:$E$1011,4,0)=1,$E218,""),0)</f>
        <v>0</v>
      </c>
      <c r="P218" s="519">
        <f ca="1">_xlfn.IFNA(IF(VLOOKUP($B218&amp;OFFSET(P$10,$A218*2,0),'Mapping A'!$B$6:$E$1011,4,0)=1,$E218,""),0)</f>
        <v>0</v>
      </c>
      <c r="Q218" s="519">
        <f ca="1">_xlfn.IFNA(IF(VLOOKUP($B218&amp;OFFSET(Q$10,$A218*2,0),'Mapping A'!$B$6:$E$1011,4,0)=1,$E218,""),0)</f>
        <v>0</v>
      </c>
      <c r="R218" s="519">
        <f ca="1">_xlfn.IFNA(IF(VLOOKUP($B218&amp;OFFSET(R$10,$A218*2,0),'Mapping A'!$B$6:$E$1011,4,0)=1,$E218,""),0)</f>
        <v>0</v>
      </c>
      <c r="S218" s="519">
        <f ca="1">_xlfn.IFNA(IF(VLOOKUP($B218&amp;OFFSET(S$10,$A218*2,0),'Mapping A'!$B$6:$E$1011,4,0)=1,$E218,""),0)</f>
        <v>0</v>
      </c>
      <c r="T218" s="519">
        <f ca="1">_xlfn.IFNA(IF(VLOOKUP($B218&amp;OFFSET(T$10,$A218*2,0),'Mapping A'!$B$6:$E$1011,4,0)=1,$E218,""),0)</f>
        <v>0</v>
      </c>
      <c r="Y218" s="534" t="str">
        <f t="shared" si="91"/>
        <v>MeridianTWZ0331</v>
      </c>
      <c r="Z218" s="519" t="str">
        <f t="shared" si="70"/>
        <v>Meridian</v>
      </c>
      <c r="AA218" s="519" t="str">
        <f t="shared" si="71"/>
        <v>TWZ0331</v>
      </c>
      <c r="AB218" s="519">
        <f t="shared" si="87"/>
        <v>1.0983000000000001</v>
      </c>
      <c r="AC218" s="324"/>
      <c r="AE218" s="519">
        <f t="shared" ca="1" si="72"/>
        <v>0</v>
      </c>
      <c r="AF218" s="519">
        <f t="shared" ca="1" si="73"/>
        <v>0</v>
      </c>
      <c r="AG218" s="519">
        <f t="shared" ca="1" si="74"/>
        <v>0</v>
      </c>
      <c r="AH218" s="519">
        <f t="shared" ca="1" si="75"/>
        <v>0</v>
      </c>
      <c r="AI218" s="519">
        <f t="shared" ca="1" si="88"/>
        <v>0</v>
      </c>
      <c r="AJ218" s="519">
        <f t="shared" ca="1" si="76"/>
        <v>0</v>
      </c>
      <c r="AK218" s="519">
        <f t="shared" ca="1" si="77"/>
        <v>0</v>
      </c>
      <c r="AL218" s="519">
        <f t="shared" ca="1" si="78"/>
        <v>0</v>
      </c>
      <c r="AM218" s="519">
        <f t="shared" ca="1" si="79"/>
        <v>0</v>
      </c>
      <c r="AN218" s="519">
        <f t="shared" ca="1" si="80"/>
        <v>0</v>
      </c>
      <c r="AO218" s="519">
        <f t="shared" ca="1" si="81"/>
        <v>0</v>
      </c>
      <c r="AP218" s="519">
        <f t="shared" ca="1" si="82"/>
        <v>0</v>
      </c>
      <c r="AQ218" s="519">
        <f t="shared" ca="1" si="83"/>
        <v>0</v>
      </c>
      <c r="AS218" s="536"/>
      <c r="AT218" s="536"/>
      <c r="AU218" s="519" t="str">
        <f t="shared" si="89"/>
        <v>Meridian</v>
      </c>
      <c r="AV218" s="519" t="str">
        <f t="shared" si="84"/>
        <v>TWZ0331</v>
      </c>
      <c r="AW218" s="519">
        <f t="shared" si="85"/>
        <v>1.0983000000000001</v>
      </c>
      <c r="AX218" s="538"/>
      <c r="AY218" s="539">
        <f t="shared" ca="1" si="90"/>
        <v>3.3316978802355145E-2</v>
      </c>
      <c r="AZ218" s="189"/>
    </row>
    <row r="219" spans="1:52" x14ac:dyDescent="0.3">
      <c r="A219" s="556">
        <v>1</v>
      </c>
      <c r="B219" s="519" t="str">
        <f t="shared" si="86"/>
        <v>TWZ</v>
      </c>
      <c r="C219" s="519" t="str">
        <f>AMDs!C200</f>
        <v>Network Waitaki</v>
      </c>
      <c r="D219" s="519" t="str">
        <f>AMDs!D200</f>
        <v>TWZ0331</v>
      </c>
      <c r="E219" s="519">
        <f>IF(AMDs!C200="other",0,AMDs!E200)</f>
        <v>4.8216000000000001</v>
      </c>
      <c r="H219" s="519">
        <f ca="1">_xlfn.IFNA(IF(VLOOKUP($B219&amp;OFFSET(H$10,$A219*2,0),'Mapping A'!$B$6:$E$1011,4,0)=1,$E219,""),0)</f>
        <v>0</v>
      </c>
      <c r="I219" s="519">
        <f ca="1">_xlfn.IFNA(IF(VLOOKUP($B219&amp;OFFSET(I$10,$A219*2,0),'Mapping A'!$B$6:$E$1011,4,0)=1,$E219,""),0)</f>
        <v>4.8216000000000001</v>
      </c>
      <c r="J219" s="519">
        <f ca="1">_xlfn.IFNA(IF(VLOOKUP($B219&amp;OFFSET(J$10,$A219*2,0),'Mapping A'!$B$6:$E$1011,4,0)=1,$E219,""),0)</f>
        <v>0</v>
      </c>
      <c r="K219" s="519">
        <f ca="1">_xlfn.IFNA(IF(VLOOKUP($B219&amp;OFFSET(K$10,$A219*2,0),'Mapping A'!$B$6:$E$1011,4,0)=1,$E219,""),0)</f>
        <v>0</v>
      </c>
      <c r="L219" s="519">
        <f ca="1">_xlfn.IFNA(IF(VLOOKUP($B219&amp;OFFSET(L$10,$A219*2,0),'Mapping A'!$B$6:$E$1011,4,0)=1,$E219,""),0)</f>
        <v>0</v>
      </c>
      <c r="M219" s="519">
        <f ca="1">_xlfn.IFNA(IF(VLOOKUP($B219&amp;OFFSET(M$10,$A219*2,0),'Mapping A'!$B$6:$E$1011,4,0)=1,$E219,""),0)</f>
        <v>0</v>
      </c>
      <c r="N219" s="519">
        <f ca="1">_xlfn.IFNA(IF(VLOOKUP($B219&amp;OFFSET(N$10,$A219*2,0),'Mapping A'!$B$6:$E$1011,4,0)=1,$E219,""),0)</f>
        <v>0</v>
      </c>
      <c r="O219" s="519">
        <f ca="1">_xlfn.IFNA(IF(VLOOKUP($B219&amp;OFFSET(O$10,$A219*2,0),'Mapping A'!$B$6:$E$1011,4,0)=1,$E219,""),0)</f>
        <v>0</v>
      </c>
      <c r="P219" s="519">
        <f ca="1">_xlfn.IFNA(IF(VLOOKUP($B219&amp;OFFSET(P$10,$A219*2,0),'Mapping A'!$B$6:$E$1011,4,0)=1,$E219,""),0)</f>
        <v>0</v>
      </c>
      <c r="Q219" s="519">
        <f ca="1">_xlfn.IFNA(IF(VLOOKUP($B219&amp;OFFSET(Q$10,$A219*2,0),'Mapping A'!$B$6:$E$1011,4,0)=1,$E219,""),0)</f>
        <v>0</v>
      </c>
      <c r="R219" s="519">
        <f ca="1">_xlfn.IFNA(IF(VLOOKUP($B219&amp;OFFSET(R$10,$A219*2,0),'Mapping A'!$B$6:$E$1011,4,0)=1,$E219,""),0)</f>
        <v>0</v>
      </c>
      <c r="S219" s="519">
        <f ca="1">_xlfn.IFNA(IF(VLOOKUP($B219&amp;OFFSET(S$10,$A219*2,0),'Mapping A'!$B$6:$E$1011,4,0)=1,$E219,""),0)</f>
        <v>0</v>
      </c>
      <c r="T219" s="519">
        <f ca="1">_xlfn.IFNA(IF(VLOOKUP($B219&amp;OFFSET(T$10,$A219*2,0),'Mapping A'!$B$6:$E$1011,4,0)=1,$E219,""),0)</f>
        <v>0</v>
      </c>
      <c r="Y219" s="534" t="str">
        <f t="shared" si="91"/>
        <v>Network WaitakiTWZ0331</v>
      </c>
      <c r="Z219" s="519" t="str">
        <f t="shared" si="70"/>
        <v>Network Waitaki</v>
      </c>
      <c r="AA219" s="519" t="str">
        <f t="shared" si="71"/>
        <v>TWZ0331</v>
      </c>
      <c r="AB219" s="519">
        <f t="shared" si="87"/>
        <v>4.8216000000000001</v>
      </c>
      <c r="AC219" s="324"/>
      <c r="AE219" s="519">
        <f t="shared" ca="1" si="72"/>
        <v>0</v>
      </c>
      <c r="AF219" s="519">
        <f t="shared" ca="1" si="73"/>
        <v>0</v>
      </c>
      <c r="AG219" s="519">
        <f t="shared" ca="1" si="74"/>
        <v>0</v>
      </c>
      <c r="AH219" s="519">
        <f t="shared" ca="1" si="75"/>
        <v>0</v>
      </c>
      <c r="AI219" s="519">
        <f t="shared" ca="1" si="88"/>
        <v>0</v>
      </c>
      <c r="AJ219" s="519">
        <f t="shared" ca="1" si="76"/>
        <v>0</v>
      </c>
      <c r="AK219" s="519">
        <f t="shared" ca="1" si="77"/>
        <v>0</v>
      </c>
      <c r="AL219" s="519">
        <f t="shared" ca="1" si="78"/>
        <v>0</v>
      </c>
      <c r="AM219" s="519">
        <f t="shared" ca="1" si="79"/>
        <v>0</v>
      </c>
      <c r="AN219" s="519">
        <f t="shared" ca="1" si="80"/>
        <v>0</v>
      </c>
      <c r="AO219" s="519">
        <f t="shared" ca="1" si="81"/>
        <v>0</v>
      </c>
      <c r="AP219" s="519">
        <f t="shared" ca="1" si="82"/>
        <v>0</v>
      </c>
      <c r="AQ219" s="519">
        <f t="shared" ca="1" si="83"/>
        <v>0</v>
      </c>
      <c r="AS219" s="536"/>
      <c r="AT219" s="536"/>
      <c r="AU219" s="519" t="str">
        <f t="shared" si="89"/>
        <v>Network Waitaki</v>
      </c>
      <c r="AV219" s="519" t="str">
        <f t="shared" si="84"/>
        <v>TWZ0331</v>
      </c>
      <c r="AW219" s="519">
        <f t="shared" si="85"/>
        <v>4.8216000000000001</v>
      </c>
      <c r="AX219" s="538"/>
      <c r="AY219" s="539">
        <f t="shared" ca="1" si="90"/>
        <v>0.14626344805010977</v>
      </c>
      <c r="AZ219" s="189"/>
    </row>
    <row r="220" spans="1:52" x14ac:dyDescent="0.3">
      <c r="A220" s="556">
        <v>1</v>
      </c>
      <c r="B220" s="519" t="str">
        <f t="shared" si="86"/>
        <v>UHT</v>
      </c>
      <c r="C220" s="519" t="str">
        <f>AMDs!C201</f>
        <v>Wellington Electricity</v>
      </c>
      <c r="D220" s="519" t="str">
        <f>AMDs!D201</f>
        <v>UHT0331</v>
      </c>
      <c r="E220" s="519">
        <f>IF(AMDs!C201="other",0,AMDs!E201)</f>
        <v>32.003999999999998</v>
      </c>
      <c r="H220" s="519">
        <f ca="1">_xlfn.IFNA(IF(VLOOKUP($B220&amp;OFFSET(H$10,$A220*2,0),'Mapping A'!$B$6:$E$1011,4,0)=1,$E220,""),0)</f>
        <v>0</v>
      </c>
      <c r="I220" s="519">
        <f ca="1">_xlfn.IFNA(IF(VLOOKUP($B220&amp;OFFSET(I$10,$A220*2,0),'Mapping A'!$B$6:$E$1011,4,0)=1,$E220,""),0)</f>
        <v>32.003999999999998</v>
      </c>
      <c r="J220" s="519">
        <f ca="1">_xlfn.IFNA(IF(VLOOKUP($B220&amp;OFFSET(J$10,$A220*2,0),'Mapping A'!$B$6:$E$1011,4,0)=1,$E220,""),0)</f>
        <v>32.003999999999998</v>
      </c>
      <c r="K220" s="519">
        <f ca="1">_xlfn.IFNA(IF(VLOOKUP($B220&amp;OFFSET(K$10,$A220*2,0),'Mapping A'!$B$6:$E$1011,4,0)=1,$E220,""),0)</f>
        <v>0</v>
      </c>
      <c r="L220" s="519">
        <f ca="1">_xlfn.IFNA(IF(VLOOKUP($B220&amp;OFFSET(L$10,$A220*2,0),'Mapping A'!$B$6:$E$1011,4,0)=1,$E220,""),0)</f>
        <v>0</v>
      </c>
      <c r="M220" s="519">
        <f ca="1">_xlfn.IFNA(IF(VLOOKUP($B220&amp;OFFSET(M$10,$A220*2,0),'Mapping A'!$B$6:$E$1011,4,0)=1,$E220,""),0)</f>
        <v>0</v>
      </c>
      <c r="N220" s="519">
        <f ca="1">_xlfn.IFNA(IF(VLOOKUP($B220&amp;OFFSET(N$10,$A220*2,0),'Mapping A'!$B$6:$E$1011,4,0)=1,$E220,""),0)</f>
        <v>0</v>
      </c>
      <c r="O220" s="519">
        <f ca="1">_xlfn.IFNA(IF(VLOOKUP($B220&amp;OFFSET(O$10,$A220*2,0),'Mapping A'!$B$6:$E$1011,4,0)=1,$E220,""),0)</f>
        <v>0</v>
      </c>
      <c r="P220" s="519">
        <f ca="1">_xlfn.IFNA(IF(VLOOKUP($B220&amp;OFFSET(P$10,$A220*2,0),'Mapping A'!$B$6:$E$1011,4,0)=1,$E220,""),0)</f>
        <v>0</v>
      </c>
      <c r="Q220" s="519">
        <f ca="1">_xlfn.IFNA(IF(VLOOKUP($B220&amp;OFFSET(Q$10,$A220*2,0),'Mapping A'!$B$6:$E$1011,4,0)=1,$E220,""),0)</f>
        <v>0</v>
      </c>
      <c r="R220" s="519">
        <f ca="1">_xlfn.IFNA(IF(VLOOKUP($B220&amp;OFFSET(R$10,$A220*2,0),'Mapping A'!$B$6:$E$1011,4,0)=1,$E220,""),0)</f>
        <v>0</v>
      </c>
      <c r="S220" s="519">
        <f ca="1">_xlfn.IFNA(IF(VLOOKUP($B220&amp;OFFSET(S$10,$A220*2,0),'Mapping A'!$B$6:$E$1011,4,0)=1,$E220,""),0)</f>
        <v>0</v>
      </c>
      <c r="T220" s="519">
        <f ca="1">_xlfn.IFNA(IF(VLOOKUP($B220&amp;OFFSET(T$10,$A220*2,0),'Mapping A'!$B$6:$E$1011,4,0)=1,$E220,""),0)</f>
        <v>0</v>
      </c>
      <c r="Y220" s="534" t="str">
        <f t="shared" si="91"/>
        <v>Wellington ElectricityUHT0331</v>
      </c>
      <c r="Z220" s="519" t="str">
        <f t="shared" si="70"/>
        <v>Wellington Electricity</v>
      </c>
      <c r="AA220" s="519" t="str">
        <f t="shared" si="71"/>
        <v>UHT0331</v>
      </c>
      <c r="AB220" s="519">
        <f t="shared" si="87"/>
        <v>32.003999999999998</v>
      </c>
      <c r="AC220" s="324"/>
      <c r="AE220" s="519">
        <f t="shared" ca="1" si="72"/>
        <v>0</v>
      </c>
      <c r="AF220" s="519">
        <f t="shared" ca="1" si="73"/>
        <v>0</v>
      </c>
      <c r="AG220" s="519">
        <f t="shared" ca="1" si="74"/>
        <v>0</v>
      </c>
      <c r="AH220" s="519">
        <f t="shared" ca="1" si="75"/>
        <v>0</v>
      </c>
      <c r="AI220" s="519">
        <f t="shared" ca="1" si="88"/>
        <v>0</v>
      </c>
      <c r="AJ220" s="519">
        <f t="shared" ca="1" si="76"/>
        <v>0</v>
      </c>
      <c r="AK220" s="519">
        <f t="shared" ca="1" si="77"/>
        <v>0</v>
      </c>
      <c r="AL220" s="519">
        <f t="shared" ca="1" si="78"/>
        <v>0</v>
      </c>
      <c r="AM220" s="519">
        <f t="shared" ca="1" si="79"/>
        <v>0</v>
      </c>
      <c r="AN220" s="519">
        <f t="shared" ca="1" si="80"/>
        <v>0</v>
      </c>
      <c r="AO220" s="519">
        <f t="shared" ca="1" si="81"/>
        <v>0</v>
      </c>
      <c r="AP220" s="519">
        <f t="shared" ca="1" si="82"/>
        <v>0</v>
      </c>
      <c r="AQ220" s="519">
        <f t="shared" ca="1" si="83"/>
        <v>0</v>
      </c>
      <c r="AS220" s="536"/>
      <c r="AT220" s="536"/>
      <c r="AU220" s="519" t="str">
        <f t="shared" si="89"/>
        <v>Wellington Electricity</v>
      </c>
      <c r="AV220" s="519" t="str">
        <f t="shared" si="84"/>
        <v>UHT0331</v>
      </c>
      <c r="AW220" s="519">
        <f t="shared" si="85"/>
        <v>32.003999999999998</v>
      </c>
      <c r="AX220" s="538"/>
      <c r="AY220" s="539">
        <f t="shared" ca="1" si="90"/>
        <v>0.97084274751031041</v>
      </c>
      <c r="AZ220" s="189"/>
    </row>
    <row r="221" spans="1:52" x14ac:dyDescent="0.3">
      <c r="A221" s="556">
        <v>1</v>
      </c>
      <c r="B221" s="519" t="str">
        <f t="shared" si="86"/>
        <v>WAI</v>
      </c>
      <c r="C221" s="519" t="str">
        <f>AMDs!C202</f>
        <v>Horizon</v>
      </c>
      <c r="D221" s="519" t="str">
        <f>AMDs!D202</f>
        <v>WAI0111</v>
      </c>
      <c r="E221" s="519">
        <f>IF(AMDs!C202="other",0,AMDs!E202)</f>
        <v>9.9077999999999999</v>
      </c>
      <c r="H221" s="519">
        <f ca="1">_xlfn.IFNA(IF(VLOOKUP($B221&amp;OFFSET(H$10,$A221*2,0),'Mapping A'!$B$6:$E$1011,4,0)=1,$E221,""),0)</f>
        <v>0</v>
      </c>
      <c r="I221" s="519">
        <f ca="1">_xlfn.IFNA(IF(VLOOKUP($B221&amp;OFFSET(I$10,$A221*2,0),'Mapping A'!$B$6:$E$1011,4,0)=1,$E221,""),0)</f>
        <v>9.9077999999999999</v>
      </c>
      <c r="J221" s="519">
        <f ca="1">_xlfn.IFNA(IF(VLOOKUP($B221&amp;OFFSET(J$10,$A221*2,0),'Mapping A'!$B$6:$E$1011,4,0)=1,$E221,""),0)</f>
        <v>9.9077999999999999</v>
      </c>
      <c r="K221" s="519">
        <f ca="1">_xlfn.IFNA(IF(VLOOKUP($B221&amp;OFFSET(K$10,$A221*2,0),'Mapping A'!$B$6:$E$1011,4,0)=1,$E221,""),0)</f>
        <v>0</v>
      </c>
      <c r="L221" s="519">
        <f ca="1">_xlfn.IFNA(IF(VLOOKUP($B221&amp;OFFSET(L$10,$A221*2,0),'Mapping A'!$B$6:$E$1011,4,0)=1,$E221,""),0)</f>
        <v>0</v>
      </c>
      <c r="M221" s="519">
        <f ca="1">_xlfn.IFNA(IF(VLOOKUP($B221&amp;OFFSET(M$10,$A221*2,0),'Mapping A'!$B$6:$E$1011,4,0)=1,$E221,""),0)</f>
        <v>9.9077999999999999</v>
      </c>
      <c r="N221" s="519">
        <f ca="1">_xlfn.IFNA(IF(VLOOKUP($B221&amp;OFFSET(N$10,$A221*2,0),'Mapping A'!$B$6:$E$1011,4,0)=1,$E221,""),0)</f>
        <v>0</v>
      </c>
      <c r="O221" s="519">
        <f ca="1">_xlfn.IFNA(IF(VLOOKUP($B221&amp;OFFSET(O$10,$A221*2,0),'Mapping A'!$B$6:$E$1011,4,0)=1,$E221,""),0)</f>
        <v>0</v>
      </c>
      <c r="P221" s="519">
        <f ca="1">_xlfn.IFNA(IF(VLOOKUP($B221&amp;OFFSET(P$10,$A221*2,0),'Mapping A'!$B$6:$E$1011,4,0)=1,$E221,""),0)</f>
        <v>0</v>
      </c>
      <c r="Q221" s="519">
        <f ca="1">_xlfn.IFNA(IF(VLOOKUP($B221&amp;OFFSET(Q$10,$A221*2,0),'Mapping A'!$B$6:$E$1011,4,0)=1,$E221,""),0)</f>
        <v>0</v>
      </c>
      <c r="R221" s="519">
        <f ca="1">_xlfn.IFNA(IF(VLOOKUP($B221&amp;OFFSET(R$10,$A221*2,0),'Mapping A'!$B$6:$E$1011,4,0)=1,$E221,""),0)</f>
        <v>0</v>
      </c>
      <c r="S221" s="519">
        <f ca="1">_xlfn.IFNA(IF(VLOOKUP($B221&amp;OFFSET(S$10,$A221*2,0),'Mapping A'!$B$6:$E$1011,4,0)=1,$E221,""),0)</f>
        <v>0</v>
      </c>
      <c r="T221" s="519">
        <f ca="1">_xlfn.IFNA(IF(VLOOKUP($B221&amp;OFFSET(T$10,$A221*2,0),'Mapping A'!$B$6:$E$1011,4,0)=1,$E221,""),0)</f>
        <v>0</v>
      </c>
      <c r="Y221" s="534" t="str">
        <f t="shared" si="91"/>
        <v>HorizonWAI0111</v>
      </c>
      <c r="Z221" s="519" t="str">
        <f t="shared" si="70"/>
        <v>Horizon</v>
      </c>
      <c r="AA221" s="519" t="str">
        <f t="shared" si="71"/>
        <v>WAI0111</v>
      </c>
      <c r="AB221" s="519">
        <f t="shared" si="87"/>
        <v>9.9077999999999999</v>
      </c>
      <c r="AC221" s="324"/>
      <c r="AE221" s="519">
        <f t="shared" ca="1" si="72"/>
        <v>0</v>
      </c>
      <c r="AF221" s="519">
        <f t="shared" ca="1" si="73"/>
        <v>0</v>
      </c>
      <c r="AG221" s="519">
        <f t="shared" ca="1" si="74"/>
        <v>0</v>
      </c>
      <c r="AH221" s="519">
        <f t="shared" ca="1" si="75"/>
        <v>0</v>
      </c>
      <c r="AI221" s="519">
        <f t="shared" ca="1" si="88"/>
        <v>0</v>
      </c>
      <c r="AJ221" s="519">
        <f t="shared" ca="1" si="76"/>
        <v>0</v>
      </c>
      <c r="AK221" s="519">
        <f t="shared" ca="1" si="77"/>
        <v>0</v>
      </c>
      <c r="AL221" s="519">
        <f t="shared" ca="1" si="78"/>
        <v>0</v>
      </c>
      <c r="AM221" s="519">
        <f t="shared" ca="1" si="79"/>
        <v>0</v>
      </c>
      <c r="AN221" s="519">
        <f t="shared" ca="1" si="80"/>
        <v>0</v>
      </c>
      <c r="AO221" s="519">
        <f t="shared" ca="1" si="81"/>
        <v>0</v>
      </c>
      <c r="AP221" s="519">
        <f t="shared" ca="1" si="82"/>
        <v>0</v>
      </c>
      <c r="AQ221" s="519">
        <f t="shared" ca="1" si="83"/>
        <v>0</v>
      </c>
      <c r="AS221" s="536"/>
      <c r="AT221" s="536"/>
      <c r="AU221" s="519" t="str">
        <f t="shared" si="89"/>
        <v>Horizon</v>
      </c>
      <c r="AV221" s="519" t="str">
        <f t="shared" si="84"/>
        <v>WAI0111</v>
      </c>
      <c r="AW221" s="519">
        <f t="shared" si="85"/>
        <v>9.9077999999999999</v>
      </c>
      <c r="AX221" s="538"/>
      <c r="AY221" s="539">
        <f t="shared" ca="1" si="90"/>
        <v>0.30055354873711582</v>
      </c>
      <c r="AZ221" s="189"/>
    </row>
    <row r="222" spans="1:52" x14ac:dyDescent="0.3">
      <c r="A222" s="556">
        <v>1</v>
      </c>
      <c r="B222" s="519" t="str">
        <f t="shared" si="86"/>
        <v>WDV</v>
      </c>
      <c r="C222" s="519" t="str">
        <f>AMDs!C203</f>
        <v>Scanpower</v>
      </c>
      <c r="D222" s="519" t="str">
        <f>AMDs!D203</f>
        <v>WDV0111</v>
      </c>
      <c r="E222" s="519">
        <f>IF(AMDs!C203="other",0,AMDs!E203)</f>
        <v>2.6985000000000001</v>
      </c>
      <c r="H222" s="519">
        <f ca="1">_xlfn.IFNA(IF(VLOOKUP($B222&amp;OFFSET(H$10,$A222*2,0),'Mapping A'!$B$6:$E$1011,4,0)=1,$E222,""),0)</f>
        <v>0</v>
      </c>
      <c r="I222" s="519">
        <f ca="1">_xlfn.IFNA(IF(VLOOKUP($B222&amp;OFFSET(I$10,$A222*2,0),'Mapping A'!$B$6:$E$1011,4,0)=1,$E222,""),0)</f>
        <v>2.6985000000000001</v>
      </c>
      <c r="J222" s="519">
        <f ca="1">_xlfn.IFNA(IF(VLOOKUP($B222&amp;OFFSET(J$10,$A222*2,0),'Mapping A'!$B$6:$E$1011,4,0)=1,$E222,""),0)</f>
        <v>2.6985000000000001</v>
      </c>
      <c r="K222" s="519">
        <f ca="1">_xlfn.IFNA(IF(VLOOKUP($B222&amp;OFFSET(K$10,$A222*2,0),'Mapping A'!$B$6:$E$1011,4,0)=1,$E222,""),0)</f>
        <v>0</v>
      </c>
      <c r="L222" s="519">
        <f ca="1">_xlfn.IFNA(IF(VLOOKUP($B222&amp;OFFSET(L$10,$A222*2,0),'Mapping A'!$B$6:$E$1011,4,0)=1,$E222,""),0)</f>
        <v>0</v>
      </c>
      <c r="M222" s="519">
        <f ca="1">_xlfn.IFNA(IF(VLOOKUP($B222&amp;OFFSET(M$10,$A222*2,0),'Mapping A'!$B$6:$E$1011,4,0)=1,$E222,""),0)</f>
        <v>0</v>
      </c>
      <c r="N222" s="519">
        <f ca="1">_xlfn.IFNA(IF(VLOOKUP($B222&amp;OFFSET(N$10,$A222*2,0),'Mapping A'!$B$6:$E$1011,4,0)=1,$E222,""),0)</f>
        <v>0</v>
      </c>
      <c r="O222" s="519">
        <f ca="1">_xlfn.IFNA(IF(VLOOKUP($B222&amp;OFFSET(O$10,$A222*2,0),'Mapping A'!$B$6:$E$1011,4,0)=1,$E222,""),0)</f>
        <v>0</v>
      </c>
      <c r="P222" s="519">
        <f ca="1">_xlfn.IFNA(IF(VLOOKUP($B222&amp;OFFSET(P$10,$A222*2,0),'Mapping A'!$B$6:$E$1011,4,0)=1,$E222,""),0)</f>
        <v>0</v>
      </c>
      <c r="Q222" s="519">
        <f ca="1">_xlfn.IFNA(IF(VLOOKUP($B222&amp;OFFSET(Q$10,$A222*2,0),'Mapping A'!$B$6:$E$1011,4,0)=1,$E222,""),0)</f>
        <v>0</v>
      </c>
      <c r="R222" s="519">
        <f ca="1">_xlfn.IFNA(IF(VLOOKUP($B222&amp;OFFSET(R$10,$A222*2,0),'Mapping A'!$B$6:$E$1011,4,0)=1,$E222,""),0)</f>
        <v>0</v>
      </c>
      <c r="S222" s="519">
        <f ca="1">_xlfn.IFNA(IF(VLOOKUP($B222&amp;OFFSET(S$10,$A222*2,0),'Mapping A'!$B$6:$E$1011,4,0)=1,$E222,""),0)</f>
        <v>0</v>
      </c>
      <c r="T222" s="519">
        <f ca="1">_xlfn.IFNA(IF(VLOOKUP($B222&amp;OFFSET(T$10,$A222*2,0),'Mapping A'!$B$6:$E$1011,4,0)=1,$E222,""),0)</f>
        <v>0</v>
      </c>
      <c r="Y222" s="534" t="str">
        <f t="shared" si="91"/>
        <v>ScanpowerWDV0111</v>
      </c>
      <c r="Z222" s="519" t="str">
        <f t="shared" si="70"/>
        <v>Scanpower</v>
      </c>
      <c r="AA222" s="519" t="str">
        <f t="shared" si="71"/>
        <v>WDV0111</v>
      </c>
      <c r="AB222" s="519">
        <f t="shared" si="87"/>
        <v>2.6985000000000001</v>
      </c>
      <c r="AC222" s="324"/>
      <c r="AE222" s="519">
        <f t="shared" ca="1" si="72"/>
        <v>0</v>
      </c>
      <c r="AF222" s="519">
        <f t="shared" ca="1" si="73"/>
        <v>0</v>
      </c>
      <c r="AG222" s="519">
        <f t="shared" ca="1" si="74"/>
        <v>0</v>
      </c>
      <c r="AH222" s="519">
        <f t="shared" ca="1" si="75"/>
        <v>0</v>
      </c>
      <c r="AI222" s="519">
        <f t="shared" ca="1" si="88"/>
        <v>0</v>
      </c>
      <c r="AJ222" s="519">
        <f t="shared" ca="1" si="76"/>
        <v>0</v>
      </c>
      <c r="AK222" s="519">
        <f t="shared" ca="1" si="77"/>
        <v>0</v>
      </c>
      <c r="AL222" s="519">
        <f t="shared" ca="1" si="78"/>
        <v>0</v>
      </c>
      <c r="AM222" s="519">
        <f t="shared" ca="1" si="79"/>
        <v>0</v>
      </c>
      <c r="AN222" s="519">
        <f t="shared" ca="1" si="80"/>
        <v>0</v>
      </c>
      <c r="AO222" s="519">
        <f t="shared" ca="1" si="81"/>
        <v>0</v>
      </c>
      <c r="AP222" s="519">
        <f t="shared" ca="1" si="82"/>
        <v>0</v>
      </c>
      <c r="AQ222" s="519">
        <f t="shared" ca="1" si="83"/>
        <v>0</v>
      </c>
      <c r="AS222" s="536"/>
      <c r="AT222" s="536"/>
      <c r="AU222" s="519" t="str">
        <f t="shared" si="89"/>
        <v>Scanpower</v>
      </c>
      <c r="AV222" s="519" t="str">
        <f t="shared" si="84"/>
        <v>WDV0111</v>
      </c>
      <c r="AW222" s="519">
        <f t="shared" si="85"/>
        <v>2.6985000000000001</v>
      </c>
      <c r="AX222" s="538"/>
      <c r="AY222" s="539">
        <f t="shared" ca="1" si="90"/>
        <v>8.1859116177870672E-2</v>
      </c>
      <c r="AZ222" s="189"/>
    </row>
    <row r="223" spans="1:52" x14ac:dyDescent="0.3">
      <c r="A223" s="556">
        <v>1</v>
      </c>
      <c r="B223" s="519" t="str">
        <f t="shared" si="86"/>
        <v>WDV</v>
      </c>
      <c r="C223" s="519" t="str">
        <f>AMDs!C204</f>
        <v>Meridian</v>
      </c>
      <c r="D223" s="519" t="str">
        <f>AMDs!D204</f>
        <v>WDV1101</v>
      </c>
      <c r="E223" s="519">
        <f>IF(AMDs!C204="other",0,AMDs!E204)</f>
        <v>0.99329999999999996</v>
      </c>
      <c r="H223" s="519">
        <f ca="1">_xlfn.IFNA(IF(VLOOKUP($B223&amp;OFFSET(H$10,$A223*2,0),'Mapping A'!$B$6:$E$1011,4,0)=1,$E223,""),0)</f>
        <v>0</v>
      </c>
      <c r="I223" s="519">
        <f ca="1">_xlfn.IFNA(IF(VLOOKUP($B223&amp;OFFSET(I$10,$A223*2,0),'Mapping A'!$B$6:$E$1011,4,0)=1,$E223,""),0)</f>
        <v>0.99329999999999996</v>
      </c>
      <c r="J223" s="519">
        <f ca="1">_xlfn.IFNA(IF(VLOOKUP($B223&amp;OFFSET(J$10,$A223*2,0),'Mapping A'!$B$6:$E$1011,4,0)=1,$E223,""),0)</f>
        <v>0.99329999999999996</v>
      </c>
      <c r="K223" s="519">
        <f ca="1">_xlfn.IFNA(IF(VLOOKUP($B223&amp;OFFSET(K$10,$A223*2,0),'Mapping A'!$B$6:$E$1011,4,0)=1,$E223,""),0)</f>
        <v>0</v>
      </c>
      <c r="L223" s="519">
        <f ca="1">_xlfn.IFNA(IF(VLOOKUP($B223&amp;OFFSET(L$10,$A223*2,0),'Mapping A'!$B$6:$E$1011,4,0)=1,$E223,""),0)</f>
        <v>0</v>
      </c>
      <c r="M223" s="519">
        <f ca="1">_xlfn.IFNA(IF(VLOOKUP($B223&amp;OFFSET(M$10,$A223*2,0),'Mapping A'!$B$6:$E$1011,4,0)=1,$E223,""),0)</f>
        <v>0</v>
      </c>
      <c r="N223" s="519">
        <f ca="1">_xlfn.IFNA(IF(VLOOKUP($B223&amp;OFFSET(N$10,$A223*2,0),'Mapping A'!$B$6:$E$1011,4,0)=1,$E223,""),0)</f>
        <v>0</v>
      </c>
      <c r="O223" s="519">
        <f ca="1">_xlfn.IFNA(IF(VLOOKUP($B223&amp;OFFSET(O$10,$A223*2,0),'Mapping A'!$B$6:$E$1011,4,0)=1,$E223,""),0)</f>
        <v>0</v>
      </c>
      <c r="P223" s="519">
        <f ca="1">_xlfn.IFNA(IF(VLOOKUP($B223&amp;OFFSET(P$10,$A223*2,0),'Mapping A'!$B$6:$E$1011,4,0)=1,$E223,""),0)</f>
        <v>0</v>
      </c>
      <c r="Q223" s="519">
        <f ca="1">_xlfn.IFNA(IF(VLOOKUP($B223&amp;OFFSET(Q$10,$A223*2,0),'Mapping A'!$B$6:$E$1011,4,0)=1,$E223,""),0)</f>
        <v>0</v>
      </c>
      <c r="R223" s="519">
        <f ca="1">_xlfn.IFNA(IF(VLOOKUP($B223&amp;OFFSET(R$10,$A223*2,0),'Mapping A'!$B$6:$E$1011,4,0)=1,$E223,""),0)</f>
        <v>0</v>
      </c>
      <c r="S223" s="519">
        <f ca="1">_xlfn.IFNA(IF(VLOOKUP($B223&amp;OFFSET(S$10,$A223*2,0),'Mapping A'!$B$6:$E$1011,4,0)=1,$E223,""),0)</f>
        <v>0</v>
      </c>
      <c r="T223" s="519">
        <f ca="1">_xlfn.IFNA(IF(VLOOKUP($B223&amp;OFFSET(T$10,$A223*2,0),'Mapping A'!$B$6:$E$1011,4,0)=1,$E223,""),0)</f>
        <v>0</v>
      </c>
      <c r="Y223" s="534" t="str">
        <f t="shared" si="91"/>
        <v>MeridianWDV1101</v>
      </c>
      <c r="Z223" s="519" t="str">
        <f t="shared" si="70"/>
        <v>Meridian</v>
      </c>
      <c r="AA223" s="519" t="str">
        <f t="shared" si="71"/>
        <v>WDV1101</v>
      </c>
      <c r="AB223" s="519">
        <f t="shared" si="87"/>
        <v>0.99329999999999996</v>
      </c>
      <c r="AC223" s="324"/>
      <c r="AE223" s="519">
        <f t="shared" ca="1" si="72"/>
        <v>0</v>
      </c>
      <c r="AF223" s="519">
        <f t="shared" ca="1" si="73"/>
        <v>0</v>
      </c>
      <c r="AG223" s="519">
        <f t="shared" ca="1" si="74"/>
        <v>0</v>
      </c>
      <c r="AH223" s="519">
        <f t="shared" ca="1" si="75"/>
        <v>0</v>
      </c>
      <c r="AI223" s="519">
        <f t="shared" ca="1" si="88"/>
        <v>0</v>
      </c>
      <c r="AJ223" s="519">
        <f t="shared" ca="1" si="76"/>
        <v>0</v>
      </c>
      <c r="AK223" s="519">
        <f t="shared" ca="1" si="77"/>
        <v>0</v>
      </c>
      <c r="AL223" s="519">
        <f t="shared" ca="1" si="78"/>
        <v>0</v>
      </c>
      <c r="AM223" s="519">
        <f t="shared" ca="1" si="79"/>
        <v>0</v>
      </c>
      <c r="AN223" s="519">
        <f t="shared" ca="1" si="80"/>
        <v>0</v>
      </c>
      <c r="AO223" s="519">
        <f t="shared" ca="1" si="81"/>
        <v>0</v>
      </c>
      <c r="AP223" s="519">
        <f t="shared" ca="1" si="82"/>
        <v>0</v>
      </c>
      <c r="AQ223" s="519">
        <f t="shared" ca="1" si="83"/>
        <v>0</v>
      </c>
      <c r="AS223" s="536"/>
      <c r="AT223" s="536"/>
      <c r="AU223" s="519" t="str">
        <f t="shared" si="89"/>
        <v>Meridian</v>
      </c>
      <c r="AV223" s="519" t="str">
        <f t="shared" si="84"/>
        <v>WDV1101</v>
      </c>
      <c r="AW223" s="519">
        <f t="shared" si="85"/>
        <v>0.99329999999999996</v>
      </c>
      <c r="AX223" s="538"/>
      <c r="AY223" s="539">
        <f t="shared" ca="1" si="90"/>
        <v>3.0131799184539163E-2</v>
      </c>
      <c r="AZ223" s="189"/>
    </row>
    <row r="224" spans="1:52" x14ac:dyDescent="0.3">
      <c r="A224" s="556">
        <v>1</v>
      </c>
      <c r="B224" s="519" t="str">
        <f t="shared" si="86"/>
        <v>WEL</v>
      </c>
      <c r="C224" s="519" t="str">
        <f>AMDs!C205</f>
        <v>Vector</v>
      </c>
      <c r="D224" s="519" t="str">
        <f>AMDs!D205</f>
        <v>WEL0331</v>
      </c>
      <c r="E224" s="519">
        <f>IF(AMDs!C205="other",0,AMDs!E205)</f>
        <v>33.297600000000003</v>
      </c>
      <c r="H224" s="519">
        <f ca="1">_xlfn.IFNA(IF(VLOOKUP($B224&amp;OFFSET(H$10,$A224*2,0),'Mapping A'!$B$6:$E$1011,4,0)=1,$E224,""),0)</f>
        <v>33.297600000000003</v>
      </c>
      <c r="I224" s="519">
        <f ca="1">_xlfn.IFNA(IF(VLOOKUP($B224&amp;OFFSET(I$10,$A224*2,0),'Mapping A'!$B$6:$E$1011,4,0)=1,$E224,""),0)</f>
        <v>33.297600000000003</v>
      </c>
      <c r="J224" s="519">
        <f ca="1">_xlfn.IFNA(IF(VLOOKUP($B224&amp;OFFSET(J$10,$A224*2,0),'Mapping A'!$B$6:$E$1011,4,0)=1,$E224,""),0)</f>
        <v>33.297600000000003</v>
      </c>
      <c r="K224" s="519">
        <f ca="1">_xlfn.IFNA(IF(VLOOKUP($B224&amp;OFFSET(K$10,$A224*2,0),'Mapping A'!$B$6:$E$1011,4,0)=1,$E224,""),0)</f>
        <v>33.297600000000003</v>
      </c>
      <c r="L224" s="519">
        <f ca="1">_xlfn.IFNA(IF(VLOOKUP($B224&amp;OFFSET(L$10,$A224*2,0),'Mapping A'!$B$6:$E$1011,4,0)=1,$E224,""),0)</f>
        <v>0</v>
      </c>
      <c r="M224" s="519">
        <f ca="1">_xlfn.IFNA(IF(VLOOKUP($B224&amp;OFFSET(M$10,$A224*2,0),'Mapping A'!$B$6:$E$1011,4,0)=1,$E224,""),0)</f>
        <v>33.297600000000003</v>
      </c>
      <c r="N224" s="519">
        <f ca="1">_xlfn.IFNA(IF(VLOOKUP($B224&amp;OFFSET(N$10,$A224*2,0),'Mapping A'!$B$6:$E$1011,4,0)=1,$E224,""),0)</f>
        <v>33.297600000000003</v>
      </c>
      <c r="O224" s="519">
        <f ca="1">_xlfn.IFNA(IF(VLOOKUP($B224&amp;OFFSET(O$10,$A224*2,0),'Mapping A'!$B$6:$E$1011,4,0)=1,$E224,""),0)</f>
        <v>0</v>
      </c>
      <c r="P224" s="519">
        <f ca="1">_xlfn.IFNA(IF(VLOOKUP($B224&amp;OFFSET(P$10,$A224*2,0),'Mapping A'!$B$6:$E$1011,4,0)=1,$E224,""),0)</f>
        <v>0</v>
      </c>
      <c r="Q224" s="519">
        <f ca="1">_xlfn.IFNA(IF(VLOOKUP($B224&amp;OFFSET(Q$10,$A224*2,0),'Mapping A'!$B$6:$E$1011,4,0)=1,$E224,""),0)</f>
        <v>33.297600000000003</v>
      </c>
      <c r="R224" s="519">
        <f ca="1">_xlfn.IFNA(IF(VLOOKUP($B224&amp;OFFSET(R$10,$A224*2,0),'Mapping A'!$B$6:$E$1011,4,0)=1,$E224,""),0)</f>
        <v>0</v>
      </c>
      <c r="S224" s="519">
        <f ca="1">_xlfn.IFNA(IF(VLOOKUP($B224&amp;OFFSET(S$10,$A224*2,0),'Mapping A'!$B$6:$E$1011,4,0)=1,$E224,""),0)</f>
        <v>0</v>
      </c>
      <c r="T224" s="519">
        <f ca="1">_xlfn.IFNA(IF(VLOOKUP($B224&amp;OFFSET(T$10,$A224*2,0),'Mapping A'!$B$6:$E$1011,4,0)=1,$E224,""),0)</f>
        <v>0</v>
      </c>
      <c r="Y224" s="534" t="str">
        <f t="shared" si="91"/>
        <v>VectorWEL0331</v>
      </c>
      <c r="Z224" s="519" t="str">
        <f t="shared" si="70"/>
        <v>Vector</v>
      </c>
      <c r="AA224" s="519" t="str">
        <f t="shared" si="71"/>
        <v>WEL0331</v>
      </c>
      <c r="AB224" s="519">
        <f t="shared" si="87"/>
        <v>33.297600000000003</v>
      </c>
      <c r="AC224" s="324"/>
      <c r="AE224" s="519">
        <f t="shared" ca="1" si="72"/>
        <v>0</v>
      </c>
      <c r="AF224" s="519">
        <f t="shared" ca="1" si="73"/>
        <v>0</v>
      </c>
      <c r="AG224" s="519">
        <f t="shared" ca="1" si="74"/>
        <v>0</v>
      </c>
      <c r="AH224" s="519">
        <f t="shared" ca="1" si="75"/>
        <v>0.58444349518288818</v>
      </c>
      <c r="AI224" s="519">
        <f t="shared" ca="1" si="88"/>
        <v>0</v>
      </c>
      <c r="AJ224" s="519">
        <f t="shared" ca="1" si="76"/>
        <v>0</v>
      </c>
      <c r="AK224" s="519">
        <f t="shared" ca="1" si="77"/>
        <v>0.13336444593746566</v>
      </c>
      <c r="AL224" s="519">
        <f t="shared" ca="1" si="78"/>
        <v>0</v>
      </c>
      <c r="AM224" s="519">
        <f t="shared" ca="1" si="79"/>
        <v>0</v>
      </c>
      <c r="AN224" s="519">
        <f t="shared" ca="1" si="80"/>
        <v>6.1507970900936952E-2</v>
      </c>
      <c r="AO224" s="519">
        <f t="shared" ca="1" si="81"/>
        <v>0</v>
      </c>
      <c r="AP224" s="519">
        <f t="shared" ca="1" si="82"/>
        <v>0</v>
      </c>
      <c r="AQ224" s="519">
        <f t="shared" ca="1" si="83"/>
        <v>0</v>
      </c>
      <c r="AS224" s="536"/>
      <c r="AT224" s="536"/>
      <c r="AU224" s="519" t="str">
        <f t="shared" si="89"/>
        <v>Vector</v>
      </c>
      <c r="AV224" s="519" t="str">
        <f t="shared" si="84"/>
        <v>WEL0331</v>
      </c>
      <c r="AW224" s="519">
        <f t="shared" si="85"/>
        <v>33.297600000000003</v>
      </c>
      <c r="AX224" s="538"/>
      <c r="AY224" s="539">
        <f t="shared" ca="1" si="90"/>
        <v>1.0100841604018034</v>
      </c>
      <c r="AZ224" s="189"/>
    </row>
    <row r="225" spans="1:52" x14ac:dyDescent="0.3">
      <c r="A225" s="556">
        <v>1</v>
      </c>
      <c r="B225" s="519" t="str">
        <f t="shared" si="86"/>
        <v>WGN</v>
      </c>
      <c r="C225" s="519" t="str">
        <f>AMDs!C206</f>
        <v>Powerco</v>
      </c>
      <c r="D225" s="519" t="str">
        <f>AMDs!D206</f>
        <v>WGN0331</v>
      </c>
      <c r="E225" s="519">
        <f>IF(AMDs!C206="other",0,AMDs!E206)</f>
        <v>41.651400000000002</v>
      </c>
      <c r="H225" s="519">
        <f ca="1">_xlfn.IFNA(IF(VLOOKUP($B225&amp;OFFSET(H$10,$A225*2,0),'Mapping A'!$B$6:$E$1011,4,0)=1,$E225,""),0)</f>
        <v>0</v>
      </c>
      <c r="I225" s="519">
        <f ca="1">_xlfn.IFNA(IF(VLOOKUP($B225&amp;OFFSET(I$10,$A225*2,0),'Mapping A'!$B$6:$E$1011,4,0)=1,$E225,""),0)</f>
        <v>41.651400000000002</v>
      </c>
      <c r="J225" s="519">
        <f ca="1">_xlfn.IFNA(IF(VLOOKUP($B225&amp;OFFSET(J$10,$A225*2,0),'Mapping A'!$B$6:$E$1011,4,0)=1,$E225,""),0)</f>
        <v>41.651400000000002</v>
      </c>
      <c r="K225" s="519">
        <f ca="1">_xlfn.IFNA(IF(VLOOKUP($B225&amp;OFFSET(K$10,$A225*2,0),'Mapping A'!$B$6:$E$1011,4,0)=1,$E225,""),0)</f>
        <v>0</v>
      </c>
      <c r="L225" s="519">
        <f ca="1">_xlfn.IFNA(IF(VLOOKUP($B225&amp;OFFSET(L$10,$A225*2,0),'Mapping A'!$B$6:$E$1011,4,0)=1,$E225,""),0)</f>
        <v>0</v>
      </c>
      <c r="M225" s="519">
        <f ca="1">_xlfn.IFNA(IF(VLOOKUP($B225&amp;OFFSET(M$10,$A225*2,0),'Mapping A'!$B$6:$E$1011,4,0)=1,$E225,""),0)</f>
        <v>0</v>
      </c>
      <c r="N225" s="519">
        <f ca="1">_xlfn.IFNA(IF(VLOOKUP($B225&amp;OFFSET(N$10,$A225*2,0),'Mapping A'!$B$6:$E$1011,4,0)=1,$E225,""),0)</f>
        <v>0</v>
      </c>
      <c r="O225" s="519">
        <f ca="1">_xlfn.IFNA(IF(VLOOKUP($B225&amp;OFFSET(O$10,$A225*2,0),'Mapping A'!$B$6:$E$1011,4,0)=1,$E225,""),0)</f>
        <v>0</v>
      </c>
      <c r="P225" s="519">
        <f ca="1">_xlfn.IFNA(IF(VLOOKUP($B225&amp;OFFSET(P$10,$A225*2,0),'Mapping A'!$B$6:$E$1011,4,0)=1,$E225,""),0)</f>
        <v>0</v>
      </c>
      <c r="Q225" s="519">
        <f ca="1">_xlfn.IFNA(IF(VLOOKUP($B225&amp;OFFSET(Q$10,$A225*2,0),'Mapping A'!$B$6:$E$1011,4,0)=1,$E225,""),0)</f>
        <v>0</v>
      </c>
      <c r="R225" s="519">
        <f ca="1">_xlfn.IFNA(IF(VLOOKUP($B225&amp;OFFSET(R$10,$A225*2,0),'Mapping A'!$B$6:$E$1011,4,0)=1,$E225,""),0)</f>
        <v>0</v>
      </c>
      <c r="S225" s="519">
        <f ca="1">_xlfn.IFNA(IF(VLOOKUP($B225&amp;OFFSET(S$10,$A225*2,0),'Mapping A'!$B$6:$E$1011,4,0)=1,$E225,""),0)</f>
        <v>0</v>
      </c>
      <c r="T225" s="519">
        <f ca="1">_xlfn.IFNA(IF(VLOOKUP($B225&amp;OFFSET(T$10,$A225*2,0),'Mapping A'!$B$6:$E$1011,4,0)=1,$E225,""),0)</f>
        <v>0</v>
      </c>
      <c r="Y225" s="534" t="str">
        <f t="shared" si="91"/>
        <v>PowercoWGN0331</v>
      </c>
      <c r="Z225" s="519" t="str">
        <f t="shared" si="70"/>
        <v>Powerco</v>
      </c>
      <c r="AA225" s="519" t="str">
        <f t="shared" si="71"/>
        <v>WGN0331</v>
      </c>
      <c r="AB225" s="519">
        <f t="shared" si="87"/>
        <v>41.651400000000002</v>
      </c>
      <c r="AC225" s="324"/>
      <c r="AE225" s="519">
        <f t="shared" ca="1" si="72"/>
        <v>0</v>
      </c>
      <c r="AF225" s="519">
        <f t="shared" ca="1" si="73"/>
        <v>0</v>
      </c>
      <c r="AG225" s="519">
        <f t="shared" ca="1" si="74"/>
        <v>0</v>
      </c>
      <c r="AH225" s="519">
        <f t="shared" ca="1" si="75"/>
        <v>0</v>
      </c>
      <c r="AI225" s="519">
        <f t="shared" ca="1" si="88"/>
        <v>0</v>
      </c>
      <c r="AJ225" s="519">
        <f t="shared" ca="1" si="76"/>
        <v>0</v>
      </c>
      <c r="AK225" s="519">
        <f t="shared" ca="1" si="77"/>
        <v>0</v>
      </c>
      <c r="AL225" s="519">
        <f t="shared" ca="1" si="78"/>
        <v>0</v>
      </c>
      <c r="AM225" s="519">
        <f t="shared" ca="1" si="79"/>
        <v>0</v>
      </c>
      <c r="AN225" s="519">
        <f t="shared" ca="1" si="80"/>
        <v>0</v>
      </c>
      <c r="AO225" s="519">
        <f t="shared" ca="1" si="81"/>
        <v>0</v>
      </c>
      <c r="AP225" s="519">
        <f t="shared" ca="1" si="82"/>
        <v>0</v>
      </c>
      <c r="AQ225" s="519">
        <f t="shared" ca="1" si="83"/>
        <v>0</v>
      </c>
      <c r="AS225" s="536"/>
      <c r="AT225" s="536"/>
      <c r="AU225" s="519" t="str">
        <f t="shared" si="89"/>
        <v>Powerco</v>
      </c>
      <c r="AV225" s="519" t="str">
        <f t="shared" si="84"/>
        <v>WGN0331</v>
      </c>
      <c r="AW225" s="519">
        <f t="shared" si="85"/>
        <v>41.651400000000002</v>
      </c>
      <c r="AX225" s="538"/>
      <c r="AY225" s="539">
        <f t="shared" ca="1" si="90"/>
        <v>1.2634970507952428</v>
      </c>
      <c r="AZ225" s="189"/>
    </row>
    <row r="226" spans="1:52" x14ac:dyDescent="0.3">
      <c r="A226" s="556">
        <v>1</v>
      </c>
      <c r="B226" s="519" t="str">
        <f t="shared" si="86"/>
        <v>WHI</v>
      </c>
      <c r="C226" s="519" t="str">
        <f>AMDs!C207</f>
        <v>Contact</v>
      </c>
      <c r="D226" s="519" t="str">
        <f>AMDs!D207</f>
        <v>WHI0111</v>
      </c>
      <c r="E226" s="519">
        <f>IF(AMDs!C207="other",0,AMDs!E207)</f>
        <v>0.30659999999999998</v>
      </c>
      <c r="H226" s="519">
        <f ca="1">_xlfn.IFNA(IF(VLOOKUP($B226&amp;OFFSET(H$10,$A226*2,0),'Mapping A'!$B$6:$E$1011,4,0)=1,$E226,""),0)</f>
        <v>0</v>
      </c>
      <c r="I226" s="519">
        <f ca="1">_xlfn.IFNA(IF(VLOOKUP($B226&amp;OFFSET(I$10,$A226*2,0),'Mapping A'!$B$6:$E$1011,4,0)=1,$E226,""),0)</f>
        <v>0.30659999999999998</v>
      </c>
      <c r="J226" s="519">
        <f ca="1">_xlfn.IFNA(IF(VLOOKUP($B226&amp;OFFSET(J$10,$A226*2,0),'Mapping A'!$B$6:$E$1011,4,0)=1,$E226,""),0)</f>
        <v>0.30659999999999998</v>
      </c>
      <c r="K226" s="519">
        <f ca="1">_xlfn.IFNA(IF(VLOOKUP($B226&amp;OFFSET(K$10,$A226*2,0),'Mapping A'!$B$6:$E$1011,4,0)=1,$E226,""),0)</f>
        <v>0</v>
      </c>
      <c r="L226" s="519">
        <f ca="1">_xlfn.IFNA(IF(VLOOKUP($B226&amp;OFFSET(L$10,$A226*2,0),'Mapping A'!$B$6:$E$1011,4,0)=1,$E226,""),0)</f>
        <v>0</v>
      </c>
      <c r="M226" s="519">
        <f ca="1">_xlfn.IFNA(IF(VLOOKUP($B226&amp;OFFSET(M$10,$A226*2,0),'Mapping A'!$B$6:$E$1011,4,0)=1,$E226,""),0)</f>
        <v>0.30659999999999998</v>
      </c>
      <c r="N226" s="519">
        <f ca="1">_xlfn.IFNA(IF(VLOOKUP($B226&amp;OFFSET(N$10,$A226*2,0),'Mapping A'!$B$6:$E$1011,4,0)=1,$E226,""),0)</f>
        <v>0</v>
      </c>
      <c r="O226" s="519">
        <f ca="1">_xlfn.IFNA(IF(VLOOKUP($B226&amp;OFFSET(O$10,$A226*2,0),'Mapping A'!$B$6:$E$1011,4,0)=1,$E226,""),0)</f>
        <v>0</v>
      </c>
      <c r="P226" s="519">
        <f ca="1">_xlfn.IFNA(IF(VLOOKUP($B226&amp;OFFSET(P$10,$A226*2,0),'Mapping A'!$B$6:$E$1011,4,0)=1,$E226,""),0)</f>
        <v>0</v>
      </c>
      <c r="Q226" s="519">
        <f ca="1">_xlfn.IFNA(IF(VLOOKUP($B226&amp;OFFSET(Q$10,$A226*2,0),'Mapping A'!$B$6:$E$1011,4,0)=1,$E226,""),0)</f>
        <v>0</v>
      </c>
      <c r="R226" s="519">
        <f ca="1">_xlfn.IFNA(IF(VLOOKUP($B226&amp;OFFSET(R$10,$A226*2,0),'Mapping A'!$B$6:$E$1011,4,0)=1,$E226,""),0)</f>
        <v>0</v>
      </c>
      <c r="S226" s="519">
        <f ca="1">_xlfn.IFNA(IF(VLOOKUP($B226&amp;OFFSET(S$10,$A226*2,0),'Mapping A'!$B$6:$E$1011,4,0)=1,$E226,""),0)</f>
        <v>0</v>
      </c>
      <c r="T226" s="519">
        <f ca="1">_xlfn.IFNA(IF(VLOOKUP($B226&amp;OFFSET(T$10,$A226*2,0),'Mapping A'!$B$6:$E$1011,4,0)=1,$E226,""),0)</f>
        <v>0</v>
      </c>
      <c r="Y226" s="534" t="str">
        <f t="shared" si="91"/>
        <v>ContactWHI0111</v>
      </c>
      <c r="Z226" s="519" t="str">
        <f t="shared" si="70"/>
        <v>Contact</v>
      </c>
      <c r="AA226" s="519" t="str">
        <f t="shared" si="71"/>
        <v>WHI0111</v>
      </c>
      <c r="AB226" s="519">
        <f t="shared" si="87"/>
        <v>0.30659999999999998</v>
      </c>
      <c r="AC226" s="324"/>
      <c r="AE226" s="519">
        <f t="shared" ca="1" si="72"/>
        <v>0</v>
      </c>
      <c r="AF226" s="519">
        <f t="shared" ca="1" si="73"/>
        <v>0</v>
      </c>
      <c r="AG226" s="519">
        <f t="shared" ca="1" si="74"/>
        <v>0</v>
      </c>
      <c r="AH226" s="519">
        <f t="shared" ca="1" si="75"/>
        <v>0</v>
      </c>
      <c r="AI226" s="519">
        <f t="shared" ca="1" si="88"/>
        <v>0</v>
      </c>
      <c r="AJ226" s="519">
        <f t="shared" ca="1" si="76"/>
        <v>0</v>
      </c>
      <c r="AK226" s="519">
        <f t="shared" ca="1" si="77"/>
        <v>0</v>
      </c>
      <c r="AL226" s="519">
        <f t="shared" ca="1" si="78"/>
        <v>0</v>
      </c>
      <c r="AM226" s="519">
        <f t="shared" ca="1" si="79"/>
        <v>0</v>
      </c>
      <c r="AN226" s="519">
        <f t="shared" ca="1" si="80"/>
        <v>0</v>
      </c>
      <c r="AO226" s="519">
        <f t="shared" ca="1" si="81"/>
        <v>0</v>
      </c>
      <c r="AP226" s="519">
        <f t="shared" ca="1" si="82"/>
        <v>0</v>
      </c>
      <c r="AQ226" s="519">
        <f t="shared" ca="1" si="83"/>
        <v>0</v>
      </c>
      <c r="AS226" s="536"/>
      <c r="AT226" s="536"/>
      <c r="AU226" s="519" t="str">
        <f t="shared" si="89"/>
        <v>Contact</v>
      </c>
      <c r="AV226" s="519" t="str">
        <f t="shared" si="84"/>
        <v>WHI0111</v>
      </c>
      <c r="AW226" s="519">
        <f t="shared" si="85"/>
        <v>0.30659999999999998</v>
      </c>
      <c r="AX226" s="538"/>
      <c r="AY226" s="539">
        <f t="shared" ca="1" si="90"/>
        <v>9.3007244840226586E-3</v>
      </c>
      <c r="AZ226" s="189"/>
    </row>
    <row r="227" spans="1:52" x14ac:dyDescent="0.3">
      <c r="A227" s="556">
        <v>1</v>
      </c>
      <c r="B227" s="519" t="str">
        <f t="shared" si="86"/>
        <v>WHI</v>
      </c>
      <c r="C227" s="519" t="str">
        <f>AMDs!C208</f>
        <v>PanPac</v>
      </c>
      <c r="D227" s="519" t="str">
        <f>AMDs!D208</f>
        <v>WHI0111</v>
      </c>
      <c r="E227" s="519">
        <f>IF(AMDs!C208="other",0,AMDs!E208)</f>
        <v>85.140299999999996</v>
      </c>
      <c r="H227" s="519">
        <f ca="1">_xlfn.IFNA(IF(VLOOKUP($B227&amp;OFFSET(H$10,$A227*2,0),'Mapping A'!$B$6:$E$1011,4,0)=1,$E227,""),0)</f>
        <v>0</v>
      </c>
      <c r="I227" s="519">
        <f ca="1">_xlfn.IFNA(IF(VLOOKUP($B227&amp;OFFSET(I$10,$A227*2,0),'Mapping A'!$B$6:$E$1011,4,0)=1,$E227,""),0)</f>
        <v>85.140299999999996</v>
      </c>
      <c r="J227" s="519">
        <f ca="1">_xlfn.IFNA(IF(VLOOKUP($B227&amp;OFFSET(J$10,$A227*2,0),'Mapping A'!$B$6:$E$1011,4,0)=1,$E227,""),0)</f>
        <v>85.140299999999996</v>
      </c>
      <c r="K227" s="519">
        <f ca="1">_xlfn.IFNA(IF(VLOOKUP($B227&amp;OFFSET(K$10,$A227*2,0),'Mapping A'!$B$6:$E$1011,4,0)=1,$E227,""),0)</f>
        <v>0</v>
      </c>
      <c r="L227" s="519">
        <f ca="1">_xlfn.IFNA(IF(VLOOKUP($B227&amp;OFFSET(L$10,$A227*2,0),'Mapping A'!$B$6:$E$1011,4,0)=1,$E227,""),0)</f>
        <v>0</v>
      </c>
      <c r="M227" s="519">
        <f ca="1">_xlfn.IFNA(IF(VLOOKUP($B227&amp;OFFSET(M$10,$A227*2,0),'Mapping A'!$B$6:$E$1011,4,0)=1,$E227,""),0)</f>
        <v>85.140299999999996</v>
      </c>
      <c r="N227" s="519">
        <f ca="1">_xlfn.IFNA(IF(VLOOKUP($B227&amp;OFFSET(N$10,$A227*2,0),'Mapping A'!$B$6:$E$1011,4,0)=1,$E227,""),0)</f>
        <v>0</v>
      </c>
      <c r="O227" s="519">
        <f ca="1">_xlfn.IFNA(IF(VLOOKUP($B227&amp;OFFSET(O$10,$A227*2,0),'Mapping A'!$B$6:$E$1011,4,0)=1,$E227,""),0)</f>
        <v>0</v>
      </c>
      <c r="P227" s="519">
        <f ca="1">_xlfn.IFNA(IF(VLOOKUP($B227&amp;OFFSET(P$10,$A227*2,0),'Mapping A'!$B$6:$E$1011,4,0)=1,$E227,""),0)</f>
        <v>0</v>
      </c>
      <c r="Q227" s="519">
        <f ca="1">_xlfn.IFNA(IF(VLOOKUP($B227&amp;OFFSET(Q$10,$A227*2,0),'Mapping A'!$B$6:$E$1011,4,0)=1,$E227,""),0)</f>
        <v>0</v>
      </c>
      <c r="R227" s="519">
        <f ca="1">_xlfn.IFNA(IF(VLOOKUP($B227&amp;OFFSET(R$10,$A227*2,0),'Mapping A'!$B$6:$E$1011,4,0)=1,$E227,""),0)</f>
        <v>0</v>
      </c>
      <c r="S227" s="519">
        <f ca="1">_xlfn.IFNA(IF(VLOOKUP($B227&amp;OFFSET(S$10,$A227*2,0),'Mapping A'!$B$6:$E$1011,4,0)=1,$E227,""),0)</f>
        <v>0</v>
      </c>
      <c r="T227" s="519">
        <f ca="1">_xlfn.IFNA(IF(VLOOKUP($B227&amp;OFFSET(T$10,$A227*2,0),'Mapping A'!$B$6:$E$1011,4,0)=1,$E227,""),0)</f>
        <v>0</v>
      </c>
      <c r="Y227" s="534" t="str">
        <f t="shared" si="91"/>
        <v>PanPacWHI0111</v>
      </c>
      <c r="Z227" s="519" t="str">
        <f t="shared" si="70"/>
        <v>PanPac</v>
      </c>
      <c r="AA227" s="519" t="str">
        <f t="shared" si="71"/>
        <v>WHI0111</v>
      </c>
      <c r="AB227" s="519">
        <f t="shared" si="87"/>
        <v>85.140299999999996</v>
      </c>
      <c r="AC227" s="324"/>
      <c r="AE227" s="519">
        <f t="shared" ca="1" si="72"/>
        <v>0</v>
      </c>
      <c r="AF227" s="519">
        <f t="shared" ca="1" si="73"/>
        <v>0</v>
      </c>
      <c r="AG227" s="519">
        <f t="shared" ca="1" si="74"/>
        <v>0</v>
      </c>
      <c r="AH227" s="519">
        <f t="shared" ca="1" si="75"/>
        <v>0</v>
      </c>
      <c r="AI227" s="519">
        <f t="shared" ca="1" si="88"/>
        <v>0</v>
      </c>
      <c r="AJ227" s="519">
        <f t="shared" ca="1" si="76"/>
        <v>0</v>
      </c>
      <c r="AK227" s="519">
        <f t="shared" ca="1" si="77"/>
        <v>0</v>
      </c>
      <c r="AL227" s="519">
        <f t="shared" ca="1" si="78"/>
        <v>0</v>
      </c>
      <c r="AM227" s="519">
        <f t="shared" ca="1" si="79"/>
        <v>0</v>
      </c>
      <c r="AN227" s="519">
        <f t="shared" ca="1" si="80"/>
        <v>0</v>
      </c>
      <c r="AO227" s="519">
        <f t="shared" ca="1" si="81"/>
        <v>0</v>
      </c>
      <c r="AP227" s="519">
        <f t="shared" ca="1" si="82"/>
        <v>0</v>
      </c>
      <c r="AQ227" s="519">
        <f t="shared" ca="1" si="83"/>
        <v>0</v>
      </c>
      <c r="AS227" s="536"/>
      <c r="AT227" s="536"/>
      <c r="AU227" s="519" t="str">
        <f t="shared" si="89"/>
        <v>PanPac</v>
      </c>
      <c r="AV227" s="519" t="str">
        <f t="shared" si="84"/>
        <v>WHI0111</v>
      </c>
      <c r="AW227" s="519">
        <f t="shared" si="85"/>
        <v>85.140299999999996</v>
      </c>
      <c r="AX227" s="538"/>
      <c r="AY227" s="539">
        <f t="shared" ca="1" si="90"/>
        <v>2.5827347449022651</v>
      </c>
      <c r="AZ227" s="189"/>
    </row>
    <row r="228" spans="1:52" x14ac:dyDescent="0.3">
      <c r="A228" s="556">
        <v>1</v>
      </c>
      <c r="B228" s="519" t="str">
        <f t="shared" si="86"/>
        <v>WHI</v>
      </c>
      <c r="C228" s="519" t="str">
        <f>AMDs!C209</f>
        <v>Contact</v>
      </c>
      <c r="D228" s="519" t="str">
        <f>AMDs!D209</f>
        <v>WHI2201</v>
      </c>
      <c r="E228" s="519">
        <f>IF(AMDs!C209="other",0,AMDs!E209)</f>
        <v>0.37380000000000002</v>
      </c>
      <c r="H228" s="519">
        <f ca="1">_xlfn.IFNA(IF(VLOOKUP($B228&amp;OFFSET(H$10,$A228*2,0),'Mapping A'!$B$6:$E$1011,4,0)=1,$E228,""),0)</f>
        <v>0</v>
      </c>
      <c r="I228" s="519">
        <f ca="1">_xlfn.IFNA(IF(VLOOKUP($B228&amp;OFFSET(I$10,$A228*2,0),'Mapping A'!$B$6:$E$1011,4,0)=1,$E228,""),0)</f>
        <v>0.37380000000000002</v>
      </c>
      <c r="J228" s="519">
        <f ca="1">_xlfn.IFNA(IF(VLOOKUP($B228&amp;OFFSET(J$10,$A228*2,0),'Mapping A'!$B$6:$E$1011,4,0)=1,$E228,""),0)</f>
        <v>0.37380000000000002</v>
      </c>
      <c r="K228" s="519">
        <f ca="1">_xlfn.IFNA(IF(VLOOKUP($B228&amp;OFFSET(K$10,$A228*2,0),'Mapping A'!$B$6:$E$1011,4,0)=1,$E228,""),0)</f>
        <v>0</v>
      </c>
      <c r="L228" s="519">
        <f ca="1">_xlfn.IFNA(IF(VLOOKUP($B228&amp;OFFSET(L$10,$A228*2,0),'Mapping A'!$B$6:$E$1011,4,0)=1,$E228,""),0)</f>
        <v>0</v>
      </c>
      <c r="M228" s="519">
        <f ca="1">_xlfn.IFNA(IF(VLOOKUP($B228&amp;OFFSET(M$10,$A228*2,0),'Mapping A'!$B$6:$E$1011,4,0)=1,$E228,""),0)</f>
        <v>0.37380000000000002</v>
      </c>
      <c r="N228" s="519">
        <f ca="1">_xlfn.IFNA(IF(VLOOKUP($B228&amp;OFFSET(N$10,$A228*2,0),'Mapping A'!$B$6:$E$1011,4,0)=1,$E228,""),0)</f>
        <v>0</v>
      </c>
      <c r="O228" s="519">
        <f ca="1">_xlfn.IFNA(IF(VLOOKUP($B228&amp;OFFSET(O$10,$A228*2,0),'Mapping A'!$B$6:$E$1011,4,0)=1,$E228,""),0)</f>
        <v>0</v>
      </c>
      <c r="P228" s="519">
        <f ca="1">_xlfn.IFNA(IF(VLOOKUP($B228&amp;OFFSET(P$10,$A228*2,0),'Mapping A'!$B$6:$E$1011,4,0)=1,$E228,""),0)</f>
        <v>0</v>
      </c>
      <c r="Q228" s="519">
        <f ca="1">_xlfn.IFNA(IF(VLOOKUP($B228&amp;OFFSET(Q$10,$A228*2,0),'Mapping A'!$B$6:$E$1011,4,0)=1,$E228,""),0)</f>
        <v>0</v>
      </c>
      <c r="R228" s="519">
        <f ca="1">_xlfn.IFNA(IF(VLOOKUP($B228&amp;OFFSET(R$10,$A228*2,0),'Mapping A'!$B$6:$E$1011,4,0)=1,$E228,""),0)</f>
        <v>0</v>
      </c>
      <c r="S228" s="519">
        <f ca="1">_xlfn.IFNA(IF(VLOOKUP($B228&amp;OFFSET(S$10,$A228*2,0),'Mapping A'!$B$6:$E$1011,4,0)=1,$E228,""),0)</f>
        <v>0</v>
      </c>
      <c r="T228" s="519">
        <f ca="1">_xlfn.IFNA(IF(VLOOKUP($B228&amp;OFFSET(T$10,$A228*2,0),'Mapping A'!$B$6:$E$1011,4,0)=1,$E228,""),0)</f>
        <v>0</v>
      </c>
      <c r="Y228" s="534" t="str">
        <f t="shared" si="91"/>
        <v>ContactWHI2201</v>
      </c>
      <c r="Z228" s="519" t="str">
        <f t="shared" si="70"/>
        <v>Contact</v>
      </c>
      <c r="AA228" s="519" t="str">
        <f t="shared" si="71"/>
        <v>WHI2201</v>
      </c>
      <c r="AB228" s="519">
        <f t="shared" si="87"/>
        <v>0.37380000000000002</v>
      </c>
      <c r="AC228" s="324"/>
      <c r="AE228" s="519">
        <f t="shared" ca="1" si="72"/>
        <v>0</v>
      </c>
      <c r="AF228" s="519">
        <f t="shared" ca="1" si="73"/>
        <v>0</v>
      </c>
      <c r="AG228" s="519">
        <f t="shared" ca="1" si="74"/>
        <v>0</v>
      </c>
      <c r="AH228" s="519">
        <f t="shared" ca="1" si="75"/>
        <v>0</v>
      </c>
      <c r="AI228" s="519">
        <f t="shared" ca="1" si="88"/>
        <v>0</v>
      </c>
      <c r="AJ228" s="519">
        <f t="shared" ca="1" si="76"/>
        <v>0</v>
      </c>
      <c r="AK228" s="519">
        <f t="shared" ca="1" si="77"/>
        <v>0</v>
      </c>
      <c r="AL228" s="519">
        <f t="shared" ca="1" si="78"/>
        <v>0</v>
      </c>
      <c r="AM228" s="519">
        <f t="shared" ca="1" si="79"/>
        <v>0</v>
      </c>
      <c r="AN228" s="519">
        <f t="shared" ca="1" si="80"/>
        <v>0</v>
      </c>
      <c r="AO228" s="519">
        <f t="shared" ca="1" si="81"/>
        <v>0</v>
      </c>
      <c r="AP228" s="519">
        <f t="shared" ca="1" si="82"/>
        <v>0</v>
      </c>
      <c r="AQ228" s="519">
        <f t="shared" ca="1" si="83"/>
        <v>0</v>
      </c>
      <c r="AS228" s="536"/>
      <c r="AT228" s="536"/>
      <c r="AU228" s="519" t="str">
        <f t="shared" si="89"/>
        <v>Contact</v>
      </c>
      <c r="AV228" s="519" t="str">
        <f t="shared" si="84"/>
        <v>WHI2201</v>
      </c>
      <c r="AW228" s="519">
        <f t="shared" si="85"/>
        <v>0.37380000000000002</v>
      </c>
      <c r="AX228" s="538"/>
      <c r="AY228" s="539">
        <f t="shared" ca="1" si="90"/>
        <v>1.1339239439424886E-2</v>
      </c>
      <c r="AZ228" s="189"/>
    </row>
    <row r="229" spans="1:52" x14ac:dyDescent="0.3">
      <c r="A229" s="556">
        <v>1</v>
      </c>
      <c r="B229" s="519" t="str">
        <f t="shared" si="86"/>
        <v>WHU</v>
      </c>
      <c r="C229" s="519" t="str">
        <f>AMDs!C210</f>
        <v>Powerco</v>
      </c>
      <c r="D229" s="519" t="str">
        <f>AMDs!D210</f>
        <v>WHU0331</v>
      </c>
      <c r="E229" s="519">
        <f>IF(AMDs!C210="other",0,AMDs!E210)</f>
        <v>49.253399999999999</v>
      </c>
      <c r="H229" s="519">
        <f ca="1">_xlfn.IFNA(IF(VLOOKUP($B229&amp;OFFSET(H$10,$A229*2,0),'Mapping A'!$B$6:$E$1011,4,0)=1,$E229,""),0)</f>
        <v>0</v>
      </c>
      <c r="I229" s="519">
        <f ca="1">_xlfn.IFNA(IF(VLOOKUP($B229&amp;OFFSET(I$10,$A229*2,0),'Mapping A'!$B$6:$E$1011,4,0)=1,$E229,""),0)</f>
        <v>49.253399999999999</v>
      </c>
      <c r="J229" s="519">
        <f ca="1">_xlfn.IFNA(IF(VLOOKUP($B229&amp;OFFSET(J$10,$A229*2,0),'Mapping A'!$B$6:$E$1011,4,0)=1,$E229,""),0)</f>
        <v>49.253399999999999</v>
      </c>
      <c r="K229" s="519">
        <f ca="1">_xlfn.IFNA(IF(VLOOKUP($B229&amp;OFFSET(K$10,$A229*2,0),'Mapping A'!$B$6:$E$1011,4,0)=1,$E229,""),0)</f>
        <v>0</v>
      </c>
      <c r="L229" s="519">
        <f ca="1">_xlfn.IFNA(IF(VLOOKUP($B229&amp;OFFSET(L$10,$A229*2,0),'Mapping A'!$B$6:$E$1011,4,0)=1,$E229,""),0)</f>
        <v>0</v>
      </c>
      <c r="M229" s="519">
        <f ca="1">_xlfn.IFNA(IF(VLOOKUP($B229&amp;OFFSET(M$10,$A229*2,0),'Mapping A'!$B$6:$E$1011,4,0)=1,$E229,""),0)</f>
        <v>49.253399999999999</v>
      </c>
      <c r="N229" s="519">
        <f ca="1">_xlfn.IFNA(IF(VLOOKUP($B229&amp;OFFSET(N$10,$A229*2,0),'Mapping A'!$B$6:$E$1011,4,0)=1,$E229,""),0)</f>
        <v>0</v>
      </c>
      <c r="O229" s="519">
        <f ca="1">_xlfn.IFNA(IF(VLOOKUP($B229&amp;OFFSET(O$10,$A229*2,0),'Mapping A'!$B$6:$E$1011,4,0)=1,$E229,""),0)</f>
        <v>0</v>
      </c>
      <c r="P229" s="519">
        <f ca="1">_xlfn.IFNA(IF(VLOOKUP($B229&amp;OFFSET(P$10,$A229*2,0),'Mapping A'!$B$6:$E$1011,4,0)=1,$E229,""),0)</f>
        <v>0</v>
      </c>
      <c r="Q229" s="519">
        <f ca="1">_xlfn.IFNA(IF(VLOOKUP($B229&amp;OFFSET(Q$10,$A229*2,0),'Mapping A'!$B$6:$E$1011,4,0)=1,$E229,""),0)</f>
        <v>0</v>
      </c>
      <c r="R229" s="519">
        <f ca="1">_xlfn.IFNA(IF(VLOOKUP($B229&amp;OFFSET(R$10,$A229*2,0),'Mapping A'!$B$6:$E$1011,4,0)=1,$E229,""),0)</f>
        <v>0</v>
      </c>
      <c r="S229" s="519">
        <f ca="1">_xlfn.IFNA(IF(VLOOKUP($B229&amp;OFFSET(S$10,$A229*2,0),'Mapping A'!$B$6:$E$1011,4,0)=1,$E229,""),0)</f>
        <v>0</v>
      </c>
      <c r="T229" s="519">
        <f ca="1">_xlfn.IFNA(IF(VLOOKUP($B229&amp;OFFSET(T$10,$A229*2,0),'Mapping A'!$B$6:$E$1011,4,0)=1,$E229,""),0)</f>
        <v>0</v>
      </c>
      <c r="Y229" s="534" t="str">
        <f t="shared" si="91"/>
        <v>PowercoWHU0331</v>
      </c>
      <c r="Z229" s="519" t="str">
        <f t="shared" si="70"/>
        <v>Powerco</v>
      </c>
      <c r="AA229" s="519" t="str">
        <f t="shared" si="71"/>
        <v>WHU0331</v>
      </c>
      <c r="AB229" s="519">
        <f t="shared" si="87"/>
        <v>49.253399999999999</v>
      </c>
      <c r="AC229" s="324"/>
      <c r="AE229" s="519">
        <f t="shared" ca="1" si="72"/>
        <v>0</v>
      </c>
      <c r="AF229" s="519">
        <f t="shared" ca="1" si="73"/>
        <v>0</v>
      </c>
      <c r="AG229" s="519">
        <f t="shared" ca="1" si="74"/>
        <v>0</v>
      </c>
      <c r="AH229" s="519">
        <f t="shared" ca="1" si="75"/>
        <v>0</v>
      </c>
      <c r="AI229" s="519">
        <f t="shared" ca="1" si="88"/>
        <v>0</v>
      </c>
      <c r="AJ229" s="519">
        <f t="shared" ca="1" si="76"/>
        <v>0</v>
      </c>
      <c r="AK229" s="519">
        <f t="shared" ca="1" si="77"/>
        <v>0</v>
      </c>
      <c r="AL229" s="519">
        <f t="shared" ca="1" si="78"/>
        <v>0</v>
      </c>
      <c r="AM229" s="519">
        <f t="shared" ca="1" si="79"/>
        <v>0</v>
      </c>
      <c r="AN229" s="519">
        <f t="shared" ca="1" si="80"/>
        <v>0</v>
      </c>
      <c r="AO229" s="519">
        <f t="shared" ca="1" si="81"/>
        <v>0</v>
      </c>
      <c r="AP229" s="519">
        <f t="shared" ca="1" si="82"/>
        <v>0</v>
      </c>
      <c r="AQ229" s="519">
        <f t="shared" ca="1" si="83"/>
        <v>0</v>
      </c>
      <c r="AS229" s="536"/>
      <c r="AT229" s="536"/>
      <c r="AU229" s="519" t="str">
        <f t="shared" si="89"/>
        <v>Powerco</v>
      </c>
      <c r="AV229" s="519" t="str">
        <f t="shared" si="84"/>
        <v>WHU0331</v>
      </c>
      <c r="AW229" s="519">
        <f t="shared" si="85"/>
        <v>49.253399999999999</v>
      </c>
      <c r="AX229" s="538"/>
      <c r="AY229" s="539">
        <f t="shared" ca="1" si="90"/>
        <v>1.4941040551251195</v>
      </c>
      <c r="AZ229" s="189"/>
    </row>
    <row r="230" spans="1:52" x14ac:dyDescent="0.3">
      <c r="A230" s="556">
        <v>1</v>
      </c>
      <c r="B230" s="519" t="str">
        <f t="shared" si="86"/>
        <v>WIL</v>
      </c>
      <c r="C230" s="519" t="str">
        <f>AMDs!C211</f>
        <v>Wellington Electricity</v>
      </c>
      <c r="D230" s="519" t="str">
        <f>AMDs!D211</f>
        <v>WIL0331</v>
      </c>
      <c r="E230" s="519">
        <f>IF(AMDs!C211="other",0,AMDs!E211)</f>
        <v>53.1006</v>
      </c>
      <c r="H230" s="519">
        <f ca="1">_xlfn.IFNA(IF(VLOOKUP($B230&amp;OFFSET(H$10,$A230*2,0),'Mapping A'!$B$6:$E$1011,4,0)=1,$E230,""),0)</f>
        <v>0</v>
      </c>
      <c r="I230" s="519">
        <f ca="1">_xlfn.IFNA(IF(VLOOKUP($B230&amp;OFFSET(I$10,$A230*2,0),'Mapping A'!$B$6:$E$1011,4,0)=1,$E230,""),0)</f>
        <v>53.1006</v>
      </c>
      <c r="J230" s="519">
        <f ca="1">_xlfn.IFNA(IF(VLOOKUP($B230&amp;OFFSET(J$10,$A230*2,0),'Mapping A'!$B$6:$E$1011,4,0)=1,$E230,""),0)</f>
        <v>53.1006</v>
      </c>
      <c r="K230" s="519">
        <f ca="1">_xlfn.IFNA(IF(VLOOKUP($B230&amp;OFFSET(K$10,$A230*2,0),'Mapping A'!$B$6:$E$1011,4,0)=1,$E230,""),0)</f>
        <v>0</v>
      </c>
      <c r="L230" s="519">
        <f ca="1">_xlfn.IFNA(IF(VLOOKUP($B230&amp;OFFSET(L$10,$A230*2,0),'Mapping A'!$B$6:$E$1011,4,0)=1,$E230,""),0)</f>
        <v>0</v>
      </c>
      <c r="M230" s="519">
        <f ca="1">_xlfn.IFNA(IF(VLOOKUP($B230&amp;OFFSET(M$10,$A230*2,0),'Mapping A'!$B$6:$E$1011,4,0)=1,$E230,""),0)</f>
        <v>0</v>
      </c>
      <c r="N230" s="519">
        <f ca="1">_xlfn.IFNA(IF(VLOOKUP($B230&amp;OFFSET(N$10,$A230*2,0),'Mapping A'!$B$6:$E$1011,4,0)=1,$E230,""),0)</f>
        <v>0</v>
      </c>
      <c r="O230" s="519">
        <f ca="1">_xlfn.IFNA(IF(VLOOKUP($B230&amp;OFFSET(O$10,$A230*2,0),'Mapping A'!$B$6:$E$1011,4,0)=1,$E230,""),0)</f>
        <v>0</v>
      </c>
      <c r="P230" s="519">
        <f ca="1">_xlfn.IFNA(IF(VLOOKUP($B230&amp;OFFSET(P$10,$A230*2,0),'Mapping A'!$B$6:$E$1011,4,0)=1,$E230,""),0)</f>
        <v>0</v>
      </c>
      <c r="Q230" s="519">
        <f ca="1">_xlfn.IFNA(IF(VLOOKUP($B230&amp;OFFSET(Q$10,$A230*2,0),'Mapping A'!$B$6:$E$1011,4,0)=1,$E230,""),0)</f>
        <v>0</v>
      </c>
      <c r="R230" s="519">
        <f ca="1">_xlfn.IFNA(IF(VLOOKUP($B230&amp;OFFSET(R$10,$A230*2,0),'Mapping A'!$B$6:$E$1011,4,0)=1,$E230,""),0)</f>
        <v>0</v>
      </c>
      <c r="S230" s="519">
        <f ca="1">_xlfn.IFNA(IF(VLOOKUP($B230&amp;OFFSET(S$10,$A230*2,0),'Mapping A'!$B$6:$E$1011,4,0)=1,$E230,""),0)</f>
        <v>0</v>
      </c>
      <c r="T230" s="519">
        <f ca="1">_xlfn.IFNA(IF(VLOOKUP($B230&amp;OFFSET(T$10,$A230*2,0),'Mapping A'!$B$6:$E$1011,4,0)=1,$E230,""),0)</f>
        <v>0</v>
      </c>
      <c r="Y230" s="534" t="str">
        <f t="shared" si="91"/>
        <v>Wellington ElectricityWIL0331</v>
      </c>
      <c r="Z230" s="519" t="str">
        <f t="shared" si="70"/>
        <v>Wellington Electricity</v>
      </c>
      <c r="AA230" s="519" t="str">
        <f t="shared" si="71"/>
        <v>WIL0331</v>
      </c>
      <c r="AB230" s="519">
        <f t="shared" si="87"/>
        <v>53.1006</v>
      </c>
      <c r="AC230" s="324"/>
      <c r="AE230" s="519">
        <f t="shared" ca="1" si="72"/>
        <v>0</v>
      </c>
      <c r="AF230" s="519">
        <f t="shared" ca="1" si="73"/>
        <v>0</v>
      </c>
      <c r="AG230" s="519">
        <f t="shared" ca="1" si="74"/>
        <v>0</v>
      </c>
      <c r="AH230" s="519">
        <f t="shared" ca="1" si="75"/>
        <v>0</v>
      </c>
      <c r="AI230" s="519">
        <f t="shared" ca="1" si="88"/>
        <v>0</v>
      </c>
      <c r="AJ230" s="519">
        <f t="shared" ca="1" si="76"/>
        <v>0</v>
      </c>
      <c r="AK230" s="519">
        <f t="shared" ca="1" si="77"/>
        <v>0</v>
      </c>
      <c r="AL230" s="519">
        <f t="shared" ca="1" si="78"/>
        <v>0</v>
      </c>
      <c r="AM230" s="519">
        <f t="shared" ca="1" si="79"/>
        <v>0</v>
      </c>
      <c r="AN230" s="519">
        <f t="shared" ca="1" si="80"/>
        <v>0</v>
      </c>
      <c r="AO230" s="519">
        <f t="shared" ca="1" si="81"/>
        <v>0</v>
      </c>
      <c r="AP230" s="519">
        <f t="shared" ca="1" si="82"/>
        <v>0</v>
      </c>
      <c r="AQ230" s="519">
        <f t="shared" ca="1" si="83"/>
        <v>0</v>
      </c>
      <c r="AS230" s="536"/>
      <c r="AT230" s="536"/>
      <c r="AU230" s="519" t="str">
        <f t="shared" si="89"/>
        <v>Wellington Electricity</v>
      </c>
      <c r="AV230" s="519" t="str">
        <f t="shared" si="84"/>
        <v>WIL0331</v>
      </c>
      <c r="AW230" s="519">
        <f t="shared" si="85"/>
        <v>53.1006</v>
      </c>
      <c r="AX230" s="538"/>
      <c r="AY230" s="539">
        <f t="shared" ca="1" si="90"/>
        <v>1.610809036321897</v>
      </c>
      <c r="AZ230" s="189"/>
    </row>
    <row r="231" spans="1:52" x14ac:dyDescent="0.3">
      <c r="A231" s="556">
        <v>1</v>
      </c>
      <c r="B231" s="519" t="str">
        <f t="shared" si="86"/>
        <v>WIR</v>
      </c>
      <c r="C231" s="519" t="str">
        <f>AMDs!C212</f>
        <v>Vector</v>
      </c>
      <c r="D231" s="519" t="str">
        <f>AMDs!D212</f>
        <v>WIR0331</v>
      </c>
      <c r="E231" s="519">
        <f>IF(AMDs!C212="other",0,AMDs!E212)</f>
        <v>85.304100000000005</v>
      </c>
      <c r="H231" s="519">
        <f ca="1">_xlfn.IFNA(IF(VLOOKUP($B231&amp;OFFSET(H$10,$A231*2,0),'Mapping A'!$B$6:$E$1011,4,0)=1,$E231,""),0)</f>
        <v>85.304100000000005</v>
      </c>
      <c r="I231" s="519">
        <f ca="1">_xlfn.IFNA(IF(VLOOKUP($B231&amp;OFFSET(I$10,$A231*2,0),'Mapping A'!$B$6:$E$1011,4,0)=1,$E231,""),0)</f>
        <v>85.304100000000005</v>
      </c>
      <c r="J231" s="519">
        <f ca="1">_xlfn.IFNA(IF(VLOOKUP($B231&amp;OFFSET(J$10,$A231*2,0),'Mapping A'!$B$6:$E$1011,4,0)=1,$E231,""),0)</f>
        <v>85.304100000000005</v>
      </c>
      <c r="K231" s="519">
        <f ca="1">_xlfn.IFNA(IF(VLOOKUP($B231&amp;OFFSET(K$10,$A231*2,0),'Mapping A'!$B$6:$E$1011,4,0)=1,$E231,""),0)</f>
        <v>0</v>
      </c>
      <c r="L231" s="519">
        <f ca="1">_xlfn.IFNA(IF(VLOOKUP($B231&amp;OFFSET(L$10,$A231*2,0),'Mapping A'!$B$6:$E$1011,4,0)=1,$E231,""),0)</f>
        <v>0</v>
      </c>
      <c r="M231" s="519">
        <f ca="1">_xlfn.IFNA(IF(VLOOKUP($B231&amp;OFFSET(M$10,$A231*2,0),'Mapping A'!$B$6:$E$1011,4,0)=1,$E231,""),0)</f>
        <v>85.304100000000005</v>
      </c>
      <c r="N231" s="519">
        <f ca="1">_xlfn.IFNA(IF(VLOOKUP($B231&amp;OFFSET(N$10,$A231*2,0),'Mapping A'!$B$6:$E$1011,4,0)=1,$E231,""),0)</f>
        <v>85.304100000000005</v>
      </c>
      <c r="O231" s="519">
        <f ca="1">_xlfn.IFNA(IF(VLOOKUP($B231&amp;OFFSET(O$10,$A231*2,0),'Mapping A'!$B$6:$E$1011,4,0)=1,$E231,""),0)</f>
        <v>0</v>
      </c>
      <c r="P231" s="519">
        <f ca="1">_xlfn.IFNA(IF(VLOOKUP($B231&amp;OFFSET(P$10,$A231*2,0),'Mapping A'!$B$6:$E$1011,4,0)=1,$E231,""),0)</f>
        <v>0</v>
      </c>
      <c r="Q231" s="519">
        <f ca="1">_xlfn.IFNA(IF(VLOOKUP($B231&amp;OFFSET(Q$10,$A231*2,0),'Mapping A'!$B$6:$E$1011,4,0)=1,$E231,""),0)</f>
        <v>85.304100000000005</v>
      </c>
      <c r="R231" s="519">
        <f ca="1">_xlfn.IFNA(IF(VLOOKUP($B231&amp;OFFSET(R$10,$A231*2,0),'Mapping A'!$B$6:$E$1011,4,0)=1,$E231,""),0)</f>
        <v>0</v>
      </c>
      <c r="S231" s="519">
        <f ca="1">_xlfn.IFNA(IF(VLOOKUP($B231&amp;OFFSET(S$10,$A231*2,0),'Mapping A'!$B$6:$E$1011,4,0)=1,$E231,""),0)</f>
        <v>0</v>
      </c>
      <c r="T231" s="519">
        <f ca="1">_xlfn.IFNA(IF(VLOOKUP($B231&amp;OFFSET(T$10,$A231*2,0),'Mapping A'!$B$6:$E$1011,4,0)=1,$E231,""),0)</f>
        <v>0</v>
      </c>
      <c r="Y231" s="534" t="str">
        <f t="shared" si="91"/>
        <v>VectorWIR0331</v>
      </c>
      <c r="Z231" s="519" t="str">
        <f t="shared" si="70"/>
        <v>Vector</v>
      </c>
      <c r="AA231" s="519" t="str">
        <f t="shared" si="71"/>
        <v>WIR0331</v>
      </c>
      <c r="AB231" s="519">
        <f t="shared" si="87"/>
        <v>85.304100000000005</v>
      </c>
      <c r="AC231" s="324"/>
      <c r="AE231" s="519">
        <f t="shared" ca="1" si="72"/>
        <v>0</v>
      </c>
      <c r="AF231" s="519">
        <f t="shared" ca="1" si="73"/>
        <v>0</v>
      </c>
      <c r="AG231" s="519">
        <f t="shared" ca="1" si="74"/>
        <v>0</v>
      </c>
      <c r="AH231" s="519">
        <f t="shared" ca="1" si="75"/>
        <v>0</v>
      </c>
      <c r="AI231" s="519">
        <f t="shared" ca="1" si="88"/>
        <v>0</v>
      </c>
      <c r="AJ231" s="519">
        <f t="shared" ca="1" si="76"/>
        <v>0</v>
      </c>
      <c r="AK231" s="519">
        <f t="shared" ca="1" si="77"/>
        <v>0.34166228294814532</v>
      </c>
      <c r="AL231" s="519">
        <f t="shared" ca="1" si="78"/>
        <v>0</v>
      </c>
      <c r="AM231" s="519">
        <f t="shared" ca="1" si="79"/>
        <v>0</v>
      </c>
      <c r="AN231" s="519">
        <f t="shared" ca="1" si="80"/>
        <v>0.15757538382738143</v>
      </c>
      <c r="AO231" s="519">
        <f t="shared" ca="1" si="81"/>
        <v>0</v>
      </c>
      <c r="AP231" s="519">
        <f t="shared" ca="1" si="82"/>
        <v>0</v>
      </c>
      <c r="AQ231" s="519">
        <f t="shared" ca="1" si="83"/>
        <v>0</v>
      </c>
      <c r="AS231" s="536"/>
      <c r="AT231" s="536"/>
      <c r="AU231" s="519" t="str">
        <f t="shared" si="89"/>
        <v>Vector</v>
      </c>
      <c r="AV231" s="519" t="str">
        <f t="shared" si="84"/>
        <v>WIR0331</v>
      </c>
      <c r="AW231" s="519">
        <f t="shared" si="85"/>
        <v>85.304100000000005</v>
      </c>
      <c r="AX231" s="538"/>
      <c r="AY231" s="539">
        <f t="shared" ca="1" si="90"/>
        <v>2.5877036251060583</v>
      </c>
      <c r="AZ231" s="189"/>
    </row>
    <row r="232" spans="1:52" x14ac:dyDescent="0.3">
      <c r="A232" s="556">
        <v>1</v>
      </c>
      <c r="B232" s="519" t="str">
        <f t="shared" si="86"/>
        <v>WKM</v>
      </c>
      <c r="C232" s="519" t="str">
        <f>AMDs!C213</f>
        <v>Other</v>
      </c>
      <c r="D232" s="519" t="str">
        <f>AMDs!D213</f>
        <v>WKM2201</v>
      </c>
      <c r="E232" s="519">
        <f>IF(AMDs!C213="other",0,AMDs!E213)</f>
        <v>0</v>
      </c>
      <c r="H232" s="519">
        <f ca="1">_xlfn.IFNA(IF(VLOOKUP($B232&amp;OFFSET(H$10,$A232*2,0),'Mapping A'!$B$6:$E$1011,4,0)=1,$E232,""),0)</f>
        <v>0</v>
      </c>
      <c r="I232" s="519">
        <f ca="1">_xlfn.IFNA(IF(VLOOKUP($B232&amp;OFFSET(I$10,$A232*2,0),'Mapping A'!$B$6:$E$1011,4,0)=1,$E232,""),0)</f>
        <v>0</v>
      </c>
      <c r="J232" s="519">
        <f ca="1">_xlfn.IFNA(IF(VLOOKUP($B232&amp;OFFSET(J$10,$A232*2,0),'Mapping A'!$B$6:$E$1011,4,0)=1,$E232,""),0)</f>
        <v>0</v>
      </c>
      <c r="K232" s="519">
        <f ca="1">_xlfn.IFNA(IF(VLOOKUP($B232&amp;OFFSET(K$10,$A232*2,0),'Mapping A'!$B$6:$E$1011,4,0)=1,$E232,""),0)</f>
        <v>0</v>
      </c>
      <c r="L232" s="519">
        <f ca="1">_xlfn.IFNA(IF(VLOOKUP($B232&amp;OFFSET(L$10,$A232*2,0),'Mapping A'!$B$6:$E$1011,4,0)=1,$E232,""),0)</f>
        <v>0</v>
      </c>
      <c r="M232" s="519">
        <f ca="1">_xlfn.IFNA(IF(VLOOKUP($B232&amp;OFFSET(M$10,$A232*2,0),'Mapping A'!$B$6:$E$1011,4,0)=1,$E232,""),0)</f>
        <v>0</v>
      </c>
      <c r="N232" s="519">
        <f ca="1">_xlfn.IFNA(IF(VLOOKUP($B232&amp;OFFSET(N$10,$A232*2,0),'Mapping A'!$B$6:$E$1011,4,0)=1,$E232,""),0)</f>
        <v>0</v>
      </c>
      <c r="O232" s="519">
        <f ca="1">_xlfn.IFNA(IF(VLOOKUP($B232&amp;OFFSET(O$10,$A232*2,0),'Mapping A'!$B$6:$E$1011,4,0)=1,$E232,""),0)</f>
        <v>0</v>
      </c>
      <c r="P232" s="519">
        <f ca="1">_xlfn.IFNA(IF(VLOOKUP($B232&amp;OFFSET(P$10,$A232*2,0),'Mapping A'!$B$6:$E$1011,4,0)=1,$E232,""),0)</f>
        <v>0</v>
      </c>
      <c r="Q232" s="519">
        <f ca="1">_xlfn.IFNA(IF(VLOOKUP($B232&amp;OFFSET(Q$10,$A232*2,0),'Mapping A'!$B$6:$E$1011,4,0)=1,$E232,""),0)</f>
        <v>0</v>
      </c>
      <c r="R232" s="519">
        <f ca="1">_xlfn.IFNA(IF(VLOOKUP($B232&amp;OFFSET(R$10,$A232*2,0),'Mapping A'!$B$6:$E$1011,4,0)=1,$E232,""),0)</f>
        <v>0</v>
      </c>
      <c r="S232" s="519">
        <f ca="1">_xlfn.IFNA(IF(VLOOKUP($B232&amp;OFFSET(S$10,$A232*2,0),'Mapping A'!$B$6:$E$1011,4,0)=1,$E232,""),0)</f>
        <v>0</v>
      </c>
      <c r="T232" s="519">
        <f ca="1">_xlfn.IFNA(IF(VLOOKUP($B232&amp;OFFSET(T$10,$A232*2,0),'Mapping A'!$B$6:$E$1011,4,0)=1,$E232,""),0)</f>
        <v>0</v>
      </c>
      <c r="Y232" s="534" t="str">
        <f t="shared" si="91"/>
        <v>OtherWKM2201</v>
      </c>
      <c r="Z232" s="519" t="str">
        <f t="shared" si="70"/>
        <v>Other</v>
      </c>
      <c r="AA232" s="519" t="str">
        <f t="shared" si="71"/>
        <v>WKM2201</v>
      </c>
      <c r="AB232" s="519">
        <f t="shared" si="87"/>
        <v>0</v>
      </c>
      <c r="AC232" s="324"/>
      <c r="AE232" s="519">
        <f t="shared" ca="1" si="72"/>
        <v>0</v>
      </c>
      <c r="AF232" s="519">
        <f t="shared" ca="1" si="73"/>
        <v>0</v>
      </c>
      <c r="AG232" s="519">
        <f t="shared" ca="1" si="74"/>
        <v>0</v>
      </c>
      <c r="AH232" s="519">
        <f t="shared" ca="1" si="75"/>
        <v>0</v>
      </c>
      <c r="AI232" s="519">
        <f t="shared" ca="1" si="88"/>
        <v>0</v>
      </c>
      <c r="AJ232" s="519">
        <f t="shared" ca="1" si="76"/>
        <v>0</v>
      </c>
      <c r="AK232" s="519">
        <f t="shared" ca="1" si="77"/>
        <v>0</v>
      </c>
      <c r="AL232" s="519">
        <f t="shared" ca="1" si="78"/>
        <v>0</v>
      </c>
      <c r="AM232" s="519">
        <f t="shared" ca="1" si="79"/>
        <v>0</v>
      </c>
      <c r="AN232" s="519">
        <f t="shared" ca="1" si="80"/>
        <v>0</v>
      </c>
      <c r="AO232" s="519">
        <f t="shared" ca="1" si="81"/>
        <v>0</v>
      </c>
      <c r="AP232" s="519">
        <f t="shared" ca="1" si="82"/>
        <v>0</v>
      </c>
      <c r="AQ232" s="519">
        <f t="shared" ca="1" si="83"/>
        <v>0</v>
      </c>
      <c r="AS232" s="536"/>
      <c r="AT232" s="536"/>
      <c r="AU232" s="519" t="str">
        <f t="shared" si="89"/>
        <v>Other</v>
      </c>
      <c r="AV232" s="519" t="str">
        <f t="shared" si="84"/>
        <v>WKM2201</v>
      </c>
      <c r="AW232" s="519">
        <f t="shared" si="85"/>
        <v>0</v>
      </c>
      <c r="AX232" s="538"/>
      <c r="AY232" s="539">
        <f t="shared" ca="1" si="90"/>
        <v>0</v>
      </c>
      <c r="AZ232" s="189"/>
    </row>
    <row r="233" spans="1:52" x14ac:dyDescent="0.3">
      <c r="A233" s="556">
        <v>1</v>
      </c>
      <c r="B233" s="519" t="str">
        <f t="shared" si="86"/>
        <v>WKO</v>
      </c>
      <c r="C233" s="519" t="str">
        <f>AMDs!C214</f>
        <v>Powerco</v>
      </c>
      <c r="D233" s="519" t="str">
        <f>AMDs!D214</f>
        <v>WKO0331</v>
      </c>
      <c r="E233" s="519">
        <f>IF(AMDs!C214="other",0,AMDs!E214)</f>
        <v>36.264899999999997</v>
      </c>
      <c r="H233" s="519">
        <f ca="1">_xlfn.IFNA(IF(VLOOKUP($B233&amp;OFFSET(H$10,$A233*2,0),'Mapping A'!$B$6:$E$1011,4,0)=1,$E233,""),0)</f>
        <v>0</v>
      </c>
      <c r="I233" s="519">
        <f ca="1">_xlfn.IFNA(IF(VLOOKUP($B233&amp;OFFSET(I$10,$A233*2,0),'Mapping A'!$B$6:$E$1011,4,0)=1,$E233,""),0)</f>
        <v>36.264899999999997</v>
      </c>
      <c r="J233" s="519">
        <f ca="1">_xlfn.IFNA(IF(VLOOKUP($B233&amp;OFFSET(J$10,$A233*2,0),'Mapping A'!$B$6:$E$1011,4,0)=1,$E233,""),0)</f>
        <v>36.264899999999997</v>
      </c>
      <c r="K233" s="519">
        <f ca="1">_xlfn.IFNA(IF(VLOOKUP($B233&amp;OFFSET(K$10,$A233*2,0),'Mapping A'!$B$6:$E$1011,4,0)=1,$E233,""),0)</f>
        <v>0</v>
      </c>
      <c r="L233" s="519">
        <f ca="1">_xlfn.IFNA(IF(VLOOKUP($B233&amp;OFFSET(L$10,$A233*2,0),'Mapping A'!$B$6:$E$1011,4,0)=1,$E233,""),0)</f>
        <v>0</v>
      </c>
      <c r="M233" s="519">
        <f ca="1">_xlfn.IFNA(IF(VLOOKUP($B233&amp;OFFSET(M$10,$A233*2,0),'Mapping A'!$B$6:$E$1011,4,0)=1,$E233,""),0)</f>
        <v>36.264899999999997</v>
      </c>
      <c r="N233" s="519">
        <f ca="1">_xlfn.IFNA(IF(VLOOKUP($B233&amp;OFFSET(N$10,$A233*2,0),'Mapping A'!$B$6:$E$1011,4,0)=1,$E233,""),0)</f>
        <v>0</v>
      </c>
      <c r="O233" s="519">
        <f ca="1">_xlfn.IFNA(IF(VLOOKUP($B233&amp;OFFSET(O$10,$A233*2,0),'Mapping A'!$B$6:$E$1011,4,0)=1,$E233,""),0)</f>
        <v>0</v>
      </c>
      <c r="P233" s="519">
        <f ca="1">_xlfn.IFNA(IF(VLOOKUP($B233&amp;OFFSET(P$10,$A233*2,0),'Mapping A'!$B$6:$E$1011,4,0)=1,$E233,""),0)</f>
        <v>0</v>
      </c>
      <c r="Q233" s="519">
        <f ca="1">_xlfn.IFNA(IF(VLOOKUP($B233&amp;OFFSET(Q$10,$A233*2,0),'Mapping A'!$B$6:$E$1011,4,0)=1,$E233,""),0)</f>
        <v>0</v>
      </c>
      <c r="R233" s="519">
        <f ca="1">_xlfn.IFNA(IF(VLOOKUP($B233&amp;OFFSET(R$10,$A233*2,0),'Mapping A'!$B$6:$E$1011,4,0)=1,$E233,""),0)</f>
        <v>0</v>
      </c>
      <c r="S233" s="519">
        <f ca="1">_xlfn.IFNA(IF(VLOOKUP($B233&amp;OFFSET(S$10,$A233*2,0),'Mapping A'!$B$6:$E$1011,4,0)=1,$E233,""),0)</f>
        <v>0</v>
      </c>
      <c r="T233" s="519">
        <f ca="1">_xlfn.IFNA(IF(VLOOKUP($B233&amp;OFFSET(T$10,$A233*2,0),'Mapping A'!$B$6:$E$1011,4,0)=1,$E233,""),0)</f>
        <v>0</v>
      </c>
      <c r="Y233" s="534" t="str">
        <f t="shared" si="91"/>
        <v>PowercoWKO0331</v>
      </c>
      <c r="Z233" s="519" t="str">
        <f t="shared" si="70"/>
        <v>Powerco</v>
      </c>
      <c r="AA233" s="519" t="str">
        <f t="shared" si="71"/>
        <v>WKO0331</v>
      </c>
      <c r="AB233" s="519">
        <f t="shared" si="87"/>
        <v>36.264899999999997</v>
      </c>
      <c r="AC233" s="324"/>
      <c r="AE233" s="519">
        <f t="shared" ca="1" si="72"/>
        <v>0</v>
      </c>
      <c r="AF233" s="519">
        <f t="shared" ca="1" si="73"/>
        <v>0</v>
      </c>
      <c r="AG233" s="519">
        <f t="shared" ca="1" si="74"/>
        <v>0</v>
      </c>
      <c r="AH233" s="519">
        <f t="shared" ca="1" si="75"/>
        <v>0</v>
      </c>
      <c r="AI233" s="519">
        <f t="shared" ca="1" si="88"/>
        <v>0</v>
      </c>
      <c r="AJ233" s="519">
        <f t="shared" ca="1" si="76"/>
        <v>0</v>
      </c>
      <c r="AK233" s="519">
        <f t="shared" ca="1" si="77"/>
        <v>0</v>
      </c>
      <c r="AL233" s="519">
        <f t="shared" ca="1" si="78"/>
        <v>0</v>
      </c>
      <c r="AM233" s="519">
        <f t="shared" ca="1" si="79"/>
        <v>0</v>
      </c>
      <c r="AN233" s="519">
        <f t="shared" ca="1" si="80"/>
        <v>0</v>
      </c>
      <c r="AO233" s="519">
        <f t="shared" ca="1" si="81"/>
        <v>0</v>
      </c>
      <c r="AP233" s="519">
        <f t="shared" ca="1" si="82"/>
        <v>0</v>
      </c>
      <c r="AQ233" s="519">
        <f t="shared" ca="1" si="83"/>
        <v>0</v>
      </c>
      <c r="AS233" s="536"/>
      <c r="AT233" s="536"/>
      <c r="AU233" s="519" t="str">
        <f t="shared" si="89"/>
        <v>Powerco</v>
      </c>
      <c r="AV233" s="519" t="str">
        <f t="shared" si="84"/>
        <v>WKO0331</v>
      </c>
      <c r="AW233" s="519">
        <f t="shared" si="85"/>
        <v>36.264899999999997</v>
      </c>
      <c r="AX233" s="538"/>
      <c r="AY233" s="539">
        <f t="shared" ca="1" si="90"/>
        <v>1.1000973364012829</v>
      </c>
      <c r="AZ233" s="189"/>
    </row>
    <row r="234" spans="1:52" x14ac:dyDescent="0.3">
      <c r="A234" s="556">
        <v>1</v>
      </c>
      <c r="B234" s="519" t="str">
        <f t="shared" si="86"/>
        <v>WPA</v>
      </c>
      <c r="C234" s="519" t="str">
        <f>AMDs!C215</f>
        <v>MRP</v>
      </c>
      <c r="D234" s="519" t="str">
        <f>AMDs!D215</f>
        <v>WPA2201</v>
      </c>
      <c r="E234" s="519">
        <f>IF(AMDs!C215="other",0,AMDs!E215)</f>
        <v>0.189</v>
      </c>
      <c r="H234" s="519">
        <f ca="1">_xlfn.IFNA(IF(VLOOKUP($B234&amp;OFFSET(H$10,$A234*2,0),'Mapping A'!$B$6:$E$1011,4,0)=1,$E234,""),0)</f>
        <v>0</v>
      </c>
      <c r="I234" s="519">
        <f ca="1">_xlfn.IFNA(IF(VLOOKUP($B234&amp;OFFSET(I$10,$A234*2,0),'Mapping A'!$B$6:$E$1011,4,0)=1,$E234,""),0)</f>
        <v>0</v>
      </c>
      <c r="J234" s="519">
        <f ca="1">_xlfn.IFNA(IF(VLOOKUP($B234&amp;OFFSET(J$10,$A234*2,0),'Mapping A'!$B$6:$E$1011,4,0)=1,$E234,""),0)</f>
        <v>0</v>
      </c>
      <c r="K234" s="519">
        <f ca="1">_xlfn.IFNA(IF(VLOOKUP($B234&amp;OFFSET(K$10,$A234*2,0),'Mapping A'!$B$6:$E$1011,4,0)=1,$E234,""),0)</f>
        <v>0</v>
      </c>
      <c r="L234" s="519">
        <f ca="1">_xlfn.IFNA(IF(VLOOKUP($B234&amp;OFFSET(L$10,$A234*2,0),'Mapping A'!$B$6:$E$1011,4,0)=1,$E234,""),0)</f>
        <v>0</v>
      </c>
      <c r="M234" s="519">
        <f ca="1">_xlfn.IFNA(IF(VLOOKUP($B234&amp;OFFSET(M$10,$A234*2,0),'Mapping A'!$B$6:$E$1011,4,0)=1,$E234,""),0)</f>
        <v>0</v>
      </c>
      <c r="N234" s="519">
        <f ca="1">_xlfn.IFNA(IF(VLOOKUP($B234&amp;OFFSET(N$10,$A234*2,0),'Mapping A'!$B$6:$E$1011,4,0)=1,$E234,""),0)</f>
        <v>0</v>
      </c>
      <c r="O234" s="519">
        <f ca="1">_xlfn.IFNA(IF(VLOOKUP($B234&amp;OFFSET(O$10,$A234*2,0),'Mapping A'!$B$6:$E$1011,4,0)=1,$E234,""),0)</f>
        <v>0</v>
      </c>
      <c r="P234" s="519">
        <f ca="1">_xlfn.IFNA(IF(VLOOKUP($B234&amp;OFFSET(P$10,$A234*2,0),'Mapping A'!$B$6:$E$1011,4,0)=1,$E234,""),0)</f>
        <v>0</v>
      </c>
      <c r="Q234" s="519">
        <f ca="1">_xlfn.IFNA(IF(VLOOKUP($B234&amp;OFFSET(Q$10,$A234*2,0),'Mapping A'!$B$6:$E$1011,4,0)=1,$E234,""),0)</f>
        <v>0</v>
      </c>
      <c r="R234" s="519">
        <f ca="1">_xlfn.IFNA(IF(VLOOKUP($B234&amp;OFFSET(R$10,$A234*2,0),'Mapping A'!$B$6:$E$1011,4,0)=1,$E234,""),0)</f>
        <v>0</v>
      </c>
      <c r="S234" s="519">
        <f ca="1">_xlfn.IFNA(IF(VLOOKUP($B234&amp;OFFSET(S$10,$A234*2,0),'Mapping A'!$B$6:$E$1011,4,0)=1,$E234,""),0)</f>
        <v>0</v>
      </c>
      <c r="T234" s="519">
        <f ca="1">_xlfn.IFNA(IF(VLOOKUP($B234&amp;OFFSET(T$10,$A234*2,0),'Mapping A'!$B$6:$E$1011,4,0)=1,$E234,""),0)</f>
        <v>0</v>
      </c>
      <c r="Y234" s="534" t="str">
        <f t="shared" si="91"/>
        <v>MRPWPA2201</v>
      </c>
      <c r="Z234" s="519" t="str">
        <f t="shared" si="70"/>
        <v>MRP</v>
      </c>
      <c r="AA234" s="519" t="str">
        <f t="shared" si="71"/>
        <v>WPA2201</v>
      </c>
      <c r="AB234" s="519">
        <f t="shared" si="87"/>
        <v>0.189</v>
      </c>
      <c r="AC234" s="324"/>
      <c r="AE234" s="519">
        <f t="shared" ca="1" si="72"/>
        <v>0</v>
      </c>
      <c r="AF234" s="519">
        <f t="shared" ca="1" si="73"/>
        <v>0</v>
      </c>
      <c r="AG234" s="519">
        <f t="shared" ca="1" si="74"/>
        <v>0</v>
      </c>
      <c r="AH234" s="519">
        <f t="shared" ca="1" si="75"/>
        <v>0</v>
      </c>
      <c r="AI234" s="519">
        <f t="shared" ca="1" si="88"/>
        <v>0</v>
      </c>
      <c r="AJ234" s="519">
        <f t="shared" ca="1" si="76"/>
        <v>0</v>
      </c>
      <c r="AK234" s="519">
        <f t="shared" ca="1" si="77"/>
        <v>0</v>
      </c>
      <c r="AL234" s="519">
        <f t="shared" ca="1" si="78"/>
        <v>0</v>
      </c>
      <c r="AM234" s="519">
        <f t="shared" ca="1" si="79"/>
        <v>0</v>
      </c>
      <c r="AN234" s="519">
        <f t="shared" ca="1" si="80"/>
        <v>0</v>
      </c>
      <c r="AO234" s="519">
        <f t="shared" ca="1" si="81"/>
        <v>0</v>
      </c>
      <c r="AP234" s="519">
        <f t="shared" ca="1" si="82"/>
        <v>0</v>
      </c>
      <c r="AQ234" s="519">
        <f t="shared" ca="1" si="83"/>
        <v>0</v>
      </c>
      <c r="AS234" s="536"/>
      <c r="AT234" s="536"/>
      <c r="AU234" s="519" t="str">
        <f t="shared" si="89"/>
        <v>MRP</v>
      </c>
      <c r="AV234" s="519" t="str">
        <f t="shared" si="84"/>
        <v>WPA2201</v>
      </c>
      <c r="AW234" s="519">
        <f t="shared" si="85"/>
        <v>0.189</v>
      </c>
      <c r="AX234" s="538"/>
      <c r="AY234" s="539">
        <f t="shared" ca="1" si="90"/>
        <v>5.7333233120687626E-3</v>
      </c>
      <c r="AZ234" s="189"/>
    </row>
    <row r="235" spans="1:52" x14ac:dyDescent="0.3">
      <c r="A235" s="556">
        <v>1</v>
      </c>
      <c r="B235" s="519" t="str">
        <f t="shared" si="86"/>
        <v>WPR</v>
      </c>
      <c r="C235" s="519" t="str">
        <f>AMDs!C216</f>
        <v>Mainpower</v>
      </c>
      <c r="D235" s="519" t="str">
        <f>AMDs!D216</f>
        <v>WPR0331</v>
      </c>
      <c r="E235" s="519">
        <f>IF(AMDs!C216="other",0,AMDs!E216)</f>
        <v>12.6084</v>
      </c>
      <c r="H235" s="519">
        <f ca="1">_xlfn.IFNA(IF(VLOOKUP($B235&amp;OFFSET(H$10,$A235*2,0),'Mapping A'!$B$6:$E$1011,4,0)=1,$E235,""),0)</f>
        <v>0</v>
      </c>
      <c r="I235" s="519">
        <f ca="1">_xlfn.IFNA(IF(VLOOKUP($B235&amp;OFFSET(I$10,$A235*2,0),'Mapping A'!$B$6:$E$1011,4,0)=1,$E235,""),0)</f>
        <v>12.6084</v>
      </c>
      <c r="J235" s="519">
        <f ca="1">_xlfn.IFNA(IF(VLOOKUP($B235&amp;OFFSET(J$10,$A235*2,0),'Mapping A'!$B$6:$E$1011,4,0)=1,$E235,""),0)</f>
        <v>0</v>
      </c>
      <c r="K235" s="519">
        <f ca="1">_xlfn.IFNA(IF(VLOOKUP($B235&amp;OFFSET(K$10,$A235*2,0),'Mapping A'!$B$6:$E$1011,4,0)=1,$E235,""),0)</f>
        <v>0</v>
      </c>
      <c r="L235" s="519">
        <f ca="1">_xlfn.IFNA(IF(VLOOKUP($B235&amp;OFFSET(L$10,$A235*2,0),'Mapping A'!$B$6:$E$1011,4,0)=1,$E235,""),0)</f>
        <v>0</v>
      </c>
      <c r="M235" s="519">
        <f ca="1">_xlfn.IFNA(IF(VLOOKUP($B235&amp;OFFSET(M$10,$A235*2,0),'Mapping A'!$B$6:$E$1011,4,0)=1,$E235,""),0)</f>
        <v>0</v>
      </c>
      <c r="N235" s="519">
        <f ca="1">_xlfn.IFNA(IF(VLOOKUP($B235&amp;OFFSET(N$10,$A235*2,0),'Mapping A'!$B$6:$E$1011,4,0)=1,$E235,""),0)</f>
        <v>0</v>
      </c>
      <c r="O235" s="519">
        <f ca="1">_xlfn.IFNA(IF(VLOOKUP($B235&amp;OFFSET(O$10,$A235*2,0),'Mapping A'!$B$6:$E$1011,4,0)=1,$E235,""),0)</f>
        <v>0</v>
      </c>
      <c r="P235" s="519">
        <f ca="1">_xlfn.IFNA(IF(VLOOKUP($B235&amp;OFFSET(P$10,$A235*2,0),'Mapping A'!$B$6:$E$1011,4,0)=1,$E235,""),0)</f>
        <v>12.6084</v>
      </c>
      <c r="Q235" s="519">
        <f ca="1">_xlfn.IFNA(IF(VLOOKUP($B235&amp;OFFSET(Q$10,$A235*2,0),'Mapping A'!$B$6:$E$1011,4,0)=1,$E235,""),0)</f>
        <v>0</v>
      </c>
      <c r="R235" s="519">
        <f ca="1">_xlfn.IFNA(IF(VLOOKUP($B235&amp;OFFSET(R$10,$A235*2,0),'Mapping A'!$B$6:$E$1011,4,0)=1,$E235,""),0)</f>
        <v>0</v>
      </c>
      <c r="S235" s="519">
        <f ca="1">_xlfn.IFNA(IF(VLOOKUP($B235&amp;OFFSET(S$10,$A235*2,0),'Mapping A'!$B$6:$E$1011,4,0)=1,$E235,""),0)</f>
        <v>0</v>
      </c>
      <c r="T235" s="519">
        <f ca="1">_xlfn.IFNA(IF(VLOOKUP($B235&amp;OFFSET(T$10,$A235*2,0),'Mapping A'!$B$6:$E$1011,4,0)=1,$E235,""),0)</f>
        <v>0</v>
      </c>
      <c r="Y235" s="534" t="str">
        <f t="shared" si="91"/>
        <v>MainpowerWPR0331</v>
      </c>
      <c r="Z235" s="519" t="str">
        <f t="shared" si="70"/>
        <v>Mainpower</v>
      </c>
      <c r="AA235" s="519" t="str">
        <f t="shared" si="71"/>
        <v>WPR0331</v>
      </c>
      <c r="AB235" s="519">
        <f t="shared" si="87"/>
        <v>12.6084</v>
      </c>
      <c r="AC235" s="324"/>
      <c r="AE235" s="519">
        <f t="shared" ca="1" si="72"/>
        <v>0</v>
      </c>
      <c r="AF235" s="519">
        <f t="shared" ca="1" si="73"/>
        <v>0</v>
      </c>
      <c r="AG235" s="519">
        <f t="shared" ca="1" si="74"/>
        <v>0</v>
      </c>
      <c r="AH235" s="519">
        <f t="shared" ca="1" si="75"/>
        <v>0</v>
      </c>
      <c r="AI235" s="519">
        <f t="shared" ca="1" si="88"/>
        <v>0</v>
      </c>
      <c r="AJ235" s="519">
        <f t="shared" ca="1" si="76"/>
        <v>0</v>
      </c>
      <c r="AK235" s="519">
        <f t="shared" ca="1" si="77"/>
        <v>0</v>
      </c>
      <c r="AL235" s="519">
        <f t="shared" ca="1" si="78"/>
        <v>0</v>
      </c>
      <c r="AM235" s="519">
        <f t="shared" ca="1" si="79"/>
        <v>3.358714058115627E-2</v>
      </c>
      <c r="AN235" s="519">
        <f t="shared" ca="1" si="80"/>
        <v>0</v>
      </c>
      <c r="AO235" s="519">
        <f t="shared" ca="1" si="81"/>
        <v>0</v>
      </c>
      <c r="AP235" s="519">
        <f t="shared" ca="1" si="82"/>
        <v>0</v>
      </c>
      <c r="AQ235" s="519">
        <f t="shared" ca="1" si="83"/>
        <v>0</v>
      </c>
      <c r="AS235" s="536"/>
      <c r="AT235" s="536"/>
      <c r="AU235" s="519" t="str">
        <f t="shared" si="89"/>
        <v>Mainpower</v>
      </c>
      <c r="AV235" s="519" t="str">
        <f t="shared" si="84"/>
        <v>WPR0331</v>
      </c>
      <c r="AW235" s="519">
        <f t="shared" si="85"/>
        <v>12.6084</v>
      </c>
      <c r="AX235" s="538"/>
      <c r="AY235" s="539">
        <f t="shared" ca="1" si="90"/>
        <v>0.38247636850734279</v>
      </c>
      <c r="AZ235" s="189"/>
    </row>
    <row r="236" spans="1:52" x14ac:dyDescent="0.3">
      <c r="A236" s="556">
        <v>1</v>
      </c>
      <c r="B236" s="519" t="str">
        <f t="shared" si="86"/>
        <v>WPR</v>
      </c>
      <c r="C236" s="519" t="str">
        <f>AMDs!C217</f>
        <v>Mainpower</v>
      </c>
      <c r="D236" s="519" t="str">
        <f>AMDs!D217</f>
        <v>WPR0661</v>
      </c>
      <c r="E236" s="519">
        <f>IF(AMDs!C217="other",0,AMDs!E217)</f>
        <v>10.428599999999999</v>
      </c>
      <c r="H236" s="519">
        <f ca="1">_xlfn.IFNA(IF(VLOOKUP($B236&amp;OFFSET(H$10,$A236*2,0),'Mapping A'!$B$6:$E$1011,4,0)=1,$E236,""),0)</f>
        <v>0</v>
      </c>
      <c r="I236" s="519">
        <f ca="1">_xlfn.IFNA(IF(VLOOKUP($B236&amp;OFFSET(I$10,$A236*2,0),'Mapping A'!$B$6:$E$1011,4,0)=1,$E236,""),0)</f>
        <v>10.428599999999999</v>
      </c>
      <c r="J236" s="519">
        <f ca="1">_xlfn.IFNA(IF(VLOOKUP($B236&amp;OFFSET(J$10,$A236*2,0),'Mapping A'!$B$6:$E$1011,4,0)=1,$E236,""),0)</f>
        <v>0</v>
      </c>
      <c r="K236" s="519">
        <f ca="1">_xlfn.IFNA(IF(VLOOKUP($B236&amp;OFFSET(K$10,$A236*2,0),'Mapping A'!$B$6:$E$1011,4,0)=1,$E236,""),0)</f>
        <v>0</v>
      </c>
      <c r="L236" s="519">
        <f ca="1">_xlfn.IFNA(IF(VLOOKUP($B236&amp;OFFSET(L$10,$A236*2,0),'Mapping A'!$B$6:$E$1011,4,0)=1,$E236,""),0)</f>
        <v>0</v>
      </c>
      <c r="M236" s="519">
        <f ca="1">_xlfn.IFNA(IF(VLOOKUP($B236&amp;OFFSET(M$10,$A236*2,0),'Mapping A'!$B$6:$E$1011,4,0)=1,$E236,""),0)</f>
        <v>0</v>
      </c>
      <c r="N236" s="519">
        <f ca="1">_xlfn.IFNA(IF(VLOOKUP($B236&amp;OFFSET(N$10,$A236*2,0),'Mapping A'!$B$6:$E$1011,4,0)=1,$E236,""),0)</f>
        <v>0</v>
      </c>
      <c r="O236" s="519">
        <f ca="1">_xlfn.IFNA(IF(VLOOKUP($B236&amp;OFFSET(O$10,$A236*2,0),'Mapping A'!$B$6:$E$1011,4,0)=1,$E236,""),0)</f>
        <v>0</v>
      </c>
      <c r="P236" s="519">
        <f ca="1">_xlfn.IFNA(IF(VLOOKUP($B236&amp;OFFSET(P$10,$A236*2,0),'Mapping A'!$B$6:$E$1011,4,0)=1,$E236,""),0)</f>
        <v>10.428599999999999</v>
      </c>
      <c r="Q236" s="519">
        <f ca="1">_xlfn.IFNA(IF(VLOOKUP($B236&amp;OFFSET(Q$10,$A236*2,0),'Mapping A'!$B$6:$E$1011,4,0)=1,$E236,""),0)</f>
        <v>0</v>
      </c>
      <c r="R236" s="519">
        <f ca="1">_xlfn.IFNA(IF(VLOOKUP($B236&amp;OFFSET(R$10,$A236*2,0),'Mapping A'!$B$6:$E$1011,4,0)=1,$E236,""),0)</f>
        <v>0</v>
      </c>
      <c r="S236" s="519">
        <f ca="1">_xlfn.IFNA(IF(VLOOKUP($B236&amp;OFFSET(S$10,$A236*2,0),'Mapping A'!$B$6:$E$1011,4,0)=1,$E236,""),0)</f>
        <v>0</v>
      </c>
      <c r="T236" s="519">
        <f ca="1">_xlfn.IFNA(IF(VLOOKUP($B236&amp;OFFSET(T$10,$A236*2,0),'Mapping A'!$B$6:$E$1011,4,0)=1,$E236,""),0)</f>
        <v>0</v>
      </c>
      <c r="Y236" s="534" t="str">
        <f t="shared" si="91"/>
        <v>MainpowerWPR0661</v>
      </c>
      <c r="Z236" s="519" t="str">
        <f t="shared" si="70"/>
        <v>Mainpower</v>
      </c>
      <c r="AA236" s="519" t="str">
        <f t="shared" si="71"/>
        <v>WPR0661</v>
      </c>
      <c r="AB236" s="519">
        <f t="shared" si="87"/>
        <v>10.428599999999999</v>
      </c>
      <c r="AC236" s="324"/>
      <c r="AE236" s="519">
        <f t="shared" ca="1" si="72"/>
        <v>0</v>
      </c>
      <c r="AF236" s="519">
        <f t="shared" ca="1" si="73"/>
        <v>0</v>
      </c>
      <c r="AG236" s="519">
        <f t="shared" ca="1" si="74"/>
        <v>0</v>
      </c>
      <c r="AH236" s="519">
        <f t="shared" ca="1" si="75"/>
        <v>0</v>
      </c>
      <c r="AI236" s="519">
        <f t="shared" ca="1" si="88"/>
        <v>0</v>
      </c>
      <c r="AJ236" s="519">
        <f t="shared" ca="1" si="76"/>
        <v>0</v>
      </c>
      <c r="AK236" s="519">
        <f t="shared" ca="1" si="77"/>
        <v>0</v>
      </c>
      <c r="AL236" s="519">
        <f t="shared" ca="1" si="78"/>
        <v>0</v>
      </c>
      <c r="AM236" s="519">
        <f t="shared" ca="1" si="79"/>
        <v>2.7780436396739178E-2</v>
      </c>
      <c r="AN236" s="519">
        <f t="shared" ca="1" si="80"/>
        <v>0</v>
      </c>
      <c r="AO236" s="519">
        <f t="shared" ca="1" si="81"/>
        <v>0</v>
      </c>
      <c r="AP236" s="519">
        <f t="shared" ca="1" si="82"/>
        <v>0</v>
      </c>
      <c r="AQ236" s="519">
        <f t="shared" ca="1" si="83"/>
        <v>0</v>
      </c>
      <c r="AS236" s="536"/>
      <c r="AT236" s="536"/>
      <c r="AU236" s="519" t="str">
        <f t="shared" si="89"/>
        <v>Mainpower</v>
      </c>
      <c r="AV236" s="519" t="str">
        <f t="shared" si="84"/>
        <v>WPR0661</v>
      </c>
      <c r="AW236" s="519">
        <f t="shared" si="85"/>
        <v>10.428599999999999</v>
      </c>
      <c r="AX236" s="538"/>
      <c r="AY236" s="539">
        <f t="shared" ca="1" si="90"/>
        <v>0.31635203964148306</v>
      </c>
      <c r="AZ236" s="189"/>
    </row>
    <row r="237" spans="1:52" x14ac:dyDescent="0.3">
      <c r="A237" s="556">
        <v>1</v>
      </c>
      <c r="B237" s="519" t="str">
        <f t="shared" si="86"/>
        <v>WPT</v>
      </c>
      <c r="C237" s="519" t="str">
        <f>AMDs!C218</f>
        <v>Buller Electricity</v>
      </c>
      <c r="D237" s="519" t="str">
        <f>AMDs!D218</f>
        <v>WPT0111</v>
      </c>
      <c r="E237" s="519">
        <f>IF(AMDs!C218="other",0,AMDs!E218)</f>
        <v>1.88706</v>
      </c>
      <c r="H237" s="519">
        <f ca="1">_xlfn.IFNA(IF(VLOOKUP($B237&amp;OFFSET(H$10,$A237*2,0),'Mapping A'!$B$6:$E$1011,4,0)=1,$E237,""),0)</f>
        <v>0</v>
      </c>
      <c r="I237" s="519">
        <f ca="1">_xlfn.IFNA(IF(VLOOKUP($B237&amp;OFFSET(I$10,$A237*2,0),'Mapping A'!$B$6:$E$1011,4,0)=1,$E237,""),0)</f>
        <v>1.88706</v>
      </c>
      <c r="J237" s="519">
        <f ca="1">_xlfn.IFNA(IF(VLOOKUP($B237&amp;OFFSET(J$10,$A237*2,0),'Mapping A'!$B$6:$E$1011,4,0)=1,$E237,""),0)</f>
        <v>0</v>
      </c>
      <c r="K237" s="519">
        <f ca="1">_xlfn.IFNA(IF(VLOOKUP($B237&amp;OFFSET(K$10,$A237*2,0),'Mapping A'!$B$6:$E$1011,4,0)=1,$E237,""),0)</f>
        <v>0</v>
      </c>
      <c r="L237" s="519">
        <f ca="1">_xlfn.IFNA(IF(VLOOKUP($B237&amp;OFFSET(L$10,$A237*2,0),'Mapping A'!$B$6:$E$1011,4,0)=1,$E237,""),0)</f>
        <v>0</v>
      </c>
      <c r="M237" s="519">
        <f ca="1">_xlfn.IFNA(IF(VLOOKUP($B237&amp;OFFSET(M$10,$A237*2,0),'Mapping A'!$B$6:$E$1011,4,0)=1,$E237,""),0)</f>
        <v>0</v>
      </c>
      <c r="N237" s="519">
        <f ca="1">_xlfn.IFNA(IF(VLOOKUP($B237&amp;OFFSET(N$10,$A237*2,0),'Mapping A'!$B$6:$E$1011,4,0)=1,$E237,""),0)</f>
        <v>0</v>
      </c>
      <c r="O237" s="519">
        <f ca="1">_xlfn.IFNA(IF(VLOOKUP($B237&amp;OFFSET(O$10,$A237*2,0),'Mapping A'!$B$6:$E$1011,4,0)=1,$E237,""),0)</f>
        <v>0</v>
      </c>
      <c r="P237" s="519">
        <f ca="1">_xlfn.IFNA(IF(VLOOKUP($B237&amp;OFFSET(P$10,$A237*2,0),'Mapping A'!$B$6:$E$1011,4,0)=1,$E237,""),0)</f>
        <v>1.88706</v>
      </c>
      <c r="Q237" s="519">
        <f ca="1">_xlfn.IFNA(IF(VLOOKUP($B237&amp;OFFSET(Q$10,$A237*2,0),'Mapping A'!$B$6:$E$1011,4,0)=1,$E237,""),0)</f>
        <v>0</v>
      </c>
      <c r="R237" s="519">
        <f ca="1">_xlfn.IFNA(IF(VLOOKUP($B237&amp;OFFSET(R$10,$A237*2,0),'Mapping A'!$B$6:$E$1011,4,0)=1,$E237,""),0)</f>
        <v>0</v>
      </c>
      <c r="S237" s="519">
        <f ca="1">_xlfn.IFNA(IF(VLOOKUP($B237&amp;OFFSET(S$10,$A237*2,0),'Mapping A'!$B$6:$E$1011,4,0)=1,$E237,""),0)</f>
        <v>0</v>
      </c>
      <c r="T237" s="519">
        <f ca="1">_xlfn.IFNA(IF(VLOOKUP($B237&amp;OFFSET(T$10,$A237*2,0),'Mapping A'!$B$6:$E$1011,4,0)=1,$E237,""),0)</f>
        <v>1.88706</v>
      </c>
      <c r="Y237" s="534" t="str">
        <f t="shared" si="91"/>
        <v>Buller ElectricityWPT0111</v>
      </c>
      <c r="Z237" s="519" t="str">
        <f t="shared" si="70"/>
        <v>Buller Electricity</v>
      </c>
      <c r="AA237" s="519" t="str">
        <f t="shared" si="71"/>
        <v>WPT0111</v>
      </c>
      <c r="AB237" s="519">
        <f t="shared" si="87"/>
        <v>1.88706</v>
      </c>
      <c r="AC237" s="324"/>
      <c r="AE237" s="519">
        <f t="shared" ca="1" si="72"/>
        <v>0</v>
      </c>
      <c r="AF237" s="519">
        <f t="shared" ca="1" si="73"/>
        <v>0</v>
      </c>
      <c r="AG237" s="519">
        <f t="shared" ca="1" si="74"/>
        <v>0</v>
      </c>
      <c r="AH237" s="519">
        <f t="shared" ca="1" si="75"/>
        <v>0</v>
      </c>
      <c r="AI237" s="519">
        <f t="shared" ca="1" si="88"/>
        <v>0</v>
      </c>
      <c r="AJ237" s="519">
        <f t="shared" ca="1" si="76"/>
        <v>0</v>
      </c>
      <c r="AK237" s="519">
        <f t="shared" ca="1" si="77"/>
        <v>0</v>
      </c>
      <c r="AL237" s="519">
        <f t="shared" ca="1" si="78"/>
        <v>0</v>
      </c>
      <c r="AM237" s="519">
        <f t="shared" ca="1" si="79"/>
        <v>5.0268828324828482E-3</v>
      </c>
      <c r="AN237" s="519">
        <f t="shared" ca="1" si="80"/>
        <v>0</v>
      </c>
      <c r="AO237" s="519">
        <f t="shared" ca="1" si="81"/>
        <v>0</v>
      </c>
      <c r="AP237" s="519">
        <f t="shared" ca="1" si="82"/>
        <v>0</v>
      </c>
      <c r="AQ237" s="519">
        <f t="shared" ca="1" si="83"/>
        <v>0</v>
      </c>
      <c r="AS237" s="536"/>
      <c r="AT237" s="536"/>
      <c r="AU237" s="519" t="str">
        <f t="shared" si="89"/>
        <v>Buller Electricity</v>
      </c>
      <c r="AV237" s="519" t="str">
        <f t="shared" si="84"/>
        <v>WPT0111</v>
      </c>
      <c r="AW237" s="519">
        <f t="shared" si="85"/>
        <v>1.88706</v>
      </c>
      <c r="AX237" s="538"/>
      <c r="AY237" s="539">
        <f t="shared" ca="1" si="90"/>
        <v>5.724404809138877E-2</v>
      </c>
      <c r="AZ237" s="189"/>
    </row>
    <row r="238" spans="1:52" x14ac:dyDescent="0.3">
      <c r="A238" s="556">
        <v>1</v>
      </c>
      <c r="B238" s="519" t="str">
        <f t="shared" si="86"/>
        <v>WPW</v>
      </c>
      <c r="C238" s="519" t="str">
        <f>AMDs!C219</f>
        <v>Centralines</v>
      </c>
      <c r="D238" s="519" t="str">
        <f>AMDs!D219</f>
        <v>WPW0331</v>
      </c>
      <c r="E238" s="519">
        <f>IF(AMDs!C219="other",0,AMDs!E219)</f>
        <v>20.4267</v>
      </c>
      <c r="H238" s="519">
        <f ca="1">_xlfn.IFNA(IF(VLOOKUP($B238&amp;OFFSET(H$10,$A238*2,0),'Mapping A'!$B$6:$E$1011,4,0)=1,$E238,""),0)</f>
        <v>0</v>
      </c>
      <c r="I238" s="519">
        <f ca="1">_xlfn.IFNA(IF(VLOOKUP($B238&amp;OFFSET(I$10,$A238*2,0),'Mapping A'!$B$6:$E$1011,4,0)=1,$E238,""),0)</f>
        <v>20.4267</v>
      </c>
      <c r="J238" s="519">
        <f ca="1">_xlfn.IFNA(IF(VLOOKUP($B238&amp;OFFSET(J$10,$A238*2,0),'Mapping A'!$B$6:$E$1011,4,0)=1,$E238,""),0)</f>
        <v>20.4267</v>
      </c>
      <c r="K238" s="519">
        <f ca="1">_xlfn.IFNA(IF(VLOOKUP($B238&amp;OFFSET(K$10,$A238*2,0),'Mapping A'!$B$6:$E$1011,4,0)=1,$E238,""),0)</f>
        <v>0</v>
      </c>
      <c r="L238" s="519">
        <f ca="1">_xlfn.IFNA(IF(VLOOKUP($B238&amp;OFFSET(L$10,$A238*2,0),'Mapping A'!$B$6:$E$1011,4,0)=1,$E238,""),0)</f>
        <v>0</v>
      </c>
      <c r="M238" s="519">
        <f ca="1">_xlfn.IFNA(IF(VLOOKUP($B238&amp;OFFSET(M$10,$A238*2,0),'Mapping A'!$B$6:$E$1011,4,0)=1,$E238,""),0)</f>
        <v>0</v>
      </c>
      <c r="N238" s="519">
        <f ca="1">_xlfn.IFNA(IF(VLOOKUP($B238&amp;OFFSET(N$10,$A238*2,0),'Mapping A'!$B$6:$E$1011,4,0)=1,$E238,""),0)</f>
        <v>0</v>
      </c>
      <c r="O238" s="519">
        <f ca="1">_xlfn.IFNA(IF(VLOOKUP($B238&amp;OFFSET(O$10,$A238*2,0),'Mapping A'!$B$6:$E$1011,4,0)=1,$E238,""),0)</f>
        <v>0</v>
      </c>
      <c r="P238" s="519">
        <f ca="1">_xlfn.IFNA(IF(VLOOKUP($B238&amp;OFFSET(P$10,$A238*2,0),'Mapping A'!$B$6:$E$1011,4,0)=1,$E238,""),0)</f>
        <v>0</v>
      </c>
      <c r="Q238" s="519">
        <f ca="1">_xlfn.IFNA(IF(VLOOKUP($B238&amp;OFFSET(Q$10,$A238*2,0),'Mapping A'!$B$6:$E$1011,4,0)=1,$E238,""),0)</f>
        <v>0</v>
      </c>
      <c r="R238" s="519">
        <f ca="1">_xlfn.IFNA(IF(VLOOKUP($B238&amp;OFFSET(R$10,$A238*2,0),'Mapping A'!$B$6:$E$1011,4,0)=1,$E238,""),0)</f>
        <v>0</v>
      </c>
      <c r="S238" s="519">
        <f ca="1">_xlfn.IFNA(IF(VLOOKUP($B238&amp;OFFSET(S$10,$A238*2,0),'Mapping A'!$B$6:$E$1011,4,0)=1,$E238,""),0)</f>
        <v>0</v>
      </c>
      <c r="T238" s="519">
        <f ca="1">_xlfn.IFNA(IF(VLOOKUP($B238&amp;OFFSET(T$10,$A238*2,0),'Mapping A'!$B$6:$E$1011,4,0)=1,$E238,""),0)</f>
        <v>0</v>
      </c>
      <c r="Y238" s="534" t="str">
        <f t="shared" si="91"/>
        <v>CentralinesWPW0331</v>
      </c>
      <c r="Z238" s="519" t="str">
        <f t="shared" si="70"/>
        <v>Centralines</v>
      </c>
      <c r="AA238" s="519" t="str">
        <f t="shared" si="71"/>
        <v>WPW0331</v>
      </c>
      <c r="AB238" s="519">
        <f t="shared" si="87"/>
        <v>20.4267</v>
      </c>
      <c r="AC238" s="324"/>
      <c r="AE238" s="519">
        <f t="shared" ca="1" si="72"/>
        <v>0</v>
      </c>
      <c r="AF238" s="519">
        <f t="shared" ca="1" si="73"/>
        <v>0</v>
      </c>
      <c r="AG238" s="519">
        <f t="shared" ca="1" si="74"/>
        <v>0</v>
      </c>
      <c r="AH238" s="519">
        <f t="shared" ca="1" si="75"/>
        <v>0</v>
      </c>
      <c r="AI238" s="519">
        <f t="shared" ca="1" si="88"/>
        <v>0</v>
      </c>
      <c r="AJ238" s="519">
        <f t="shared" ca="1" si="76"/>
        <v>0</v>
      </c>
      <c r="AK238" s="519">
        <f t="shared" ca="1" si="77"/>
        <v>0</v>
      </c>
      <c r="AL238" s="519">
        <f t="shared" ca="1" si="78"/>
        <v>0</v>
      </c>
      <c r="AM238" s="519">
        <f t="shared" ca="1" si="79"/>
        <v>0</v>
      </c>
      <c r="AN238" s="519">
        <f t="shared" ca="1" si="80"/>
        <v>0</v>
      </c>
      <c r="AO238" s="519">
        <f t="shared" ca="1" si="81"/>
        <v>0</v>
      </c>
      <c r="AP238" s="519">
        <f t="shared" ca="1" si="82"/>
        <v>0</v>
      </c>
      <c r="AQ238" s="519">
        <f t="shared" ca="1" si="83"/>
        <v>0</v>
      </c>
      <c r="AS238" s="536"/>
      <c r="AT238" s="536"/>
      <c r="AU238" s="519" t="str">
        <f t="shared" si="89"/>
        <v>Centralines</v>
      </c>
      <c r="AV238" s="519" t="str">
        <f t="shared" si="84"/>
        <v>WPW0331</v>
      </c>
      <c r="AW238" s="519">
        <f t="shared" si="85"/>
        <v>20.4267</v>
      </c>
      <c r="AX238" s="538"/>
      <c r="AY238" s="539">
        <f t="shared" ca="1" si="90"/>
        <v>0.61964484284992061</v>
      </c>
      <c r="AZ238" s="189"/>
    </row>
    <row r="239" spans="1:52" x14ac:dyDescent="0.3">
      <c r="A239" s="556">
        <v>1</v>
      </c>
      <c r="B239" s="519" t="str">
        <f t="shared" si="86"/>
        <v>WRD</v>
      </c>
      <c r="C239" s="519" t="str">
        <f>AMDs!C220</f>
        <v>Vector</v>
      </c>
      <c r="D239" s="519" t="str">
        <f>AMDs!D220</f>
        <v>WRD0331</v>
      </c>
      <c r="E239" s="519">
        <f>IF(AMDs!C220="other",0,AMDs!E220)</f>
        <v>70.297499999999999</v>
      </c>
      <c r="H239" s="519">
        <f ca="1">_xlfn.IFNA(IF(VLOOKUP($B239&amp;OFFSET(H$10,$A239*2,0),'Mapping A'!$B$6:$E$1011,4,0)=1,$E239,""),0)</f>
        <v>70.297499999999999</v>
      </c>
      <c r="I239" s="519">
        <f ca="1">_xlfn.IFNA(IF(VLOOKUP($B239&amp;OFFSET(I$10,$A239*2,0),'Mapping A'!$B$6:$E$1011,4,0)=1,$E239,""),0)</f>
        <v>70.297499999999999</v>
      </c>
      <c r="J239" s="519">
        <f ca="1">_xlfn.IFNA(IF(VLOOKUP($B239&amp;OFFSET(J$10,$A239*2,0),'Mapping A'!$B$6:$E$1011,4,0)=1,$E239,""),0)</f>
        <v>70.297499999999999</v>
      </c>
      <c r="K239" s="519">
        <f ca="1">_xlfn.IFNA(IF(VLOOKUP($B239&amp;OFFSET(K$10,$A239*2,0),'Mapping A'!$B$6:$E$1011,4,0)=1,$E239,""),0)</f>
        <v>70.297499999999999</v>
      </c>
      <c r="L239" s="519">
        <f ca="1">_xlfn.IFNA(IF(VLOOKUP($B239&amp;OFFSET(L$10,$A239*2,0),'Mapping A'!$B$6:$E$1011,4,0)=1,$E239,""),0)</f>
        <v>0</v>
      </c>
      <c r="M239" s="519">
        <f ca="1">_xlfn.IFNA(IF(VLOOKUP($B239&amp;OFFSET(M$10,$A239*2,0),'Mapping A'!$B$6:$E$1011,4,0)=1,$E239,""),0)</f>
        <v>70.297499999999999</v>
      </c>
      <c r="N239" s="519">
        <f ca="1">_xlfn.IFNA(IF(VLOOKUP($B239&amp;OFFSET(N$10,$A239*2,0),'Mapping A'!$B$6:$E$1011,4,0)=1,$E239,""),0)</f>
        <v>70.297499999999999</v>
      </c>
      <c r="O239" s="519">
        <f ca="1">_xlfn.IFNA(IF(VLOOKUP($B239&amp;OFFSET(O$10,$A239*2,0),'Mapping A'!$B$6:$E$1011,4,0)=1,$E239,""),0)</f>
        <v>0</v>
      </c>
      <c r="P239" s="519">
        <f ca="1">_xlfn.IFNA(IF(VLOOKUP($B239&amp;OFFSET(P$10,$A239*2,0),'Mapping A'!$B$6:$E$1011,4,0)=1,$E239,""),0)</f>
        <v>0</v>
      </c>
      <c r="Q239" s="519">
        <f ca="1">_xlfn.IFNA(IF(VLOOKUP($B239&amp;OFFSET(Q$10,$A239*2,0),'Mapping A'!$B$6:$E$1011,4,0)=1,$E239,""),0)</f>
        <v>70.297499999999999</v>
      </c>
      <c r="R239" s="519">
        <f ca="1">_xlfn.IFNA(IF(VLOOKUP($B239&amp;OFFSET(R$10,$A239*2,0),'Mapping A'!$B$6:$E$1011,4,0)=1,$E239,""),0)</f>
        <v>0</v>
      </c>
      <c r="S239" s="519">
        <f ca="1">_xlfn.IFNA(IF(VLOOKUP($B239&amp;OFFSET(S$10,$A239*2,0),'Mapping A'!$B$6:$E$1011,4,0)=1,$E239,""),0)</f>
        <v>0</v>
      </c>
      <c r="T239" s="519">
        <f ca="1">_xlfn.IFNA(IF(VLOOKUP($B239&amp;OFFSET(T$10,$A239*2,0),'Mapping A'!$B$6:$E$1011,4,0)=1,$E239,""),0)</f>
        <v>0</v>
      </c>
      <c r="Y239" s="534" t="str">
        <f t="shared" si="91"/>
        <v>VectorWRD0331</v>
      </c>
      <c r="Z239" s="519" t="str">
        <f t="shared" si="70"/>
        <v>Vector</v>
      </c>
      <c r="AA239" s="519" t="str">
        <f t="shared" si="71"/>
        <v>WRD0331</v>
      </c>
      <c r="AB239" s="519">
        <f t="shared" si="87"/>
        <v>70.297499999999999</v>
      </c>
      <c r="AC239" s="324"/>
      <c r="AE239" s="519">
        <f t="shared" ca="1" si="72"/>
        <v>0</v>
      </c>
      <c r="AF239" s="519">
        <f t="shared" ca="1" si="73"/>
        <v>0</v>
      </c>
      <c r="AG239" s="519">
        <f t="shared" ca="1" si="74"/>
        <v>0</v>
      </c>
      <c r="AH239" s="519">
        <f t="shared" ca="1" si="75"/>
        <v>1.2338702069404126</v>
      </c>
      <c r="AI239" s="519">
        <f t="shared" ca="1" si="88"/>
        <v>0</v>
      </c>
      <c r="AJ239" s="519">
        <f t="shared" ca="1" si="76"/>
        <v>0</v>
      </c>
      <c r="AK239" s="519">
        <f t="shared" ca="1" si="77"/>
        <v>0.28155744372834657</v>
      </c>
      <c r="AL239" s="519">
        <f t="shared" ca="1" si="78"/>
        <v>0</v>
      </c>
      <c r="AM239" s="519">
        <f t="shared" ca="1" si="79"/>
        <v>0</v>
      </c>
      <c r="AN239" s="519">
        <f t="shared" ca="1" si="80"/>
        <v>0.12985490198718871</v>
      </c>
      <c r="AO239" s="519">
        <f t="shared" ca="1" si="81"/>
        <v>0</v>
      </c>
      <c r="AP239" s="519">
        <f t="shared" ca="1" si="82"/>
        <v>0</v>
      </c>
      <c r="AQ239" s="519">
        <f t="shared" ca="1" si="83"/>
        <v>0</v>
      </c>
      <c r="AS239" s="536"/>
      <c r="AT239" s="536"/>
      <c r="AU239" s="519" t="str">
        <f t="shared" si="89"/>
        <v>Vector</v>
      </c>
      <c r="AV239" s="519" t="str">
        <f t="shared" si="84"/>
        <v>WRD0331</v>
      </c>
      <c r="AW239" s="519">
        <f t="shared" si="85"/>
        <v>70.297499999999999</v>
      </c>
      <c r="AX239" s="538"/>
      <c r="AY239" s="539">
        <f t="shared" ca="1" si="90"/>
        <v>2.1324777541277982</v>
      </c>
      <c r="AZ239" s="189"/>
    </row>
    <row r="240" spans="1:52" x14ac:dyDescent="0.3">
      <c r="A240" s="556">
        <v>1</v>
      </c>
      <c r="B240" s="519" t="str">
        <f t="shared" si="86"/>
        <v>WRK</v>
      </c>
      <c r="C240" s="519" t="str">
        <f>AMDs!C221</f>
        <v>Unison</v>
      </c>
      <c r="D240" s="519" t="str">
        <f>AMDs!D221</f>
        <v>WRK0331</v>
      </c>
      <c r="E240" s="519">
        <f>IF(AMDs!C221="other",0,AMDs!E221)</f>
        <v>46.183199999999999</v>
      </c>
      <c r="H240" s="519">
        <f ca="1">_xlfn.IFNA(IF(VLOOKUP($B240&amp;OFFSET(H$10,$A240*2,0),'Mapping A'!$B$6:$E$1011,4,0)=1,$E240,""),0)</f>
        <v>0</v>
      </c>
      <c r="I240" s="519">
        <f ca="1">_xlfn.IFNA(IF(VLOOKUP($B240&amp;OFFSET(I$10,$A240*2,0),'Mapping A'!$B$6:$E$1011,4,0)=1,$E240,""),0)</f>
        <v>46.183199999999999</v>
      </c>
      <c r="J240" s="519">
        <f ca="1">_xlfn.IFNA(IF(VLOOKUP($B240&amp;OFFSET(J$10,$A240*2,0),'Mapping A'!$B$6:$E$1011,4,0)=1,$E240,""),0)</f>
        <v>46.183199999999999</v>
      </c>
      <c r="K240" s="519">
        <f ca="1">_xlfn.IFNA(IF(VLOOKUP($B240&amp;OFFSET(K$10,$A240*2,0),'Mapping A'!$B$6:$E$1011,4,0)=1,$E240,""),0)</f>
        <v>0</v>
      </c>
      <c r="L240" s="519">
        <f ca="1">_xlfn.IFNA(IF(VLOOKUP($B240&amp;OFFSET(L$10,$A240*2,0),'Mapping A'!$B$6:$E$1011,4,0)=1,$E240,""),0)</f>
        <v>0</v>
      </c>
      <c r="M240" s="519">
        <f ca="1">_xlfn.IFNA(IF(VLOOKUP($B240&amp;OFFSET(M$10,$A240*2,0),'Mapping A'!$B$6:$E$1011,4,0)=1,$E240,""),0)</f>
        <v>0</v>
      </c>
      <c r="N240" s="519">
        <f ca="1">_xlfn.IFNA(IF(VLOOKUP($B240&amp;OFFSET(N$10,$A240*2,0),'Mapping A'!$B$6:$E$1011,4,0)=1,$E240,""),0)</f>
        <v>0</v>
      </c>
      <c r="O240" s="519">
        <f ca="1">_xlfn.IFNA(IF(VLOOKUP($B240&amp;OFFSET(O$10,$A240*2,0),'Mapping A'!$B$6:$E$1011,4,0)=1,$E240,""),0)</f>
        <v>0</v>
      </c>
      <c r="P240" s="519">
        <f ca="1">_xlfn.IFNA(IF(VLOOKUP($B240&amp;OFFSET(P$10,$A240*2,0),'Mapping A'!$B$6:$E$1011,4,0)=1,$E240,""),0)</f>
        <v>0</v>
      </c>
      <c r="Q240" s="519">
        <f ca="1">_xlfn.IFNA(IF(VLOOKUP($B240&amp;OFFSET(Q$10,$A240*2,0),'Mapping A'!$B$6:$E$1011,4,0)=1,$E240,""),0)</f>
        <v>0</v>
      </c>
      <c r="R240" s="519">
        <f ca="1">_xlfn.IFNA(IF(VLOOKUP($B240&amp;OFFSET(R$10,$A240*2,0),'Mapping A'!$B$6:$E$1011,4,0)=1,$E240,""),0)</f>
        <v>0</v>
      </c>
      <c r="S240" s="519">
        <f ca="1">_xlfn.IFNA(IF(VLOOKUP($B240&amp;OFFSET(S$10,$A240*2,0),'Mapping A'!$B$6:$E$1011,4,0)=1,$E240,""),0)</f>
        <v>0</v>
      </c>
      <c r="T240" s="519">
        <f ca="1">_xlfn.IFNA(IF(VLOOKUP($B240&amp;OFFSET(T$10,$A240*2,0),'Mapping A'!$B$6:$E$1011,4,0)=1,$E240,""),0)</f>
        <v>0</v>
      </c>
      <c r="Y240" s="534" t="str">
        <f t="shared" si="91"/>
        <v>UnisonWRK0331</v>
      </c>
      <c r="Z240" s="519" t="str">
        <f t="shared" si="70"/>
        <v>Unison</v>
      </c>
      <c r="AA240" s="519" t="str">
        <f t="shared" si="71"/>
        <v>WRK0331</v>
      </c>
      <c r="AB240" s="519">
        <f t="shared" si="87"/>
        <v>46.183199999999999</v>
      </c>
      <c r="AC240" s="324"/>
      <c r="AE240" s="519">
        <f t="shared" ca="1" si="72"/>
        <v>0</v>
      </c>
      <c r="AF240" s="519">
        <f t="shared" ca="1" si="73"/>
        <v>0</v>
      </c>
      <c r="AG240" s="519">
        <f t="shared" ca="1" si="74"/>
        <v>0</v>
      </c>
      <c r="AH240" s="519">
        <f t="shared" ca="1" si="75"/>
        <v>0</v>
      </c>
      <c r="AI240" s="519">
        <f t="shared" ca="1" si="88"/>
        <v>0</v>
      </c>
      <c r="AJ240" s="519">
        <f t="shared" ca="1" si="76"/>
        <v>0</v>
      </c>
      <c r="AK240" s="519">
        <f t="shared" ca="1" si="77"/>
        <v>0</v>
      </c>
      <c r="AL240" s="519">
        <f t="shared" ca="1" si="78"/>
        <v>0</v>
      </c>
      <c r="AM240" s="519">
        <f t="shared" ca="1" si="79"/>
        <v>0</v>
      </c>
      <c r="AN240" s="519">
        <f t="shared" ca="1" si="80"/>
        <v>0</v>
      </c>
      <c r="AO240" s="519">
        <f t="shared" ca="1" si="81"/>
        <v>0</v>
      </c>
      <c r="AP240" s="519">
        <f t="shared" ca="1" si="82"/>
        <v>0</v>
      </c>
      <c r="AQ240" s="519">
        <f t="shared" ca="1" si="83"/>
        <v>0</v>
      </c>
      <c r="AS240" s="536"/>
      <c r="AT240" s="536"/>
      <c r="AU240" s="519" t="str">
        <f t="shared" si="89"/>
        <v>Unison</v>
      </c>
      <c r="AV240" s="519" t="str">
        <f t="shared" si="84"/>
        <v>WRK0331</v>
      </c>
      <c r="AW240" s="519">
        <f t="shared" si="85"/>
        <v>46.183199999999999</v>
      </c>
      <c r="AX240" s="538"/>
      <c r="AY240" s="539">
        <f t="shared" ca="1" si="90"/>
        <v>1.4009694031001803</v>
      </c>
      <c r="AZ240" s="189"/>
    </row>
    <row r="241" spans="1:52" x14ac:dyDescent="0.3">
      <c r="A241" s="556">
        <v>1</v>
      </c>
      <c r="B241" s="519" t="str">
        <f t="shared" si="86"/>
        <v>WRK</v>
      </c>
      <c r="C241" s="519" t="str">
        <f>AMDs!C222</f>
        <v>Contact</v>
      </c>
      <c r="D241" s="519" t="str">
        <f>AMDs!D222</f>
        <v>WRK2201</v>
      </c>
      <c r="E241" s="519">
        <f>IF(AMDs!C222="other",0,AMDs!E222)</f>
        <v>2.226</v>
      </c>
      <c r="H241" s="519">
        <f ca="1">_xlfn.IFNA(IF(VLOOKUP($B241&amp;OFFSET(H$10,$A241*2,0),'Mapping A'!$B$6:$E$1011,4,0)=1,$E241,""),0)</f>
        <v>0</v>
      </c>
      <c r="I241" s="519">
        <f ca="1">_xlfn.IFNA(IF(VLOOKUP($B241&amp;OFFSET(I$10,$A241*2,0),'Mapping A'!$B$6:$E$1011,4,0)=1,$E241,""),0)</f>
        <v>2.226</v>
      </c>
      <c r="J241" s="519">
        <f ca="1">_xlfn.IFNA(IF(VLOOKUP($B241&amp;OFFSET(J$10,$A241*2,0),'Mapping A'!$B$6:$E$1011,4,0)=1,$E241,""),0)</f>
        <v>2.226</v>
      </c>
      <c r="K241" s="519">
        <f ca="1">_xlfn.IFNA(IF(VLOOKUP($B241&amp;OFFSET(K$10,$A241*2,0),'Mapping A'!$B$6:$E$1011,4,0)=1,$E241,""),0)</f>
        <v>0</v>
      </c>
      <c r="L241" s="519">
        <f ca="1">_xlfn.IFNA(IF(VLOOKUP($B241&amp;OFFSET(L$10,$A241*2,0),'Mapping A'!$B$6:$E$1011,4,0)=1,$E241,""),0)</f>
        <v>0</v>
      </c>
      <c r="M241" s="519">
        <f ca="1">_xlfn.IFNA(IF(VLOOKUP($B241&amp;OFFSET(M$10,$A241*2,0),'Mapping A'!$B$6:$E$1011,4,0)=1,$E241,""),0)</f>
        <v>0</v>
      </c>
      <c r="N241" s="519">
        <f ca="1">_xlfn.IFNA(IF(VLOOKUP($B241&amp;OFFSET(N$10,$A241*2,0),'Mapping A'!$B$6:$E$1011,4,0)=1,$E241,""),0)</f>
        <v>0</v>
      </c>
      <c r="O241" s="519">
        <f ca="1">_xlfn.IFNA(IF(VLOOKUP($B241&amp;OFFSET(O$10,$A241*2,0),'Mapping A'!$B$6:$E$1011,4,0)=1,$E241,""),0)</f>
        <v>0</v>
      </c>
      <c r="P241" s="519">
        <f ca="1">_xlfn.IFNA(IF(VLOOKUP($B241&amp;OFFSET(P$10,$A241*2,0),'Mapping A'!$B$6:$E$1011,4,0)=1,$E241,""),0)</f>
        <v>0</v>
      </c>
      <c r="Q241" s="519">
        <f ca="1">_xlfn.IFNA(IF(VLOOKUP($B241&amp;OFFSET(Q$10,$A241*2,0),'Mapping A'!$B$6:$E$1011,4,0)=1,$E241,""),0)</f>
        <v>0</v>
      </c>
      <c r="R241" s="519">
        <f ca="1">_xlfn.IFNA(IF(VLOOKUP($B241&amp;OFFSET(R$10,$A241*2,0),'Mapping A'!$B$6:$E$1011,4,0)=1,$E241,""),0)</f>
        <v>0</v>
      </c>
      <c r="S241" s="519">
        <f ca="1">_xlfn.IFNA(IF(VLOOKUP($B241&amp;OFFSET(S$10,$A241*2,0),'Mapping A'!$B$6:$E$1011,4,0)=1,$E241,""),0)</f>
        <v>0</v>
      </c>
      <c r="T241" s="519">
        <f ca="1">_xlfn.IFNA(IF(VLOOKUP($B241&amp;OFFSET(T$10,$A241*2,0),'Mapping A'!$B$6:$E$1011,4,0)=1,$E241,""),0)</f>
        <v>0</v>
      </c>
      <c r="Y241" s="534" t="str">
        <f t="shared" si="91"/>
        <v>ContactWRK2201</v>
      </c>
      <c r="Z241" s="519" t="str">
        <f t="shared" si="70"/>
        <v>Contact</v>
      </c>
      <c r="AA241" s="519" t="str">
        <f t="shared" si="71"/>
        <v>WRK2201</v>
      </c>
      <c r="AB241" s="519">
        <f t="shared" si="87"/>
        <v>2.226</v>
      </c>
      <c r="AC241" s="324"/>
      <c r="AE241" s="519">
        <f t="shared" ca="1" si="72"/>
        <v>0</v>
      </c>
      <c r="AF241" s="519">
        <f t="shared" ca="1" si="73"/>
        <v>0</v>
      </c>
      <c r="AG241" s="519">
        <f t="shared" ca="1" si="74"/>
        <v>0</v>
      </c>
      <c r="AH241" s="519">
        <f t="shared" ca="1" si="75"/>
        <v>0</v>
      </c>
      <c r="AI241" s="519">
        <f t="shared" ca="1" si="88"/>
        <v>0</v>
      </c>
      <c r="AJ241" s="519">
        <f t="shared" ca="1" si="76"/>
        <v>0</v>
      </c>
      <c r="AK241" s="519">
        <f t="shared" ca="1" si="77"/>
        <v>0</v>
      </c>
      <c r="AL241" s="519">
        <f t="shared" ca="1" si="78"/>
        <v>0</v>
      </c>
      <c r="AM241" s="519">
        <f t="shared" ca="1" si="79"/>
        <v>0</v>
      </c>
      <c r="AN241" s="519">
        <f t="shared" ca="1" si="80"/>
        <v>0</v>
      </c>
      <c r="AO241" s="519">
        <f t="shared" ca="1" si="81"/>
        <v>0</v>
      </c>
      <c r="AP241" s="519">
        <f t="shared" ca="1" si="82"/>
        <v>0</v>
      </c>
      <c r="AQ241" s="519">
        <f t="shared" ca="1" si="83"/>
        <v>0</v>
      </c>
      <c r="AS241" s="536"/>
      <c r="AT241" s="536"/>
      <c r="AU241" s="519" t="str">
        <f t="shared" si="89"/>
        <v>Contact</v>
      </c>
      <c r="AV241" s="519" t="str">
        <f t="shared" si="84"/>
        <v>WRK2201</v>
      </c>
      <c r="AW241" s="519">
        <f t="shared" si="85"/>
        <v>2.226</v>
      </c>
      <c r="AX241" s="538"/>
      <c r="AY241" s="539">
        <f t="shared" ca="1" si="90"/>
        <v>6.7525807897698756E-2</v>
      </c>
      <c r="AZ241" s="189"/>
    </row>
    <row r="242" spans="1:52" x14ac:dyDescent="0.3">
      <c r="A242" s="556">
        <v>1</v>
      </c>
      <c r="B242" s="519" t="str">
        <f t="shared" si="86"/>
        <v>WTK</v>
      </c>
      <c r="C242" s="519" t="str">
        <f>AMDs!C223</f>
        <v>Network Waitaki</v>
      </c>
      <c r="D242" s="519" t="str">
        <f>AMDs!D223</f>
        <v>WTK0111</v>
      </c>
      <c r="E242" s="519">
        <f>IF(AMDs!C223="other",0,AMDs!E223)</f>
        <v>4.3596000000000004</v>
      </c>
      <c r="H242" s="519">
        <f ca="1">_xlfn.IFNA(IF(VLOOKUP($B242&amp;OFFSET(H$10,$A242*2,0),'Mapping A'!$B$6:$E$1011,4,0)=1,$E242,""),0)</f>
        <v>0</v>
      </c>
      <c r="I242" s="519">
        <f ca="1">_xlfn.IFNA(IF(VLOOKUP($B242&amp;OFFSET(I$10,$A242*2,0),'Mapping A'!$B$6:$E$1011,4,0)=1,$E242,""),0)</f>
        <v>4.3596000000000004</v>
      </c>
      <c r="J242" s="519">
        <f ca="1">_xlfn.IFNA(IF(VLOOKUP($B242&amp;OFFSET(J$10,$A242*2,0),'Mapping A'!$B$6:$E$1011,4,0)=1,$E242,""),0)</f>
        <v>0</v>
      </c>
      <c r="K242" s="519">
        <f ca="1">_xlfn.IFNA(IF(VLOOKUP($B242&amp;OFFSET(K$10,$A242*2,0),'Mapping A'!$B$6:$E$1011,4,0)=1,$E242,""),0)</f>
        <v>0</v>
      </c>
      <c r="L242" s="519">
        <f ca="1">_xlfn.IFNA(IF(VLOOKUP($B242&amp;OFFSET(L$10,$A242*2,0),'Mapping A'!$B$6:$E$1011,4,0)=1,$E242,""),0)</f>
        <v>0</v>
      </c>
      <c r="M242" s="519">
        <f ca="1">_xlfn.IFNA(IF(VLOOKUP($B242&amp;OFFSET(M$10,$A242*2,0),'Mapping A'!$B$6:$E$1011,4,0)=1,$E242,""),0)</f>
        <v>0</v>
      </c>
      <c r="N242" s="519">
        <f ca="1">_xlfn.IFNA(IF(VLOOKUP($B242&amp;OFFSET(N$10,$A242*2,0),'Mapping A'!$B$6:$E$1011,4,0)=1,$E242,""),0)</f>
        <v>0</v>
      </c>
      <c r="O242" s="519">
        <f ca="1">_xlfn.IFNA(IF(VLOOKUP($B242&amp;OFFSET(O$10,$A242*2,0),'Mapping A'!$B$6:$E$1011,4,0)=1,$E242,""),0)</f>
        <v>0</v>
      </c>
      <c r="P242" s="519">
        <f ca="1">_xlfn.IFNA(IF(VLOOKUP($B242&amp;OFFSET(P$10,$A242*2,0),'Mapping A'!$B$6:$E$1011,4,0)=1,$E242,""),0)</f>
        <v>0</v>
      </c>
      <c r="Q242" s="519">
        <f ca="1">_xlfn.IFNA(IF(VLOOKUP($B242&amp;OFFSET(Q$10,$A242*2,0),'Mapping A'!$B$6:$E$1011,4,0)=1,$E242,""),0)</f>
        <v>0</v>
      </c>
      <c r="R242" s="519">
        <f ca="1">_xlfn.IFNA(IF(VLOOKUP($B242&amp;OFFSET(R$10,$A242*2,0),'Mapping A'!$B$6:$E$1011,4,0)=1,$E242,""),0)</f>
        <v>0</v>
      </c>
      <c r="S242" s="519">
        <f ca="1">_xlfn.IFNA(IF(VLOOKUP($B242&amp;OFFSET(S$10,$A242*2,0),'Mapping A'!$B$6:$E$1011,4,0)=1,$E242,""),0)</f>
        <v>0</v>
      </c>
      <c r="T242" s="519">
        <f ca="1">_xlfn.IFNA(IF(VLOOKUP($B242&amp;OFFSET(T$10,$A242*2,0),'Mapping A'!$B$6:$E$1011,4,0)=1,$E242,""),0)</f>
        <v>0</v>
      </c>
      <c r="Y242" s="534" t="str">
        <f t="shared" si="91"/>
        <v>Network WaitakiWTK0111</v>
      </c>
      <c r="Z242" s="519" t="str">
        <f t="shared" si="70"/>
        <v>Network Waitaki</v>
      </c>
      <c r="AA242" s="519" t="str">
        <f t="shared" si="71"/>
        <v>WTK0111</v>
      </c>
      <c r="AB242" s="519">
        <f t="shared" si="87"/>
        <v>4.3596000000000004</v>
      </c>
      <c r="AC242" s="324"/>
      <c r="AE242" s="519">
        <f t="shared" ca="1" si="72"/>
        <v>0</v>
      </c>
      <c r="AF242" s="519">
        <f t="shared" ca="1" si="73"/>
        <v>0</v>
      </c>
      <c r="AG242" s="519">
        <f t="shared" ca="1" si="74"/>
        <v>0</v>
      </c>
      <c r="AH242" s="519">
        <f t="shared" ca="1" si="75"/>
        <v>0</v>
      </c>
      <c r="AI242" s="519">
        <f t="shared" ca="1" si="88"/>
        <v>0</v>
      </c>
      <c r="AJ242" s="519">
        <f t="shared" ca="1" si="76"/>
        <v>0</v>
      </c>
      <c r="AK242" s="519">
        <f t="shared" ca="1" si="77"/>
        <v>0</v>
      </c>
      <c r="AL242" s="519">
        <f t="shared" ca="1" si="78"/>
        <v>0</v>
      </c>
      <c r="AM242" s="519">
        <f t="shared" ca="1" si="79"/>
        <v>0</v>
      </c>
      <c r="AN242" s="519">
        <f t="shared" ca="1" si="80"/>
        <v>0</v>
      </c>
      <c r="AO242" s="519">
        <f t="shared" ca="1" si="81"/>
        <v>0</v>
      </c>
      <c r="AP242" s="519">
        <f t="shared" ca="1" si="82"/>
        <v>0</v>
      </c>
      <c r="AQ242" s="519">
        <f t="shared" ca="1" si="83"/>
        <v>0</v>
      </c>
      <c r="AS242" s="536"/>
      <c r="AT242" s="536"/>
      <c r="AU242" s="519" t="str">
        <f t="shared" si="89"/>
        <v>Network Waitaki</v>
      </c>
      <c r="AV242" s="519" t="str">
        <f t="shared" si="84"/>
        <v>WTK0111</v>
      </c>
      <c r="AW242" s="519">
        <f t="shared" si="85"/>
        <v>4.3596000000000004</v>
      </c>
      <c r="AX242" s="538"/>
      <c r="AY242" s="539">
        <f t="shared" ca="1" si="90"/>
        <v>0.13224865773171945</v>
      </c>
      <c r="AZ242" s="189"/>
    </row>
    <row r="243" spans="1:52" x14ac:dyDescent="0.3">
      <c r="A243" s="556">
        <v>1</v>
      </c>
      <c r="B243" s="519" t="str">
        <f t="shared" si="86"/>
        <v>WTU</v>
      </c>
      <c r="C243" s="519" t="str">
        <f>AMDs!C224</f>
        <v>Unison</v>
      </c>
      <c r="D243" s="519" t="str">
        <f>AMDs!D224</f>
        <v>WTU0331</v>
      </c>
      <c r="E243" s="519">
        <f>IF(AMDs!C224="other",0,AMDs!E224)</f>
        <v>86.339399999999998</v>
      </c>
      <c r="H243" s="519">
        <f ca="1">_xlfn.IFNA(IF(VLOOKUP($B243&amp;OFFSET(H$10,$A243*2,0),'Mapping A'!$B$6:$E$1011,4,0)=1,$E243,""),0)</f>
        <v>0</v>
      </c>
      <c r="I243" s="519">
        <f ca="1">_xlfn.IFNA(IF(VLOOKUP($B243&amp;OFFSET(I$10,$A243*2,0),'Mapping A'!$B$6:$E$1011,4,0)=1,$E243,""),0)</f>
        <v>86.339399999999998</v>
      </c>
      <c r="J243" s="519">
        <f ca="1">_xlfn.IFNA(IF(VLOOKUP($B243&amp;OFFSET(J$10,$A243*2,0),'Mapping A'!$B$6:$E$1011,4,0)=1,$E243,""),0)</f>
        <v>86.339399999999998</v>
      </c>
      <c r="K243" s="519">
        <f ca="1">_xlfn.IFNA(IF(VLOOKUP($B243&amp;OFFSET(K$10,$A243*2,0),'Mapping A'!$B$6:$E$1011,4,0)=1,$E243,""),0)</f>
        <v>0</v>
      </c>
      <c r="L243" s="519">
        <f ca="1">_xlfn.IFNA(IF(VLOOKUP($B243&amp;OFFSET(L$10,$A243*2,0),'Mapping A'!$B$6:$E$1011,4,0)=1,$E243,""),0)</f>
        <v>0</v>
      </c>
      <c r="M243" s="519">
        <f ca="1">_xlfn.IFNA(IF(VLOOKUP($B243&amp;OFFSET(M$10,$A243*2,0),'Mapping A'!$B$6:$E$1011,4,0)=1,$E243,""),0)</f>
        <v>86.339399999999998</v>
      </c>
      <c r="N243" s="519">
        <f ca="1">_xlfn.IFNA(IF(VLOOKUP($B243&amp;OFFSET(N$10,$A243*2,0),'Mapping A'!$B$6:$E$1011,4,0)=1,$E243,""),0)</f>
        <v>0</v>
      </c>
      <c r="O243" s="519">
        <f ca="1">_xlfn.IFNA(IF(VLOOKUP($B243&amp;OFFSET(O$10,$A243*2,0),'Mapping A'!$B$6:$E$1011,4,0)=1,$E243,""),0)</f>
        <v>0</v>
      </c>
      <c r="P243" s="519">
        <f ca="1">_xlfn.IFNA(IF(VLOOKUP($B243&amp;OFFSET(P$10,$A243*2,0),'Mapping A'!$B$6:$E$1011,4,0)=1,$E243,""),0)</f>
        <v>0</v>
      </c>
      <c r="Q243" s="519">
        <f ca="1">_xlfn.IFNA(IF(VLOOKUP($B243&amp;OFFSET(Q$10,$A243*2,0),'Mapping A'!$B$6:$E$1011,4,0)=1,$E243,""),0)</f>
        <v>0</v>
      </c>
      <c r="R243" s="519">
        <f ca="1">_xlfn.IFNA(IF(VLOOKUP($B243&amp;OFFSET(R$10,$A243*2,0),'Mapping A'!$B$6:$E$1011,4,0)=1,$E243,""),0)</f>
        <v>0</v>
      </c>
      <c r="S243" s="519">
        <f ca="1">_xlfn.IFNA(IF(VLOOKUP($B243&amp;OFFSET(S$10,$A243*2,0),'Mapping A'!$B$6:$E$1011,4,0)=1,$E243,""),0)</f>
        <v>0</v>
      </c>
      <c r="T243" s="519">
        <f ca="1">_xlfn.IFNA(IF(VLOOKUP($B243&amp;OFFSET(T$10,$A243*2,0),'Mapping A'!$B$6:$E$1011,4,0)=1,$E243,""),0)</f>
        <v>0</v>
      </c>
      <c r="Y243" s="534" t="str">
        <f t="shared" si="91"/>
        <v>UnisonWTU0331</v>
      </c>
      <c r="Z243" s="519" t="str">
        <f t="shared" si="70"/>
        <v>Unison</v>
      </c>
      <c r="AA243" s="519" t="str">
        <f t="shared" si="71"/>
        <v>WTU0331</v>
      </c>
      <c r="AB243" s="519">
        <f t="shared" si="87"/>
        <v>86.339399999999998</v>
      </c>
      <c r="AC243" s="324"/>
      <c r="AE243" s="519">
        <f t="shared" ca="1" si="72"/>
        <v>0</v>
      </c>
      <c r="AF243" s="519">
        <f t="shared" ca="1" si="73"/>
        <v>0</v>
      </c>
      <c r="AG243" s="519">
        <f t="shared" ca="1" si="74"/>
        <v>0</v>
      </c>
      <c r="AH243" s="519">
        <f t="shared" ca="1" si="75"/>
        <v>0</v>
      </c>
      <c r="AI243" s="519">
        <f t="shared" ca="1" si="88"/>
        <v>0</v>
      </c>
      <c r="AJ243" s="519">
        <f t="shared" ca="1" si="76"/>
        <v>0</v>
      </c>
      <c r="AK243" s="519">
        <f t="shared" ca="1" si="77"/>
        <v>0</v>
      </c>
      <c r="AL243" s="519">
        <f t="shared" ca="1" si="78"/>
        <v>0</v>
      </c>
      <c r="AM243" s="519">
        <f t="shared" ca="1" si="79"/>
        <v>0</v>
      </c>
      <c r="AN243" s="519">
        <f t="shared" ca="1" si="80"/>
        <v>0</v>
      </c>
      <c r="AO243" s="519">
        <f t="shared" ca="1" si="81"/>
        <v>0</v>
      </c>
      <c r="AP243" s="519">
        <f t="shared" ca="1" si="82"/>
        <v>0</v>
      </c>
      <c r="AQ243" s="519">
        <f t="shared" ca="1" si="83"/>
        <v>0</v>
      </c>
      <c r="AS243" s="536"/>
      <c r="AT243" s="536"/>
      <c r="AU243" s="519" t="str">
        <f t="shared" si="89"/>
        <v>Unison</v>
      </c>
      <c r="AV243" s="519" t="str">
        <f t="shared" si="84"/>
        <v>WTU0331</v>
      </c>
      <c r="AW243" s="519">
        <f t="shared" si="85"/>
        <v>86.339399999999998</v>
      </c>
      <c r="AX243" s="538"/>
      <c r="AY243" s="539">
        <f t="shared" ca="1" si="90"/>
        <v>2.6191094961377233</v>
      </c>
      <c r="AZ243" s="189"/>
    </row>
    <row r="244" spans="1:52" x14ac:dyDescent="0.3">
      <c r="A244" s="556">
        <v>1</v>
      </c>
      <c r="B244" s="519" t="str">
        <f t="shared" si="86"/>
        <v>WVY</v>
      </c>
      <c r="C244" s="519" t="str">
        <f>AMDs!C225</f>
        <v>Powerco</v>
      </c>
      <c r="D244" s="519" t="str">
        <f>AMDs!D225</f>
        <v>WVY0111</v>
      </c>
      <c r="E244" s="519">
        <f>IF(AMDs!C225="other",0,AMDs!E225)</f>
        <v>4.7439</v>
      </c>
      <c r="H244" s="519">
        <f ca="1">_xlfn.IFNA(IF(VLOOKUP($B244&amp;OFFSET(H$10,$A244*2,0),'Mapping A'!$B$6:$E$1011,4,0)=1,$E244,""),0)</f>
        <v>0</v>
      </c>
      <c r="I244" s="519">
        <f ca="1">_xlfn.IFNA(IF(VLOOKUP($B244&amp;OFFSET(I$10,$A244*2,0),'Mapping A'!$B$6:$E$1011,4,0)=1,$E244,""),0)</f>
        <v>4.7439</v>
      </c>
      <c r="J244" s="519">
        <f ca="1">_xlfn.IFNA(IF(VLOOKUP($B244&amp;OFFSET(J$10,$A244*2,0),'Mapping A'!$B$6:$E$1011,4,0)=1,$E244,""),0)</f>
        <v>4.7439</v>
      </c>
      <c r="K244" s="519">
        <f ca="1">_xlfn.IFNA(IF(VLOOKUP($B244&amp;OFFSET(K$10,$A244*2,0),'Mapping A'!$B$6:$E$1011,4,0)=1,$E244,""),0)</f>
        <v>0</v>
      </c>
      <c r="L244" s="519">
        <f ca="1">_xlfn.IFNA(IF(VLOOKUP($B244&amp;OFFSET(L$10,$A244*2,0),'Mapping A'!$B$6:$E$1011,4,0)=1,$E244,""),0)</f>
        <v>0</v>
      </c>
      <c r="M244" s="519">
        <f ca="1">_xlfn.IFNA(IF(VLOOKUP($B244&amp;OFFSET(M$10,$A244*2,0),'Mapping A'!$B$6:$E$1011,4,0)=1,$E244,""),0)</f>
        <v>0</v>
      </c>
      <c r="N244" s="519">
        <f ca="1">_xlfn.IFNA(IF(VLOOKUP($B244&amp;OFFSET(N$10,$A244*2,0),'Mapping A'!$B$6:$E$1011,4,0)=1,$E244,""),0)</f>
        <v>0</v>
      </c>
      <c r="O244" s="519">
        <f ca="1">_xlfn.IFNA(IF(VLOOKUP($B244&amp;OFFSET(O$10,$A244*2,0),'Mapping A'!$B$6:$E$1011,4,0)=1,$E244,""),0)</f>
        <v>0</v>
      </c>
      <c r="P244" s="519">
        <f ca="1">_xlfn.IFNA(IF(VLOOKUP($B244&amp;OFFSET(P$10,$A244*2,0),'Mapping A'!$B$6:$E$1011,4,0)=1,$E244,""),0)</f>
        <v>0</v>
      </c>
      <c r="Q244" s="519">
        <f ca="1">_xlfn.IFNA(IF(VLOOKUP($B244&amp;OFFSET(Q$10,$A244*2,0),'Mapping A'!$B$6:$E$1011,4,0)=1,$E244,""),0)</f>
        <v>0</v>
      </c>
      <c r="R244" s="519">
        <f ca="1">_xlfn.IFNA(IF(VLOOKUP($B244&amp;OFFSET(R$10,$A244*2,0),'Mapping A'!$B$6:$E$1011,4,0)=1,$E244,""),0)</f>
        <v>0</v>
      </c>
      <c r="S244" s="519">
        <f ca="1">_xlfn.IFNA(IF(VLOOKUP($B244&amp;OFFSET(S$10,$A244*2,0),'Mapping A'!$B$6:$E$1011,4,0)=1,$E244,""),0)</f>
        <v>4.7439</v>
      </c>
      <c r="T244" s="519">
        <f ca="1">_xlfn.IFNA(IF(VLOOKUP($B244&amp;OFFSET(T$10,$A244*2,0),'Mapping A'!$B$6:$E$1011,4,0)=1,$E244,""),0)</f>
        <v>0</v>
      </c>
      <c r="Y244" s="534" t="str">
        <f t="shared" si="91"/>
        <v>PowercoWVY0111</v>
      </c>
      <c r="Z244" s="519" t="str">
        <f t="shared" si="70"/>
        <v>Powerco</v>
      </c>
      <c r="AA244" s="519" t="str">
        <f t="shared" si="71"/>
        <v>WVY0111</v>
      </c>
      <c r="AB244" s="519">
        <f t="shared" si="87"/>
        <v>4.7439</v>
      </c>
      <c r="AC244" s="324"/>
      <c r="AE244" s="519">
        <f t="shared" ca="1" si="72"/>
        <v>0</v>
      </c>
      <c r="AF244" s="519">
        <f t="shared" ca="1" si="73"/>
        <v>0</v>
      </c>
      <c r="AG244" s="519">
        <f t="shared" ca="1" si="74"/>
        <v>0</v>
      </c>
      <c r="AH244" s="519">
        <f t="shared" ca="1" si="75"/>
        <v>0</v>
      </c>
      <c r="AI244" s="519">
        <f t="shared" ca="1" si="88"/>
        <v>0</v>
      </c>
      <c r="AJ244" s="519">
        <f t="shared" ca="1" si="76"/>
        <v>0</v>
      </c>
      <c r="AK244" s="519">
        <f t="shared" ca="1" si="77"/>
        <v>0</v>
      </c>
      <c r="AL244" s="519">
        <f t="shared" ca="1" si="78"/>
        <v>0</v>
      </c>
      <c r="AM244" s="519">
        <f t="shared" ca="1" si="79"/>
        <v>0</v>
      </c>
      <c r="AN244" s="519">
        <f t="shared" ca="1" si="80"/>
        <v>0</v>
      </c>
      <c r="AO244" s="519">
        <f t="shared" ca="1" si="81"/>
        <v>0</v>
      </c>
      <c r="AP244" s="519">
        <f t="shared" ca="1" si="82"/>
        <v>0</v>
      </c>
      <c r="AQ244" s="519">
        <f t="shared" ca="1" si="83"/>
        <v>0</v>
      </c>
      <c r="AS244" s="536"/>
      <c r="AT244" s="536"/>
      <c r="AU244" s="519" t="str">
        <f t="shared" si="89"/>
        <v>Powerco</v>
      </c>
      <c r="AV244" s="519" t="str">
        <f t="shared" si="84"/>
        <v>WVY0111</v>
      </c>
      <c r="AW244" s="519">
        <f t="shared" si="85"/>
        <v>4.7439</v>
      </c>
      <c r="AX244" s="538"/>
      <c r="AY244" s="539">
        <f t="shared" ca="1" si="90"/>
        <v>0.14390641513292593</v>
      </c>
      <c r="AZ244" s="189"/>
    </row>
    <row r="245" spans="1:52" x14ac:dyDescent="0.3">
      <c r="A245" s="556">
        <v>1</v>
      </c>
      <c r="B245" s="519" t="str">
        <f t="shared" si="86"/>
        <v>WWD</v>
      </c>
      <c r="C245" s="519" t="str">
        <f>AMDs!C226</f>
        <v>Meridian</v>
      </c>
      <c r="D245" s="519" t="str">
        <f>AMDs!D226</f>
        <v>WWD1102</v>
      </c>
      <c r="E245" s="519">
        <f>IF(AMDs!C226="other",0,AMDs!E226)</f>
        <v>0.94499999999999995</v>
      </c>
      <c r="H245" s="519">
        <f ca="1">_xlfn.IFNA(IF(VLOOKUP($B245&amp;OFFSET(H$10,$A245*2,0),'Mapping A'!$B$6:$E$1011,4,0)=1,$E245,""),0)</f>
        <v>0</v>
      </c>
      <c r="I245" s="519">
        <f ca="1">_xlfn.IFNA(IF(VLOOKUP($B245&amp;OFFSET(I$10,$A245*2,0),'Mapping A'!$B$6:$E$1011,4,0)=1,$E245,""),0)</f>
        <v>0.94499999999999995</v>
      </c>
      <c r="J245" s="519">
        <f ca="1">_xlfn.IFNA(IF(VLOOKUP($B245&amp;OFFSET(J$10,$A245*2,0),'Mapping A'!$B$6:$E$1011,4,0)=1,$E245,""),0)</f>
        <v>0.94499999999999995</v>
      </c>
      <c r="K245" s="519">
        <f ca="1">_xlfn.IFNA(IF(VLOOKUP($B245&amp;OFFSET(K$10,$A245*2,0),'Mapping A'!$B$6:$E$1011,4,0)=1,$E245,""),0)</f>
        <v>0</v>
      </c>
      <c r="L245" s="519">
        <f ca="1">_xlfn.IFNA(IF(VLOOKUP($B245&amp;OFFSET(L$10,$A245*2,0),'Mapping A'!$B$6:$E$1011,4,0)=1,$E245,""),0)</f>
        <v>0</v>
      </c>
      <c r="M245" s="519">
        <f ca="1">_xlfn.IFNA(IF(VLOOKUP($B245&amp;OFFSET(M$10,$A245*2,0),'Mapping A'!$B$6:$E$1011,4,0)=1,$E245,""),0)</f>
        <v>0</v>
      </c>
      <c r="N245" s="519">
        <f ca="1">_xlfn.IFNA(IF(VLOOKUP($B245&amp;OFFSET(N$10,$A245*2,0),'Mapping A'!$B$6:$E$1011,4,0)=1,$E245,""),0)</f>
        <v>0</v>
      </c>
      <c r="O245" s="519">
        <f ca="1">_xlfn.IFNA(IF(VLOOKUP($B245&amp;OFFSET(O$10,$A245*2,0),'Mapping A'!$B$6:$E$1011,4,0)=1,$E245,""),0)</f>
        <v>0</v>
      </c>
      <c r="P245" s="519">
        <f ca="1">_xlfn.IFNA(IF(VLOOKUP($B245&amp;OFFSET(P$10,$A245*2,0),'Mapping A'!$B$6:$E$1011,4,0)=1,$E245,""),0)</f>
        <v>0</v>
      </c>
      <c r="Q245" s="519">
        <f ca="1">_xlfn.IFNA(IF(VLOOKUP($B245&amp;OFFSET(Q$10,$A245*2,0),'Mapping A'!$B$6:$E$1011,4,0)=1,$E245,""),0)</f>
        <v>0</v>
      </c>
      <c r="R245" s="519">
        <f ca="1">_xlfn.IFNA(IF(VLOOKUP($B245&amp;OFFSET(R$10,$A245*2,0),'Mapping A'!$B$6:$E$1011,4,0)=1,$E245,""),0)</f>
        <v>0</v>
      </c>
      <c r="S245" s="519">
        <f ca="1">_xlfn.IFNA(IF(VLOOKUP($B245&amp;OFFSET(S$10,$A245*2,0),'Mapping A'!$B$6:$E$1011,4,0)=1,$E245,""),0)</f>
        <v>0</v>
      </c>
      <c r="T245" s="519">
        <f ca="1">_xlfn.IFNA(IF(VLOOKUP($B245&amp;OFFSET(T$10,$A245*2,0),'Mapping A'!$B$6:$E$1011,4,0)=1,$E245,""),0)</f>
        <v>0</v>
      </c>
      <c r="Y245" s="534" t="str">
        <f t="shared" si="91"/>
        <v>MeridianWWD1102</v>
      </c>
      <c r="Z245" s="519" t="str">
        <f t="shared" si="70"/>
        <v>Meridian</v>
      </c>
      <c r="AA245" s="519" t="str">
        <f t="shared" si="71"/>
        <v>WWD1102</v>
      </c>
      <c r="AB245" s="519">
        <f t="shared" si="87"/>
        <v>0.94499999999999995</v>
      </c>
      <c r="AC245" s="324"/>
      <c r="AE245" s="519">
        <f t="shared" ca="1" si="72"/>
        <v>0</v>
      </c>
      <c r="AF245" s="519">
        <f t="shared" ca="1" si="73"/>
        <v>0</v>
      </c>
      <c r="AG245" s="519">
        <f t="shared" ca="1" si="74"/>
        <v>0</v>
      </c>
      <c r="AH245" s="519">
        <f t="shared" ca="1" si="75"/>
        <v>0</v>
      </c>
      <c r="AI245" s="519">
        <f t="shared" ca="1" si="88"/>
        <v>0</v>
      </c>
      <c r="AJ245" s="519">
        <f t="shared" ca="1" si="76"/>
        <v>0</v>
      </c>
      <c r="AK245" s="519">
        <f t="shared" ca="1" si="77"/>
        <v>0</v>
      </c>
      <c r="AL245" s="519">
        <f t="shared" ca="1" si="78"/>
        <v>0</v>
      </c>
      <c r="AM245" s="519">
        <f t="shared" ca="1" si="79"/>
        <v>0</v>
      </c>
      <c r="AN245" s="519">
        <f t="shared" ca="1" si="80"/>
        <v>0</v>
      </c>
      <c r="AO245" s="519">
        <f t="shared" ca="1" si="81"/>
        <v>0</v>
      </c>
      <c r="AP245" s="519">
        <f t="shared" ca="1" si="82"/>
        <v>0</v>
      </c>
      <c r="AQ245" s="519">
        <f t="shared" ca="1" si="83"/>
        <v>0</v>
      </c>
      <c r="AS245" s="536"/>
      <c r="AT245" s="536"/>
      <c r="AU245" s="519" t="str">
        <f t="shared" si="89"/>
        <v>Meridian</v>
      </c>
      <c r="AV245" s="519" t="str">
        <f t="shared" si="84"/>
        <v>WWD1102</v>
      </c>
      <c r="AW245" s="519">
        <f t="shared" si="85"/>
        <v>0.94499999999999995</v>
      </c>
      <c r="AX245" s="538"/>
      <c r="AY245" s="539">
        <f t="shared" ca="1" si="90"/>
        <v>2.8666616560343812E-2</v>
      </c>
      <c r="AZ245" s="189"/>
    </row>
    <row r="246" spans="1:52" x14ac:dyDescent="0.3">
      <c r="A246" s="556">
        <v>1</v>
      </c>
      <c r="B246" s="519" t="str">
        <f t="shared" si="86"/>
        <v>WWD</v>
      </c>
      <c r="C246" s="519" t="str">
        <f>AMDs!C227</f>
        <v>Meridian</v>
      </c>
      <c r="D246" s="519" t="str">
        <f>AMDs!D227</f>
        <v>WWD1103</v>
      </c>
      <c r="E246" s="519">
        <f>IF(AMDs!C227="other",0,AMDs!E227)</f>
        <v>1.0038</v>
      </c>
      <c r="H246" s="519">
        <f ca="1">_xlfn.IFNA(IF(VLOOKUP($B246&amp;OFFSET(H$10,$A246*2,0),'Mapping A'!$B$6:$E$1011,4,0)=1,$E246,""),0)</f>
        <v>0</v>
      </c>
      <c r="I246" s="519">
        <f ca="1">_xlfn.IFNA(IF(VLOOKUP($B246&amp;OFFSET(I$10,$A246*2,0),'Mapping A'!$B$6:$E$1011,4,0)=1,$E246,""),0)</f>
        <v>1.0038</v>
      </c>
      <c r="J246" s="519">
        <f ca="1">_xlfn.IFNA(IF(VLOOKUP($B246&amp;OFFSET(J$10,$A246*2,0),'Mapping A'!$B$6:$E$1011,4,0)=1,$E246,""),0)</f>
        <v>1.0038</v>
      </c>
      <c r="K246" s="519">
        <f ca="1">_xlfn.IFNA(IF(VLOOKUP($B246&amp;OFFSET(K$10,$A246*2,0),'Mapping A'!$B$6:$E$1011,4,0)=1,$E246,""),0)</f>
        <v>0</v>
      </c>
      <c r="L246" s="519">
        <f ca="1">_xlfn.IFNA(IF(VLOOKUP($B246&amp;OFFSET(L$10,$A246*2,0),'Mapping A'!$B$6:$E$1011,4,0)=1,$E246,""),0)</f>
        <v>0</v>
      </c>
      <c r="M246" s="519">
        <f ca="1">_xlfn.IFNA(IF(VLOOKUP($B246&amp;OFFSET(M$10,$A246*2,0),'Mapping A'!$B$6:$E$1011,4,0)=1,$E246,""),0)</f>
        <v>0</v>
      </c>
      <c r="N246" s="519">
        <f ca="1">_xlfn.IFNA(IF(VLOOKUP($B246&amp;OFFSET(N$10,$A246*2,0),'Mapping A'!$B$6:$E$1011,4,0)=1,$E246,""),0)</f>
        <v>0</v>
      </c>
      <c r="O246" s="519">
        <f ca="1">_xlfn.IFNA(IF(VLOOKUP($B246&amp;OFFSET(O$10,$A246*2,0),'Mapping A'!$B$6:$E$1011,4,0)=1,$E246,""),0)</f>
        <v>0</v>
      </c>
      <c r="P246" s="519">
        <f ca="1">_xlfn.IFNA(IF(VLOOKUP($B246&amp;OFFSET(P$10,$A246*2,0),'Mapping A'!$B$6:$E$1011,4,0)=1,$E246,""),0)</f>
        <v>0</v>
      </c>
      <c r="Q246" s="519">
        <f ca="1">_xlfn.IFNA(IF(VLOOKUP($B246&amp;OFFSET(Q$10,$A246*2,0),'Mapping A'!$B$6:$E$1011,4,0)=1,$E246,""),0)</f>
        <v>0</v>
      </c>
      <c r="R246" s="519">
        <f ca="1">_xlfn.IFNA(IF(VLOOKUP($B246&amp;OFFSET(R$10,$A246*2,0),'Mapping A'!$B$6:$E$1011,4,0)=1,$E246,""),0)</f>
        <v>0</v>
      </c>
      <c r="S246" s="519">
        <f ca="1">_xlfn.IFNA(IF(VLOOKUP($B246&amp;OFFSET(S$10,$A246*2,0),'Mapping A'!$B$6:$E$1011,4,0)=1,$E246,""),0)</f>
        <v>0</v>
      </c>
      <c r="T246" s="519">
        <f ca="1">_xlfn.IFNA(IF(VLOOKUP($B246&amp;OFFSET(T$10,$A246*2,0),'Mapping A'!$B$6:$E$1011,4,0)=1,$E246,""),0)</f>
        <v>0</v>
      </c>
      <c r="Y246" s="534" t="str">
        <f t="shared" si="91"/>
        <v>MeridianWWD1103</v>
      </c>
      <c r="Z246" s="519" t="str">
        <f t="shared" si="70"/>
        <v>Meridian</v>
      </c>
      <c r="AA246" s="519" t="str">
        <f t="shared" si="71"/>
        <v>WWD1103</v>
      </c>
      <c r="AB246" s="519">
        <f t="shared" si="87"/>
        <v>1.0038</v>
      </c>
      <c r="AC246" s="324"/>
      <c r="AE246" s="519">
        <f t="shared" ca="1" si="72"/>
        <v>0</v>
      </c>
      <c r="AF246" s="519">
        <f t="shared" ca="1" si="73"/>
        <v>0</v>
      </c>
      <c r="AG246" s="519">
        <f t="shared" ca="1" si="74"/>
        <v>0</v>
      </c>
      <c r="AH246" s="519">
        <f t="shared" ca="1" si="75"/>
        <v>0</v>
      </c>
      <c r="AI246" s="519">
        <f t="shared" ca="1" si="88"/>
        <v>0</v>
      </c>
      <c r="AJ246" s="519">
        <f t="shared" ca="1" si="76"/>
        <v>0</v>
      </c>
      <c r="AK246" s="519">
        <f t="shared" ca="1" si="77"/>
        <v>0</v>
      </c>
      <c r="AL246" s="519">
        <f t="shared" ca="1" si="78"/>
        <v>0</v>
      </c>
      <c r="AM246" s="519">
        <f t="shared" ca="1" si="79"/>
        <v>0</v>
      </c>
      <c r="AN246" s="519">
        <f t="shared" ca="1" si="80"/>
        <v>0</v>
      </c>
      <c r="AO246" s="519">
        <f t="shared" ca="1" si="81"/>
        <v>0</v>
      </c>
      <c r="AP246" s="519">
        <f t="shared" ca="1" si="82"/>
        <v>0</v>
      </c>
      <c r="AQ246" s="519">
        <f t="shared" ca="1" si="83"/>
        <v>0</v>
      </c>
      <c r="AS246" s="536"/>
      <c r="AT246" s="536"/>
      <c r="AU246" s="519" t="str">
        <f t="shared" si="89"/>
        <v>Meridian</v>
      </c>
      <c r="AV246" s="519" t="str">
        <f t="shared" si="84"/>
        <v>WWD1103</v>
      </c>
      <c r="AW246" s="519">
        <f t="shared" si="85"/>
        <v>1.0038</v>
      </c>
      <c r="AX246" s="538"/>
      <c r="AY246" s="539">
        <f t="shared" ca="1" si="90"/>
        <v>3.0450317146320762E-2</v>
      </c>
      <c r="AZ246" s="189"/>
    </row>
    <row r="247" spans="1:52" x14ac:dyDescent="0.3">
      <c r="A247" s="556"/>
      <c r="Y247" s="534"/>
      <c r="AC247" s="324"/>
      <c r="AK247" s="520"/>
      <c r="AL247" s="520"/>
      <c r="AM247" s="520"/>
      <c r="AN247" s="520"/>
      <c r="AO247" s="520"/>
      <c r="AP247" s="520"/>
      <c r="AQ247" s="520"/>
      <c r="AS247" s="536"/>
      <c r="AT247" s="536"/>
      <c r="AX247" s="538"/>
      <c r="AY247" s="539"/>
      <c r="AZ247" s="189"/>
    </row>
    <row r="248" spans="1:52" x14ac:dyDescent="0.3">
      <c r="A248" s="556"/>
      <c r="Y248" s="534"/>
      <c r="AC248" s="324"/>
      <c r="AK248" s="520"/>
      <c r="AL248" s="520"/>
      <c r="AM248" s="520"/>
      <c r="AN248" s="520"/>
      <c r="AO248" s="520"/>
      <c r="AP248" s="520"/>
      <c r="AQ248" s="520"/>
      <c r="AS248" s="536"/>
      <c r="AT248" s="536"/>
      <c r="AY248" s="539"/>
      <c r="AZ248" s="189"/>
    </row>
    <row r="249" spans="1:52" x14ac:dyDescent="0.3">
      <c r="A249" s="556"/>
      <c r="Y249" s="534"/>
      <c r="AC249" s="324"/>
      <c r="AK249" s="520"/>
      <c r="AL249" s="520"/>
      <c r="AM249" s="520"/>
      <c r="AN249" s="520"/>
      <c r="AO249" s="520"/>
      <c r="AP249" s="520"/>
      <c r="AQ249" s="520"/>
      <c r="AS249" s="536"/>
      <c r="AT249" s="536"/>
      <c r="AY249" s="539"/>
      <c r="AZ249" s="189"/>
    </row>
    <row r="250" spans="1:52" x14ac:dyDescent="0.3">
      <c r="A250" s="556"/>
      <c r="Y250" s="534"/>
      <c r="AC250" s="324"/>
      <c r="AK250" s="520"/>
      <c r="AL250" s="520"/>
      <c r="AM250" s="520"/>
      <c r="AN250" s="520"/>
      <c r="AO250" s="520"/>
      <c r="AP250" s="520"/>
      <c r="AQ250" s="520"/>
      <c r="AS250" s="536"/>
      <c r="AT250" s="536"/>
      <c r="AY250" s="539"/>
      <c r="AZ250" s="189"/>
    </row>
    <row r="251" spans="1:52" x14ac:dyDescent="0.3">
      <c r="A251" s="556"/>
      <c r="Y251" s="534"/>
      <c r="AC251" s="324"/>
      <c r="AK251" s="520"/>
      <c r="AL251" s="520"/>
      <c r="AM251" s="520"/>
      <c r="AN251" s="520"/>
      <c r="AO251" s="520"/>
      <c r="AP251" s="520"/>
      <c r="AQ251" s="520"/>
      <c r="AS251" s="536"/>
      <c r="AT251" s="536"/>
      <c r="AY251" s="539"/>
      <c r="AZ251" s="189"/>
    </row>
    <row r="252" spans="1:52" x14ac:dyDescent="0.3">
      <c r="A252" s="556"/>
      <c r="Y252" s="534"/>
      <c r="AC252" s="324"/>
      <c r="AK252" s="520"/>
      <c r="AL252" s="520"/>
      <c r="AM252" s="520"/>
      <c r="AN252" s="520"/>
      <c r="AO252" s="520"/>
      <c r="AP252" s="520"/>
      <c r="AQ252" s="520"/>
      <c r="AS252" s="536"/>
      <c r="AT252" s="536"/>
      <c r="AY252" s="539"/>
      <c r="AZ252" s="189"/>
    </row>
    <row r="253" spans="1:52" x14ac:dyDescent="0.3">
      <c r="A253" s="556"/>
      <c r="Y253" s="534"/>
      <c r="AG253" s="535"/>
      <c r="AH253" s="535"/>
      <c r="AI253" s="535"/>
      <c r="AJ253" s="535"/>
      <c r="AK253" s="535"/>
      <c r="AL253" s="535"/>
      <c r="AM253" s="535"/>
      <c r="AN253" s="535"/>
      <c r="AO253" s="535"/>
      <c r="AS253" s="536"/>
      <c r="AT253" s="536"/>
    </row>
    <row r="254" spans="1:52" x14ac:dyDescent="0.3">
      <c r="A254" s="556"/>
      <c r="B254" s="532"/>
      <c r="C254" s="532" t="s">
        <v>464</v>
      </c>
      <c r="Y254" s="534" t="str">
        <f t="shared" ref="Y254:Y255" si="92">Z254&amp;AA254</f>
        <v>Demand allocation 2</v>
      </c>
      <c r="Z254" s="519" t="s">
        <v>464</v>
      </c>
      <c r="AG254" s="535"/>
      <c r="AH254" s="535"/>
      <c r="AI254" s="535"/>
      <c r="AJ254" s="535"/>
      <c r="AK254" s="535"/>
      <c r="AL254" s="535"/>
      <c r="AM254" s="535"/>
      <c r="AN254" s="535"/>
      <c r="AO254" s="535"/>
      <c r="AS254" s="521"/>
    </row>
    <row r="255" spans="1:52" x14ac:dyDescent="0.3">
      <c r="A255" s="556"/>
      <c r="B255" s="528"/>
      <c r="C255" s="528" t="s">
        <v>361</v>
      </c>
      <c r="D255" s="528" t="s">
        <v>50</v>
      </c>
      <c r="E255" s="528" t="s">
        <v>388</v>
      </c>
      <c r="H255" s="541"/>
      <c r="I255" s="541"/>
      <c r="J255" s="541"/>
      <c r="K255" s="541"/>
      <c r="L255" s="541"/>
      <c r="M255" s="541"/>
      <c r="N255" s="541"/>
      <c r="O255" s="541"/>
      <c r="P255" s="541"/>
      <c r="Q255" s="541"/>
      <c r="R255" s="541"/>
      <c r="S255" s="541"/>
      <c r="T255" s="541"/>
      <c r="Y255" s="534" t="str">
        <f t="shared" si="92"/>
        <v>nodecustomer</v>
      </c>
      <c r="Z255" s="528" t="s">
        <v>361</v>
      </c>
      <c r="AA255" s="528" t="s">
        <v>50</v>
      </c>
      <c r="AB255" s="528" t="s">
        <v>388</v>
      </c>
      <c r="AG255" s="535"/>
      <c r="AH255" s="535"/>
      <c r="AI255" s="535"/>
      <c r="AJ255" s="535"/>
      <c r="AK255" s="535"/>
      <c r="AL255" s="535"/>
      <c r="AM255" s="535"/>
      <c r="AN255" s="535"/>
      <c r="AO255" s="535"/>
      <c r="AS255" s="521"/>
    </row>
    <row r="256" spans="1:52" x14ac:dyDescent="0.3">
      <c r="A256" s="556">
        <f>A22+1</f>
        <v>2</v>
      </c>
      <c r="B256" s="519" t="str">
        <f>LEFT(D256,3)</f>
        <v>ABY</v>
      </c>
      <c r="C256" s="519" t="str">
        <f>C22</f>
        <v>Alpine Energy</v>
      </c>
      <c r="D256" s="519" t="str">
        <f t="shared" ref="D256:E256" si="93">D22</f>
        <v>ABY0111</v>
      </c>
      <c r="E256" s="519">
        <f t="shared" si="93"/>
        <v>4.4687999999999999</v>
      </c>
      <c r="H256" s="519">
        <f ca="1">_xlfn.IFNA(IF(VLOOKUP($B256&amp;OFFSET(H$10,$A256*2,0),'Mapping A'!$B$6:$E$1011,4,0)=1,$E256,""),0)</f>
        <v>0</v>
      </c>
      <c r="I256" s="519">
        <f ca="1">_xlfn.IFNA(IF(VLOOKUP($B256&amp;OFFSET(I$10,$A256*2,0),'Mapping A'!$B$6:$E$1011,4,0)=1,$E256,""),0)</f>
        <v>0</v>
      </c>
      <c r="J256" s="519">
        <f ca="1">_xlfn.IFNA(IF(VLOOKUP($B256&amp;OFFSET(J$10,$A256*2,0),'Mapping A'!$B$6:$E$1011,4,0)=1,$E256,""),0)</f>
        <v>4.4687999999999999</v>
      </c>
      <c r="K256" s="519">
        <f ca="1">_xlfn.IFNA(IF(VLOOKUP($B256&amp;OFFSET(K$10,$A256*2,0),'Mapping A'!$B$6:$E$1011,4,0)=1,$E256,""),0)</f>
        <v>0</v>
      </c>
      <c r="L256" s="519">
        <f ca="1">_xlfn.IFNA(IF(VLOOKUP($B256&amp;OFFSET(L$10,$A256*2,0),'Mapping A'!$B$6:$E$1011,4,0)=1,$E256,""),0)</f>
        <v>0</v>
      </c>
      <c r="M256" s="519">
        <f ca="1">_xlfn.IFNA(IF(VLOOKUP($B256&amp;OFFSET(M$10,$A256*2,0),'Mapping A'!$B$6:$E$1011,4,0)=1,$E256,""),0)</f>
        <v>0</v>
      </c>
      <c r="N256" s="519">
        <f ca="1">_xlfn.IFNA(IF(VLOOKUP($B256&amp;OFFSET(N$10,$A256*2,0),'Mapping A'!$B$6:$E$1011,4,0)=1,$E256,""),0)</f>
        <v>0</v>
      </c>
      <c r="O256" s="519">
        <f ca="1">_xlfn.IFNA(IF(VLOOKUP($B256&amp;OFFSET(O$10,$A256*2,0),'Mapping A'!$B$6:$E$1011,4,0)=1,$E256,""),0)</f>
        <v>0</v>
      </c>
      <c r="P256" s="519">
        <f ca="1">_xlfn.IFNA(IF(VLOOKUP($B256&amp;OFFSET(P$10,$A256*2,0),'Mapping A'!$B$6:$E$1011,4,0)=1,$E256,""),0)</f>
        <v>0</v>
      </c>
      <c r="Q256" s="519">
        <f ca="1">_xlfn.IFNA(IF(VLOOKUP($B256&amp;OFFSET(Q$10,$A256*2,0),'Mapping A'!$B$6:$E$1011,4,0)=1,$E256,""),0)</f>
        <v>0</v>
      </c>
      <c r="R256" s="519">
        <f ca="1">_xlfn.IFNA(IF(VLOOKUP($B256&amp;OFFSET(R$10,$A256*2,0),'Mapping A'!$B$6:$E$1011,4,0)=1,$E256,""),0)</f>
        <v>0</v>
      </c>
      <c r="S256" s="519">
        <f ca="1">_xlfn.IFNA(IF(VLOOKUP($B256&amp;OFFSET(S$10,$A256*2,0),'Mapping A'!$B$6:$E$1011,4,0)=1,$E256,""),0)</f>
        <v>0</v>
      </c>
      <c r="T256" s="519">
        <f ca="1">_xlfn.IFNA(IF(VLOOKUP($B256&amp;OFFSET(T$10,$A256*2,0),'Mapping A'!$B$6:$E$1011,4,0)=1,$E256,""),0)</f>
        <v>0</v>
      </c>
      <c r="Y256" s="534" t="str">
        <f>AA256&amp;Z256</f>
        <v>ABY0111Alpine Energy</v>
      </c>
      <c r="Z256" s="519" t="str">
        <f>C22</f>
        <v>Alpine Energy</v>
      </c>
      <c r="AA256" s="519" t="str">
        <f t="shared" ref="AA256:AB256" si="94">D22</f>
        <v>ABY0111</v>
      </c>
      <c r="AB256" s="519">
        <f t="shared" si="94"/>
        <v>4.4687999999999999</v>
      </c>
      <c r="AC256" s="324"/>
      <c r="AE256" s="519">
        <f t="shared" ref="AE256:AE319" ca="1" si="95">IF(SUMIF($A$22:$A$652,$A256,H$22:H$652)=0,0,OFFSET(H$11,$A256*2,0)*H$7*H256/SUMIF($A$22:$A$652,$A256,H$22:H$652))</f>
        <v>0</v>
      </c>
      <c r="AF256" s="519">
        <f t="shared" ref="AF256:AF319" ca="1" si="96">IF(SUMIF($A$22:$A$652,$A256,I$22:I$652)=0,0,OFFSET(I$11,$A256*2,0)*I$7*I256/SUMIF($A$22:$A$652,$A256,I$22:I$652))</f>
        <v>0</v>
      </c>
      <c r="AG256" s="519">
        <f t="shared" ref="AG256:AG319" ca="1" si="97">IF(SUMIF($A$22:$A$652,$A256,J$22:J$652)=0,0,OFFSET(J$11,$A256*2,0)*J$7*J256/SUMIF($A$22:$A$652,$A256,J$22:J$652))</f>
        <v>0</v>
      </c>
      <c r="AH256" s="519">
        <f t="shared" ref="AH256:AH319" ca="1" si="98">IF(SUMIF($A$22:$A$652,$A256,K$22:K$652)=0,0,OFFSET(K$11,$A256*2,0)*K$7*K256/SUMIF($A$22:$A$652,$A256,K$22:K$652))</f>
        <v>0</v>
      </c>
      <c r="AI256" s="519">
        <f t="shared" ref="AI256:AI319" ca="1" si="99">IF(SUMIF($A$22:$A$652,$A256,L$22:L$652)=0,0,OFFSET(L$11,$A256*2,0)*L$7*L256/SUMIF($A$22:$A$652,$A256,L$22:L$652))</f>
        <v>0</v>
      </c>
      <c r="AJ256" s="519">
        <f t="shared" ref="AJ256:AJ319" ca="1" si="100">IF(SUMIF($A$22:$A$652,$A256,M$22:M$652)=0,0,OFFSET(M$11,$A256*2,0)*M$7*M256/SUMIF($A$22:$A$652,$A256,M$22:M$652))</f>
        <v>0</v>
      </c>
      <c r="AK256" s="519">
        <f t="shared" ref="AK256:AK319" ca="1" si="101">IF(SUMIF($A$22:$A$652,$A256,N$22:N$652)=0,0,OFFSET(N$11,$A256*2,0)*N$7*N256/SUMIF($A$22:$A$652,$A256,N$22:N$652))</f>
        <v>0</v>
      </c>
      <c r="AL256" s="519">
        <f t="shared" ref="AL256:AL319" ca="1" si="102">IF(SUMIF($A$22:$A$652,$A256,O$22:O$652)=0,0,OFFSET(O$11,$A256*2,0)*O$7*O256/SUMIF($A$22:$A$652,$A256,O$22:O$652))</f>
        <v>0</v>
      </c>
      <c r="AM256" s="519">
        <f t="shared" ref="AM256:AM319" ca="1" si="103">IF(SUMIF($A$22:$A$652,$A256,P$22:P$652)=0,0,OFFSET(P$11,$A256*2,0)*P$7*P256/SUMIF($A$22:$A$652,$A256,P$22:P$652))</f>
        <v>0</v>
      </c>
      <c r="AN256" s="519">
        <f t="shared" ref="AN256:AN319" ca="1" si="104">IF(SUMIF($A$22:$A$652,$A256,Q$22:Q$652)=0,0,OFFSET(Q$11,$A256*2,0)*Q$7*Q256/SUMIF($A$22:$A$652,$A256,Q$22:Q$652))</f>
        <v>0</v>
      </c>
      <c r="AO256" s="519">
        <f t="shared" ref="AO256:AO319" ca="1" si="105">IF(SUMIF($A$22:$A$652,$A256,R$22:R$652)=0,0,OFFSET(R$11,$A256*2,0)*R$7*R256/SUMIF($A$22:$A$652,$A256,R$22:R$652))</f>
        <v>0</v>
      </c>
      <c r="AP256" s="519">
        <f t="shared" ref="AP256:AP319" ca="1" si="106">IF(SUMIF($A$22:$A$652,$A256,S$22:S$652)=0,0,OFFSET(S$11,$A256*2,0)*S$7*S256/SUMIF($A$22:$A$652,$A256,S$22:S$652))</f>
        <v>0</v>
      </c>
      <c r="AQ256" s="519">
        <f t="shared" ref="AQ256:AQ319" ca="1" si="107">IF(SUMIF($A$22:$A$652,$A256,T$22:T$652)=0,0,OFFSET(T$11,$A256*2,0)*T$7*T256/SUMIF($A$22:$A$652,$A256,T$22:T$652))</f>
        <v>0</v>
      </c>
      <c r="AS256" s="521"/>
    </row>
    <row r="257" spans="1:45" x14ac:dyDescent="0.3">
      <c r="A257" s="556">
        <f t="shared" ref="A257:A320" si="108">A23+1</f>
        <v>2</v>
      </c>
      <c r="B257" s="519" t="str">
        <f t="shared" ref="B257:B320" si="109">LEFT(D257,3)</f>
        <v>ALB</v>
      </c>
      <c r="C257" s="519" t="str">
        <f t="shared" ref="C257:E257" si="110">C23</f>
        <v>Vector</v>
      </c>
      <c r="D257" s="519" t="str">
        <f t="shared" si="110"/>
        <v>ALB0331</v>
      </c>
      <c r="E257" s="519">
        <f t="shared" si="110"/>
        <v>158.68439999999899</v>
      </c>
      <c r="H257" s="519">
        <f ca="1">_xlfn.IFNA(IF(VLOOKUP($B257&amp;OFFSET(H$10,$A257*2,0),'Mapping A'!$B$6:$E$1011,4,0)=1,$E257,""),0)</f>
        <v>0</v>
      </c>
      <c r="I257" s="519">
        <f ca="1">_xlfn.IFNA(IF(VLOOKUP($B257&amp;OFFSET(I$10,$A257*2,0),'Mapping A'!$B$6:$E$1011,4,0)=1,$E257,""),0)</f>
        <v>0</v>
      </c>
      <c r="J257" s="519">
        <f ca="1">_xlfn.IFNA(IF(VLOOKUP($B257&amp;OFFSET(J$10,$A257*2,0),'Mapping A'!$B$6:$E$1011,4,0)=1,$E257,""),0)</f>
        <v>0</v>
      </c>
      <c r="K257" s="519">
        <f ca="1">_xlfn.IFNA(IF(VLOOKUP($B257&amp;OFFSET(K$10,$A257*2,0),'Mapping A'!$B$6:$E$1011,4,0)=1,$E257,""),0)</f>
        <v>0</v>
      </c>
      <c r="L257" s="519">
        <f ca="1">_xlfn.IFNA(IF(VLOOKUP($B257&amp;OFFSET(L$10,$A257*2,0),'Mapping A'!$B$6:$E$1011,4,0)=1,$E257,""),0)</f>
        <v>0</v>
      </c>
      <c r="M257" s="519">
        <f ca="1">_xlfn.IFNA(IF(VLOOKUP($B257&amp;OFFSET(M$10,$A257*2,0),'Mapping A'!$B$6:$E$1011,4,0)=1,$E257,""),0)</f>
        <v>0</v>
      </c>
      <c r="N257" s="519">
        <f ca="1">_xlfn.IFNA(IF(VLOOKUP($B257&amp;OFFSET(N$10,$A257*2,0),'Mapping A'!$B$6:$E$1011,4,0)=1,$E257,""),0)</f>
        <v>0</v>
      </c>
      <c r="O257" s="519">
        <f ca="1">_xlfn.IFNA(IF(VLOOKUP($B257&amp;OFFSET(O$10,$A257*2,0),'Mapping A'!$B$6:$E$1011,4,0)=1,$E257,""),0)</f>
        <v>0</v>
      </c>
      <c r="P257" s="519">
        <f ca="1">_xlfn.IFNA(IF(VLOOKUP($B257&amp;OFFSET(P$10,$A257*2,0),'Mapping A'!$B$6:$E$1011,4,0)=1,$E257,""),0)</f>
        <v>0</v>
      </c>
      <c r="Q257" s="519">
        <f ca="1">_xlfn.IFNA(IF(VLOOKUP($B257&amp;OFFSET(Q$10,$A257*2,0),'Mapping A'!$B$6:$E$1011,4,0)=1,$E257,""),0)</f>
        <v>0</v>
      </c>
      <c r="R257" s="519">
        <f ca="1">_xlfn.IFNA(IF(VLOOKUP($B257&amp;OFFSET(R$10,$A257*2,0),'Mapping A'!$B$6:$E$1011,4,0)=1,$E257,""),0)</f>
        <v>0</v>
      </c>
      <c r="S257" s="519">
        <f ca="1">_xlfn.IFNA(IF(VLOOKUP($B257&amp;OFFSET(S$10,$A257*2,0),'Mapping A'!$B$6:$E$1011,4,0)=1,$E257,""),0)</f>
        <v>0</v>
      </c>
      <c r="T257" s="519">
        <f ca="1">_xlfn.IFNA(IF(VLOOKUP($B257&amp;OFFSET(T$10,$A257*2,0),'Mapping A'!$B$6:$E$1011,4,0)=1,$E257,""),0)</f>
        <v>0</v>
      </c>
      <c r="Y257" s="534" t="str">
        <f t="shared" ref="Y257:Y320" si="111">AA257&amp;Z257</f>
        <v>ALB0331Vector</v>
      </c>
      <c r="Z257" s="519" t="str">
        <f t="shared" ref="Z257:AB257" si="112">C23</f>
        <v>Vector</v>
      </c>
      <c r="AA257" s="519" t="str">
        <f t="shared" si="112"/>
        <v>ALB0331</v>
      </c>
      <c r="AB257" s="519">
        <f t="shared" si="112"/>
        <v>158.68439999999899</v>
      </c>
      <c r="AC257" s="324"/>
      <c r="AE257" s="519">
        <f t="shared" ca="1" si="95"/>
        <v>0</v>
      </c>
      <c r="AF257" s="519">
        <f t="shared" ca="1" si="96"/>
        <v>0</v>
      </c>
      <c r="AG257" s="519">
        <f t="shared" ca="1" si="97"/>
        <v>0</v>
      </c>
      <c r="AH257" s="519">
        <f t="shared" ca="1" si="98"/>
        <v>0</v>
      </c>
      <c r="AI257" s="519">
        <f t="shared" ca="1" si="99"/>
        <v>0</v>
      </c>
      <c r="AJ257" s="519">
        <f t="shared" ca="1" si="100"/>
        <v>0</v>
      </c>
      <c r="AK257" s="519">
        <f t="shared" ca="1" si="101"/>
        <v>0</v>
      </c>
      <c r="AL257" s="519">
        <f t="shared" ca="1" si="102"/>
        <v>0</v>
      </c>
      <c r="AM257" s="519">
        <f t="shared" ca="1" si="103"/>
        <v>0</v>
      </c>
      <c r="AN257" s="519">
        <f t="shared" ca="1" si="104"/>
        <v>0</v>
      </c>
      <c r="AO257" s="519">
        <f t="shared" ca="1" si="105"/>
        <v>0</v>
      </c>
      <c r="AP257" s="519">
        <f t="shared" ca="1" si="106"/>
        <v>0</v>
      </c>
      <c r="AQ257" s="519">
        <f t="shared" ca="1" si="107"/>
        <v>0</v>
      </c>
      <c r="AS257" s="521"/>
    </row>
    <row r="258" spans="1:45" x14ac:dyDescent="0.3">
      <c r="A258" s="556">
        <f t="shared" si="108"/>
        <v>2</v>
      </c>
      <c r="B258" s="519" t="str">
        <f t="shared" si="109"/>
        <v>ALB</v>
      </c>
      <c r="C258" s="519" t="str">
        <f t="shared" ref="C258:E258" si="113">C24</f>
        <v>Vector</v>
      </c>
      <c r="D258" s="519" t="str">
        <f t="shared" si="113"/>
        <v>ALB1101</v>
      </c>
      <c r="E258" s="519">
        <f t="shared" si="113"/>
        <v>146.62620000000001</v>
      </c>
      <c r="H258" s="519">
        <f ca="1">_xlfn.IFNA(IF(VLOOKUP($B258&amp;OFFSET(H$10,$A258*2,0),'Mapping A'!$B$6:$E$1011,4,0)=1,$E258,""),0)</f>
        <v>0</v>
      </c>
      <c r="I258" s="519">
        <f ca="1">_xlfn.IFNA(IF(VLOOKUP($B258&amp;OFFSET(I$10,$A258*2,0),'Mapping A'!$B$6:$E$1011,4,0)=1,$E258,""),0)</f>
        <v>0</v>
      </c>
      <c r="J258" s="519">
        <f ca="1">_xlfn.IFNA(IF(VLOOKUP($B258&amp;OFFSET(J$10,$A258*2,0),'Mapping A'!$B$6:$E$1011,4,0)=1,$E258,""),0)</f>
        <v>0</v>
      </c>
      <c r="K258" s="519">
        <f ca="1">_xlfn.IFNA(IF(VLOOKUP($B258&amp;OFFSET(K$10,$A258*2,0),'Mapping A'!$B$6:$E$1011,4,0)=1,$E258,""),0)</f>
        <v>0</v>
      </c>
      <c r="L258" s="519">
        <f ca="1">_xlfn.IFNA(IF(VLOOKUP($B258&amp;OFFSET(L$10,$A258*2,0),'Mapping A'!$B$6:$E$1011,4,0)=1,$E258,""),0)</f>
        <v>0</v>
      </c>
      <c r="M258" s="519">
        <f ca="1">_xlfn.IFNA(IF(VLOOKUP($B258&amp;OFFSET(M$10,$A258*2,0),'Mapping A'!$B$6:$E$1011,4,0)=1,$E258,""),0)</f>
        <v>0</v>
      </c>
      <c r="N258" s="519">
        <f ca="1">_xlfn.IFNA(IF(VLOOKUP($B258&amp;OFFSET(N$10,$A258*2,0),'Mapping A'!$B$6:$E$1011,4,0)=1,$E258,""),0)</f>
        <v>0</v>
      </c>
      <c r="O258" s="519">
        <f ca="1">_xlfn.IFNA(IF(VLOOKUP($B258&amp;OFFSET(O$10,$A258*2,0),'Mapping A'!$B$6:$E$1011,4,0)=1,$E258,""),0)</f>
        <v>0</v>
      </c>
      <c r="P258" s="519">
        <f ca="1">_xlfn.IFNA(IF(VLOOKUP($B258&amp;OFFSET(P$10,$A258*2,0),'Mapping A'!$B$6:$E$1011,4,0)=1,$E258,""),0)</f>
        <v>0</v>
      </c>
      <c r="Q258" s="519">
        <f ca="1">_xlfn.IFNA(IF(VLOOKUP($B258&amp;OFFSET(Q$10,$A258*2,0),'Mapping A'!$B$6:$E$1011,4,0)=1,$E258,""),0)</f>
        <v>0</v>
      </c>
      <c r="R258" s="519">
        <f ca="1">_xlfn.IFNA(IF(VLOOKUP($B258&amp;OFFSET(R$10,$A258*2,0),'Mapping A'!$B$6:$E$1011,4,0)=1,$E258,""),0)</f>
        <v>0</v>
      </c>
      <c r="S258" s="519">
        <f ca="1">_xlfn.IFNA(IF(VLOOKUP($B258&amp;OFFSET(S$10,$A258*2,0),'Mapping A'!$B$6:$E$1011,4,0)=1,$E258,""),0)</f>
        <v>0</v>
      </c>
      <c r="T258" s="519">
        <f ca="1">_xlfn.IFNA(IF(VLOOKUP($B258&amp;OFFSET(T$10,$A258*2,0),'Mapping A'!$B$6:$E$1011,4,0)=1,$E258,""),0)</f>
        <v>0</v>
      </c>
      <c r="Y258" s="534" t="str">
        <f t="shared" si="111"/>
        <v>ALB1101Vector</v>
      </c>
      <c r="Z258" s="519" t="str">
        <f t="shared" ref="Z258:AB258" si="114">C24</f>
        <v>Vector</v>
      </c>
      <c r="AA258" s="519" t="str">
        <f t="shared" si="114"/>
        <v>ALB1101</v>
      </c>
      <c r="AB258" s="519">
        <f t="shared" si="114"/>
        <v>146.62620000000001</v>
      </c>
      <c r="AC258" s="324"/>
      <c r="AE258" s="519">
        <f t="shared" ca="1" si="95"/>
        <v>0</v>
      </c>
      <c r="AF258" s="519">
        <f t="shared" ca="1" si="96"/>
        <v>0</v>
      </c>
      <c r="AG258" s="519">
        <f t="shared" ca="1" si="97"/>
        <v>0</v>
      </c>
      <c r="AH258" s="519">
        <f t="shared" ca="1" si="98"/>
        <v>0</v>
      </c>
      <c r="AI258" s="519">
        <f t="shared" ca="1" si="99"/>
        <v>0</v>
      </c>
      <c r="AJ258" s="519">
        <f t="shared" ca="1" si="100"/>
        <v>0</v>
      </c>
      <c r="AK258" s="519">
        <f t="shared" ca="1" si="101"/>
        <v>0</v>
      </c>
      <c r="AL258" s="519">
        <f t="shared" ca="1" si="102"/>
        <v>0</v>
      </c>
      <c r="AM258" s="519">
        <f t="shared" ca="1" si="103"/>
        <v>0</v>
      </c>
      <c r="AN258" s="519">
        <f t="shared" ca="1" si="104"/>
        <v>0</v>
      </c>
      <c r="AO258" s="519">
        <f t="shared" ca="1" si="105"/>
        <v>0</v>
      </c>
      <c r="AP258" s="519">
        <f t="shared" ca="1" si="106"/>
        <v>0</v>
      </c>
      <c r="AQ258" s="519">
        <f t="shared" ca="1" si="107"/>
        <v>0</v>
      </c>
      <c r="AS258" s="521"/>
    </row>
    <row r="259" spans="1:45" x14ac:dyDescent="0.3">
      <c r="A259" s="556">
        <f t="shared" si="108"/>
        <v>2</v>
      </c>
      <c r="B259" s="519" t="str">
        <f t="shared" si="109"/>
        <v>APS</v>
      </c>
      <c r="C259" s="519" t="str">
        <f t="shared" ref="C259:E259" si="115">C25</f>
        <v>Orion</v>
      </c>
      <c r="D259" s="519" t="str">
        <f t="shared" si="115"/>
        <v>APS0111</v>
      </c>
      <c r="E259" s="519">
        <f t="shared" si="115"/>
        <v>0.37169999999999997</v>
      </c>
      <c r="H259" s="519">
        <f ca="1">_xlfn.IFNA(IF(VLOOKUP($B259&amp;OFFSET(H$10,$A259*2,0),'Mapping A'!$B$6:$E$1011,4,0)=1,$E259,""),0)</f>
        <v>0</v>
      </c>
      <c r="I259" s="519">
        <f ca="1">_xlfn.IFNA(IF(VLOOKUP($B259&amp;OFFSET(I$10,$A259*2,0),'Mapping A'!$B$6:$E$1011,4,0)=1,$E259,""),0)</f>
        <v>0</v>
      </c>
      <c r="J259" s="519">
        <f ca="1">_xlfn.IFNA(IF(VLOOKUP($B259&amp;OFFSET(J$10,$A259*2,0),'Mapping A'!$B$6:$E$1011,4,0)=1,$E259,""),0)</f>
        <v>0.37169999999999997</v>
      </c>
      <c r="K259" s="519">
        <f ca="1">_xlfn.IFNA(IF(VLOOKUP($B259&amp;OFFSET(K$10,$A259*2,0),'Mapping A'!$B$6:$E$1011,4,0)=1,$E259,""),0)</f>
        <v>0</v>
      </c>
      <c r="L259" s="519">
        <f ca="1">_xlfn.IFNA(IF(VLOOKUP($B259&amp;OFFSET(L$10,$A259*2,0),'Mapping A'!$B$6:$E$1011,4,0)=1,$E259,""),0)</f>
        <v>0</v>
      </c>
      <c r="M259" s="519">
        <f ca="1">_xlfn.IFNA(IF(VLOOKUP($B259&amp;OFFSET(M$10,$A259*2,0),'Mapping A'!$B$6:$E$1011,4,0)=1,$E259,""),0)</f>
        <v>0</v>
      </c>
      <c r="N259" s="519">
        <f ca="1">_xlfn.IFNA(IF(VLOOKUP($B259&amp;OFFSET(N$10,$A259*2,0),'Mapping A'!$B$6:$E$1011,4,0)=1,$E259,""),0)</f>
        <v>0</v>
      </c>
      <c r="O259" s="519">
        <f ca="1">_xlfn.IFNA(IF(VLOOKUP($B259&amp;OFFSET(O$10,$A259*2,0),'Mapping A'!$B$6:$E$1011,4,0)=1,$E259,""),0)</f>
        <v>0</v>
      </c>
      <c r="P259" s="519">
        <f ca="1">_xlfn.IFNA(IF(VLOOKUP($B259&amp;OFFSET(P$10,$A259*2,0),'Mapping A'!$B$6:$E$1011,4,0)=1,$E259,""),0)</f>
        <v>0</v>
      </c>
      <c r="Q259" s="519">
        <f ca="1">_xlfn.IFNA(IF(VLOOKUP($B259&amp;OFFSET(Q$10,$A259*2,0),'Mapping A'!$B$6:$E$1011,4,0)=1,$E259,""),0)</f>
        <v>0</v>
      </c>
      <c r="R259" s="519">
        <f ca="1">_xlfn.IFNA(IF(VLOOKUP($B259&amp;OFFSET(R$10,$A259*2,0),'Mapping A'!$B$6:$E$1011,4,0)=1,$E259,""),0)</f>
        <v>0</v>
      </c>
      <c r="S259" s="519">
        <f ca="1">_xlfn.IFNA(IF(VLOOKUP($B259&amp;OFFSET(S$10,$A259*2,0),'Mapping A'!$B$6:$E$1011,4,0)=1,$E259,""),0)</f>
        <v>0</v>
      </c>
      <c r="T259" s="519">
        <f ca="1">_xlfn.IFNA(IF(VLOOKUP($B259&amp;OFFSET(T$10,$A259*2,0),'Mapping A'!$B$6:$E$1011,4,0)=1,$E259,""),0)</f>
        <v>0</v>
      </c>
      <c r="Y259" s="534" t="str">
        <f t="shared" si="111"/>
        <v>APS0111Orion</v>
      </c>
      <c r="Z259" s="519" t="str">
        <f t="shared" ref="Z259:AB259" si="116">C25</f>
        <v>Orion</v>
      </c>
      <c r="AA259" s="519" t="str">
        <f t="shared" si="116"/>
        <v>APS0111</v>
      </c>
      <c r="AB259" s="519">
        <f t="shared" si="116"/>
        <v>0.37169999999999997</v>
      </c>
      <c r="AC259" s="324"/>
      <c r="AE259" s="519">
        <f t="shared" ca="1" si="95"/>
        <v>0</v>
      </c>
      <c r="AF259" s="519">
        <f t="shared" ca="1" si="96"/>
        <v>0</v>
      </c>
      <c r="AG259" s="519">
        <f t="shared" ca="1" si="97"/>
        <v>0</v>
      </c>
      <c r="AH259" s="519">
        <f t="shared" ca="1" si="98"/>
        <v>0</v>
      </c>
      <c r="AI259" s="519">
        <f t="shared" ca="1" si="99"/>
        <v>0</v>
      </c>
      <c r="AJ259" s="519">
        <f t="shared" ca="1" si="100"/>
        <v>0</v>
      </c>
      <c r="AK259" s="519">
        <f t="shared" ca="1" si="101"/>
        <v>0</v>
      </c>
      <c r="AL259" s="519">
        <f t="shared" ca="1" si="102"/>
        <v>0</v>
      </c>
      <c r="AM259" s="519">
        <f t="shared" ca="1" si="103"/>
        <v>0</v>
      </c>
      <c r="AN259" s="519">
        <f t="shared" ca="1" si="104"/>
        <v>0</v>
      </c>
      <c r="AO259" s="519">
        <f t="shared" ca="1" si="105"/>
        <v>0</v>
      </c>
      <c r="AP259" s="519">
        <f t="shared" ca="1" si="106"/>
        <v>0</v>
      </c>
      <c r="AQ259" s="519">
        <f t="shared" ca="1" si="107"/>
        <v>0</v>
      </c>
      <c r="AS259" s="521"/>
    </row>
    <row r="260" spans="1:45" x14ac:dyDescent="0.3">
      <c r="A260" s="556">
        <f t="shared" si="108"/>
        <v>2</v>
      </c>
      <c r="B260" s="519" t="str">
        <f t="shared" si="109"/>
        <v>ARA</v>
      </c>
      <c r="C260" s="519" t="str">
        <f t="shared" ref="C260:E260" si="117">C26</f>
        <v>MRP</v>
      </c>
      <c r="D260" s="519" t="str">
        <f t="shared" si="117"/>
        <v>ARA2201</v>
      </c>
      <c r="E260" s="519">
        <f t="shared" si="117"/>
        <v>5.1029999999999998</v>
      </c>
      <c r="H260" s="519">
        <f ca="1">_xlfn.IFNA(IF(VLOOKUP($B260&amp;OFFSET(H$10,$A260*2,0),'Mapping A'!$B$6:$E$1011,4,0)=1,$E260,""),0)</f>
        <v>0</v>
      </c>
      <c r="I260" s="519">
        <f ca="1">_xlfn.IFNA(IF(VLOOKUP($B260&amp;OFFSET(I$10,$A260*2,0),'Mapping A'!$B$6:$E$1011,4,0)=1,$E260,""),0)</f>
        <v>0</v>
      </c>
      <c r="J260" s="519">
        <f ca="1">_xlfn.IFNA(IF(VLOOKUP($B260&amp;OFFSET(J$10,$A260*2,0),'Mapping A'!$B$6:$E$1011,4,0)=1,$E260,""),0)</f>
        <v>0</v>
      </c>
      <c r="K260" s="519">
        <f ca="1">_xlfn.IFNA(IF(VLOOKUP($B260&amp;OFFSET(K$10,$A260*2,0),'Mapping A'!$B$6:$E$1011,4,0)=1,$E260,""),0)</f>
        <v>0</v>
      </c>
      <c r="L260" s="519">
        <f ca="1">_xlfn.IFNA(IF(VLOOKUP($B260&amp;OFFSET(L$10,$A260*2,0),'Mapping A'!$B$6:$E$1011,4,0)=1,$E260,""),0)</f>
        <v>0</v>
      </c>
      <c r="M260" s="519">
        <f ca="1">_xlfn.IFNA(IF(VLOOKUP($B260&amp;OFFSET(M$10,$A260*2,0),'Mapping A'!$B$6:$E$1011,4,0)=1,$E260,""),0)</f>
        <v>0</v>
      </c>
      <c r="N260" s="519">
        <f ca="1">_xlfn.IFNA(IF(VLOOKUP($B260&amp;OFFSET(N$10,$A260*2,0),'Mapping A'!$B$6:$E$1011,4,0)=1,$E260,""),0)</f>
        <v>0</v>
      </c>
      <c r="O260" s="519">
        <f ca="1">_xlfn.IFNA(IF(VLOOKUP($B260&amp;OFFSET(O$10,$A260*2,0),'Mapping A'!$B$6:$E$1011,4,0)=1,$E260,""),0)</f>
        <v>0</v>
      </c>
      <c r="P260" s="519">
        <f ca="1">_xlfn.IFNA(IF(VLOOKUP($B260&amp;OFFSET(P$10,$A260*2,0),'Mapping A'!$B$6:$E$1011,4,0)=1,$E260,""),0)</f>
        <v>0</v>
      </c>
      <c r="Q260" s="519">
        <f ca="1">_xlfn.IFNA(IF(VLOOKUP($B260&amp;OFFSET(Q$10,$A260*2,0),'Mapping A'!$B$6:$E$1011,4,0)=1,$E260,""),0)</f>
        <v>0</v>
      </c>
      <c r="R260" s="519">
        <f ca="1">_xlfn.IFNA(IF(VLOOKUP($B260&amp;OFFSET(R$10,$A260*2,0),'Mapping A'!$B$6:$E$1011,4,0)=1,$E260,""),0)</f>
        <v>0</v>
      </c>
      <c r="S260" s="519">
        <f ca="1">_xlfn.IFNA(IF(VLOOKUP($B260&amp;OFFSET(S$10,$A260*2,0),'Mapping A'!$B$6:$E$1011,4,0)=1,$E260,""),0)</f>
        <v>0</v>
      </c>
      <c r="T260" s="519">
        <f ca="1">_xlfn.IFNA(IF(VLOOKUP($B260&amp;OFFSET(T$10,$A260*2,0),'Mapping A'!$B$6:$E$1011,4,0)=1,$E260,""),0)</f>
        <v>0</v>
      </c>
      <c r="Y260" s="534" t="str">
        <f t="shared" si="111"/>
        <v>ARA2201MRP</v>
      </c>
      <c r="Z260" s="519" t="str">
        <f t="shared" ref="Z260:AB260" si="118">C26</f>
        <v>MRP</v>
      </c>
      <c r="AA260" s="519" t="str">
        <f t="shared" si="118"/>
        <v>ARA2201</v>
      </c>
      <c r="AB260" s="519">
        <f t="shared" si="118"/>
        <v>5.1029999999999998</v>
      </c>
      <c r="AC260" s="324"/>
      <c r="AE260" s="519">
        <f t="shared" ca="1" si="95"/>
        <v>0</v>
      </c>
      <c r="AF260" s="519">
        <f t="shared" ca="1" si="96"/>
        <v>0</v>
      </c>
      <c r="AG260" s="519">
        <f t="shared" ca="1" si="97"/>
        <v>0</v>
      </c>
      <c r="AH260" s="519">
        <f t="shared" ca="1" si="98"/>
        <v>0</v>
      </c>
      <c r="AI260" s="519">
        <f t="shared" ca="1" si="99"/>
        <v>0</v>
      </c>
      <c r="AJ260" s="519">
        <f t="shared" ca="1" si="100"/>
        <v>0</v>
      </c>
      <c r="AK260" s="519">
        <f t="shared" ca="1" si="101"/>
        <v>0</v>
      </c>
      <c r="AL260" s="519">
        <f t="shared" ca="1" si="102"/>
        <v>0</v>
      </c>
      <c r="AM260" s="519">
        <f t="shared" ca="1" si="103"/>
        <v>0</v>
      </c>
      <c r="AN260" s="519">
        <f t="shared" ca="1" si="104"/>
        <v>0</v>
      </c>
      <c r="AO260" s="519">
        <f t="shared" ca="1" si="105"/>
        <v>0</v>
      </c>
      <c r="AP260" s="519">
        <f t="shared" ca="1" si="106"/>
        <v>0</v>
      </c>
      <c r="AQ260" s="519">
        <f t="shared" ca="1" si="107"/>
        <v>0</v>
      </c>
      <c r="AS260" s="521"/>
    </row>
    <row r="261" spans="1:45" x14ac:dyDescent="0.3">
      <c r="A261" s="556">
        <f t="shared" si="108"/>
        <v>2</v>
      </c>
      <c r="B261" s="519" t="str">
        <f t="shared" si="109"/>
        <v>ARG</v>
      </c>
      <c r="C261" s="519" t="str">
        <f t="shared" ref="C261:E261" si="119">C27</f>
        <v>TrustPower</v>
      </c>
      <c r="D261" s="519" t="str">
        <f t="shared" si="119"/>
        <v>ARG1101</v>
      </c>
      <c r="E261" s="519">
        <f t="shared" si="119"/>
        <v>4.6199999999999998E-2</v>
      </c>
      <c r="H261" s="519">
        <f ca="1">_xlfn.IFNA(IF(VLOOKUP($B261&amp;OFFSET(H$10,$A261*2,0),'Mapping A'!$B$6:$E$1011,4,0)=1,$E261,""),0)</f>
        <v>0</v>
      </c>
      <c r="I261" s="519">
        <f ca="1">_xlfn.IFNA(IF(VLOOKUP($B261&amp;OFFSET(I$10,$A261*2,0),'Mapping A'!$B$6:$E$1011,4,0)=1,$E261,""),0)</f>
        <v>0</v>
      </c>
      <c r="J261" s="519">
        <f ca="1">_xlfn.IFNA(IF(VLOOKUP($B261&amp;OFFSET(J$10,$A261*2,0),'Mapping A'!$B$6:$E$1011,4,0)=1,$E261,""),0)</f>
        <v>4.6199999999999998E-2</v>
      </c>
      <c r="K261" s="519">
        <f ca="1">_xlfn.IFNA(IF(VLOOKUP($B261&amp;OFFSET(K$10,$A261*2,0),'Mapping A'!$B$6:$E$1011,4,0)=1,$E261,""),0)</f>
        <v>0</v>
      </c>
      <c r="L261" s="519">
        <f ca="1">_xlfn.IFNA(IF(VLOOKUP($B261&amp;OFFSET(L$10,$A261*2,0),'Mapping A'!$B$6:$E$1011,4,0)=1,$E261,""),0)</f>
        <v>0</v>
      </c>
      <c r="M261" s="519">
        <f ca="1">_xlfn.IFNA(IF(VLOOKUP($B261&amp;OFFSET(M$10,$A261*2,0),'Mapping A'!$B$6:$E$1011,4,0)=1,$E261,""),0)</f>
        <v>0</v>
      </c>
      <c r="N261" s="519">
        <f ca="1">_xlfn.IFNA(IF(VLOOKUP($B261&amp;OFFSET(N$10,$A261*2,0),'Mapping A'!$B$6:$E$1011,4,0)=1,$E261,""),0)</f>
        <v>0</v>
      </c>
      <c r="O261" s="519">
        <f ca="1">_xlfn.IFNA(IF(VLOOKUP($B261&amp;OFFSET(O$10,$A261*2,0),'Mapping A'!$B$6:$E$1011,4,0)=1,$E261,""),0)</f>
        <v>0</v>
      </c>
      <c r="P261" s="519">
        <f ca="1">_xlfn.IFNA(IF(VLOOKUP($B261&amp;OFFSET(P$10,$A261*2,0),'Mapping A'!$B$6:$E$1011,4,0)=1,$E261,""),0)</f>
        <v>0</v>
      </c>
      <c r="Q261" s="519">
        <f ca="1">_xlfn.IFNA(IF(VLOOKUP($B261&amp;OFFSET(Q$10,$A261*2,0),'Mapping A'!$B$6:$E$1011,4,0)=1,$E261,""),0)</f>
        <v>0</v>
      </c>
      <c r="R261" s="519">
        <f ca="1">_xlfn.IFNA(IF(VLOOKUP($B261&amp;OFFSET(R$10,$A261*2,0),'Mapping A'!$B$6:$E$1011,4,0)=1,$E261,""),0)</f>
        <v>0</v>
      </c>
      <c r="S261" s="519">
        <f ca="1">_xlfn.IFNA(IF(VLOOKUP($B261&amp;OFFSET(S$10,$A261*2,0),'Mapping A'!$B$6:$E$1011,4,0)=1,$E261,""),0)</f>
        <v>0</v>
      </c>
      <c r="T261" s="519">
        <f ca="1">_xlfn.IFNA(IF(VLOOKUP($B261&amp;OFFSET(T$10,$A261*2,0),'Mapping A'!$B$6:$E$1011,4,0)=1,$E261,""),0)</f>
        <v>0</v>
      </c>
      <c r="Y261" s="534" t="str">
        <f t="shared" si="111"/>
        <v>ARG1101TrustPower</v>
      </c>
      <c r="Z261" s="519" t="str">
        <f t="shared" ref="Z261:AB261" si="120">C27</f>
        <v>TrustPower</v>
      </c>
      <c r="AA261" s="519" t="str">
        <f t="shared" si="120"/>
        <v>ARG1101</v>
      </c>
      <c r="AB261" s="519">
        <f t="shared" si="120"/>
        <v>4.6199999999999998E-2</v>
      </c>
      <c r="AC261" s="324"/>
      <c r="AE261" s="519">
        <f t="shared" ca="1" si="95"/>
        <v>0</v>
      </c>
      <c r="AF261" s="519">
        <f t="shared" ca="1" si="96"/>
        <v>0</v>
      </c>
      <c r="AG261" s="519">
        <f t="shared" ca="1" si="97"/>
        <v>0</v>
      </c>
      <c r="AH261" s="519">
        <f t="shared" ca="1" si="98"/>
        <v>0</v>
      </c>
      <c r="AI261" s="519">
        <f t="shared" ca="1" si="99"/>
        <v>0</v>
      </c>
      <c r="AJ261" s="519">
        <f t="shared" ca="1" si="100"/>
        <v>0</v>
      </c>
      <c r="AK261" s="519">
        <f t="shared" ca="1" si="101"/>
        <v>0</v>
      </c>
      <c r="AL261" s="519">
        <f t="shared" ca="1" si="102"/>
        <v>0</v>
      </c>
      <c r="AM261" s="519">
        <f t="shared" ca="1" si="103"/>
        <v>0</v>
      </c>
      <c r="AN261" s="519">
        <f t="shared" ca="1" si="104"/>
        <v>0</v>
      </c>
      <c r="AO261" s="519">
        <f t="shared" ca="1" si="105"/>
        <v>0</v>
      </c>
      <c r="AP261" s="519">
        <f t="shared" ca="1" si="106"/>
        <v>0</v>
      </c>
      <c r="AQ261" s="519">
        <f t="shared" ca="1" si="107"/>
        <v>0</v>
      </c>
      <c r="AS261" s="521"/>
    </row>
    <row r="262" spans="1:45" x14ac:dyDescent="0.3">
      <c r="A262" s="556">
        <f t="shared" si="108"/>
        <v>2</v>
      </c>
      <c r="B262" s="519" t="str">
        <f t="shared" si="109"/>
        <v>ARI</v>
      </c>
      <c r="C262" s="519" t="str">
        <f t="shared" ref="C262:E262" si="121">C28</f>
        <v>MRP</v>
      </c>
      <c r="D262" s="519" t="str">
        <f t="shared" si="121"/>
        <v>ARI1101</v>
      </c>
      <c r="E262" s="519">
        <f t="shared" si="121"/>
        <v>2.1482999999999999</v>
      </c>
      <c r="H262" s="519">
        <f ca="1">_xlfn.IFNA(IF(VLOOKUP($B262&amp;OFFSET(H$10,$A262*2,0),'Mapping A'!$B$6:$E$1011,4,0)=1,$E262,""),0)</f>
        <v>0</v>
      </c>
      <c r="I262" s="519">
        <f ca="1">_xlfn.IFNA(IF(VLOOKUP($B262&amp;OFFSET(I$10,$A262*2,0),'Mapping A'!$B$6:$E$1011,4,0)=1,$E262,""),0)</f>
        <v>0</v>
      </c>
      <c r="J262" s="519">
        <f ca="1">_xlfn.IFNA(IF(VLOOKUP($B262&amp;OFFSET(J$10,$A262*2,0),'Mapping A'!$B$6:$E$1011,4,0)=1,$E262,""),0)</f>
        <v>0</v>
      </c>
      <c r="K262" s="519">
        <f ca="1">_xlfn.IFNA(IF(VLOOKUP($B262&amp;OFFSET(K$10,$A262*2,0),'Mapping A'!$B$6:$E$1011,4,0)=1,$E262,""),0)</f>
        <v>0</v>
      </c>
      <c r="L262" s="519">
        <f ca="1">_xlfn.IFNA(IF(VLOOKUP($B262&amp;OFFSET(L$10,$A262*2,0),'Mapping A'!$B$6:$E$1011,4,0)=1,$E262,""),0)</f>
        <v>0</v>
      </c>
      <c r="M262" s="519">
        <f ca="1">_xlfn.IFNA(IF(VLOOKUP($B262&amp;OFFSET(M$10,$A262*2,0),'Mapping A'!$B$6:$E$1011,4,0)=1,$E262,""),0)</f>
        <v>0</v>
      </c>
      <c r="N262" s="519">
        <f ca="1">_xlfn.IFNA(IF(VLOOKUP($B262&amp;OFFSET(N$10,$A262*2,0),'Mapping A'!$B$6:$E$1011,4,0)=1,$E262,""),0)</f>
        <v>0</v>
      </c>
      <c r="O262" s="519">
        <f ca="1">_xlfn.IFNA(IF(VLOOKUP($B262&amp;OFFSET(O$10,$A262*2,0),'Mapping A'!$B$6:$E$1011,4,0)=1,$E262,""),0)</f>
        <v>0</v>
      </c>
      <c r="P262" s="519">
        <f ca="1">_xlfn.IFNA(IF(VLOOKUP($B262&amp;OFFSET(P$10,$A262*2,0),'Mapping A'!$B$6:$E$1011,4,0)=1,$E262,""),0)</f>
        <v>0</v>
      </c>
      <c r="Q262" s="519">
        <f ca="1">_xlfn.IFNA(IF(VLOOKUP($B262&amp;OFFSET(Q$10,$A262*2,0),'Mapping A'!$B$6:$E$1011,4,0)=1,$E262,""),0)</f>
        <v>0</v>
      </c>
      <c r="R262" s="519">
        <f ca="1">_xlfn.IFNA(IF(VLOOKUP($B262&amp;OFFSET(R$10,$A262*2,0),'Mapping A'!$B$6:$E$1011,4,0)=1,$E262,""),0)</f>
        <v>0</v>
      </c>
      <c r="S262" s="519">
        <f ca="1">_xlfn.IFNA(IF(VLOOKUP($B262&amp;OFFSET(S$10,$A262*2,0),'Mapping A'!$B$6:$E$1011,4,0)=1,$E262,""),0)</f>
        <v>0</v>
      </c>
      <c r="T262" s="519">
        <f ca="1">_xlfn.IFNA(IF(VLOOKUP($B262&amp;OFFSET(T$10,$A262*2,0),'Mapping A'!$B$6:$E$1011,4,0)=1,$E262,""),0)</f>
        <v>0</v>
      </c>
      <c r="Y262" s="534" t="str">
        <f t="shared" si="111"/>
        <v>ARI1101MRP</v>
      </c>
      <c r="Z262" s="519" t="str">
        <f t="shared" ref="Z262:AB262" si="122">C28</f>
        <v>MRP</v>
      </c>
      <c r="AA262" s="519" t="str">
        <f t="shared" si="122"/>
        <v>ARI1101</v>
      </c>
      <c r="AB262" s="519">
        <f t="shared" si="122"/>
        <v>2.1482999999999999</v>
      </c>
      <c r="AC262" s="324"/>
      <c r="AE262" s="519">
        <f t="shared" ca="1" si="95"/>
        <v>0</v>
      </c>
      <c r="AF262" s="519">
        <f t="shared" ca="1" si="96"/>
        <v>0</v>
      </c>
      <c r="AG262" s="519">
        <f t="shared" ca="1" si="97"/>
        <v>0</v>
      </c>
      <c r="AH262" s="519">
        <f t="shared" ca="1" si="98"/>
        <v>0</v>
      </c>
      <c r="AI262" s="519">
        <f t="shared" ca="1" si="99"/>
        <v>0</v>
      </c>
      <c r="AJ262" s="519">
        <f t="shared" ca="1" si="100"/>
        <v>0</v>
      </c>
      <c r="AK262" s="519">
        <f t="shared" ca="1" si="101"/>
        <v>0</v>
      </c>
      <c r="AL262" s="519">
        <f t="shared" ca="1" si="102"/>
        <v>0</v>
      </c>
      <c r="AM262" s="519">
        <f t="shared" ca="1" si="103"/>
        <v>0</v>
      </c>
      <c r="AN262" s="519">
        <f t="shared" ca="1" si="104"/>
        <v>0</v>
      </c>
      <c r="AO262" s="519">
        <f t="shared" ca="1" si="105"/>
        <v>0</v>
      </c>
      <c r="AP262" s="519">
        <f t="shared" ca="1" si="106"/>
        <v>0</v>
      </c>
      <c r="AQ262" s="519">
        <f t="shared" ca="1" si="107"/>
        <v>0</v>
      </c>
      <c r="AS262" s="521"/>
    </row>
    <row r="263" spans="1:45" x14ac:dyDescent="0.3">
      <c r="A263" s="556">
        <f t="shared" si="108"/>
        <v>2</v>
      </c>
      <c r="B263" s="519" t="str">
        <f t="shared" si="109"/>
        <v>ARI</v>
      </c>
      <c r="C263" s="519" t="str">
        <f t="shared" ref="C263:E263" si="123">C29</f>
        <v>MRP</v>
      </c>
      <c r="D263" s="519" t="str">
        <f t="shared" si="123"/>
        <v>ARI1102</v>
      </c>
      <c r="E263" s="519">
        <f t="shared" si="123"/>
        <v>3.5678999999999998</v>
      </c>
      <c r="H263" s="519">
        <f ca="1">_xlfn.IFNA(IF(VLOOKUP($B263&amp;OFFSET(H$10,$A263*2,0),'Mapping A'!$B$6:$E$1011,4,0)=1,$E263,""),0)</f>
        <v>0</v>
      </c>
      <c r="I263" s="519">
        <f ca="1">_xlfn.IFNA(IF(VLOOKUP($B263&amp;OFFSET(I$10,$A263*2,0),'Mapping A'!$B$6:$E$1011,4,0)=1,$E263,""),0)</f>
        <v>0</v>
      </c>
      <c r="J263" s="519">
        <f ca="1">_xlfn.IFNA(IF(VLOOKUP($B263&amp;OFFSET(J$10,$A263*2,0),'Mapping A'!$B$6:$E$1011,4,0)=1,$E263,""),0)</f>
        <v>0</v>
      </c>
      <c r="K263" s="519">
        <f ca="1">_xlfn.IFNA(IF(VLOOKUP($B263&amp;OFFSET(K$10,$A263*2,0),'Mapping A'!$B$6:$E$1011,4,0)=1,$E263,""),0)</f>
        <v>0</v>
      </c>
      <c r="L263" s="519">
        <f ca="1">_xlfn.IFNA(IF(VLOOKUP($B263&amp;OFFSET(L$10,$A263*2,0),'Mapping A'!$B$6:$E$1011,4,0)=1,$E263,""),0)</f>
        <v>0</v>
      </c>
      <c r="M263" s="519">
        <f ca="1">_xlfn.IFNA(IF(VLOOKUP($B263&amp;OFFSET(M$10,$A263*2,0),'Mapping A'!$B$6:$E$1011,4,0)=1,$E263,""),0)</f>
        <v>0</v>
      </c>
      <c r="N263" s="519">
        <f ca="1">_xlfn.IFNA(IF(VLOOKUP($B263&amp;OFFSET(N$10,$A263*2,0),'Mapping A'!$B$6:$E$1011,4,0)=1,$E263,""),0)</f>
        <v>0</v>
      </c>
      <c r="O263" s="519">
        <f ca="1">_xlfn.IFNA(IF(VLOOKUP($B263&amp;OFFSET(O$10,$A263*2,0),'Mapping A'!$B$6:$E$1011,4,0)=1,$E263,""),0)</f>
        <v>0</v>
      </c>
      <c r="P263" s="519">
        <f ca="1">_xlfn.IFNA(IF(VLOOKUP($B263&amp;OFFSET(P$10,$A263*2,0),'Mapping A'!$B$6:$E$1011,4,0)=1,$E263,""),0)</f>
        <v>0</v>
      </c>
      <c r="Q263" s="519">
        <f ca="1">_xlfn.IFNA(IF(VLOOKUP($B263&amp;OFFSET(Q$10,$A263*2,0),'Mapping A'!$B$6:$E$1011,4,0)=1,$E263,""),0)</f>
        <v>0</v>
      </c>
      <c r="R263" s="519">
        <f ca="1">_xlfn.IFNA(IF(VLOOKUP($B263&amp;OFFSET(R$10,$A263*2,0),'Mapping A'!$B$6:$E$1011,4,0)=1,$E263,""),0)</f>
        <v>0</v>
      </c>
      <c r="S263" s="519">
        <f ca="1">_xlfn.IFNA(IF(VLOOKUP($B263&amp;OFFSET(S$10,$A263*2,0),'Mapping A'!$B$6:$E$1011,4,0)=1,$E263,""),0)</f>
        <v>0</v>
      </c>
      <c r="T263" s="519">
        <f ca="1">_xlfn.IFNA(IF(VLOOKUP($B263&amp;OFFSET(T$10,$A263*2,0),'Mapping A'!$B$6:$E$1011,4,0)=1,$E263,""),0)</f>
        <v>0</v>
      </c>
      <c r="Y263" s="534" t="str">
        <f t="shared" si="111"/>
        <v>ARI1102MRP</v>
      </c>
      <c r="Z263" s="519" t="str">
        <f t="shared" ref="Z263:AB263" si="124">C29</f>
        <v>MRP</v>
      </c>
      <c r="AA263" s="519" t="str">
        <f t="shared" si="124"/>
        <v>ARI1102</v>
      </c>
      <c r="AB263" s="519">
        <f t="shared" si="124"/>
        <v>3.5678999999999998</v>
      </c>
      <c r="AC263" s="324"/>
      <c r="AE263" s="519">
        <f t="shared" ca="1" si="95"/>
        <v>0</v>
      </c>
      <c r="AF263" s="519">
        <f t="shared" ca="1" si="96"/>
        <v>0</v>
      </c>
      <c r="AG263" s="519">
        <f t="shared" ca="1" si="97"/>
        <v>0</v>
      </c>
      <c r="AH263" s="519">
        <f t="shared" ca="1" si="98"/>
        <v>0</v>
      </c>
      <c r="AI263" s="519">
        <f t="shared" ca="1" si="99"/>
        <v>0</v>
      </c>
      <c r="AJ263" s="519">
        <f t="shared" ca="1" si="100"/>
        <v>0</v>
      </c>
      <c r="AK263" s="519">
        <f t="shared" ca="1" si="101"/>
        <v>0</v>
      </c>
      <c r="AL263" s="519">
        <f t="shared" ca="1" si="102"/>
        <v>0</v>
      </c>
      <c r="AM263" s="519">
        <f t="shared" ca="1" si="103"/>
        <v>0</v>
      </c>
      <c r="AN263" s="519">
        <f t="shared" ca="1" si="104"/>
        <v>0</v>
      </c>
      <c r="AO263" s="519">
        <f t="shared" ca="1" si="105"/>
        <v>0</v>
      </c>
      <c r="AP263" s="519">
        <f t="shared" ca="1" si="106"/>
        <v>0</v>
      </c>
      <c r="AQ263" s="519">
        <f t="shared" ca="1" si="107"/>
        <v>0</v>
      </c>
      <c r="AS263" s="521"/>
    </row>
    <row r="264" spans="1:45" x14ac:dyDescent="0.3">
      <c r="A264" s="556">
        <f t="shared" si="108"/>
        <v>2</v>
      </c>
      <c r="B264" s="519" t="str">
        <f t="shared" si="109"/>
        <v>ASB</v>
      </c>
      <c r="C264" s="519" t="str">
        <f t="shared" ref="C264:E264" si="125">C30</f>
        <v>Electricity Ashburton</v>
      </c>
      <c r="D264" s="519" t="str">
        <f t="shared" si="125"/>
        <v>ASB</v>
      </c>
      <c r="E264" s="519">
        <f t="shared" si="125"/>
        <v>165.72569999999999</v>
      </c>
      <c r="H264" s="519">
        <f ca="1">_xlfn.IFNA(IF(VLOOKUP($B264&amp;OFFSET(H$10,$A264*2,0),'Mapping A'!$B$6:$E$1011,4,0)=1,$E264,""),0)</f>
        <v>0</v>
      </c>
      <c r="I264" s="519">
        <f ca="1">_xlfn.IFNA(IF(VLOOKUP($B264&amp;OFFSET(I$10,$A264*2,0),'Mapping A'!$B$6:$E$1011,4,0)=1,$E264,""),0)</f>
        <v>0</v>
      </c>
      <c r="J264" s="519">
        <f ca="1">_xlfn.IFNA(IF(VLOOKUP($B264&amp;OFFSET(J$10,$A264*2,0),'Mapping A'!$B$6:$E$1011,4,0)=1,$E264,""),0)</f>
        <v>165.72569999999999</v>
      </c>
      <c r="K264" s="519">
        <f ca="1">_xlfn.IFNA(IF(VLOOKUP($B264&amp;OFFSET(K$10,$A264*2,0),'Mapping A'!$B$6:$E$1011,4,0)=1,$E264,""),0)</f>
        <v>0</v>
      </c>
      <c r="L264" s="519">
        <f ca="1">_xlfn.IFNA(IF(VLOOKUP($B264&amp;OFFSET(L$10,$A264*2,0),'Mapping A'!$B$6:$E$1011,4,0)=1,$E264,""),0)</f>
        <v>0</v>
      </c>
      <c r="M264" s="519">
        <f ca="1">_xlfn.IFNA(IF(VLOOKUP($B264&amp;OFFSET(M$10,$A264*2,0),'Mapping A'!$B$6:$E$1011,4,0)=1,$E264,""),0)</f>
        <v>0</v>
      </c>
      <c r="N264" s="519">
        <f ca="1">_xlfn.IFNA(IF(VLOOKUP($B264&amp;OFFSET(N$10,$A264*2,0),'Mapping A'!$B$6:$E$1011,4,0)=1,$E264,""),0)</f>
        <v>0</v>
      </c>
      <c r="O264" s="519">
        <f ca="1">_xlfn.IFNA(IF(VLOOKUP($B264&amp;OFFSET(O$10,$A264*2,0),'Mapping A'!$B$6:$E$1011,4,0)=1,$E264,""),0)</f>
        <v>0</v>
      </c>
      <c r="P264" s="519">
        <f ca="1">_xlfn.IFNA(IF(VLOOKUP($B264&amp;OFFSET(P$10,$A264*2,0),'Mapping A'!$B$6:$E$1011,4,0)=1,$E264,""),0)</f>
        <v>0</v>
      </c>
      <c r="Q264" s="519">
        <f ca="1">_xlfn.IFNA(IF(VLOOKUP($B264&amp;OFFSET(Q$10,$A264*2,0),'Mapping A'!$B$6:$E$1011,4,0)=1,$E264,""),0)</f>
        <v>0</v>
      </c>
      <c r="R264" s="519">
        <f ca="1">_xlfn.IFNA(IF(VLOOKUP($B264&amp;OFFSET(R$10,$A264*2,0),'Mapping A'!$B$6:$E$1011,4,0)=1,$E264,""),0)</f>
        <v>0</v>
      </c>
      <c r="S264" s="519">
        <f ca="1">_xlfn.IFNA(IF(VLOOKUP($B264&amp;OFFSET(S$10,$A264*2,0),'Mapping A'!$B$6:$E$1011,4,0)=1,$E264,""),0)</f>
        <v>0</v>
      </c>
      <c r="T264" s="519">
        <f ca="1">_xlfn.IFNA(IF(VLOOKUP($B264&amp;OFFSET(T$10,$A264*2,0),'Mapping A'!$B$6:$E$1011,4,0)=1,$E264,""),0)</f>
        <v>0</v>
      </c>
      <c r="Y264" s="534" t="str">
        <f t="shared" si="111"/>
        <v>ASBElectricity Ashburton</v>
      </c>
      <c r="Z264" s="519" t="str">
        <f t="shared" ref="Z264:AB264" si="126">C30</f>
        <v>Electricity Ashburton</v>
      </c>
      <c r="AA264" s="519" t="str">
        <f t="shared" si="126"/>
        <v>ASB</v>
      </c>
      <c r="AB264" s="519">
        <f t="shared" si="126"/>
        <v>165.72569999999999</v>
      </c>
      <c r="AC264" s="324"/>
      <c r="AE264" s="519">
        <f t="shared" ca="1" si="95"/>
        <v>0</v>
      </c>
      <c r="AF264" s="519">
        <f t="shared" ca="1" si="96"/>
        <v>0</v>
      </c>
      <c r="AG264" s="519">
        <f t="shared" ca="1" si="97"/>
        <v>0</v>
      </c>
      <c r="AH264" s="519">
        <f t="shared" ca="1" si="98"/>
        <v>0</v>
      </c>
      <c r="AI264" s="519">
        <f t="shared" ca="1" si="99"/>
        <v>0</v>
      </c>
      <c r="AJ264" s="519">
        <f t="shared" ca="1" si="100"/>
        <v>0</v>
      </c>
      <c r="AK264" s="519">
        <f t="shared" ca="1" si="101"/>
        <v>0</v>
      </c>
      <c r="AL264" s="519">
        <f t="shared" ca="1" si="102"/>
        <v>0</v>
      </c>
      <c r="AM264" s="519">
        <f t="shared" ca="1" si="103"/>
        <v>0</v>
      </c>
      <c r="AN264" s="519">
        <f t="shared" ca="1" si="104"/>
        <v>0</v>
      </c>
      <c r="AO264" s="519">
        <f t="shared" ca="1" si="105"/>
        <v>0</v>
      </c>
      <c r="AP264" s="519">
        <f t="shared" ca="1" si="106"/>
        <v>0</v>
      </c>
      <c r="AQ264" s="519">
        <f t="shared" ca="1" si="107"/>
        <v>0</v>
      </c>
      <c r="AS264" s="521"/>
    </row>
    <row r="265" spans="1:45" x14ac:dyDescent="0.3">
      <c r="A265" s="556">
        <f t="shared" si="108"/>
        <v>2</v>
      </c>
      <c r="B265" s="519" t="str">
        <f t="shared" si="109"/>
        <v>ASY</v>
      </c>
      <c r="C265" s="519" t="str">
        <f t="shared" ref="C265:E265" si="127">C31</f>
        <v>Daiken MDF</v>
      </c>
      <c r="D265" s="519" t="str">
        <f t="shared" si="127"/>
        <v>ASY0111</v>
      </c>
      <c r="E265" s="519">
        <f t="shared" si="127"/>
        <v>11.3736</v>
      </c>
      <c r="H265" s="519">
        <f ca="1">_xlfn.IFNA(IF(VLOOKUP($B265&amp;OFFSET(H$10,$A265*2,0),'Mapping A'!$B$6:$E$1011,4,0)=1,$E265,""),0)</f>
        <v>0</v>
      </c>
      <c r="I265" s="519">
        <f ca="1">_xlfn.IFNA(IF(VLOOKUP($B265&amp;OFFSET(I$10,$A265*2,0),'Mapping A'!$B$6:$E$1011,4,0)=1,$E265,""),0)</f>
        <v>0</v>
      </c>
      <c r="J265" s="519">
        <f ca="1">_xlfn.IFNA(IF(VLOOKUP($B265&amp;OFFSET(J$10,$A265*2,0),'Mapping A'!$B$6:$E$1011,4,0)=1,$E265,""),0)</f>
        <v>11.3736</v>
      </c>
      <c r="K265" s="519">
        <f ca="1">_xlfn.IFNA(IF(VLOOKUP($B265&amp;OFFSET(K$10,$A265*2,0),'Mapping A'!$B$6:$E$1011,4,0)=1,$E265,""),0)</f>
        <v>0</v>
      </c>
      <c r="L265" s="519">
        <f ca="1">_xlfn.IFNA(IF(VLOOKUP($B265&amp;OFFSET(L$10,$A265*2,0),'Mapping A'!$B$6:$E$1011,4,0)=1,$E265,""),0)</f>
        <v>0</v>
      </c>
      <c r="M265" s="519">
        <f ca="1">_xlfn.IFNA(IF(VLOOKUP($B265&amp;OFFSET(M$10,$A265*2,0),'Mapping A'!$B$6:$E$1011,4,0)=1,$E265,""),0)</f>
        <v>0</v>
      </c>
      <c r="N265" s="519">
        <f ca="1">_xlfn.IFNA(IF(VLOOKUP($B265&amp;OFFSET(N$10,$A265*2,0),'Mapping A'!$B$6:$E$1011,4,0)=1,$E265,""),0)</f>
        <v>0</v>
      </c>
      <c r="O265" s="519">
        <f ca="1">_xlfn.IFNA(IF(VLOOKUP($B265&amp;OFFSET(O$10,$A265*2,0),'Mapping A'!$B$6:$E$1011,4,0)=1,$E265,""),0)</f>
        <v>0</v>
      </c>
      <c r="P265" s="519">
        <f ca="1">_xlfn.IFNA(IF(VLOOKUP($B265&amp;OFFSET(P$10,$A265*2,0),'Mapping A'!$B$6:$E$1011,4,0)=1,$E265,""),0)</f>
        <v>0</v>
      </c>
      <c r="Q265" s="519">
        <f ca="1">_xlfn.IFNA(IF(VLOOKUP($B265&amp;OFFSET(Q$10,$A265*2,0),'Mapping A'!$B$6:$E$1011,4,0)=1,$E265,""),0)</f>
        <v>0</v>
      </c>
      <c r="R265" s="519">
        <f ca="1">_xlfn.IFNA(IF(VLOOKUP($B265&amp;OFFSET(R$10,$A265*2,0),'Mapping A'!$B$6:$E$1011,4,0)=1,$E265,""),0)</f>
        <v>0</v>
      </c>
      <c r="S265" s="519">
        <f ca="1">_xlfn.IFNA(IF(VLOOKUP($B265&amp;OFFSET(S$10,$A265*2,0),'Mapping A'!$B$6:$E$1011,4,0)=1,$E265,""),0)</f>
        <v>0</v>
      </c>
      <c r="T265" s="519">
        <f ca="1">_xlfn.IFNA(IF(VLOOKUP($B265&amp;OFFSET(T$10,$A265*2,0),'Mapping A'!$B$6:$E$1011,4,0)=1,$E265,""),0)</f>
        <v>0</v>
      </c>
      <c r="Y265" s="534" t="str">
        <f t="shared" si="111"/>
        <v>ASY0111Daiken MDF</v>
      </c>
      <c r="Z265" s="519" t="str">
        <f t="shared" ref="Z265:AB265" si="128">C31</f>
        <v>Daiken MDF</v>
      </c>
      <c r="AA265" s="519" t="str">
        <f t="shared" si="128"/>
        <v>ASY0111</v>
      </c>
      <c r="AB265" s="519">
        <f t="shared" si="128"/>
        <v>11.3736</v>
      </c>
      <c r="AC265" s="324"/>
      <c r="AE265" s="519">
        <f t="shared" ca="1" si="95"/>
        <v>0</v>
      </c>
      <c r="AF265" s="519">
        <f t="shared" ca="1" si="96"/>
        <v>0</v>
      </c>
      <c r="AG265" s="519">
        <f t="shared" ca="1" si="97"/>
        <v>0</v>
      </c>
      <c r="AH265" s="519">
        <f t="shared" ca="1" si="98"/>
        <v>0</v>
      </c>
      <c r="AI265" s="519">
        <f t="shared" ca="1" si="99"/>
        <v>0</v>
      </c>
      <c r="AJ265" s="519">
        <f t="shared" ca="1" si="100"/>
        <v>0</v>
      </c>
      <c r="AK265" s="519">
        <f t="shared" ca="1" si="101"/>
        <v>0</v>
      </c>
      <c r="AL265" s="519">
        <f t="shared" ca="1" si="102"/>
        <v>0</v>
      </c>
      <c r="AM265" s="519">
        <f t="shared" ca="1" si="103"/>
        <v>0</v>
      </c>
      <c r="AN265" s="519">
        <f t="shared" ca="1" si="104"/>
        <v>0</v>
      </c>
      <c r="AO265" s="519">
        <f t="shared" ca="1" si="105"/>
        <v>0</v>
      </c>
      <c r="AP265" s="519">
        <f t="shared" ca="1" si="106"/>
        <v>0</v>
      </c>
      <c r="AQ265" s="519">
        <f t="shared" ca="1" si="107"/>
        <v>0</v>
      </c>
    </row>
    <row r="266" spans="1:45" x14ac:dyDescent="0.3">
      <c r="A266" s="556">
        <f t="shared" si="108"/>
        <v>2</v>
      </c>
      <c r="B266" s="519" t="str">
        <f t="shared" si="109"/>
        <v>ATI</v>
      </c>
      <c r="C266" s="519" t="str">
        <f t="shared" ref="C266:E266" si="129">C32</f>
        <v>MRP</v>
      </c>
      <c r="D266" s="519" t="str">
        <f t="shared" si="129"/>
        <v>ATI2201</v>
      </c>
      <c r="E266" s="519">
        <f t="shared" si="129"/>
        <v>13.465199999999999</v>
      </c>
      <c r="H266" s="519">
        <f ca="1">_xlfn.IFNA(IF(VLOOKUP($B266&amp;OFFSET(H$10,$A266*2,0),'Mapping A'!$B$6:$E$1011,4,0)=1,$E266,""),0)</f>
        <v>0</v>
      </c>
      <c r="I266" s="519">
        <f ca="1">_xlfn.IFNA(IF(VLOOKUP($B266&amp;OFFSET(I$10,$A266*2,0),'Mapping A'!$B$6:$E$1011,4,0)=1,$E266,""),0)</f>
        <v>0</v>
      </c>
      <c r="J266" s="519">
        <f ca="1">_xlfn.IFNA(IF(VLOOKUP($B266&amp;OFFSET(J$10,$A266*2,0),'Mapping A'!$B$6:$E$1011,4,0)=1,$E266,""),0)</f>
        <v>0</v>
      </c>
      <c r="K266" s="519">
        <f ca="1">_xlfn.IFNA(IF(VLOOKUP($B266&amp;OFFSET(K$10,$A266*2,0),'Mapping A'!$B$6:$E$1011,4,0)=1,$E266,""),0)</f>
        <v>0</v>
      </c>
      <c r="L266" s="519">
        <f ca="1">_xlfn.IFNA(IF(VLOOKUP($B266&amp;OFFSET(L$10,$A266*2,0),'Mapping A'!$B$6:$E$1011,4,0)=1,$E266,""),0)</f>
        <v>0</v>
      </c>
      <c r="M266" s="519">
        <f ca="1">_xlfn.IFNA(IF(VLOOKUP($B266&amp;OFFSET(M$10,$A266*2,0),'Mapping A'!$B$6:$E$1011,4,0)=1,$E266,""),0)</f>
        <v>0</v>
      </c>
      <c r="N266" s="519">
        <f ca="1">_xlfn.IFNA(IF(VLOOKUP($B266&amp;OFFSET(N$10,$A266*2,0),'Mapping A'!$B$6:$E$1011,4,0)=1,$E266,""),0)</f>
        <v>0</v>
      </c>
      <c r="O266" s="519">
        <f ca="1">_xlfn.IFNA(IF(VLOOKUP($B266&amp;OFFSET(O$10,$A266*2,0),'Mapping A'!$B$6:$E$1011,4,0)=1,$E266,""),0)</f>
        <v>0</v>
      </c>
      <c r="P266" s="519">
        <f ca="1">_xlfn.IFNA(IF(VLOOKUP($B266&amp;OFFSET(P$10,$A266*2,0),'Mapping A'!$B$6:$E$1011,4,0)=1,$E266,""),0)</f>
        <v>0</v>
      </c>
      <c r="Q266" s="519">
        <f ca="1">_xlfn.IFNA(IF(VLOOKUP($B266&amp;OFFSET(Q$10,$A266*2,0),'Mapping A'!$B$6:$E$1011,4,0)=1,$E266,""),0)</f>
        <v>0</v>
      </c>
      <c r="R266" s="519">
        <f ca="1">_xlfn.IFNA(IF(VLOOKUP($B266&amp;OFFSET(R$10,$A266*2,0),'Mapping A'!$B$6:$E$1011,4,0)=1,$E266,""),0)</f>
        <v>0</v>
      </c>
      <c r="S266" s="519">
        <f ca="1">_xlfn.IFNA(IF(VLOOKUP($B266&amp;OFFSET(S$10,$A266*2,0),'Mapping A'!$B$6:$E$1011,4,0)=1,$E266,""),0)</f>
        <v>0</v>
      </c>
      <c r="T266" s="519">
        <f ca="1">_xlfn.IFNA(IF(VLOOKUP($B266&amp;OFFSET(T$10,$A266*2,0),'Mapping A'!$B$6:$E$1011,4,0)=1,$E266,""),0)</f>
        <v>0</v>
      </c>
      <c r="Y266" s="534" t="str">
        <f t="shared" si="111"/>
        <v>ATI2201MRP</v>
      </c>
      <c r="Z266" s="519" t="str">
        <f t="shared" ref="Z266:AB266" si="130">C32</f>
        <v>MRP</v>
      </c>
      <c r="AA266" s="519" t="str">
        <f t="shared" si="130"/>
        <v>ATI2201</v>
      </c>
      <c r="AB266" s="519">
        <f t="shared" si="130"/>
        <v>13.465199999999999</v>
      </c>
      <c r="AC266" s="324"/>
      <c r="AE266" s="519">
        <f t="shared" ca="1" si="95"/>
        <v>0</v>
      </c>
      <c r="AF266" s="519">
        <f t="shared" ca="1" si="96"/>
        <v>0</v>
      </c>
      <c r="AG266" s="519">
        <f t="shared" ca="1" si="97"/>
        <v>0</v>
      </c>
      <c r="AH266" s="519">
        <f t="shared" ca="1" si="98"/>
        <v>0</v>
      </c>
      <c r="AI266" s="519">
        <f t="shared" ca="1" si="99"/>
        <v>0</v>
      </c>
      <c r="AJ266" s="519">
        <f t="shared" ca="1" si="100"/>
        <v>0</v>
      </c>
      <c r="AK266" s="519">
        <f t="shared" ca="1" si="101"/>
        <v>0</v>
      </c>
      <c r="AL266" s="519">
        <f t="shared" ca="1" si="102"/>
        <v>0</v>
      </c>
      <c r="AM266" s="519">
        <f t="shared" ca="1" si="103"/>
        <v>0</v>
      </c>
      <c r="AN266" s="519">
        <f t="shared" ca="1" si="104"/>
        <v>0</v>
      </c>
      <c r="AO266" s="519">
        <f t="shared" ca="1" si="105"/>
        <v>0</v>
      </c>
      <c r="AP266" s="519">
        <f t="shared" ca="1" si="106"/>
        <v>0</v>
      </c>
      <c r="AQ266" s="519">
        <f t="shared" ca="1" si="107"/>
        <v>0</v>
      </c>
    </row>
    <row r="267" spans="1:45" x14ac:dyDescent="0.3">
      <c r="A267" s="556">
        <f t="shared" si="108"/>
        <v>2</v>
      </c>
      <c r="B267" s="519" t="str">
        <f t="shared" si="109"/>
        <v>ATU</v>
      </c>
      <c r="C267" s="519" t="str">
        <f t="shared" ref="C267:E267" si="131">C33</f>
        <v>Westpower</v>
      </c>
      <c r="D267" s="519" t="str">
        <f t="shared" si="131"/>
        <v>ATU1101</v>
      </c>
      <c r="E267" s="519">
        <f t="shared" si="131"/>
        <v>1.1487000000000001</v>
      </c>
      <c r="H267" s="519">
        <f ca="1">_xlfn.IFNA(IF(VLOOKUP($B267&amp;OFFSET(H$10,$A267*2,0),'Mapping A'!$B$6:$E$1011,4,0)=1,$E267,""),0)</f>
        <v>0</v>
      </c>
      <c r="I267" s="519">
        <f ca="1">_xlfn.IFNA(IF(VLOOKUP($B267&amp;OFFSET(I$10,$A267*2,0),'Mapping A'!$B$6:$E$1011,4,0)=1,$E267,""),0)</f>
        <v>0</v>
      </c>
      <c r="J267" s="519">
        <f ca="1">_xlfn.IFNA(IF(VLOOKUP($B267&amp;OFFSET(J$10,$A267*2,0),'Mapping A'!$B$6:$E$1011,4,0)=1,$E267,""),0)</f>
        <v>1.1487000000000001</v>
      </c>
      <c r="K267" s="519">
        <f ca="1">_xlfn.IFNA(IF(VLOOKUP($B267&amp;OFFSET(K$10,$A267*2,0),'Mapping A'!$B$6:$E$1011,4,0)=1,$E267,""),0)</f>
        <v>0</v>
      </c>
      <c r="L267" s="519">
        <f ca="1">_xlfn.IFNA(IF(VLOOKUP($B267&amp;OFFSET(L$10,$A267*2,0),'Mapping A'!$B$6:$E$1011,4,0)=1,$E267,""),0)</f>
        <v>0</v>
      </c>
      <c r="M267" s="519">
        <f ca="1">_xlfn.IFNA(IF(VLOOKUP($B267&amp;OFFSET(M$10,$A267*2,0),'Mapping A'!$B$6:$E$1011,4,0)=1,$E267,""),0)</f>
        <v>0</v>
      </c>
      <c r="N267" s="519">
        <f ca="1">_xlfn.IFNA(IF(VLOOKUP($B267&amp;OFFSET(N$10,$A267*2,0),'Mapping A'!$B$6:$E$1011,4,0)=1,$E267,""),0)</f>
        <v>0</v>
      </c>
      <c r="O267" s="519">
        <f ca="1">_xlfn.IFNA(IF(VLOOKUP($B267&amp;OFFSET(O$10,$A267*2,0),'Mapping A'!$B$6:$E$1011,4,0)=1,$E267,""),0)</f>
        <v>0</v>
      </c>
      <c r="P267" s="519">
        <f ca="1">_xlfn.IFNA(IF(VLOOKUP($B267&amp;OFFSET(P$10,$A267*2,0),'Mapping A'!$B$6:$E$1011,4,0)=1,$E267,""),0)</f>
        <v>0</v>
      </c>
      <c r="Q267" s="519">
        <f ca="1">_xlfn.IFNA(IF(VLOOKUP($B267&amp;OFFSET(Q$10,$A267*2,0),'Mapping A'!$B$6:$E$1011,4,0)=1,$E267,""),0)</f>
        <v>0</v>
      </c>
      <c r="R267" s="519">
        <f ca="1">_xlfn.IFNA(IF(VLOOKUP($B267&amp;OFFSET(R$10,$A267*2,0),'Mapping A'!$B$6:$E$1011,4,0)=1,$E267,""),0)</f>
        <v>0</v>
      </c>
      <c r="S267" s="519">
        <f ca="1">_xlfn.IFNA(IF(VLOOKUP($B267&amp;OFFSET(S$10,$A267*2,0),'Mapping A'!$B$6:$E$1011,4,0)=1,$E267,""),0)</f>
        <v>0</v>
      </c>
      <c r="T267" s="519">
        <f ca="1">_xlfn.IFNA(IF(VLOOKUP($B267&amp;OFFSET(T$10,$A267*2,0),'Mapping A'!$B$6:$E$1011,4,0)=1,$E267,""),0)</f>
        <v>0</v>
      </c>
      <c r="Y267" s="534" t="str">
        <f t="shared" si="111"/>
        <v>ATU1101Westpower</v>
      </c>
      <c r="Z267" s="519" t="str">
        <f t="shared" ref="Z267:AB267" si="132">C33</f>
        <v>Westpower</v>
      </c>
      <c r="AA267" s="519" t="str">
        <f t="shared" si="132"/>
        <v>ATU1101</v>
      </c>
      <c r="AB267" s="519">
        <f t="shared" si="132"/>
        <v>1.1487000000000001</v>
      </c>
      <c r="AC267" s="324"/>
      <c r="AE267" s="519">
        <f t="shared" ca="1" si="95"/>
        <v>0</v>
      </c>
      <c r="AF267" s="519">
        <f t="shared" ca="1" si="96"/>
        <v>0</v>
      </c>
      <c r="AG267" s="519">
        <f t="shared" ca="1" si="97"/>
        <v>0</v>
      </c>
      <c r="AH267" s="519">
        <f t="shared" ca="1" si="98"/>
        <v>0</v>
      </c>
      <c r="AI267" s="519">
        <f t="shared" ca="1" si="99"/>
        <v>0</v>
      </c>
      <c r="AJ267" s="519">
        <f t="shared" ca="1" si="100"/>
        <v>0</v>
      </c>
      <c r="AK267" s="519">
        <f t="shared" ca="1" si="101"/>
        <v>0</v>
      </c>
      <c r="AL267" s="519">
        <f t="shared" ca="1" si="102"/>
        <v>0</v>
      </c>
      <c r="AM267" s="519">
        <f t="shared" ca="1" si="103"/>
        <v>0</v>
      </c>
      <c r="AN267" s="519">
        <f t="shared" ca="1" si="104"/>
        <v>0</v>
      </c>
      <c r="AO267" s="519">
        <f t="shared" ca="1" si="105"/>
        <v>0</v>
      </c>
      <c r="AP267" s="519">
        <f t="shared" ca="1" si="106"/>
        <v>0</v>
      </c>
      <c r="AQ267" s="519">
        <f t="shared" ca="1" si="107"/>
        <v>0</v>
      </c>
    </row>
    <row r="268" spans="1:45" x14ac:dyDescent="0.3">
      <c r="A268" s="556">
        <f t="shared" si="108"/>
        <v>2</v>
      </c>
      <c r="B268" s="519" t="str">
        <f t="shared" si="109"/>
        <v>AVI</v>
      </c>
      <c r="C268" s="519" t="str">
        <f t="shared" ref="C268:E268" si="133">C34</f>
        <v>Meridian</v>
      </c>
      <c r="D268" s="519" t="str">
        <f t="shared" si="133"/>
        <v>AVI2201</v>
      </c>
      <c r="E268" s="519">
        <f t="shared" si="133"/>
        <v>2.6459999999999999</v>
      </c>
      <c r="H268" s="519">
        <f ca="1">_xlfn.IFNA(IF(VLOOKUP($B268&amp;OFFSET(H$10,$A268*2,0),'Mapping A'!$B$6:$E$1011,4,0)=1,$E268,""),0)</f>
        <v>0</v>
      </c>
      <c r="I268" s="519">
        <f ca="1">_xlfn.IFNA(IF(VLOOKUP($B268&amp;OFFSET(I$10,$A268*2,0),'Mapping A'!$B$6:$E$1011,4,0)=1,$E268,""),0)</f>
        <v>0</v>
      </c>
      <c r="J268" s="519">
        <f ca="1">_xlfn.IFNA(IF(VLOOKUP($B268&amp;OFFSET(J$10,$A268*2,0),'Mapping A'!$B$6:$E$1011,4,0)=1,$E268,""),0)</f>
        <v>0</v>
      </c>
      <c r="K268" s="519">
        <f ca="1">_xlfn.IFNA(IF(VLOOKUP($B268&amp;OFFSET(K$10,$A268*2,0),'Mapping A'!$B$6:$E$1011,4,0)=1,$E268,""),0)</f>
        <v>0</v>
      </c>
      <c r="L268" s="519">
        <f ca="1">_xlfn.IFNA(IF(VLOOKUP($B268&amp;OFFSET(L$10,$A268*2,0),'Mapping A'!$B$6:$E$1011,4,0)=1,$E268,""),0)</f>
        <v>0</v>
      </c>
      <c r="M268" s="519">
        <f ca="1">_xlfn.IFNA(IF(VLOOKUP($B268&amp;OFFSET(M$10,$A268*2,0),'Mapping A'!$B$6:$E$1011,4,0)=1,$E268,""),0)</f>
        <v>0</v>
      </c>
      <c r="N268" s="519">
        <f ca="1">_xlfn.IFNA(IF(VLOOKUP($B268&amp;OFFSET(N$10,$A268*2,0),'Mapping A'!$B$6:$E$1011,4,0)=1,$E268,""),0)</f>
        <v>0</v>
      </c>
      <c r="O268" s="519">
        <f ca="1">_xlfn.IFNA(IF(VLOOKUP($B268&amp;OFFSET(O$10,$A268*2,0),'Mapping A'!$B$6:$E$1011,4,0)=1,$E268,""),0)</f>
        <v>0</v>
      </c>
      <c r="P268" s="519">
        <f ca="1">_xlfn.IFNA(IF(VLOOKUP($B268&amp;OFFSET(P$10,$A268*2,0),'Mapping A'!$B$6:$E$1011,4,0)=1,$E268,""),0)</f>
        <v>0</v>
      </c>
      <c r="Q268" s="519">
        <f ca="1">_xlfn.IFNA(IF(VLOOKUP($B268&amp;OFFSET(Q$10,$A268*2,0),'Mapping A'!$B$6:$E$1011,4,0)=1,$E268,""),0)</f>
        <v>0</v>
      </c>
      <c r="R268" s="519">
        <f ca="1">_xlfn.IFNA(IF(VLOOKUP($B268&amp;OFFSET(R$10,$A268*2,0),'Mapping A'!$B$6:$E$1011,4,0)=1,$E268,""),0)</f>
        <v>0</v>
      </c>
      <c r="S268" s="519">
        <f ca="1">_xlfn.IFNA(IF(VLOOKUP($B268&amp;OFFSET(S$10,$A268*2,0),'Mapping A'!$B$6:$E$1011,4,0)=1,$E268,""),0)</f>
        <v>0</v>
      </c>
      <c r="T268" s="519">
        <f ca="1">_xlfn.IFNA(IF(VLOOKUP($B268&amp;OFFSET(T$10,$A268*2,0),'Mapping A'!$B$6:$E$1011,4,0)=1,$E268,""),0)</f>
        <v>0</v>
      </c>
      <c r="Y268" s="534" t="str">
        <f t="shared" si="111"/>
        <v>AVI2201Meridian</v>
      </c>
      <c r="Z268" s="519" t="str">
        <f t="shared" ref="Z268:AB268" si="134">C34</f>
        <v>Meridian</v>
      </c>
      <c r="AA268" s="519" t="str">
        <f t="shared" si="134"/>
        <v>AVI2201</v>
      </c>
      <c r="AB268" s="519">
        <f t="shared" si="134"/>
        <v>2.6459999999999999</v>
      </c>
      <c r="AC268" s="324"/>
      <c r="AE268" s="519">
        <f t="shared" ca="1" si="95"/>
        <v>0</v>
      </c>
      <c r="AF268" s="519">
        <f t="shared" ca="1" si="96"/>
        <v>0</v>
      </c>
      <c r="AG268" s="519">
        <f t="shared" ca="1" si="97"/>
        <v>0</v>
      </c>
      <c r="AH268" s="519">
        <f t="shared" ca="1" si="98"/>
        <v>0</v>
      </c>
      <c r="AI268" s="519">
        <f t="shared" ca="1" si="99"/>
        <v>0</v>
      </c>
      <c r="AJ268" s="519">
        <f t="shared" ca="1" si="100"/>
        <v>0</v>
      </c>
      <c r="AK268" s="519">
        <f t="shared" ca="1" si="101"/>
        <v>0</v>
      </c>
      <c r="AL268" s="519">
        <f t="shared" ca="1" si="102"/>
        <v>0</v>
      </c>
      <c r="AM268" s="519">
        <f t="shared" ca="1" si="103"/>
        <v>0</v>
      </c>
      <c r="AN268" s="519">
        <f t="shared" ca="1" si="104"/>
        <v>0</v>
      </c>
      <c r="AO268" s="519">
        <f t="shared" ca="1" si="105"/>
        <v>0</v>
      </c>
      <c r="AP268" s="519">
        <f t="shared" ca="1" si="106"/>
        <v>0</v>
      </c>
      <c r="AQ268" s="519">
        <f t="shared" ca="1" si="107"/>
        <v>0</v>
      </c>
    </row>
    <row r="269" spans="1:45" x14ac:dyDescent="0.3">
      <c r="A269" s="556">
        <f t="shared" si="108"/>
        <v>2</v>
      </c>
      <c r="B269" s="519" t="str">
        <f t="shared" si="109"/>
        <v>BAL</v>
      </c>
      <c r="C269" s="519" t="str">
        <f t="shared" ref="C269:E269" si="135">C35</f>
        <v>OtagoNet JV</v>
      </c>
      <c r="D269" s="519" t="str">
        <f t="shared" si="135"/>
        <v>BAL0331</v>
      </c>
      <c r="E269" s="519">
        <f t="shared" si="135"/>
        <v>29.0913</v>
      </c>
      <c r="H269" s="519">
        <f ca="1">_xlfn.IFNA(IF(VLOOKUP($B269&amp;OFFSET(H$10,$A269*2,0),'Mapping A'!$B$6:$E$1011,4,0)=1,$E269,""),0)</f>
        <v>0</v>
      </c>
      <c r="I269" s="519">
        <f ca="1">_xlfn.IFNA(IF(VLOOKUP($B269&amp;OFFSET(I$10,$A269*2,0),'Mapping A'!$B$6:$E$1011,4,0)=1,$E269,""),0)</f>
        <v>0</v>
      </c>
      <c r="J269" s="519">
        <f ca="1">_xlfn.IFNA(IF(VLOOKUP($B269&amp;OFFSET(J$10,$A269*2,0),'Mapping A'!$B$6:$E$1011,4,0)=1,$E269,""),0)</f>
        <v>29.0913</v>
      </c>
      <c r="K269" s="519">
        <f ca="1">_xlfn.IFNA(IF(VLOOKUP($B269&amp;OFFSET(K$10,$A269*2,0),'Mapping A'!$B$6:$E$1011,4,0)=1,$E269,""),0)</f>
        <v>0</v>
      </c>
      <c r="L269" s="519">
        <f ca="1">_xlfn.IFNA(IF(VLOOKUP($B269&amp;OFFSET(L$10,$A269*2,0),'Mapping A'!$B$6:$E$1011,4,0)=1,$E269,""),0)</f>
        <v>0</v>
      </c>
      <c r="M269" s="519">
        <f ca="1">_xlfn.IFNA(IF(VLOOKUP($B269&amp;OFFSET(M$10,$A269*2,0),'Mapping A'!$B$6:$E$1011,4,0)=1,$E269,""),0)</f>
        <v>0</v>
      </c>
      <c r="N269" s="519">
        <f ca="1">_xlfn.IFNA(IF(VLOOKUP($B269&amp;OFFSET(N$10,$A269*2,0),'Mapping A'!$B$6:$E$1011,4,0)=1,$E269,""),0)</f>
        <v>0</v>
      </c>
      <c r="O269" s="519">
        <f ca="1">_xlfn.IFNA(IF(VLOOKUP($B269&amp;OFFSET(O$10,$A269*2,0),'Mapping A'!$B$6:$E$1011,4,0)=1,$E269,""),0)</f>
        <v>0</v>
      </c>
      <c r="P269" s="519">
        <f ca="1">_xlfn.IFNA(IF(VLOOKUP($B269&amp;OFFSET(P$10,$A269*2,0),'Mapping A'!$B$6:$E$1011,4,0)=1,$E269,""),0)</f>
        <v>0</v>
      </c>
      <c r="Q269" s="519">
        <f ca="1">_xlfn.IFNA(IF(VLOOKUP($B269&amp;OFFSET(Q$10,$A269*2,0),'Mapping A'!$B$6:$E$1011,4,0)=1,$E269,""),0)</f>
        <v>0</v>
      </c>
      <c r="R269" s="519">
        <f ca="1">_xlfn.IFNA(IF(VLOOKUP($B269&amp;OFFSET(R$10,$A269*2,0),'Mapping A'!$B$6:$E$1011,4,0)=1,$E269,""),0)</f>
        <v>0</v>
      </c>
      <c r="S269" s="519">
        <f ca="1">_xlfn.IFNA(IF(VLOOKUP($B269&amp;OFFSET(S$10,$A269*2,0),'Mapping A'!$B$6:$E$1011,4,0)=1,$E269,""),0)</f>
        <v>0</v>
      </c>
      <c r="T269" s="519">
        <f ca="1">_xlfn.IFNA(IF(VLOOKUP($B269&amp;OFFSET(T$10,$A269*2,0),'Mapping A'!$B$6:$E$1011,4,0)=1,$E269,""),0)</f>
        <v>0</v>
      </c>
      <c r="Y269" s="534" t="str">
        <f t="shared" si="111"/>
        <v>BAL0331OtagoNet JV</v>
      </c>
      <c r="Z269" s="519" t="str">
        <f t="shared" ref="Z269:AB269" si="136">C35</f>
        <v>OtagoNet JV</v>
      </c>
      <c r="AA269" s="519" t="str">
        <f t="shared" si="136"/>
        <v>BAL0331</v>
      </c>
      <c r="AB269" s="519">
        <f t="shared" si="136"/>
        <v>29.0913</v>
      </c>
      <c r="AC269" s="324"/>
      <c r="AE269" s="519">
        <f t="shared" ca="1" si="95"/>
        <v>0</v>
      </c>
      <c r="AF269" s="519">
        <f t="shared" ca="1" si="96"/>
        <v>0</v>
      </c>
      <c r="AG269" s="519">
        <f t="shared" ca="1" si="97"/>
        <v>0</v>
      </c>
      <c r="AH269" s="519">
        <f t="shared" ca="1" si="98"/>
        <v>0</v>
      </c>
      <c r="AI269" s="519">
        <f t="shared" ca="1" si="99"/>
        <v>0</v>
      </c>
      <c r="AJ269" s="519">
        <f t="shared" ca="1" si="100"/>
        <v>0</v>
      </c>
      <c r="AK269" s="519">
        <f t="shared" ca="1" si="101"/>
        <v>0</v>
      </c>
      <c r="AL269" s="519">
        <f t="shared" ca="1" si="102"/>
        <v>0</v>
      </c>
      <c r="AM269" s="519">
        <f t="shared" ca="1" si="103"/>
        <v>0</v>
      </c>
      <c r="AN269" s="519">
        <f t="shared" ca="1" si="104"/>
        <v>0</v>
      </c>
      <c r="AO269" s="519">
        <f t="shared" ca="1" si="105"/>
        <v>0</v>
      </c>
      <c r="AP269" s="519">
        <f t="shared" ca="1" si="106"/>
        <v>0</v>
      </c>
      <c r="AQ269" s="519">
        <f t="shared" ca="1" si="107"/>
        <v>0</v>
      </c>
    </row>
    <row r="270" spans="1:45" x14ac:dyDescent="0.3">
      <c r="A270" s="556">
        <f t="shared" si="108"/>
        <v>2</v>
      </c>
      <c r="B270" s="519" t="str">
        <f t="shared" si="109"/>
        <v>BDE</v>
      </c>
      <c r="C270" s="519" t="str">
        <f t="shared" ref="C270:E270" si="137">C36</f>
        <v>Other</v>
      </c>
      <c r="D270" s="519" t="str">
        <f t="shared" si="137"/>
        <v>BDE0111</v>
      </c>
      <c r="E270" s="519">
        <f t="shared" si="137"/>
        <v>0</v>
      </c>
      <c r="H270" s="519">
        <f ca="1">_xlfn.IFNA(IF(VLOOKUP($B270&amp;OFFSET(H$10,$A270*2,0),'Mapping A'!$B$6:$E$1011,4,0)=1,$E270,""),0)</f>
        <v>0</v>
      </c>
      <c r="I270" s="519">
        <f ca="1">_xlfn.IFNA(IF(VLOOKUP($B270&amp;OFFSET(I$10,$A270*2,0),'Mapping A'!$B$6:$E$1011,4,0)=1,$E270,""),0)</f>
        <v>0</v>
      </c>
      <c r="J270" s="519">
        <f ca="1">_xlfn.IFNA(IF(VLOOKUP($B270&amp;OFFSET(J$10,$A270*2,0),'Mapping A'!$B$6:$E$1011,4,0)=1,$E270,""),0)</f>
        <v>0</v>
      </c>
      <c r="K270" s="519">
        <f ca="1">_xlfn.IFNA(IF(VLOOKUP($B270&amp;OFFSET(K$10,$A270*2,0),'Mapping A'!$B$6:$E$1011,4,0)=1,$E270,""),0)</f>
        <v>0</v>
      </c>
      <c r="L270" s="519">
        <f ca="1">_xlfn.IFNA(IF(VLOOKUP($B270&amp;OFFSET(L$10,$A270*2,0),'Mapping A'!$B$6:$E$1011,4,0)=1,$E270,""),0)</f>
        <v>0</v>
      </c>
      <c r="M270" s="519">
        <f ca="1">_xlfn.IFNA(IF(VLOOKUP($B270&amp;OFFSET(M$10,$A270*2,0),'Mapping A'!$B$6:$E$1011,4,0)=1,$E270,""),0)</f>
        <v>0</v>
      </c>
      <c r="N270" s="519">
        <f ca="1">_xlfn.IFNA(IF(VLOOKUP($B270&amp;OFFSET(N$10,$A270*2,0),'Mapping A'!$B$6:$E$1011,4,0)=1,$E270,""),0)</f>
        <v>0</v>
      </c>
      <c r="O270" s="519">
        <f ca="1">_xlfn.IFNA(IF(VLOOKUP($B270&amp;OFFSET(O$10,$A270*2,0),'Mapping A'!$B$6:$E$1011,4,0)=1,$E270,""),0)</f>
        <v>0</v>
      </c>
      <c r="P270" s="519">
        <f ca="1">_xlfn.IFNA(IF(VLOOKUP($B270&amp;OFFSET(P$10,$A270*2,0),'Mapping A'!$B$6:$E$1011,4,0)=1,$E270,""),0)</f>
        <v>0</v>
      </c>
      <c r="Q270" s="519">
        <f ca="1">_xlfn.IFNA(IF(VLOOKUP($B270&amp;OFFSET(Q$10,$A270*2,0),'Mapping A'!$B$6:$E$1011,4,0)=1,$E270,""),0)</f>
        <v>0</v>
      </c>
      <c r="R270" s="519">
        <f ca="1">_xlfn.IFNA(IF(VLOOKUP($B270&amp;OFFSET(R$10,$A270*2,0),'Mapping A'!$B$6:$E$1011,4,0)=1,$E270,""),0)</f>
        <v>0</v>
      </c>
      <c r="S270" s="519">
        <f ca="1">_xlfn.IFNA(IF(VLOOKUP($B270&amp;OFFSET(S$10,$A270*2,0),'Mapping A'!$B$6:$E$1011,4,0)=1,$E270,""),0)</f>
        <v>0</v>
      </c>
      <c r="T270" s="519">
        <f ca="1">_xlfn.IFNA(IF(VLOOKUP($B270&amp;OFFSET(T$10,$A270*2,0),'Mapping A'!$B$6:$E$1011,4,0)=1,$E270,""),0)</f>
        <v>0</v>
      </c>
      <c r="Y270" s="534" t="str">
        <f t="shared" si="111"/>
        <v>BDE0111Other</v>
      </c>
      <c r="Z270" s="519" t="str">
        <f t="shared" ref="Z270:AB270" si="138">C36</f>
        <v>Other</v>
      </c>
      <c r="AA270" s="519" t="str">
        <f t="shared" si="138"/>
        <v>BDE0111</v>
      </c>
      <c r="AB270" s="519">
        <f t="shared" si="138"/>
        <v>0</v>
      </c>
      <c r="AC270" s="324"/>
      <c r="AE270" s="519">
        <f t="shared" ca="1" si="95"/>
        <v>0</v>
      </c>
      <c r="AF270" s="519">
        <f t="shared" ca="1" si="96"/>
        <v>0</v>
      </c>
      <c r="AG270" s="519">
        <f t="shared" ca="1" si="97"/>
        <v>0</v>
      </c>
      <c r="AH270" s="519">
        <f t="shared" ca="1" si="98"/>
        <v>0</v>
      </c>
      <c r="AI270" s="519">
        <f t="shared" ca="1" si="99"/>
        <v>0</v>
      </c>
      <c r="AJ270" s="519">
        <f t="shared" ca="1" si="100"/>
        <v>0</v>
      </c>
      <c r="AK270" s="519">
        <f t="shared" ca="1" si="101"/>
        <v>0</v>
      </c>
      <c r="AL270" s="519">
        <f t="shared" ca="1" si="102"/>
        <v>0</v>
      </c>
      <c r="AM270" s="519">
        <f t="shared" ca="1" si="103"/>
        <v>0</v>
      </c>
      <c r="AN270" s="519">
        <f t="shared" ca="1" si="104"/>
        <v>0</v>
      </c>
      <c r="AO270" s="519">
        <f t="shared" ca="1" si="105"/>
        <v>0</v>
      </c>
      <c r="AP270" s="519">
        <f t="shared" ca="1" si="106"/>
        <v>0</v>
      </c>
      <c r="AQ270" s="519">
        <f t="shared" ca="1" si="107"/>
        <v>0</v>
      </c>
    </row>
    <row r="271" spans="1:45" x14ac:dyDescent="0.3">
      <c r="A271" s="556">
        <f t="shared" si="108"/>
        <v>2</v>
      </c>
      <c r="B271" s="519" t="str">
        <f t="shared" si="109"/>
        <v>BDE</v>
      </c>
      <c r="C271" s="519" t="str">
        <f t="shared" ref="C271:E271" si="139">C37</f>
        <v>Rayonier</v>
      </c>
      <c r="D271" s="519" t="str">
        <f t="shared" si="139"/>
        <v>BDE0111</v>
      </c>
      <c r="E271" s="519">
        <f t="shared" si="139"/>
        <v>9.1181999999999999</v>
      </c>
      <c r="H271" s="519">
        <f ca="1">_xlfn.IFNA(IF(VLOOKUP($B271&amp;OFFSET(H$10,$A271*2,0),'Mapping A'!$B$6:$E$1011,4,0)=1,$E271,""),0)</f>
        <v>0</v>
      </c>
      <c r="I271" s="519">
        <f ca="1">_xlfn.IFNA(IF(VLOOKUP($B271&amp;OFFSET(I$10,$A271*2,0),'Mapping A'!$B$6:$E$1011,4,0)=1,$E271,""),0)</f>
        <v>0</v>
      </c>
      <c r="J271" s="519">
        <f ca="1">_xlfn.IFNA(IF(VLOOKUP($B271&amp;OFFSET(J$10,$A271*2,0),'Mapping A'!$B$6:$E$1011,4,0)=1,$E271,""),0)</f>
        <v>9.1181999999999999</v>
      </c>
      <c r="K271" s="519">
        <f ca="1">_xlfn.IFNA(IF(VLOOKUP($B271&amp;OFFSET(K$10,$A271*2,0),'Mapping A'!$B$6:$E$1011,4,0)=1,$E271,""),0)</f>
        <v>0</v>
      </c>
      <c r="L271" s="519">
        <f ca="1">_xlfn.IFNA(IF(VLOOKUP($B271&amp;OFFSET(L$10,$A271*2,0),'Mapping A'!$B$6:$E$1011,4,0)=1,$E271,""),0)</f>
        <v>0</v>
      </c>
      <c r="M271" s="519">
        <f ca="1">_xlfn.IFNA(IF(VLOOKUP($B271&amp;OFFSET(M$10,$A271*2,0),'Mapping A'!$B$6:$E$1011,4,0)=1,$E271,""),0)</f>
        <v>0</v>
      </c>
      <c r="N271" s="519">
        <f ca="1">_xlfn.IFNA(IF(VLOOKUP($B271&amp;OFFSET(N$10,$A271*2,0),'Mapping A'!$B$6:$E$1011,4,0)=1,$E271,""),0)</f>
        <v>0</v>
      </c>
      <c r="O271" s="519">
        <f ca="1">_xlfn.IFNA(IF(VLOOKUP($B271&amp;OFFSET(O$10,$A271*2,0),'Mapping A'!$B$6:$E$1011,4,0)=1,$E271,""),0)</f>
        <v>0</v>
      </c>
      <c r="P271" s="519">
        <f ca="1">_xlfn.IFNA(IF(VLOOKUP($B271&amp;OFFSET(P$10,$A271*2,0),'Mapping A'!$B$6:$E$1011,4,0)=1,$E271,""),0)</f>
        <v>0</v>
      </c>
      <c r="Q271" s="519">
        <f ca="1">_xlfn.IFNA(IF(VLOOKUP($B271&amp;OFFSET(Q$10,$A271*2,0),'Mapping A'!$B$6:$E$1011,4,0)=1,$E271,""),0)</f>
        <v>0</v>
      </c>
      <c r="R271" s="519">
        <f ca="1">_xlfn.IFNA(IF(VLOOKUP($B271&amp;OFFSET(R$10,$A271*2,0),'Mapping A'!$B$6:$E$1011,4,0)=1,$E271,""),0)</f>
        <v>0</v>
      </c>
      <c r="S271" s="519">
        <f ca="1">_xlfn.IFNA(IF(VLOOKUP($B271&amp;OFFSET(S$10,$A271*2,0),'Mapping A'!$B$6:$E$1011,4,0)=1,$E271,""),0)</f>
        <v>0</v>
      </c>
      <c r="T271" s="519">
        <f ca="1">_xlfn.IFNA(IF(VLOOKUP($B271&amp;OFFSET(T$10,$A271*2,0),'Mapping A'!$B$6:$E$1011,4,0)=1,$E271,""),0)</f>
        <v>0</v>
      </c>
      <c r="Y271" s="534" t="str">
        <f t="shared" si="111"/>
        <v>BDE0111Rayonier</v>
      </c>
      <c r="Z271" s="519" t="str">
        <f t="shared" ref="Z271:AB271" si="140">C37</f>
        <v>Rayonier</v>
      </c>
      <c r="AA271" s="519" t="str">
        <f t="shared" si="140"/>
        <v>BDE0111</v>
      </c>
      <c r="AB271" s="519">
        <f t="shared" si="140"/>
        <v>9.1181999999999999</v>
      </c>
      <c r="AC271" s="324"/>
      <c r="AE271" s="519">
        <f t="shared" ca="1" si="95"/>
        <v>0</v>
      </c>
      <c r="AF271" s="519">
        <f t="shared" ca="1" si="96"/>
        <v>0</v>
      </c>
      <c r="AG271" s="519">
        <f t="shared" ca="1" si="97"/>
        <v>0</v>
      </c>
      <c r="AH271" s="519">
        <f t="shared" ca="1" si="98"/>
        <v>0</v>
      </c>
      <c r="AI271" s="519">
        <f t="shared" ca="1" si="99"/>
        <v>0</v>
      </c>
      <c r="AJ271" s="519">
        <f t="shared" ca="1" si="100"/>
        <v>0</v>
      </c>
      <c r="AK271" s="519">
        <f t="shared" ca="1" si="101"/>
        <v>0</v>
      </c>
      <c r="AL271" s="519">
        <f t="shared" ca="1" si="102"/>
        <v>0</v>
      </c>
      <c r="AM271" s="519">
        <f t="shared" ca="1" si="103"/>
        <v>0</v>
      </c>
      <c r="AN271" s="519">
        <f t="shared" ca="1" si="104"/>
        <v>0</v>
      </c>
      <c r="AO271" s="519">
        <f t="shared" ca="1" si="105"/>
        <v>0</v>
      </c>
      <c r="AP271" s="519">
        <f t="shared" ca="1" si="106"/>
        <v>0</v>
      </c>
      <c r="AQ271" s="519">
        <f t="shared" ca="1" si="107"/>
        <v>0</v>
      </c>
    </row>
    <row r="272" spans="1:45" x14ac:dyDescent="0.3">
      <c r="A272" s="556">
        <f t="shared" si="108"/>
        <v>2</v>
      </c>
      <c r="B272" s="519" t="str">
        <f t="shared" si="109"/>
        <v>BEN</v>
      </c>
      <c r="C272" s="519" t="str">
        <f t="shared" ref="C272:E272" si="141">C38</f>
        <v>Meridian</v>
      </c>
      <c r="D272" s="519" t="str">
        <f t="shared" si="141"/>
        <v>BEN2202</v>
      </c>
      <c r="E272" s="519">
        <f t="shared" si="141"/>
        <v>8.2928999999999995</v>
      </c>
      <c r="H272" s="519">
        <f ca="1">_xlfn.IFNA(IF(VLOOKUP($B272&amp;OFFSET(H$10,$A272*2,0),'Mapping A'!$B$6:$E$1011,4,0)=1,$E272,""),0)</f>
        <v>0</v>
      </c>
      <c r="I272" s="519">
        <f ca="1">_xlfn.IFNA(IF(VLOOKUP($B272&amp;OFFSET(I$10,$A272*2,0),'Mapping A'!$B$6:$E$1011,4,0)=1,$E272,""),0)</f>
        <v>0</v>
      </c>
      <c r="J272" s="519">
        <f ca="1">_xlfn.IFNA(IF(VLOOKUP($B272&amp;OFFSET(J$10,$A272*2,0),'Mapping A'!$B$6:$E$1011,4,0)=1,$E272,""),0)</f>
        <v>0</v>
      </c>
      <c r="K272" s="519">
        <f ca="1">_xlfn.IFNA(IF(VLOOKUP($B272&amp;OFFSET(K$10,$A272*2,0),'Mapping A'!$B$6:$E$1011,4,0)=1,$E272,""),0)</f>
        <v>0</v>
      </c>
      <c r="L272" s="519">
        <f ca="1">_xlfn.IFNA(IF(VLOOKUP($B272&amp;OFFSET(L$10,$A272*2,0),'Mapping A'!$B$6:$E$1011,4,0)=1,$E272,""),0)</f>
        <v>0</v>
      </c>
      <c r="M272" s="519">
        <f ca="1">_xlfn.IFNA(IF(VLOOKUP($B272&amp;OFFSET(M$10,$A272*2,0),'Mapping A'!$B$6:$E$1011,4,0)=1,$E272,""),0)</f>
        <v>0</v>
      </c>
      <c r="N272" s="519">
        <f ca="1">_xlfn.IFNA(IF(VLOOKUP($B272&amp;OFFSET(N$10,$A272*2,0),'Mapping A'!$B$6:$E$1011,4,0)=1,$E272,""),0)</f>
        <v>0</v>
      </c>
      <c r="O272" s="519">
        <f ca="1">_xlfn.IFNA(IF(VLOOKUP($B272&amp;OFFSET(O$10,$A272*2,0),'Mapping A'!$B$6:$E$1011,4,0)=1,$E272,""),0)</f>
        <v>0</v>
      </c>
      <c r="P272" s="519">
        <f ca="1">_xlfn.IFNA(IF(VLOOKUP($B272&amp;OFFSET(P$10,$A272*2,0),'Mapping A'!$B$6:$E$1011,4,0)=1,$E272,""),0)</f>
        <v>0</v>
      </c>
      <c r="Q272" s="519">
        <f ca="1">_xlfn.IFNA(IF(VLOOKUP($B272&amp;OFFSET(Q$10,$A272*2,0),'Mapping A'!$B$6:$E$1011,4,0)=1,$E272,""),0)</f>
        <v>0</v>
      </c>
      <c r="R272" s="519">
        <f ca="1">_xlfn.IFNA(IF(VLOOKUP($B272&amp;OFFSET(R$10,$A272*2,0),'Mapping A'!$B$6:$E$1011,4,0)=1,$E272,""),0)</f>
        <v>0</v>
      </c>
      <c r="S272" s="519">
        <f ca="1">_xlfn.IFNA(IF(VLOOKUP($B272&amp;OFFSET(S$10,$A272*2,0),'Mapping A'!$B$6:$E$1011,4,0)=1,$E272,""),0)</f>
        <v>0</v>
      </c>
      <c r="T272" s="519">
        <f ca="1">_xlfn.IFNA(IF(VLOOKUP($B272&amp;OFFSET(T$10,$A272*2,0),'Mapping A'!$B$6:$E$1011,4,0)=1,$E272,""),0)</f>
        <v>0</v>
      </c>
      <c r="Y272" s="534" t="str">
        <f t="shared" si="111"/>
        <v>BEN2202Meridian</v>
      </c>
      <c r="Z272" s="519" t="str">
        <f t="shared" ref="Z272:AB272" si="142">C38</f>
        <v>Meridian</v>
      </c>
      <c r="AA272" s="519" t="str">
        <f t="shared" si="142"/>
        <v>BEN2202</v>
      </c>
      <c r="AB272" s="519">
        <f t="shared" si="142"/>
        <v>8.2928999999999995</v>
      </c>
      <c r="AC272" s="324"/>
      <c r="AE272" s="519">
        <f t="shared" ca="1" si="95"/>
        <v>0</v>
      </c>
      <c r="AF272" s="519">
        <f t="shared" ca="1" si="96"/>
        <v>0</v>
      </c>
      <c r="AG272" s="519">
        <f t="shared" ca="1" si="97"/>
        <v>0</v>
      </c>
      <c r="AH272" s="519">
        <f t="shared" ca="1" si="98"/>
        <v>0</v>
      </c>
      <c r="AI272" s="519">
        <f t="shared" ca="1" si="99"/>
        <v>0</v>
      </c>
      <c r="AJ272" s="519">
        <f t="shared" ca="1" si="100"/>
        <v>0</v>
      </c>
      <c r="AK272" s="519">
        <f t="shared" ca="1" si="101"/>
        <v>0</v>
      </c>
      <c r="AL272" s="519">
        <f t="shared" ca="1" si="102"/>
        <v>0</v>
      </c>
      <c r="AM272" s="519">
        <f t="shared" ca="1" si="103"/>
        <v>0</v>
      </c>
      <c r="AN272" s="519">
        <f t="shared" ca="1" si="104"/>
        <v>0</v>
      </c>
      <c r="AO272" s="519">
        <f t="shared" ca="1" si="105"/>
        <v>0</v>
      </c>
      <c r="AP272" s="519">
        <f t="shared" ca="1" si="106"/>
        <v>0</v>
      </c>
      <c r="AQ272" s="519">
        <f t="shared" ca="1" si="107"/>
        <v>0</v>
      </c>
    </row>
    <row r="273" spans="1:43" x14ac:dyDescent="0.3">
      <c r="A273" s="556">
        <f t="shared" si="108"/>
        <v>2</v>
      </c>
      <c r="B273" s="519" t="str">
        <f t="shared" si="109"/>
        <v>BLN</v>
      </c>
      <c r="C273" s="519" t="str">
        <f t="shared" ref="C273:E273" si="143">C39</f>
        <v>Marlborough Lines</v>
      </c>
      <c r="D273" s="519" t="str">
        <f t="shared" si="143"/>
        <v>BLN0331</v>
      </c>
      <c r="E273" s="519">
        <f t="shared" si="143"/>
        <v>76.263599999999997</v>
      </c>
      <c r="H273" s="519">
        <f ca="1">_xlfn.IFNA(IF(VLOOKUP($B273&amp;OFFSET(H$10,$A273*2,0),'Mapping A'!$B$6:$E$1011,4,0)=1,$E273,""),0)</f>
        <v>0</v>
      </c>
      <c r="I273" s="519">
        <f ca="1">_xlfn.IFNA(IF(VLOOKUP($B273&amp;OFFSET(I$10,$A273*2,0),'Mapping A'!$B$6:$E$1011,4,0)=1,$E273,""),0)</f>
        <v>0</v>
      </c>
      <c r="J273" s="519">
        <f ca="1">_xlfn.IFNA(IF(VLOOKUP($B273&amp;OFFSET(J$10,$A273*2,0),'Mapping A'!$B$6:$E$1011,4,0)=1,$E273,""),0)</f>
        <v>76.263599999999997</v>
      </c>
      <c r="K273" s="519">
        <f ca="1">_xlfn.IFNA(IF(VLOOKUP($B273&amp;OFFSET(K$10,$A273*2,0),'Mapping A'!$B$6:$E$1011,4,0)=1,$E273,""),0)</f>
        <v>0</v>
      </c>
      <c r="L273" s="519">
        <f ca="1">_xlfn.IFNA(IF(VLOOKUP($B273&amp;OFFSET(L$10,$A273*2,0),'Mapping A'!$B$6:$E$1011,4,0)=1,$E273,""),0)</f>
        <v>0</v>
      </c>
      <c r="M273" s="519">
        <f ca="1">_xlfn.IFNA(IF(VLOOKUP($B273&amp;OFFSET(M$10,$A273*2,0),'Mapping A'!$B$6:$E$1011,4,0)=1,$E273,""),0)</f>
        <v>0</v>
      </c>
      <c r="N273" s="519">
        <f ca="1">_xlfn.IFNA(IF(VLOOKUP($B273&amp;OFFSET(N$10,$A273*2,0),'Mapping A'!$B$6:$E$1011,4,0)=1,$E273,""),0)</f>
        <v>0</v>
      </c>
      <c r="O273" s="519">
        <f ca="1">_xlfn.IFNA(IF(VLOOKUP($B273&amp;OFFSET(O$10,$A273*2,0),'Mapping A'!$B$6:$E$1011,4,0)=1,$E273,""),0)</f>
        <v>0</v>
      </c>
      <c r="P273" s="519">
        <f ca="1">_xlfn.IFNA(IF(VLOOKUP($B273&amp;OFFSET(P$10,$A273*2,0),'Mapping A'!$B$6:$E$1011,4,0)=1,$E273,""),0)</f>
        <v>0</v>
      </c>
      <c r="Q273" s="519">
        <f ca="1">_xlfn.IFNA(IF(VLOOKUP($B273&amp;OFFSET(Q$10,$A273*2,0),'Mapping A'!$B$6:$E$1011,4,0)=1,$E273,""),0)</f>
        <v>0</v>
      </c>
      <c r="R273" s="519">
        <f ca="1">_xlfn.IFNA(IF(VLOOKUP($B273&amp;OFFSET(R$10,$A273*2,0),'Mapping A'!$B$6:$E$1011,4,0)=1,$E273,""),0)</f>
        <v>0</v>
      </c>
      <c r="S273" s="519">
        <f ca="1">_xlfn.IFNA(IF(VLOOKUP($B273&amp;OFFSET(S$10,$A273*2,0),'Mapping A'!$B$6:$E$1011,4,0)=1,$E273,""),0)</f>
        <v>0</v>
      </c>
      <c r="T273" s="519">
        <f ca="1">_xlfn.IFNA(IF(VLOOKUP($B273&amp;OFFSET(T$10,$A273*2,0),'Mapping A'!$B$6:$E$1011,4,0)=1,$E273,""),0)</f>
        <v>0</v>
      </c>
      <c r="Y273" s="534" t="str">
        <f t="shared" si="111"/>
        <v>BLN0331Marlborough Lines</v>
      </c>
      <c r="Z273" s="519" t="str">
        <f t="shared" ref="Z273:AB273" si="144">C39</f>
        <v>Marlborough Lines</v>
      </c>
      <c r="AA273" s="519" t="str">
        <f t="shared" si="144"/>
        <v>BLN0331</v>
      </c>
      <c r="AB273" s="519">
        <f t="shared" si="144"/>
        <v>76.263599999999997</v>
      </c>
      <c r="AC273" s="324"/>
      <c r="AE273" s="519">
        <f t="shared" ca="1" si="95"/>
        <v>0</v>
      </c>
      <c r="AF273" s="519">
        <f t="shared" ca="1" si="96"/>
        <v>0</v>
      </c>
      <c r="AG273" s="519">
        <f t="shared" ca="1" si="97"/>
        <v>0</v>
      </c>
      <c r="AH273" s="519">
        <f t="shared" ca="1" si="98"/>
        <v>0</v>
      </c>
      <c r="AI273" s="519">
        <f t="shared" ca="1" si="99"/>
        <v>0</v>
      </c>
      <c r="AJ273" s="519">
        <f t="shared" ca="1" si="100"/>
        <v>0</v>
      </c>
      <c r="AK273" s="519">
        <f t="shared" ca="1" si="101"/>
        <v>0</v>
      </c>
      <c r="AL273" s="519">
        <f t="shared" ca="1" si="102"/>
        <v>0</v>
      </c>
      <c r="AM273" s="519">
        <f t="shared" ca="1" si="103"/>
        <v>0</v>
      </c>
      <c r="AN273" s="519">
        <f t="shared" ca="1" si="104"/>
        <v>0</v>
      </c>
      <c r="AO273" s="519">
        <f t="shared" ca="1" si="105"/>
        <v>0</v>
      </c>
      <c r="AP273" s="519">
        <f t="shared" ca="1" si="106"/>
        <v>0</v>
      </c>
      <c r="AQ273" s="519">
        <f t="shared" ca="1" si="107"/>
        <v>0</v>
      </c>
    </row>
    <row r="274" spans="1:43" x14ac:dyDescent="0.3">
      <c r="A274" s="556">
        <f t="shared" si="108"/>
        <v>2</v>
      </c>
      <c r="B274" s="519" t="str">
        <f t="shared" si="109"/>
        <v>BOB</v>
      </c>
      <c r="C274" s="519" t="str">
        <f t="shared" ref="C274:E274" si="145">C40</f>
        <v>Counties Power</v>
      </c>
      <c r="D274" s="519" t="str">
        <f t="shared" si="145"/>
        <v>BOB0331</v>
      </c>
      <c r="E274" s="519">
        <f t="shared" si="145"/>
        <v>29.406300000000002</v>
      </c>
      <c r="H274" s="519">
        <f ca="1">_xlfn.IFNA(IF(VLOOKUP($B274&amp;OFFSET(H$10,$A274*2,0),'Mapping A'!$B$6:$E$1011,4,0)=1,$E274,""),0)</f>
        <v>0</v>
      </c>
      <c r="I274" s="519">
        <f ca="1">_xlfn.IFNA(IF(VLOOKUP($B274&amp;OFFSET(I$10,$A274*2,0),'Mapping A'!$B$6:$E$1011,4,0)=1,$E274,""),0)</f>
        <v>0</v>
      </c>
      <c r="J274" s="519">
        <f ca="1">_xlfn.IFNA(IF(VLOOKUP($B274&amp;OFFSET(J$10,$A274*2,0),'Mapping A'!$B$6:$E$1011,4,0)=1,$E274,""),0)</f>
        <v>0</v>
      </c>
      <c r="K274" s="519">
        <f ca="1">_xlfn.IFNA(IF(VLOOKUP($B274&amp;OFFSET(K$10,$A274*2,0),'Mapping A'!$B$6:$E$1011,4,0)=1,$E274,""),0)</f>
        <v>0</v>
      </c>
      <c r="L274" s="519">
        <f ca="1">_xlfn.IFNA(IF(VLOOKUP($B274&amp;OFFSET(L$10,$A274*2,0),'Mapping A'!$B$6:$E$1011,4,0)=1,$E274,""),0)</f>
        <v>0</v>
      </c>
      <c r="M274" s="519">
        <f ca="1">_xlfn.IFNA(IF(VLOOKUP($B274&amp;OFFSET(M$10,$A274*2,0),'Mapping A'!$B$6:$E$1011,4,0)=1,$E274,""),0)</f>
        <v>0</v>
      </c>
      <c r="N274" s="519">
        <f ca="1">_xlfn.IFNA(IF(VLOOKUP($B274&amp;OFFSET(N$10,$A274*2,0),'Mapping A'!$B$6:$E$1011,4,0)=1,$E274,""),0)</f>
        <v>0</v>
      </c>
      <c r="O274" s="519">
        <f ca="1">_xlfn.IFNA(IF(VLOOKUP($B274&amp;OFFSET(O$10,$A274*2,0),'Mapping A'!$B$6:$E$1011,4,0)=1,$E274,""),0)</f>
        <v>0</v>
      </c>
      <c r="P274" s="519">
        <f ca="1">_xlfn.IFNA(IF(VLOOKUP($B274&amp;OFFSET(P$10,$A274*2,0),'Mapping A'!$B$6:$E$1011,4,0)=1,$E274,""),0)</f>
        <v>0</v>
      </c>
      <c r="Q274" s="519">
        <f ca="1">_xlfn.IFNA(IF(VLOOKUP($B274&amp;OFFSET(Q$10,$A274*2,0),'Mapping A'!$B$6:$E$1011,4,0)=1,$E274,""),0)</f>
        <v>0</v>
      </c>
      <c r="R274" s="519">
        <f ca="1">_xlfn.IFNA(IF(VLOOKUP($B274&amp;OFFSET(R$10,$A274*2,0),'Mapping A'!$B$6:$E$1011,4,0)=1,$E274,""),0)</f>
        <v>0</v>
      </c>
      <c r="S274" s="519">
        <f ca="1">_xlfn.IFNA(IF(VLOOKUP($B274&amp;OFFSET(S$10,$A274*2,0),'Mapping A'!$B$6:$E$1011,4,0)=1,$E274,""),0)</f>
        <v>0</v>
      </c>
      <c r="T274" s="519">
        <f ca="1">_xlfn.IFNA(IF(VLOOKUP($B274&amp;OFFSET(T$10,$A274*2,0),'Mapping A'!$B$6:$E$1011,4,0)=1,$E274,""),0)</f>
        <v>0</v>
      </c>
      <c r="Y274" s="534" t="str">
        <f t="shared" si="111"/>
        <v>BOB0331Counties Power</v>
      </c>
      <c r="Z274" s="519" t="str">
        <f t="shared" ref="Z274:AB274" si="146">C40</f>
        <v>Counties Power</v>
      </c>
      <c r="AA274" s="519" t="str">
        <f t="shared" si="146"/>
        <v>BOB0331</v>
      </c>
      <c r="AB274" s="519">
        <f t="shared" si="146"/>
        <v>29.406300000000002</v>
      </c>
      <c r="AC274" s="324"/>
      <c r="AE274" s="519">
        <f t="shared" ca="1" si="95"/>
        <v>0</v>
      </c>
      <c r="AF274" s="519">
        <f t="shared" ca="1" si="96"/>
        <v>0</v>
      </c>
      <c r="AG274" s="519">
        <f t="shared" ca="1" si="97"/>
        <v>0</v>
      </c>
      <c r="AH274" s="519">
        <f t="shared" ca="1" si="98"/>
        <v>0</v>
      </c>
      <c r="AI274" s="519">
        <f t="shared" ca="1" si="99"/>
        <v>0</v>
      </c>
      <c r="AJ274" s="519">
        <f t="shared" ca="1" si="100"/>
        <v>0</v>
      </c>
      <c r="AK274" s="519">
        <f t="shared" ca="1" si="101"/>
        <v>0</v>
      </c>
      <c r="AL274" s="519">
        <f t="shared" ca="1" si="102"/>
        <v>0</v>
      </c>
      <c r="AM274" s="519">
        <f t="shared" ca="1" si="103"/>
        <v>0</v>
      </c>
      <c r="AN274" s="519">
        <f t="shared" ca="1" si="104"/>
        <v>0</v>
      </c>
      <c r="AO274" s="519">
        <f t="shared" ca="1" si="105"/>
        <v>0</v>
      </c>
      <c r="AP274" s="519">
        <f t="shared" ca="1" si="106"/>
        <v>0</v>
      </c>
      <c r="AQ274" s="519">
        <f t="shared" ca="1" si="107"/>
        <v>0</v>
      </c>
    </row>
    <row r="275" spans="1:43" x14ac:dyDescent="0.3">
      <c r="A275" s="556">
        <f t="shared" si="108"/>
        <v>2</v>
      </c>
      <c r="B275" s="519" t="str">
        <f t="shared" si="109"/>
        <v>BOB</v>
      </c>
      <c r="C275" s="519" t="str">
        <f t="shared" ref="C275:E275" si="147">C41</f>
        <v>Counties Power</v>
      </c>
      <c r="D275" s="519" t="str">
        <f t="shared" si="147"/>
        <v>BOB1101</v>
      </c>
      <c r="E275" s="519">
        <f t="shared" si="147"/>
        <v>59.278799999999997</v>
      </c>
      <c r="H275" s="519">
        <f ca="1">_xlfn.IFNA(IF(VLOOKUP($B275&amp;OFFSET(H$10,$A275*2,0),'Mapping A'!$B$6:$E$1011,4,0)=1,$E275,""),0)</f>
        <v>0</v>
      </c>
      <c r="I275" s="519">
        <f ca="1">_xlfn.IFNA(IF(VLOOKUP($B275&amp;OFFSET(I$10,$A275*2,0),'Mapping A'!$B$6:$E$1011,4,0)=1,$E275,""),0)</f>
        <v>0</v>
      </c>
      <c r="J275" s="519">
        <f ca="1">_xlfn.IFNA(IF(VLOOKUP($B275&amp;OFFSET(J$10,$A275*2,0),'Mapping A'!$B$6:$E$1011,4,0)=1,$E275,""),0)</f>
        <v>0</v>
      </c>
      <c r="K275" s="519">
        <f ca="1">_xlfn.IFNA(IF(VLOOKUP($B275&amp;OFFSET(K$10,$A275*2,0),'Mapping A'!$B$6:$E$1011,4,0)=1,$E275,""),0)</f>
        <v>0</v>
      </c>
      <c r="L275" s="519">
        <f ca="1">_xlfn.IFNA(IF(VLOOKUP($B275&amp;OFFSET(L$10,$A275*2,0),'Mapping A'!$B$6:$E$1011,4,0)=1,$E275,""),0)</f>
        <v>0</v>
      </c>
      <c r="M275" s="519">
        <f ca="1">_xlfn.IFNA(IF(VLOOKUP($B275&amp;OFFSET(M$10,$A275*2,0),'Mapping A'!$B$6:$E$1011,4,0)=1,$E275,""),0)</f>
        <v>0</v>
      </c>
      <c r="N275" s="519">
        <f ca="1">_xlfn.IFNA(IF(VLOOKUP($B275&amp;OFFSET(N$10,$A275*2,0),'Mapping A'!$B$6:$E$1011,4,0)=1,$E275,""),0)</f>
        <v>0</v>
      </c>
      <c r="O275" s="519">
        <f ca="1">_xlfn.IFNA(IF(VLOOKUP($B275&amp;OFFSET(O$10,$A275*2,0),'Mapping A'!$B$6:$E$1011,4,0)=1,$E275,""),0)</f>
        <v>0</v>
      </c>
      <c r="P275" s="519">
        <f ca="1">_xlfn.IFNA(IF(VLOOKUP($B275&amp;OFFSET(P$10,$A275*2,0),'Mapping A'!$B$6:$E$1011,4,0)=1,$E275,""),0)</f>
        <v>0</v>
      </c>
      <c r="Q275" s="519">
        <f ca="1">_xlfn.IFNA(IF(VLOOKUP($B275&amp;OFFSET(Q$10,$A275*2,0),'Mapping A'!$B$6:$E$1011,4,0)=1,$E275,""),0)</f>
        <v>0</v>
      </c>
      <c r="R275" s="519">
        <f ca="1">_xlfn.IFNA(IF(VLOOKUP($B275&amp;OFFSET(R$10,$A275*2,0),'Mapping A'!$B$6:$E$1011,4,0)=1,$E275,""),0)</f>
        <v>0</v>
      </c>
      <c r="S275" s="519">
        <f ca="1">_xlfn.IFNA(IF(VLOOKUP($B275&amp;OFFSET(S$10,$A275*2,0),'Mapping A'!$B$6:$E$1011,4,0)=1,$E275,""),0)</f>
        <v>0</v>
      </c>
      <c r="T275" s="519">
        <f ca="1">_xlfn.IFNA(IF(VLOOKUP($B275&amp;OFFSET(T$10,$A275*2,0),'Mapping A'!$B$6:$E$1011,4,0)=1,$E275,""),0)</f>
        <v>0</v>
      </c>
      <c r="Y275" s="534" t="str">
        <f t="shared" si="111"/>
        <v>BOB1101Counties Power</v>
      </c>
      <c r="Z275" s="519" t="str">
        <f t="shared" ref="Z275:AB275" si="148">C41</f>
        <v>Counties Power</v>
      </c>
      <c r="AA275" s="519" t="str">
        <f t="shared" si="148"/>
        <v>BOB1101</v>
      </c>
      <c r="AB275" s="519">
        <f t="shared" si="148"/>
        <v>59.278799999999997</v>
      </c>
      <c r="AC275" s="324"/>
      <c r="AE275" s="519">
        <f t="shared" ca="1" si="95"/>
        <v>0</v>
      </c>
      <c r="AF275" s="519">
        <f t="shared" ca="1" si="96"/>
        <v>0</v>
      </c>
      <c r="AG275" s="519">
        <f t="shared" ca="1" si="97"/>
        <v>0</v>
      </c>
      <c r="AH275" s="519">
        <f t="shared" ca="1" si="98"/>
        <v>0</v>
      </c>
      <c r="AI275" s="519">
        <f t="shared" ca="1" si="99"/>
        <v>0</v>
      </c>
      <c r="AJ275" s="519">
        <f t="shared" ca="1" si="100"/>
        <v>0</v>
      </c>
      <c r="AK275" s="519">
        <f t="shared" ca="1" si="101"/>
        <v>0</v>
      </c>
      <c r="AL275" s="519">
        <f t="shared" ca="1" si="102"/>
        <v>0</v>
      </c>
      <c r="AM275" s="519">
        <f t="shared" ca="1" si="103"/>
        <v>0</v>
      </c>
      <c r="AN275" s="519">
        <f t="shared" ca="1" si="104"/>
        <v>0</v>
      </c>
      <c r="AO275" s="519">
        <f t="shared" ca="1" si="105"/>
        <v>0</v>
      </c>
      <c r="AP275" s="519">
        <f t="shared" ca="1" si="106"/>
        <v>0</v>
      </c>
      <c r="AQ275" s="519">
        <f t="shared" ca="1" si="107"/>
        <v>0</v>
      </c>
    </row>
    <row r="276" spans="1:43" x14ac:dyDescent="0.3">
      <c r="A276" s="556">
        <f t="shared" si="108"/>
        <v>2</v>
      </c>
      <c r="B276" s="519" t="str">
        <f t="shared" si="109"/>
        <v>BPD</v>
      </c>
      <c r="C276" s="519" t="str">
        <f t="shared" ref="C276:E276" si="149">C42</f>
        <v>Alpine Energy</v>
      </c>
      <c r="D276" s="519" t="str">
        <f t="shared" si="149"/>
        <v>BPD1101</v>
      </c>
      <c r="E276" s="519">
        <f t="shared" si="149"/>
        <v>10.7898</v>
      </c>
      <c r="H276" s="519">
        <f ca="1">_xlfn.IFNA(IF(VLOOKUP($B276&amp;OFFSET(H$10,$A276*2,0),'Mapping A'!$B$6:$E$1011,4,0)=1,$E276,""),0)</f>
        <v>0</v>
      </c>
      <c r="I276" s="519">
        <f ca="1">_xlfn.IFNA(IF(VLOOKUP($B276&amp;OFFSET(I$10,$A276*2,0),'Mapping A'!$B$6:$E$1011,4,0)=1,$E276,""),0)</f>
        <v>0</v>
      </c>
      <c r="J276" s="519">
        <f ca="1">_xlfn.IFNA(IF(VLOOKUP($B276&amp;OFFSET(J$10,$A276*2,0),'Mapping A'!$B$6:$E$1011,4,0)=1,$E276,""),0)</f>
        <v>10.7898</v>
      </c>
      <c r="K276" s="519">
        <f ca="1">_xlfn.IFNA(IF(VLOOKUP($B276&amp;OFFSET(K$10,$A276*2,0),'Mapping A'!$B$6:$E$1011,4,0)=1,$E276,""),0)</f>
        <v>0</v>
      </c>
      <c r="L276" s="519">
        <f ca="1">_xlfn.IFNA(IF(VLOOKUP($B276&amp;OFFSET(L$10,$A276*2,0),'Mapping A'!$B$6:$E$1011,4,0)=1,$E276,""),0)</f>
        <v>0</v>
      </c>
      <c r="M276" s="519">
        <f ca="1">_xlfn.IFNA(IF(VLOOKUP($B276&amp;OFFSET(M$10,$A276*2,0),'Mapping A'!$B$6:$E$1011,4,0)=1,$E276,""),0)</f>
        <v>0</v>
      </c>
      <c r="N276" s="519">
        <f ca="1">_xlfn.IFNA(IF(VLOOKUP($B276&amp;OFFSET(N$10,$A276*2,0),'Mapping A'!$B$6:$E$1011,4,0)=1,$E276,""),0)</f>
        <v>0</v>
      </c>
      <c r="O276" s="519">
        <f ca="1">_xlfn.IFNA(IF(VLOOKUP($B276&amp;OFFSET(O$10,$A276*2,0),'Mapping A'!$B$6:$E$1011,4,0)=1,$E276,""),0)</f>
        <v>0</v>
      </c>
      <c r="P276" s="519">
        <f ca="1">_xlfn.IFNA(IF(VLOOKUP($B276&amp;OFFSET(P$10,$A276*2,0),'Mapping A'!$B$6:$E$1011,4,0)=1,$E276,""),0)</f>
        <v>0</v>
      </c>
      <c r="Q276" s="519">
        <f ca="1">_xlfn.IFNA(IF(VLOOKUP($B276&amp;OFFSET(Q$10,$A276*2,0),'Mapping A'!$B$6:$E$1011,4,0)=1,$E276,""),0)</f>
        <v>0</v>
      </c>
      <c r="R276" s="519">
        <f ca="1">_xlfn.IFNA(IF(VLOOKUP($B276&amp;OFFSET(R$10,$A276*2,0),'Mapping A'!$B$6:$E$1011,4,0)=1,$E276,""),0)</f>
        <v>0</v>
      </c>
      <c r="S276" s="519">
        <f ca="1">_xlfn.IFNA(IF(VLOOKUP($B276&amp;OFFSET(S$10,$A276*2,0),'Mapping A'!$B$6:$E$1011,4,0)=1,$E276,""),0)</f>
        <v>0</v>
      </c>
      <c r="T276" s="519">
        <f ca="1">_xlfn.IFNA(IF(VLOOKUP($B276&amp;OFFSET(T$10,$A276*2,0),'Mapping A'!$B$6:$E$1011,4,0)=1,$E276,""),0)</f>
        <v>0</v>
      </c>
      <c r="Y276" s="534" t="str">
        <f t="shared" si="111"/>
        <v>BPD1101Alpine Energy</v>
      </c>
      <c r="Z276" s="519" t="str">
        <f t="shared" ref="Z276:AB276" si="150">C42</f>
        <v>Alpine Energy</v>
      </c>
      <c r="AA276" s="519" t="str">
        <f t="shared" si="150"/>
        <v>BPD1101</v>
      </c>
      <c r="AB276" s="519">
        <f t="shared" si="150"/>
        <v>10.7898</v>
      </c>
      <c r="AC276" s="324"/>
      <c r="AE276" s="519">
        <f t="shared" ca="1" si="95"/>
        <v>0</v>
      </c>
      <c r="AF276" s="519">
        <f t="shared" ca="1" si="96"/>
        <v>0</v>
      </c>
      <c r="AG276" s="519">
        <f t="shared" ca="1" si="97"/>
        <v>0</v>
      </c>
      <c r="AH276" s="519">
        <f t="shared" ca="1" si="98"/>
        <v>0</v>
      </c>
      <c r="AI276" s="519">
        <f t="shared" ca="1" si="99"/>
        <v>0</v>
      </c>
      <c r="AJ276" s="519">
        <f t="shared" ca="1" si="100"/>
        <v>0</v>
      </c>
      <c r="AK276" s="519">
        <f t="shared" ca="1" si="101"/>
        <v>0</v>
      </c>
      <c r="AL276" s="519">
        <f t="shared" ca="1" si="102"/>
        <v>0</v>
      </c>
      <c r="AM276" s="519">
        <f t="shared" ca="1" si="103"/>
        <v>0</v>
      </c>
      <c r="AN276" s="519">
        <f t="shared" ca="1" si="104"/>
        <v>0</v>
      </c>
      <c r="AO276" s="519">
        <f t="shared" ca="1" si="105"/>
        <v>0</v>
      </c>
      <c r="AP276" s="519">
        <f t="shared" ca="1" si="106"/>
        <v>0</v>
      </c>
      <c r="AQ276" s="519">
        <f t="shared" ca="1" si="107"/>
        <v>0</v>
      </c>
    </row>
    <row r="277" spans="1:43" x14ac:dyDescent="0.3">
      <c r="A277" s="556">
        <f t="shared" si="108"/>
        <v>2</v>
      </c>
      <c r="B277" s="519" t="str">
        <f t="shared" si="109"/>
        <v>BPE</v>
      </c>
      <c r="C277" s="519" t="str">
        <f t="shared" ref="C277:E277" si="151">C43</f>
        <v>Powerco</v>
      </c>
      <c r="D277" s="519" t="str">
        <f t="shared" si="151"/>
        <v>BPE0331</v>
      </c>
      <c r="E277" s="519">
        <f t="shared" si="151"/>
        <v>97.179599999999994</v>
      </c>
      <c r="H277" s="519">
        <f ca="1">_xlfn.IFNA(IF(VLOOKUP($B277&amp;OFFSET(H$10,$A277*2,0),'Mapping A'!$B$6:$E$1011,4,0)=1,$E277,""),0)</f>
        <v>0</v>
      </c>
      <c r="I277" s="519">
        <f ca="1">_xlfn.IFNA(IF(VLOOKUP($B277&amp;OFFSET(I$10,$A277*2,0),'Mapping A'!$B$6:$E$1011,4,0)=1,$E277,""),0)</f>
        <v>0</v>
      </c>
      <c r="J277" s="519">
        <f ca="1">_xlfn.IFNA(IF(VLOOKUP($B277&amp;OFFSET(J$10,$A277*2,0),'Mapping A'!$B$6:$E$1011,4,0)=1,$E277,""),0)</f>
        <v>0</v>
      </c>
      <c r="K277" s="519">
        <f ca="1">_xlfn.IFNA(IF(VLOOKUP($B277&amp;OFFSET(K$10,$A277*2,0),'Mapping A'!$B$6:$E$1011,4,0)=1,$E277,""),0)</f>
        <v>0</v>
      </c>
      <c r="L277" s="519">
        <f ca="1">_xlfn.IFNA(IF(VLOOKUP($B277&amp;OFFSET(L$10,$A277*2,0),'Mapping A'!$B$6:$E$1011,4,0)=1,$E277,""),0)</f>
        <v>0</v>
      </c>
      <c r="M277" s="519">
        <f ca="1">_xlfn.IFNA(IF(VLOOKUP($B277&amp;OFFSET(M$10,$A277*2,0),'Mapping A'!$B$6:$E$1011,4,0)=1,$E277,""),0)</f>
        <v>0</v>
      </c>
      <c r="N277" s="519">
        <f ca="1">_xlfn.IFNA(IF(VLOOKUP($B277&amp;OFFSET(N$10,$A277*2,0),'Mapping A'!$B$6:$E$1011,4,0)=1,$E277,""),0)</f>
        <v>0</v>
      </c>
      <c r="O277" s="519">
        <f ca="1">_xlfn.IFNA(IF(VLOOKUP($B277&amp;OFFSET(O$10,$A277*2,0),'Mapping A'!$B$6:$E$1011,4,0)=1,$E277,""),0)</f>
        <v>0</v>
      </c>
      <c r="P277" s="519">
        <f ca="1">_xlfn.IFNA(IF(VLOOKUP($B277&amp;OFFSET(P$10,$A277*2,0),'Mapping A'!$B$6:$E$1011,4,0)=1,$E277,""),0)</f>
        <v>0</v>
      </c>
      <c r="Q277" s="519">
        <f ca="1">_xlfn.IFNA(IF(VLOOKUP($B277&amp;OFFSET(Q$10,$A277*2,0),'Mapping A'!$B$6:$E$1011,4,0)=1,$E277,""),0)</f>
        <v>0</v>
      </c>
      <c r="R277" s="519">
        <f ca="1">_xlfn.IFNA(IF(VLOOKUP($B277&amp;OFFSET(R$10,$A277*2,0),'Mapping A'!$B$6:$E$1011,4,0)=1,$E277,""),0)</f>
        <v>0</v>
      </c>
      <c r="S277" s="519">
        <f ca="1">_xlfn.IFNA(IF(VLOOKUP($B277&amp;OFFSET(S$10,$A277*2,0),'Mapping A'!$B$6:$E$1011,4,0)=1,$E277,""),0)</f>
        <v>0</v>
      </c>
      <c r="T277" s="519">
        <f ca="1">_xlfn.IFNA(IF(VLOOKUP($B277&amp;OFFSET(T$10,$A277*2,0),'Mapping A'!$B$6:$E$1011,4,0)=1,$E277,""),0)</f>
        <v>0</v>
      </c>
      <c r="Y277" s="534" t="str">
        <f t="shared" si="111"/>
        <v>BPE0331Powerco</v>
      </c>
      <c r="Z277" s="519" t="str">
        <f t="shared" ref="Z277:AB277" si="152">C43</f>
        <v>Powerco</v>
      </c>
      <c r="AA277" s="519" t="str">
        <f t="shared" si="152"/>
        <v>BPE0331</v>
      </c>
      <c r="AB277" s="519">
        <f t="shared" si="152"/>
        <v>97.179599999999994</v>
      </c>
      <c r="AC277" s="324"/>
      <c r="AE277" s="519">
        <f t="shared" ca="1" si="95"/>
        <v>0</v>
      </c>
      <c r="AF277" s="519">
        <f t="shared" ca="1" si="96"/>
        <v>0</v>
      </c>
      <c r="AG277" s="519">
        <f t="shared" ca="1" si="97"/>
        <v>0</v>
      </c>
      <c r="AH277" s="519">
        <f t="shared" ca="1" si="98"/>
        <v>0</v>
      </c>
      <c r="AI277" s="519">
        <f t="shared" ca="1" si="99"/>
        <v>0</v>
      </c>
      <c r="AJ277" s="519">
        <f t="shared" ca="1" si="100"/>
        <v>0</v>
      </c>
      <c r="AK277" s="519">
        <f t="shared" ca="1" si="101"/>
        <v>0</v>
      </c>
      <c r="AL277" s="519">
        <f t="shared" ca="1" si="102"/>
        <v>0</v>
      </c>
      <c r="AM277" s="519">
        <f t="shared" ca="1" si="103"/>
        <v>0</v>
      </c>
      <c r="AN277" s="519">
        <f t="shared" ca="1" si="104"/>
        <v>0</v>
      </c>
      <c r="AO277" s="519">
        <f t="shared" ca="1" si="105"/>
        <v>0</v>
      </c>
      <c r="AP277" s="519">
        <f t="shared" ca="1" si="106"/>
        <v>0</v>
      </c>
      <c r="AQ277" s="519">
        <f t="shared" ca="1" si="107"/>
        <v>0</v>
      </c>
    </row>
    <row r="278" spans="1:43" x14ac:dyDescent="0.3">
      <c r="A278" s="556">
        <f t="shared" si="108"/>
        <v>2</v>
      </c>
      <c r="B278" s="519" t="str">
        <f t="shared" si="109"/>
        <v>BPE</v>
      </c>
      <c r="C278" s="519" t="str">
        <f t="shared" ref="C278:E278" si="153">C44</f>
        <v>Kiwirail</v>
      </c>
      <c r="D278" s="519" t="str">
        <f t="shared" si="153"/>
        <v>BPE0551</v>
      </c>
      <c r="E278" s="519">
        <f t="shared" si="153"/>
        <v>5.9535</v>
      </c>
      <c r="H278" s="519">
        <f ca="1">_xlfn.IFNA(IF(VLOOKUP($B278&amp;OFFSET(H$10,$A278*2,0),'Mapping A'!$B$6:$E$1011,4,0)=1,$E278,""),0)</f>
        <v>0</v>
      </c>
      <c r="I278" s="519">
        <f ca="1">_xlfn.IFNA(IF(VLOOKUP($B278&amp;OFFSET(I$10,$A278*2,0),'Mapping A'!$B$6:$E$1011,4,0)=1,$E278,""),0)</f>
        <v>0</v>
      </c>
      <c r="J278" s="519">
        <f ca="1">_xlfn.IFNA(IF(VLOOKUP($B278&amp;OFFSET(J$10,$A278*2,0),'Mapping A'!$B$6:$E$1011,4,0)=1,$E278,""),0)</f>
        <v>0</v>
      </c>
      <c r="K278" s="519">
        <f ca="1">_xlfn.IFNA(IF(VLOOKUP($B278&amp;OFFSET(K$10,$A278*2,0),'Mapping A'!$B$6:$E$1011,4,0)=1,$E278,""),0)</f>
        <v>0</v>
      </c>
      <c r="L278" s="519">
        <f ca="1">_xlfn.IFNA(IF(VLOOKUP($B278&amp;OFFSET(L$10,$A278*2,0),'Mapping A'!$B$6:$E$1011,4,0)=1,$E278,""),0)</f>
        <v>0</v>
      </c>
      <c r="M278" s="519">
        <f ca="1">_xlfn.IFNA(IF(VLOOKUP($B278&amp;OFFSET(M$10,$A278*2,0),'Mapping A'!$B$6:$E$1011,4,0)=1,$E278,""),0)</f>
        <v>0</v>
      </c>
      <c r="N278" s="519">
        <f ca="1">_xlfn.IFNA(IF(VLOOKUP($B278&amp;OFFSET(N$10,$A278*2,0),'Mapping A'!$B$6:$E$1011,4,0)=1,$E278,""),0)</f>
        <v>0</v>
      </c>
      <c r="O278" s="519">
        <f ca="1">_xlfn.IFNA(IF(VLOOKUP($B278&amp;OFFSET(O$10,$A278*2,0),'Mapping A'!$B$6:$E$1011,4,0)=1,$E278,""),0)</f>
        <v>0</v>
      </c>
      <c r="P278" s="519">
        <f ca="1">_xlfn.IFNA(IF(VLOOKUP($B278&amp;OFFSET(P$10,$A278*2,0),'Mapping A'!$B$6:$E$1011,4,0)=1,$E278,""),0)</f>
        <v>0</v>
      </c>
      <c r="Q278" s="519">
        <f ca="1">_xlfn.IFNA(IF(VLOOKUP($B278&amp;OFFSET(Q$10,$A278*2,0),'Mapping A'!$B$6:$E$1011,4,0)=1,$E278,""),0)</f>
        <v>0</v>
      </c>
      <c r="R278" s="519">
        <f ca="1">_xlfn.IFNA(IF(VLOOKUP($B278&amp;OFFSET(R$10,$A278*2,0),'Mapping A'!$B$6:$E$1011,4,0)=1,$E278,""),0)</f>
        <v>0</v>
      </c>
      <c r="S278" s="519">
        <f ca="1">_xlfn.IFNA(IF(VLOOKUP($B278&amp;OFFSET(S$10,$A278*2,0),'Mapping A'!$B$6:$E$1011,4,0)=1,$E278,""),0)</f>
        <v>0</v>
      </c>
      <c r="T278" s="519">
        <f ca="1">_xlfn.IFNA(IF(VLOOKUP($B278&amp;OFFSET(T$10,$A278*2,0),'Mapping A'!$B$6:$E$1011,4,0)=1,$E278,""),0)</f>
        <v>0</v>
      </c>
      <c r="Y278" s="534" t="str">
        <f t="shared" si="111"/>
        <v>BPE0551Kiwirail</v>
      </c>
      <c r="Z278" s="519" t="str">
        <f t="shared" ref="Z278:AB278" si="154">C44</f>
        <v>Kiwirail</v>
      </c>
      <c r="AA278" s="519" t="str">
        <f t="shared" si="154"/>
        <v>BPE0551</v>
      </c>
      <c r="AB278" s="519">
        <f t="shared" si="154"/>
        <v>5.9535</v>
      </c>
      <c r="AC278" s="324"/>
      <c r="AE278" s="519">
        <f t="shared" ca="1" si="95"/>
        <v>0</v>
      </c>
      <c r="AF278" s="519">
        <f t="shared" ca="1" si="96"/>
        <v>0</v>
      </c>
      <c r="AG278" s="519">
        <f t="shared" ca="1" si="97"/>
        <v>0</v>
      </c>
      <c r="AH278" s="519">
        <f t="shared" ca="1" si="98"/>
        <v>0</v>
      </c>
      <c r="AI278" s="519">
        <f t="shared" ca="1" si="99"/>
        <v>0</v>
      </c>
      <c r="AJ278" s="519">
        <f t="shared" ca="1" si="100"/>
        <v>0</v>
      </c>
      <c r="AK278" s="519">
        <f t="shared" ca="1" si="101"/>
        <v>0</v>
      </c>
      <c r="AL278" s="519">
        <f t="shared" ca="1" si="102"/>
        <v>0</v>
      </c>
      <c r="AM278" s="519">
        <f t="shared" ca="1" si="103"/>
        <v>0</v>
      </c>
      <c r="AN278" s="519">
        <f t="shared" ca="1" si="104"/>
        <v>0</v>
      </c>
      <c r="AO278" s="519">
        <f t="shared" ca="1" si="105"/>
        <v>0</v>
      </c>
      <c r="AP278" s="519">
        <f t="shared" ca="1" si="106"/>
        <v>0</v>
      </c>
      <c r="AQ278" s="519">
        <f t="shared" ca="1" si="107"/>
        <v>0</v>
      </c>
    </row>
    <row r="279" spans="1:43" x14ac:dyDescent="0.3">
      <c r="A279" s="556">
        <f t="shared" si="108"/>
        <v>2</v>
      </c>
      <c r="B279" s="519" t="str">
        <f t="shared" si="109"/>
        <v>BPT</v>
      </c>
      <c r="C279" s="519" t="str">
        <f t="shared" ref="C279:E279" si="155">C45</f>
        <v>Network Waitaki</v>
      </c>
      <c r="D279" s="519" t="str">
        <f t="shared" si="155"/>
        <v>BPT1101</v>
      </c>
      <c r="E279" s="519">
        <f t="shared" si="155"/>
        <v>11.4366</v>
      </c>
      <c r="H279" s="519">
        <f ca="1">_xlfn.IFNA(IF(VLOOKUP($B279&amp;OFFSET(H$10,$A279*2,0),'Mapping A'!$B$6:$E$1011,4,0)=1,$E279,""),0)</f>
        <v>0</v>
      </c>
      <c r="I279" s="519">
        <f ca="1">_xlfn.IFNA(IF(VLOOKUP($B279&amp;OFFSET(I$10,$A279*2,0),'Mapping A'!$B$6:$E$1011,4,0)=1,$E279,""),0)</f>
        <v>0</v>
      </c>
      <c r="J279" s="519">
        <f ca="1">_xlfn.IFNA(IF(VLOOKUP($B279&amp;OFFSET(J$10,$A279*2,0),'Mapping A'!$B$6:$E$1011,4,0)=1,$E279,""),0)</f>
        <v>11.4366</v>
      </c>
      <c r="K279" s="519">
        <f ca="1">_xlfn.IFNA(IF(VLOOKUP($B279&amp;OFFSET(K$10,$A279*2,0),'Mapping A'!$B$6:$E$1011,4,0)=1,$E279,""),0)</f>
        <v>0</v>
      </c>
      <c r="L279" s="519">
        <f ca="1">_xlfn.IFNA(IF(VLOOKUP($B279&amp;OFFSET(L$10,$A279*2,0),'Mapping A'!$B$6:$E$1011,4,0)=1,$E279,""),0)</f>
        <v>0</v>
      </c>
      <c r="M279" s="519">
        <f ca="1">_xlfn.IFNA(IF(VLOOKUP($B279&amp;OFFSET(M$10,$A279*2,0),'Mapping A'!$B$6:$E$1011,4,0)=1,$E279,""),0)</f>
        <v>0</v>
      </c>
      <c r="N279" s="519">
        <f ca="1">_xlfn.IFNA(IF(VLOOKUP($B279&amp;OFFSET(N$10,$A279*2,0),'Mapping A'!$B$6:$E$1011,4,0)=1,$E279,""),0)</f>
        <v>0</v>
      </c>
      <c r="O279" s="519">
        <f ca="1">_xlfn.IFNA(IF(VLOOKUP($B279&amp;OFFSET(O$10,$A279*2,0),'Mapping A'!$B$6:$E$1011,4,0)=1,$E279,""),0)</f>
        <v>0</v>
      </c>
      <c r="P279" s="519">
        <f ca="1">_xlfn.IFNA(IF(VLOOKUP($B279&amp;OFFSET(P$10,$A279*2,0),'Mapping A'!$B$6:$E$1011,4,0)=1,$E279,""),0)</f>
        <v>0</v>
      </c>
      <c r="Q279" s="519">
        <f ca="1">_xlfn.IFNA(IF(VLOOKUP($B279&amp;OFFSET(Q$10,$A279*2,0),'Mapping A'!$B$6:$E$1011,4,0)=1,$E279,""),0)</f>
        <v>0</v>
      </c>
      <c r="R279" s="519">
        <f ca="1">_xlfn.IFNA(IF(VLOOKUP($B279&amp;OFFSET(R$10,$A279*2,0),'Mapping A'!$B$6:$E$1011,4,0)=1,$E279,""),0)</f>
        <v>0</v>
      </c>
      <c r="S279" s="519">
        <f ca="1">_xlfn.IFNA(IF(VLOOKUP($B279&amp;OFFSET(S$10,$A279*2,0),'Mapping A'!$B$6:$E$1011,4,0)=1,$E279,""),0)</f>
        <v>0</v>
      </c>
      <c r="T279" s="519">
        <f ca="1">_xlfn.IFNA(IF(VLOOKUP($B279&amp;OFFSET(T$10,$A279*2,0),'Mapping A'!$B$6:$E$1011,4,0)=1,$E279,""),0)</f>
        <v>0</v>
      </c>
      <c r="Y279" s="534" t="str">
        <f t="shared" si="111"/>
        <v>BPT1101Network Waitaki</v>
      </c>
      <c r="Z279" s="519" t="str">
        <f t="shared" ref="Z279:AB279" si="156">C45</f>
        <v>Network Waitaki</v>
      </c>
      <c r="AA279" s="519" t="str">
        <f t="shared" si="156"/>
        <v>BPT1101</v>
      </c>
      <c r="AB279" s="519">
        <f t="shared" si="156"/>
        <v>11.4366</v>
      </c>
      <c r="AC279" s="324"/>
      <c r="AE279" s="519">
        <f t="shared" ca="1" si="95"/>
        <v>0</v>
      </c>
      <c r="AF279" s="519">
        <f t="shared" ca="1" si="96"/>
        <v>0</v>
      </c>
      <c r="AG279" s="519">
        <f t="shared" ca="1" si="97"/>
        <v>0</v>
      </c>
      <c r="AH279" s="519">
        <f t="shared" ca="1" si="98"/>
        <v>0</v>
      </c>
      <c r="AI279" s="519">
        <f t="shared" ca="1" si="99"/>
        <v>0</v>
      </c>
      <c r="AJ279" s="519">
        <f t="shared" ca="1" si="100"/>
        <v>0</v>
      </c>
      <c r="AK279" s="519">
        <f t="shared" ca="1" si="101"/>
        <v>0</v>
      </c>
      <c r="AL279" s="519">
        <f t="shared" ca="1" si="102"/>
        <v>0</v>
      </c>
      <c r="AM279" s="519">
        <f t="shared" ca="1" si="103"/>
        <v>0</v>
      </c>
      <c r="AN279" s="519">
        <f t="shared" ca="1" si="104"/>
        <v>0</v>
      </c>
      <c r="AO279" s="519">
        <f t="shared" ca="1" si="105"/>
        <v>0</v>
      </c>
      <c r="AP279" s="519">
        <f t="shared" ca="1" si="106"/>
        <v>0</v>
      </c>
      <c r="AQ279" s="519">
        <f t="shared" ca="1" si="107"/>
        <v>0</v>
      </c>
    </row>
    <row r="280" spans="1:43" x14ac:dyDescent="0.3">
      <c r="A280" s="556">
        <f t="shared" si="108"/>
        <v>2</v>
      </c>
      <c r="B280" s="519" t="str">
        <f t="shared" si="109"/>
        <v>BRB</v>
      </c>
      <c r="C280" s="519" t="str">
        <f t="shared" ref="C280:E280" si="157">C46</f>
        <v>Northpower</v>
      </c>
      <c r="D280" s="519" t="str">
        <f t="shared" si="157"/>
        <v>BRB0331</v>
      </c>
      <c r="E280" s="519">
        <f t="shared" si="157"/>
        <v>48.148800000000001</v>
      </c>
      <c r="H280" s="519">
        <f ca="1">_xlfn.IFNA(IF(VLOOKUP($B280&amp;OFFSET(H$10,$A280*2,0),'Mapping A'!$B$6:$E$1011,4,0)=1,$E280,""),0)</f>
        <v>0</v>
      </c>
      <c r="I280" s="519">
        <f ca="1">_xlfn.IFNA(IF(VLOOKUP($B280&amp;OFFSET(I$10,$A280*2,0),'Mapping A'!$B$6:$E$1011,4,0)=1,$E280,""),0)</f>
        <v>0</v>
      </c>
      <c r="J280" s="519">
        <f ca="1">_xlfn.IFNA(IF(VLOOKUP($B280&amp;OFFSET(J$10,$A280*2,0),'Mapping A'!$B$6:$E$1011,4,0)=1,$E280,""),0)</f>
        <v>0</v>
      </c>
      <c r="K280" s="519">
        <f ca="1">_xlfn.IFNA(IF(VLOOKUP($B280&amp;OFFSET(K$10,$A280*2,0),'Mapping A'!$B$6:$E$1011,4,0)=1,$E280,""),0)</f>
        <v>0</v>
      </c>
      <c r="L280" s="519">
        <f ca="1">_xlfn.IFNA(IF(VLOOKUP($B280&amp;OFFSET(L$10,$A280*2,0),'Mapping A'!$B$6:$E$1011,4,0)=1,$E280,""),0)</f>
        <v>0</v>
      </c>
      <c r="M280" s="519">
        <f ca="1">_xlfn.IFNA(IF(VLOOKUP($B280&amp;OFFSET(M$10,$A280*2,0),'Mapping A'!$B$6:$E$1011,4,0)=1,$E280,""),0)</f>
        <v>0</v>
      </c>
      <c r="N280" s="519">
        <f ca="1">_xlfn.IFNA(IF(VLOOKUP($B280&amp;OFFSET(N$10,$A280*2,0),'Mapping A'!$B$6:$E$1011,4,0)=1,$E280,""),0)</f>
        <v>0</v>
      </c>
      <c r="O280" s="519">
        <f ca="1">_xlfn.IFNA(IF(VLOOKUP($B280&amp;OFFSET(O$10,$A280*2,0),'Mapping A'!$B$6:$E$1011,4,0)=1,$E280,""),0)</f>
        <v>0</v>
      </c>
      <c r="P280" s="519">
        <f ca="1">_xlfn.IFNA(IF(VLOOKUP($B280&amp;OFFSET(P$10,$A280*2,0),'Mapping A'!$B$6:$E$1011,4,0)=1,$E280,""),0)</f>
        <v>0</v>
      </c>
      <c r="Q280" s="519">
        <f ca="1">_xlfn.IFNA(IF(VLOOKUP($B280&amp;OFFSET(Q$10,$A280*2,0),'Mapping A'!$B$6:$E$1011,4,0)=1,$E280,""),0)</f>
        <v>0</v>
      </c>
      <c r="R280" s="519">
        <f ca="1">_xlfn.IFNA(IF(VLOOKUP($B280&amp;OFFSET(R$10,$A280*2,0),'Mapping A'!$B$6:$E$1011,4,0)=1,$E280,""),0)</f>
        <v>0</v>
      </c>
      <c r="S280" s="519">
        <f ca="1">_xlfn.IFNA(IF(VLOOKUP($B280&amp;OFFSET(S$10,$A280*2,0),'Mapping A'!$B$6:$E$1011,4,0)=1,$E280,""),0)</f>
        <v>0</v>
      </c>
      <c r="T280" s="519">
        <f ca="1">_xlfn.IFNA(IF(VLOOKUP($B280&amp;OFFSET(T$10,$A280*2,0),'Mapping A'!$B$6:$E$1011,4,0)=1,$E280,""),0)</f>
        <v>0</v>
      </c>
      <c r="Y280" s="534" t="str">
        <f t="shared" si="111"/>
        <v>BRB0331Northpower</v>
      </c>
      <c r="Z280" s="519" t="str">
        <f t="shared" ref="Z280:AB280" si="158">C46</f>
        <v>Northpower</v>
      </c>
      <c r="AA280" s="519" t="str">
        <f t="shared" si="158"/>
        <v>BRB0331</v>
      </c>
      <c r="AB280" s="519">
        <f t="shared" si="158"/>
        <v>48.148800000000001</v>
      </c>
      <c r="AC280" s="324"/>
      <c r="AE280" s="519">
        <f t="shared" ca="1" si="95"/>
        <v>0</v>
      </c>
      <c r="AF280" s="519">
        <f t="shared" ca="1" si="96"/>
        <v>0</v>
      </c>
      <c r="AG280" s="519">
        <f t="shared" ca="1" si="97"/>
        <v>0</v>
      </c>
      <c r="AH280" s="519">
        <f t="shared" ca="1" si="98"/>
        <v>0</v>
      </c>
      <c r="AI280" s="519">
        <f t="shared" ca="1" si="99"/>
        <v>0</v>
      </c>
      <c r="AJ280" s="519">
        <f t="shared" ca="1" si="100"/>
        <v>0</v>
      </c>
      <c r="AK280" s="519">
        <f t="shared" ca="1" si="101"/>
        <v>0</v>
      </c>
      <c r="AL280" s="519">
        <f t="shared" ca="1" si="102"/>
        <v>0</v>
      </c>
      <c r="AM280" s="519">
        <f t="shared" ca="1" si="103"/>
        <v>0</v>
      </c>
      <c r="AN280" s="519">
        <f t="shared" ca="1" si="104"/>
        <v>0</v>
      </c>
      <c r="AO280" s="519">
        <f t="shared" ca="1" si="105"/>
        <v>0</v>
      </c>
      <c r="AP280" s="519">
        <f t="shared" ca="1" si="106"/>
        <v>0</v>
      </c>
      <c r="AQ280" s="519">
        <f t="shared" ca="1" si="107"/>
        <v>0</v>
      </c>
    </row>
    <row r="281" spans="1:43" x14ac:dyDescent="0.3">
      <c r="A281" s="556">
        <f t="shared" si="108"/>
        <v>2</v>
      </c>
      <c r="B281" s="519" t="str">
        <f t="shared" si="109"/>
        <v>BRB</v>
      </c>
      <c r="C281" s="519" t="str">
        <f t="shared" ref="C281:E281" si="159">C47</f>
        <v>Refinery</v>
      </c>
      <c r="D281" s="519" t="str">
        <f t="shared" si="159"/>
        <v>BRB0331</v>
      </c>
      <c r="E281" s="519">
        <f t="shared" si="159"/>
        <v>0</v>
      </c>
      <c r="H281" s="519">
        <f ca="1">_xlfn.IFNA(IF(VLOOKUP($B281&amp;OFFSET(H$10,$A281*2,0),'Mapping A'!$B$6:$E$1011,4,0)=1,$E281,""),0)</f>
        <v>0</v>
      </c>
      <c r="I281" s="519">
        <f ca="1">_xlfn.IFNA(IF(VLOOKUP($B281&amp;OFFSET(I$10,$A281*2,0),'Mapping A'!$B$6:$E$1011,4,0)=1,$E281,""),0)</f>
        <v>0</v>
      </c>
      <c r="J281" s="519">
        <f ca="1">_xlfn.IFNA(IF(VLOOKUP($B281&amp;OFFSET(J$10,$A281*2,0),'Mapping A'!$B$6:$E$1011,4,0)=1,$E281,""),0)</f>
        <v>0</v>
      </c>
      <c r="K281" s="519">
        <f ca="1">_xlfn.IFNA(IF(VLOOKUP($B281&amp;OFFSET(K$10,$A281*2,0),'Mapping A'!$B$6:$E$1011,4,0)=1,$E281,""),0)</f>
        <v>0</v>
      </c>
      <c r="L281" s="519">
        <f ca="1">_xlfn.IFNA(IF(VLOOKUP($B281&amp;OFFSET(L$10,$A281*2,0),'Mapping A'!$B$6:$E$1011,4,0)=1,$E281,""),0)</f>
        <v>0</v>
      </c>
      <c r="M281" s="519">
        <f ca="1">_xlfn.IFNA(IF(VLOOKUP($B281&amp;OFFSET(M$10,$A281*2,0),'Mapping A'!$B$6:$E$1011,4,0)=1,$E281,""),0)</f>
        <v>0</v>
      </c>
      <c r="N281" s="519">
        <f ca="1">_xlfn.IFNA(IF(VLOOKUP($B281&amp;OFFSET(N$10,$A281*2,0),'Mapping A'!$B$6:$E$1011,4,0)=1,$E281,""),0)</f>
        <v>0</v>
      </c>
      <c r="O281" s="519">
        <f ca="1">_xlfn.IFNA(IF(VLOOKUP($B281&amp;OFFSET(O$10,$A281*2,0),'Mapping A'!$B$6:$E$1011,4,0)=1,$E281,""),0)</f>
        <v>0</v>
      </c>
      <c r="P281" s="519">
        <f ca="1">_xlfn.IFNA(IF(VLOOKUP($B281&amp;OFFSET(P$10,$A281*2,0),'Mapping A'!$B$6:$E$1011,4,0)=1,$E281,""),0)</f>
        <v>0</v>
      </c>
      <c r="Q281" s="519">
        <f ca="1">_xlfn.IFNA(IF(VLOOKUP($B281&amp;OFFSET(Q$10,$A281*2,0),'Mapping A'!$B$6:$E$1011,4,0)=1,$E281,""),0)</f>
        <v>0</v>
      </c>
      <c r="R281" s="519">
        <f ca="1">_xlfn.IFNA(IF(VLOOKUP($B281&amp;OFFSET(R$10,$A281*2,0),'Mapping A'!$B$6:$E$1011,4,0)=1,$E281,""),0)</f>
        <v>0</v>
      </c>
      <c r="S281" s="519">
        <f ca="1">_xlfn.IFNA(IF(VLOOKUP($B281&amp;OFFSET(S$10,$A281*2,0),'Mapping A'!$B$6:$E$1011,4,0)=1,$E281,""),0)</f>
        <v>0</v>
      </c>
      <c r="T281" s="519">
        <f ca="1">_xlfn.IFNA(IF(VLOOKUP($B281&amp;OFFSET(T$10,$A281*2,0),'Mapping A'!$B$6:$E$1011,4,0)=1,$E281,""),0)</f>
        <v>0</v>
      </c>
      <c r="Y281" s="534" t="str">
        <f t="shared" si="111"/>
        <v>BRB0331Refinery</v>
      </c>
      <c r="Z281" s="519" t="str">
        <f t="shared" ref="Z281:AB281" si="160">C47</f>
        <v>Refinery</v>
      </c>
      <c r="AA281" s="519" t="str">
        <f t="shared" si="160"/>
        <v>BRB0331</v>
      </c>
      <c r="AB281" s="519">
        <f t="shared" si="160"/>
        <v>0</v>
      </c>
      <c r="AC281" s="324"/>
      <c r="AE281" s="519">
        <f t="shared" ca="1" si="95"/>
        <v>0</v>
      </c>
      <c r="AF281" s="519">
        <f t="shared" ca="1" si="96"/>
        <v>0</v>
      </c>
      <c r="AG281" s="519">
        <f t="shared" ca="1" si="97"/>
        <v>0</v>
      </c>
      <c r="AH281" s="519">
        <f t="shared" ca="1" si="98"/>
        <v>0</v>
      </c>
      <c r="AI281" s="519">
        <f t="shared" ca="1" si="99"/>
        <v>0</v>
      </c>
      <c r="AJ281" s="519">
        <f t="shared" ca="1" si="100"/>
        <v>0</v>
      </c>
      <c r="AK281" s="519">
        <f t="shared" ca="1" si="101"/>
        <v>0</v>
      </c>
      <c r="AL281" s="519">
        <f t="shared" ca="1" si="102"/>
        <v>0</v>
      </c>
      <c r="AM281" s="519">
        <f t="shared" ca="1" si="103"/>
        <v>0</v>
      </c>
      <c r="AN281" s="519">
        <f t="shared" ca="1" si="104"/>
        <v>0</v>
      </c>
      <c r="AO281" s="519">
        <f t="shared" ca="1" si="105"/>
        <v>0</v>
      </c>
      <c r="AP281" s="519">
        <f t="shared" ca="1" si="106"/>
        <v>0</v>
      </c>
      <c r="AQ281" s="519">
        <f t="shared" ca="1" si="107"/>
        <v>0</v>
      </c>
    </row>
    <row r="282" spans="1:43" x14ac:dyDescent="0.3">
      <c r="A282" s="556">
        <f t="shared" si="108"/>
        <v>2</v>
      </c>
      <c r="B282" s="519" t="str">
        <f t="shared" si="109"/>
        <v>BRK</v>
      </c>
      <c r="C282" s="519" t="str">
        <f t="shared" ref="C282:E282" si="161">C48</f>
        <v>Powerco</v>
      </c>
      <c r="D282" s="519" t="str">
        <f t="shared" si="161"/>
        <v>BRK0331</v>
      </c>
      <c r="E282" s="519">
        <f t="shared" si="161"/>
        <v>29.8431</v>
      </c>
      <c r="H282" s="519">
        <f ca="1">_xlfn.IFNA(IF(VLOOKUP($B282&amp;OFFSET(H$10,$A282*2,0),'Mapping A'!$B$6:$E$1011,4,0)=1,$E282,""),0)</f>
        <v>0</v>
      </c>
      <c r="I282" s="519">
        <f ca="1">_xlfn.IFNA(IF(VLOOKUP($B282&amp;OFFSET(I$10,$A282*2,0),'Mapping A'!$B$6:$E$1011,4,0)=1,$E282,""),0)</f>
        <v>0</v>
      </c>
      <c r="J282" s="519">
        <f ca="1">_xlfn.IFNA(IF(VLOOKUP($B282&amp;OFFSET(J$10,$A282*2,0),'Mapping A'!$B$6:$E$1011,4,0)=1,$E282,""),0)</f>
        <v>0</v>
      </c>
      <c r="K282" s="519">
        <f ca="1">_xlfn.IFNA(IF(VLOOKUP($B282&amp;OFFSET(K$10,$A282*2,0),'Mapping A'!$B$6:$E$1011,4,0)=1,$E282,""),0)</f>
        <v>0</v>
      </c>
      <c r="L282" s="519">
        <f ca="1">_xlfn.IFNA(IF(VLOOKUP($B282&amp;OFFSET(L$10,$A282*2,0),'Mapping A'!$B$6:$E$1011,4,0)=1,$E282,""),0)</f>
        <v>0</v>
      </c>
      <c r="M282" s="519">
        <f ca="1">_xlfn.IFNA(IF(VLOOKUP($B282&amp;OFFSET(M$10,$A282*2,0),'Mapping A'!$B$6:$E$1011,4,0)=1,$E282,""),0)</f>
        <v>0</v>
      </c>
      <c r="N282" s="519">
        <f ca="1">_xlfn.IFNA(IF(VLOOKUP($B282&amp;OFFSET(N$10,$A282*2,0),'Mapping A'!$B$6:$E$1011,4,0)=1,$E282,""),0)</f>
        <v>0</v>
      </c>
      <c r="O282" s="519">
        <f ca="1">_xlfn.IFNA(IF(VLOOKUP($B282&amp;OFFSET(O$10,$A282*2,0),'Mapping A'!$B$6:$E$1011,4,0)=1,$E282,""),0)</f>
        <v>0</v>
      </c>
      <c r="P282" s="519">
        <f ca="1">_xlfn.IFNA(IF(VLOOKUP($B282&amp;OFFSET(P$10,$A282*2,0),'Mapping A'!$B$6:$E$1011,4,0)=1,$E282,""),0)</f>
        <v>0</v>
      </c>
      <c r="Q282" s="519">
        <f ca="1">_xlfn.IFNA(IF(VLOOKUP($B282&amp;OFFSET(Q$10,$A282*2,0),'Mapping A'!$B$6:$E$1011,4,0)=1,$E282,""),0)</f>
        <v>0</v>
      </c>
      <c r="R282" s="519">
        <f ca="1">_xlfn.IFNA(IF(VLOOKUP($B282&amp;OFFSET(R$10,$A282*2,0),'Mapping A'!$B$6:$E$1011,4,0)=1,$E282,""),0)</f>
        <v>0</v>
      </c>
      <c r="S282" s="519">
        <f ca="1">_xlfn.IFNA(IF(VLOOKUP($B282&amp;OFFSET(S$10,$A282*2,0),'Mapping A'!$B$6:$E$1011,4,0)=1,$E282,""),0)</f>
        <v>0</v>
      </c>
      <c r="T282" s="519">
        <f ca="1">_xlfn.IFNA(IF(VLOOKUP($B282&amp;OFFSET(T$10,$A282*2,0),'Mapping A'!$B$6:$E$1011,4,0)=1,$E282,""),0)</f>
        <v>0</v>
      </c>
      <c r="Y282" s="534" t="str">
        <f t="shared" si="111"/>
        <v>BRK0331Powerco</v>
      </c>
      <c r="Z282" s="519" t="str">
        <f t="shared" ref="Z282:AB282" si="162">C48</f>
        <v>Powerco</v>
      </c>
      <c r="AA282" s="519" t="str">
        <f t="shared" si="162"/>
        <v>BRK0331</v>
      </c>
      <c r="AB282" s="519">
        <f t="shared" si="162"/>
        <v>29.8431</v>
      </c>
      <c r="AC282" s="324"/>
      <c r="AE282" s="519">
        <f t="shared" ca="1" si="95"/>
        <v>0</v>
      </c>
      <c r="AF282" s="519">
        <f t="shared" ca="1" si="96"/>
        <v>0</v>
      </c>
      <c r="AG282" s="519">
        <f t="shared" ca="1" si="97"/>
        <v>0</v>
      </c>
      <c r="AH282" s="519">
        <f t="shared" ca="1" si="98"/>
        <v>0</v>
      </c>
      <c r="AI282" s="519">
        <f t="shared" ca="1" si="99"/>
        <v>0</v>
      </c>
      <c r="AJ282" s="519">
        <f t="shared" ca="1" si="100"/>
        <v>0</v>
      </c>
      <c r="AK282" s="519">
        <f t="shared" ca="1" si="101"/>
        <v>0</v>
      </c>
      <c r="AL282" s="519">
        <f t="shared" ca="1" si="102"/>
        <v>0</v>
      </c>
      <c r="AM282" s="519">
        <f t="shared" ca="1" si="103"/>
        <v>0</v>
      </c>
      <c r="AN282" s="519">
        <f t="shared" ca="1" si="104"/>
        <v>0</v>
      </c>
      <c r="AO282" s="519">
        <f t="shared" ca="1" si="105"/>
        <v>0</v>
      </c>
      <c r="AP282" s="519">
        <f t="shared" ca="1" si="106"/>
        <v>0</v>
      </c>
      <c r="AQ282" s="519">
        <f t="shared" ca="1" si="107"/>
        <v>0</v>
      </c>
    </row>
    <row r="283" spans="1:43" x14ac:dyDescent="0.3">
      <c r="A283" s="556">
        <f t="shared" si="108"/>
        <v>2</v>
      </c>
      <c r="B283" s="519" t="str">
        <f t="shared" si="109"/>
        <v>BRY</v>
      </c>
      <c r="C283" s="519" t="str">
        <f t="shared" ref="C283:E283" si="163">C49</f>
        <v>Orion</v>
      </c>
      <c r="D283" s="519" t="str">
        <f t="shared" si="163"/>
        <v>BRY0661</v>
      </c>
      <c r="E283" s="519">
        <f t="shared" si="163"/>
        <v>179.95529999999999</v>
      </c>
      <c r="H283" s="519">
        <f ca="1">_xlfn.IFNA(IF(VLOOKUP($B283&amp;OFFSET(H$10,$A283*2,0),'Mapping A'!$B$6:$E$1011,4,0)=1,$E283,""),0)</f>
        <v>0</v>
      </c>
      <c r="I283" s="519">
        <f ca="1">_xlfn.IFNA(IF(VLOOKUP($B283&amp;OFFSET(I$10,$A283*2,0),'Mapping A'!$B$6:$E$1011,4,0)=1,$E283,""),0)</f>
        <v>0</v>
      </c>
      <c r="J283" s="519">
        <f ca="1">_xlfn.IFNA(IF(VLOOKUP($B283&amp;OFFSET(J$10,$A283*2,0),'Mapping A'!$B$6:$E$1011,4,0)=1,$E283,""),0)</f>
        <v>179.95529999999999</v>
      </c>
      <c r="K283" s="519">
        <f ca="1">_xlfn.IFNA(IF(VLOOKUP($B283&amp;OFFSET(K$10,$A283*2,0),'Mapping A'!$B$6:$E$1011,4,0)=1,$E283,""),0)</f>
        <v>0</v>
      </c>
      <c r="L283" s="519">
        <f ca="1">_xlfn.IFNA(IF(VLOOKUP($B283&amp;OFFSET(L$10,$A283*2,0),'Mapping A'!$B$6:$E$1011,4,0)=1,$E283,""),0)</f>
        <v>0</v>
      </c>
      <c r="M283" s="519">
        <f ca="1">_xlfn.IFNA(IF(VLOOKUP($B283&amp;OFFSET(M$10,$A283*2,0),'Mapping A'!$B$6:$E$1011,4,0)=1,$E283,""),0)</f>
        <v>0</v>
      </c>
      <c r="N283" s="519">
        <f ca="1">_xlfn.IFNA(IF(VLOOKUP($B283&amp;OFFSET(N$10,$A283*2,0),'Mapping A'!$B$6:$E$1011,4,0)=1,$E283,""),0)</f>
        <v>0</v>
      </c>
      <c r="O283" s="519">
        <f ca="1">_xlfn.IFNA(IF(VLOOKUP($B283&amp;OFFSET(O$10,$A283*2,0),'Mapping A'!$B$6:$E$1011,4,0)=1,$E283,""),0)</f>
        <v>0</v>
      </c>
      <c r="P283" s="519">
        <f ca="1">_xlfn.IFNA(IF(VLOOKUP($B283&amp;OFFSET(P$10,$A283*2,0),'Mapping A'!$B$6:$E$1011,4,0)=1,$E283,""),0)</f>
        <v>0</v>
      </c>
      <c r="Q283" s="519">
        <f ca="1">_xlfn.IFNA(IF(VLOOKUP($B283&amp;OFFSET(Q$10,$A283*2,0),'Mapping A'!$B$6:$E$1011,4,0)=1,$E283,""),0)</f>
        <v>0</v>
      </c>
      <c r="R283" s="519">
        <f ca="1">_xlfn.IFNA(IF(VLOOKUP($B283&amp;OFFSET(R$10,$A283*2,0),'Mapping A'!$B$6:$E$1011,4,0)=1,$E283,""),0)</f>
        <v>0</v>
      </c>
      <c r="S283" s="519">
        <f ca="1">_xlfn.IFNA(IF(VLOOKUP($B283&amp;OFFSET(S$10,$A283*2,0),'Mapping A'!$B$6:$E$1011,4,0)=1,$E283,""),0)</f>
        <v>0</v>
      </c>
      <c r="T283" s="519">
        <f ca="1">_xlfn.IFNA(IF(VLOOKUP($B283&amp;OFFSET(T$10,$A283*2,0),'Mapping A'!$B$6:$E$1011,4,0)=1,$E283,""),0)</f>
        <v>0</v>
      </c>
      <c r="Y283" s="534" t="str">
        <f t="shared" si="111"/>
        <v>BRY0661Orion</v>
      </c>
      <c r="Z283" s="519" t="str">
        <f t="shared" ref="Z283:AB283" si="164">C49</f>
        <v>Orion</v>
      </c>
      <c r="AA283" s="519" t="str">
        <f t="shared" si="164"/>
        <v>BRY0661</v>
      </c>
      <c r="AB283" s="519">
        <f t="shared" si="164"/>
        <v>179.95529999999999</v>
      </c>
      <c r="AC283" s="324"/>
      <c r="AE283" s="519">
        <f t="shared" ca="1" si="95"/>
        <v>0</v>
      </c>
      <c r="AF283" s="519">
        <f t="shared" ca="1" si="96"/>
        <v>0</v>
      </c>
      <c r="AG283" s="519">
        <f t="shared" ca="1" si="97"/>
        <v>0</v>
      </c>
      <c r="AH283" s="519">
        <f t="shared" ca="1" si="98"/>
        <v>0</v>
      </c>
      <c r="AI283" s="519">
        <f t="shared" ca="1" si="99"/>
        <v>0</v>
      </c>
      <c r="AJ283" s="519">
        <f t="shared" ca="1" si="100"/>
        <v>0</v>
      </c>
      <c r="AK283" s="519">
        <f t="shared" ca="1" si="101"/>
        <v>0</v>
      </c>
      <c r="AL283" s="519">
        <f t="shared" ca="1" si="102"/>
        <v>0</v>
      </c>
      <c r="AM283" s="519">
        <f t="shared" ca="1" si="103"/>
        <v>0</v>
      </c>
      <c r="AN283" s="519">
        <f t="shared" ca="1" si="104"/>
        <v>0</v>
      </c>
      <c r="AO283" s="519">
        <f t="shared" ca="1" si="105"/>
        <v>0</v>
      </c>
      <c r="AP283" s="519">
        <f t="shared" ca="1" si="106"/>
        <v>0</v>
      </c>
      <c r="AQ283" s="519">
        <f t="shared" ca="1" si="107"/>
        <v>0</v>
      </c>
    </row>
    <row r="284" spans="1:43" x14ac:dyDescent="0.3">
      <c r="A284" s="556">
        <f t="shared" si="108"/>
        <v>2</v>
      </c>
      <c r="B284" s="519" t="str">
        <f t="shared" si="109"/>
        <v>BWK</v>
      </c>
      <c r="C284" s="519" t="str">
        <f t="shared" ref="C284:E284" si="165">C50</f>
        <v>TrustPower</v>
      </c>
      <c r="D284" s="519" t="str">
        <f t="shared" si="165"/>
        <v>BWK1101</v>
      </c>
      <c r="E284" s="519">
        <f t="shared" si="165"/>
        <v>0.1008</v>
      </c>
      <c r="H284" s="519">
        <f ca="1">_xlfn.IFNA(IF(VLOOKUP($B284&amp;OFFSET(H$10,$A284*2,0),'Mapping A'!$B$6:$E$1011,4,0)=1,$E284,""),0)</f>
        <v>0</v>
      </c>
      <c r="I284" s="519">
        <f ca="1">_xlfn.IFNA(IF(VLOOKUP($B284&amp;OFFSET(I$10,$A284*2,0),'Mapping A'!$B$6:$E$1011,4,0)=1,$E284,""),0)</f>
        <v>0</v>
      </c>
      <c r="J284" s="519">
        <f ca="1">_xlfn.IFNA(IF(VLOOKUP($B284&amp;OFFSET(J$10,$A284*2,0),'Mapping A'!$B$6:$E$1011,4,0)=1,$E284,""),0)</f>
        <v>0.1008</v>
      </c>
      <c r="K284" s="519">
        <f ca="1">_xlfn.IFNA(IF(VLOOKUP($B284&amp;OFFSET(K$10,$A284*2,0),'Mapping A'!$B$6:$E$1011,4,0)=1,$E284,""),0)</f>
        <v>0</v>
      </c>
      <c r="L284" s="519">
        <f ca="1">_xlfn.IFNA(IF(VLOOKUP($B284&amp;OFFSET(L$10,$A284*2,0),'Mapping A'!$B$6:$E$1011,4,0)=1,$E284,""),0)</f>
        <v>0</v>
      </c>
      <c r="M284" s="519">
        <f ca="1">_xlfn.IFNA(IF(VLOOKUP($B284&amp;OFFSET(M$10,$A284*2,0),'Mapping A'!$B$6:$E$1011,4,0)=1,$E284,""),0)</f>
        <v>0</v>
      </c>
      <c r="N284" s="519">
        <f ca="1">_xlfn.IFNA(IF(VLOOKUP($B284&amp;OFFSET(N$10,$A284*2,0),'Mapping A'!$B$6:$E$1011,4,0)=1,$E284,""),0)</f>
        <v>0</v>
      </c>
      <c r="O284" s="519">
        <f ca="1">_xlfn.IFNA(IF(VLOOKUP($B284&amp;OFFSET(O$10,$A284*2,0),'Mapping A'!$B$6:$E$1011,4,0)=1,$E284,""),0)</f>
        <v>0</v>
      </c>
      <c r="P284" s="519">
        <f ca="1">_xlfn.IFNA(IF(VLOOKUP($B284&amp;OFFSET(P$10,$A284*2,0),'Mapping A'!$B$6:$E$1011,4,0)=1,$E284,""),0)</f>
        <v>0</v>
      </c>
      <c r="Q284" s="519">
        <f ca="1">_xlfn.IFNA(IF(VLOOKUP($B284&amp;OFFSET(Q$10,$A284*2,0),'Mapping A'!$B$6:$E$1011,4,0)=1,$E284,""),0)</f>
        <v>0</v>
      </c>
      <c r="R284" s="519">
        <f ca="1">_xlfn.IFNA(IF(VLOOKUP($B284&amp;OFFSET(R$10,$A284*2,0),'Mapping A'!$B$6:$E$1011,4,0)=1,$E284,""),0)</f>
        <v>0</v>
      </c>
      <c r="S284" s="519">
        <f ca="1">_xlfn.IFNA(IF(VLOOKUP($B284&amp;OFFSET(S$10,$A284*2,0),'Mapping A'!$B$6:$E$1011,4,0)=1,$E284,""),0)</f>
        <v>0</v>
      </c>
      <c r="T284" s="519">
        <f ca="1">_xlfn.IFNA(IF(VLOOKUP($B284&amp;OFFSET(T$10,$A284*2,0),'Mapping A'!$B$6:$E$1011,4,0)=1,$E284,""),0)</f>
        <v>0</v>
      </c>
      <c r="Y284" s="534" t="str">
        <f t="shared" si="111"/>
        <v>BWK1101TrustPower</v>
      </c>
      <c r="Z284" s="519" t="str">
        <f t="shared" ref="Z284:AB284" si="166">C50</f>
        <v>TrustPower</v>
      </c>
      <c r="AA284" s="519" t="str">
        <f t="shared" si="166"/>
        <v>BWK1101</v>
      </c>
      <c r="AB284" s="519">
        <f t="shared" si="166"/>
        <v>0.1008</v>
      </c>
      <c r="AC284" s="324"/>
      <c r="AE284" s="519">
        <f t="shared" ca="1" si="95"/>
        <v>0</v>
      </c>
      <c r="AF284" s="519">
        <f t="shared" ca="1" si="96"/>
        <v>0</v>
      </c>
      <c r="AG284" s="519">
        <f t="shared" ca="1" si="97"/>
        <v>0</v>
      </c>
      <c r="AH284" s="519">
        <f t="shared" ca="1" si="98"/>
        <v>0</v>
      </c>
      <c r="AI284" s="519">
        <f t="shared" ca="1" si="99"/>
        <v>0</v>
      </c>
      <c r="AJ284" s="519">
        <f t="shared" ca="1" si="100"/>
        <v>0</v>
      </c>
      <c r="AK284" s="519">
        <f t="shared" ca="1" si="101"/>
        <v>0</v>
      </c>
      <c r="AL284" s="519">
        <f t="shared" ca="1" si="102"/>
        <v>0</v>
      </c>
      <c r="AM284" s="519">
        <f t="shared" ca="1" si="103"/>
        <v>0</v>
      </c>
      <c r="AN284" s="519">
        <f t="shared" ca="1" si="104"/>
        <v>0</v>
      </c>
      <c r="AO284" s="519">
        <f t="shared" ca="1" si="105"/>
        <v>0</v>
      </c>
      <c r="AP284" s="519">
        <f t="shared" ca="1" si="106"/>
        <v>0</v>
      </c>
      <c r="AQ284" s="519">
        <f t="shared" ca="1" si="107"/>
        <v>0</v>
      </c>
    </row>
    <row r="285" spans="1:43" x14ac:dyDescent="0.3">
      <c r="A285" s="556">
        <f t="shared" si="108"/>
        <v>2</v>
      </c>
      <c r="B285" s="519" t="str">
        <f t="shared" si="109"/>
        <v>CBG</v>
      </c>
      <c r="C285" s="519" t="str">
        <f t="shared" ref="C285:E285" si="167">C51</f>
        <v>Waipa Power</v>
      </c>
      <c r="D285" s="519" t="str">
        <f t="shared" si="167"/>
        <v>CBG0111</v>
      </c>
      <c r="E285" s="519">
        <f t="shared" si="167"/>
        <v>41.208300000000001</v>
      </c>
      <c r="H285" s="519">
        <f ca="1">_xlfn.IFNA(IF(VLOOKUP($B285&amp;OFFSET(H$10,$A285*2,0),'Mapping A'!$B$6:$E$1011,4,0)=1,$E285,""),0)</f>
        <v>0</v>
      </c>
      <c r="I285" s="519">
        <f ca="1">_xlfn.IFNA(IF(VLOOKUP($B285&amp;OFFSET(I$10,$A285*2,0),'Mapping A'!$B$6:$E$1011,4,0)=1,$E285,""),0)</f>
        <v>0</v>
      </c>
      <c r="J285" s="519">
        <f ca="1">_xlfn.IFNA(IF(VLOOKUP($B285&amp;OFFSET(J$10,$A285*2,0),'Mapping A'!$B$6:$E$1011,4,0)=1,$E285,""),0)</f>
        <v>0</v>
      </c>
      <c r="K285" s="519">
        <f ca="1">_xlfn.IFNA(IF(VLOOKUP($B285&amp;OFFSET(K$10,$A285*2,0),'Mapping A'!$B$6:$E$1011,4,0)=1,$E285,""),0)</f>
        <v>0</v>
      </c>
      <c r="L285" s="519">
        <f ca="1">_xlfn.IFNA(IF(VLOOKUP($B285&amp;OFFSET(L$10,$A285*2,0),'Mapping A'!$B$6:$E$1011,4,0)=1,$E285,""),0)</f>
        <v>0</v>
      </c>
      <c r="M285" s="519">
        <f ca="1">_xlfn.IFNA(IF(VLOOKUP($B285&amp;OFFSET(M$10,$A285*2,0),'Mapping A'!$B$6:$E$1011,4,0)=1,$E285,""),0)</f>
        <v>0</v>
      </c>
      <c r="N285" s="519">
        <f ca="1">_xlfn.IFNA(IF(VLOOKUP($B285&amp;OFFSET(N$10,$A285*2,0),'Mapping A'!$B$6:$E$1011,4,0)=1,$E285,""),0)</f>
        <v>0</v>
      </c>
      <c r="O285" s="519">
        <f ca="1">_xlfn.IFNA(IF(VLOOKUP($B285&amp;OFFSET(O$10,$A285*2,0),'Mapping A'!$B$6:$E$1011,4,0)=1,$E285,""),0)</f>
        <v>0</v>
      </c>
      <c r="P285" s="519">
        <f ca="1">_xlfn.IFNA(IF(VLOOKUP($B285&amp;OFFSET(P$10,$A285*2,0),'Mapping A'!$B$6:$E$1011,4,0)=1,$E285,""),0)</f>
        <v>0</v>
      </c>
      <c r="Q285" s="519">
        <f ca="1">_xlfn.IFNA(IF(VLOOKUP($B285&amp;OFFSET(Q$10,$A285*2,0),'Mapping A'!$B$6:$E$1011,4,0)=1,$E285,""),0)</f>
        <v>0</v>
      </c>
      <c r="R285" s="519">
        <f ca="1">_xlfn.IFNA(IF(VLOOKUP($B285&amp;OFFSET(R$10,$A285*2,0),'Mapping A'!$B$6:$E$1011,4,0)=1,$E285,""),0)</f>
        <v>0</v>
      </c>
      <c r="S285" s="519">
        <f ca="1">_xlfn.IFNA(IF(VLOOKUP($B285&amp;OFFSET(S$10,$A285*2,0),'Mapping A'!$B$6:$E$1011,4,0)=1,$E285,""),0)</f>
        <v>0</v>
      </c>
      <c r="T285" s="519">
        <f ca="1">_xlfn.IFNA(IF(VLOOKUP($B285&amp;OFFSET(T$10,$A285*2,0),'Mapping A'!$B$6:$E$1011,4,0)=1,$E285,""),0)</f>
        <v>0</v>
      </c>
      <c r="Y285" s="534" t="str">
        <f t="shared" si="111"/>
        <v>CBG0111Waipa Power</v>
      </c>
      <c r="Z285" s="519" t="str">
        <f t="shared" ref="Z285:AB285" si="168">C51</f>
        <v>Waipa Power</v>
      </c>
      <c r="AA285" s="519" t="str">
        <f t="shared" si="168"/>
        <v>CBG0111</v>
      </c>
      <c r="AB285" s="519">
        <f t="shared" si="168"/>
        <v>41.208300000000001</v>
      </c>
      <c r="AC285" s="324"/>
      <c r="AE285" s="519">
        <f t="shared" ca="1" si="95"/>
        <v>0</v>
      </c>
      <c r="AF285" s="519">
        <f t="shared" ca="1" si="96"/>
        <v>0</v>
      </c>
      <c r="AG285" s="519">
        <f t="shared" ca="1" si="97"/>
        <v>0</v>
      </c>
      <c r="AH285" s="519">
        <f t="shared" ca="1" si="98"/>
        <v>0</v>
      </c>
      <c r="AI285" s="519">
        <f t="shared" ca="1" si="99"/>
        <v>0</v>
      </c>
      <c r="AJ285" s="519">
        <f t="shared" ca="1" si="100"/>
        <v>0</v>
      </c>
      <c r="AK285" s="519">
        <f t="shared" ca="1" si="101"/>
        <v>0</v>
      </c>
      <c r="AL285" s="519">
        <f t="shared" ca="1" si="102"/>
        <v>0</v>
      </c>
      <c r="AM285" s="519">
        <f t="shared" ca="1" si="103"/>
        <v>0</v>
      </c>
      <c r="AN285" s="519">
        <f t="shared" ca="1" si="104"/>
        <v>0</v>
      </c>
      <c r="AO285" s="519">
        <f t="shared" ca="1" si="105"/>
        <v>0</v>
      </c>
      <c r="AP285" s="519">
        <f t="shared" ca="1" si="106"/>
        <v>0</v>
      </c>
      <c r="AQ285" s="519">
        <f t="shared" ca="1" si="107"/>
        <v>0</v>
      </c>
    </row>
    <row r="286" spans="1:43" x14ac:dyDescent="0.3">
      <c r="A286" s="556">
        <f t="shared" si="108"/>
        <v>2</v>
      </c>
      <c r="B286" s="519" t="str">
        <f t="shared" si="109"/>
        <v>CLH</v>
      </c>
      <c r="C286" s="519" t="str">
        <f t="shared" ref="C286:E286" si="169">C52</f>
        <v>Orion</v>
      </c>
      <c r="D286" s="519" t="str">
        <f t="shared" si="169"/>
        <v>CLH0111</v>
      </c>
      <c r="E286" s="519">
        <f t="shared" si="169"/>
        <v>0.61529999999999996</v>
      </c>
      <c r="H286" s="519">
        <f ca="1">_xlfn.IFNA(IF(VLOOKUP($B286&amp;OFFSET(H$10,$A286*2,0),'Mapping A'!$B$6:$E$1011,4,0)=1,$E286,""),0)</f>
        <v>0</v>
      </c>
      <c r="I286" s="519">
        <f ca="1">_xlfn.IFNA(IF(VLOOKUP($B286&amp;OFFSET(I$10,$A286*2,0),'Mapping A'!$B$6:$E$1011,4,0)=1,$E286,""),0)</f>
        <v>0</v>
      </c>
      <c r="J286" s="519">
        <f ca="1">_xlfn.IFNA(IF(VLOOKUP($B286&amp;OFFSET(J$10,$A286*2,0),'Mapping A'!$B$6:$E$1011,4,0)=1,$E286,""),0)</f>
        <v>0.61529999999999996</v>
      </c>
      <c r="K286" s="519">
        <f ca="1">_xlfn.IFNA(IF(VLOOKUP($B286&amp;OFFSET(K$10,$A286*2,0),'Mapping A'!$B$6:$E$1011,4,0)=1,$E286,""),0)</f>
        <v>0</v>
      </c>
      <c r="L286" s="519">
        <f ca="1">_xlfn.IFNA(IF(VLOOKUP($B286&amp;OFFSET(L$10,$A286*2,0),'Mapping A'!$B$6:$E$1011,4,0)=1,$E286,""),0)</f>
        <v>0</v>
      </c>
      <c r="M286" s="519">
        <f ca="1">_xlfn.IFNA(IF(VLOOKUP($B286&amp;OFFSET(M$10,$A286*2,0),'Mapping A'!$B$6:$E$1011,4,0)=1,$E286,""),0)</f>
        <v>0</v>
      </c>
      <c r="N286" s="519">
        <f ca="1">_xlfn.IFNA(IF(VLOOKUP($B286&amp;OFFSET(N$10,$A286*2,0),'Mapping A'!$B$6:$E$1011,4,0)=1,$E286,""),0)</f>
        <v>0</v>
      </c>
      <c r="O286" s="519">
        <f ca="1">_xlfn.IFNA(IF(VLOOKUP($B286&amp;OFFSET(O$10,$A286*2,0),'Mapping A'!$B$6:$E$1011,4,0)=1,$E286,""),0)</f>
        <v>0</v>
      </c>
      <c r="P286" s="519">
        <f ca="1">_xlfn.IFNA(IF(VLOOKUP($B286&amp;OFFSET(P$10,$A286*2,0),'Mapping A'!$B$6:$E$1011,4,0)=1,$E286,""),0)</f>
        <v>0</v>
      </c>
      <c r="Q286" s="519">
        <f ca="1">_xlfn.IFNA(IF(VLOOKUP($B286&amp;OFFSET(Q$10,$A286*2,0),'Mapping A'!$B$6:$E$1011,4,0)=1,$E286,""),0)</f>
        <v>0</v>
      </c>
      <c r="R286" s="519">
        <f ca="1">_xlfn.IFNA(IF(VLOOKUP($B286&amp;OFFSET(R$10,$A286*2,0),'Mapping A'!$B$6:$E$1011,4,0)=1,$E286,""),0)</f>
        <v>0</v>
      </c>
      <c r="S286" s="519">
        <f ca="1">_xlfn.IFNA(IF(VLOOKUP($B286&amp;OFFSET(S$10,$A286*2,0),'Mapping A'!$B$6:$E$1011,4,0)=1,$E286,""),0)</f>
        <v>0</v>
      </c>
      <c r="T286" s="519">
        <f ca="1">_xlfn.IFNA(IF(VLOOKUP($B286&amp;OFFSET(T$10,$A286*2,0),'Mapping A'!$B$6:$E$1011,4,0)=1,$E286,""),0)</f>
        <v>0</v>
      </c>
      <c r="Y286" s="534" t="str">
        <f t="shared" si="111"/>
        <v>CLH0111Orion</v>
      </c>
      <c r="Z286" s="519" t="str">
        <f t="shared" ref="Z286:AB286" si="170">C52</f>
        <v>Orion</v>
      </c>
      <c r="AA286" s="519" t="str">
        <f t="shared" si="170"/>
        <v>CLH0111</v>
      </c>
      <c r="AB286" s="519">
        <f t="shared" si="170"/>
        <v>0.61529999999999996</v>
      </c>
      <c r="AC286" s="324"/>
      <c r="AE286" s="519">
        <f t="shared" ca="1" si="95"/>
        <v>0</v>
      </c>
      <c r="AF286" s="519">
        <f t="shared" ca="1" si="96"/>
        <v>0</v>
      </c>
      <c r="AG286" s="519">
        <f t="shared" ca="1" si="97"/>
        <v>0</v>
      </c>
      <c r="AH286" s="519">
        <f t="shared" ca="1" si="98"/>
        <v>0</v>
      </c>
      <c r="AI286" s="519">
        <f t="shared" ca="1" si="99"/>
        <v>0</v>
      </c>
      <c r="AJ286" s="519">
        <f t="shared" ca="1" si="100"/>
        <v>0</v>
      </c>
      <c r="AK286" s="519">
        <f t="shared" ca="1" si="101"/>
        <v>0</v>
      </c>
      <c r="AL286" s="519">
        <f t="shared" ca="1" si="102"/>
        <v>0</v>
      </c>
      <c r="AM286" s="519">
        <f t="shared" ca="1" si="103"/>
        <v>0</v>
      </c>
      <c r="AN286" s="519">
        <f t="shared" ca="1" si="104"/>
        <v>0</v>
      </c>
      <c r="AO286" s="519">
        <f t="shared" ca="1" si="105"/>
        <v>0</v>
      </c>
      <c r="AP286" s="519">
        <f t="shared" ca="1" si="106"/>
        <v>0</v>
      </c>
      <c r="AQ286" s="519">
        <f t="shared" ca="1" si="107"/>
        <v>0</v>
      </c>
    </row>
    <row r="287" spans="1:43" x14ac:dyDescent="0.3">
      <c r="A287" s="556">
        <f t="shared" si="108"/>
        <v>2</v>
      </c>
      <c r="B287" s="519" t="str">
        <f t="shared" si="109"/>
        <v>CML</v>
      </c>
      <c r="C287" s="519" t="str">
        <f t="shared" ref="C287:E287" si="171">C53</f>
        <v>Aurora Energy</v>
      </c>
      <c r="D287" s="519" t="str">
        <f t="shared" si="171"/>
        <v>CML0331</v>
      </c>
      <c r="E287" s="519">
        <f t="shared" si="171"/>
        <v>33.232500000000002</v>
      </c>
      <c r="H287" s="519">
        <f ca="1">_xlfn.IFNA(IF(VLOOKUP($B287&amp;OFFSET(H$10,$A287*2,0),'Mapping A'!$B$6:$E$1011,4,0)=1,$E287,""),0)</f>
        <v>0</v>
      </c>
      <c r="I287" s="519">
        <f ca="1">_xlfn.IFNA(IF(VLOOKUP($B287&amp;OFFSET(I$10,$A287*2,0),'Mapping A'!$B$6:$E$1011,4,0)=1,$E287,""),0)</f>
        <v>0</v>
      </c>
      <c r="J287" s="519">
        <f ca="1">_xlfn.IFNA(IF(VLOOKUP($B287&amp;OFFSET(J$10,$A287*2,0),'Mapping A'!$B$6:$E$1011,4,0)=1,$E287,""),0)</f>
        <v>33.232500000000002</v>
      </c>
      <c r="K287" s="519">
        <f ca="1">_xlfn.IFNA(IF(VLOOKUP($B287&amp;OFFSET(K$10,$A287*2,0),'Mapping A'!$B$6:$E$1011,4,0)=1,$E287,""),0)</f>
        <v>0</v>
      </c>
      <c r="L287" s="519">
        <f ca="1">_xlfn.IFNA(IF(VLOOKUP($B287&amp;OFFSET(L$10,$A287*2,0),'Mapping A'!$B$6:$E$1011,4,0)=1,$E287,""),0)</f>
        <v>0</v>
      </c>
      <c r="M287" s="519">
        <f ca="1">_xlfn.IFNA(IF(VLOOKUP($B287&amp;OFFSET(M$10,$A287*2,0),'Mapping A'!$B$6:$E$1011,4,0)=1,$E287,""),0)</f>
        <v>0</v>
      </c>
      <c r="N287" s="519">
        <f ca="1">_xlfn.IFNA(IF(VLOOKUP($B287&amp;OFFSET(N$10,$A287*2,0),'Mapping A'!$B$6:$E$1011,4,0)=1,$E287,""),0)</f>
        <v>0</v>
      </c>
      <c r="O287" s="519">
        <f ca="1">_xlfn.IFNA(IF(VLOOKUP($B287&amp;OFFSET(O$10,$A287*2,0),'Mapping A'!$B$6:$E$1011,4,0)=1,$E287,""),0)</f>
        <v>0</v>
      </c>
      <c r="P287" s="519">
        <f ca="1">_xlfn.IFNA(IF(VLOOKUP($B287&amp;OFFSET(P$10,$A287*2,0),'Mapping A'!$B$6:$E$1011,4,0)=1,$E287,""),0)</f>
        <v>0</v>
      </c>
      <c r="Q287" s="519">
        <f ca="1">_xlfn.IFNA(IF(VLOOKUP($B287&amp;OFFSET(Q$10,$A287*2,0),'Mapping A'!$B$6:$E$1011,4,0)=1,$E287,""),0)</f>
        <v>0</v>
      </c>
      <c r="R287" s="519">
        <f ca="1">_xlfn.IFNA(IF(VLOOKUP($B287&amp;OFFSET(R$10,$A287*2,0),'Mapping A'!$B$6:$E$1011,4,0)=1,$E287,""),0)</f>
        <v>0</v>
      </c>
      <c r="S287" s="519">
        <f ca="1">_xlfn.IFNA(IF(VLOOKUP($B287&amp;OFFSET(S$10,$A287*2,0),'Mapping A'!$B$6:$E$1011,4,0)=1,$E287,""),0)</f>
        <v>0</v>
      </c>
      <c r="T287" s="519">
        <f ca="1">_xlfn.IFNA(IF(VLOOKUP($B287&amp;OFFSET(T$10,$A287*2,0),'Mapping A'!$B$6:$E$1011,4,0)=1,$E287,""),0)</f>
        <v>0</v>
      </c>
      <c r="Y287" s="534" t="str">
        <f t="shared" si="111"/>
        <v>CML0331Aurora Energy</v>
      </c>
      <c r="Z287" s="519" t="str">
        <f t="shared" ref="Z287:AB287" si="172">C53</f>
        <v>Aurora Energy</v>
      </c>
      <c r="AA287" s="519" t="str">
        <f t="shared" si="172"/>
        <v>CML0331</v>
      </c>
      <c r="AB287" s="519">
        <f t="shared" si="172"/>
        <v>33.232500000000002</v>
      </c>
      <c r="AC287" s="324"/>
      <c r="AE287" s="519">
        <f t="shared" ca="1" si="95"/>
        <v>0</v>
      </c>
      <c r="AF287" s="519">
        <f t="shared" ca="1" si="96"/>
        <v>0</v>
      </c>
      <c r="AG287" s="519">
        <f t="shared" ca="1" si="97"/>
        <v>0</v>
      </c>
      <c r="AH287" s="519">
        <f t="shared" ca="1" si="98"/>
        <v>0</v>
      </c>
      <c r="AI287" s="519">
        <f t="shared" ca="1" si="99"/>
        <v>0</v>
      </c>
      <c r="AJ287" s="519">
        <f t="shared" ca="1" si="100"/>
        <v>0</v>
      </c>
      <c r="AK287" s="519">
        <f t="shared" ca="1" si="101"/>
        <v>0</v>
      </c>
      <c r="AL287" s="519">
        <f t="shared" ca="1" si="102"/>
        <v>0</v>
      </c>
      <c r="AM287" s="519">
        <f t="shared" ca="1" si="103"/>
        <v>0</v>
      </c>
      <c r="AN287" s="519">
        <f t="shared" ca="1" si="104"/>
        <v>0</v>
      </c>
      <c r="AO287" s="519">
        <f t="shared" ca="1" si="105"/>
        <v>0</v>
      </c>
      <c r="AP287" s="519">
        <f t="shared" ca="1" si="106"/>
        <v>0</v>
      </c>
      <c r="AQ287" s="519">
        <f t="shared" ca="1" si="107"/>
        <v>0</v>
      </c>
    </row>
    <row r="288" spans="1:43" x14ac:dyDescent="0.3">
      <c r="A288" s="556">
        <f t="shared" si="108"/>
        <v>2</v>
      </c>
      <c r="B288" s="519" t="str">
        <f t="shared" si="109"/>
        <v>COB</v>
      </c>
      <c r="C288" s="519" t="str">
        <f t="shared" ref="C288:E288" si="173">C54</f>
        <v>TrustPower</v>
      </c>
      <c r="D288" s="519" t="str">
        <f t="shared" si="173"/>
        <v>COB0661</v>
      </c>
      <c r="E288" s="519">
        <f t="shared" si="173"/>
        <v>0.12180000000000001</v>
      </c>
      <c r="H288" s="519">
        <f ca="1">_xlfn.IFNA(IF(VLOOKUP($B288&amp;OFFSET(H$10,$A288*2,0),'Mapping A'!$B$6:$E$1011,4,0)=1,$E288,""),0)</f>
        <v>0</v>
      </c>
      <c r="I288" s="519">
        <f ca="1">_xlfn.IFNA(IF(VLOOKUP($B288&amp;OFFSET(I$10,$A288*2,0),'Mapping A'!$B$6:$E$1011,4,0)=1,$E288,""),0)</f>
        <v>0</v>
      </c>
      <c r="J288" s="519">
        <f ca="1">_xlfn.IFNA(IF(VLOOKUP($B288&amp;OFFSET(J$10,$A288*2,0),'Mapping A'!$B$6:$E$1011,4,0)=1,$E288,""),0)</f>
        <v>0</v>
      </c>
      <c r="K288" s="519">
        <f ca="1">_xlfn.IFNA(IF(VLOOKUP($B288&amp;OFFSET(K$10,$A288*2,0),'Mapping A'!$B$6:$E$1011,4,0)=1,$E288,""),0)</f>
        <v>0</v>
      </c>
      <c r="L288" s="519">
        <f ca="1">_xlfn.IFNA(IF(VLOOKUP($B288&amp;OFFSET(L$10,$A288*2,0),'Mapping A'!$B$6:$E$1011,4,0)=1,$E288,""),0)</f>
        <v>0</v>
      </c>
      <c r="M288" s="519">
        <f ca="1">_xlfn.IFNA(IF(VLOOKUP($B288&amp;OFFSET(M$10,$A288*2,0),'Mapping A'!$B$6:$E$1011,4,0)=1,$E288,""),0)</f>
        <v>0</v>
      </c>
      <c r="N288" s="519">
        <f ca="1">_xlfn.IFNA(IF(VLOOKUP($B288&amp;OFFSET(N$10,$A288*2,0),'Mapping A'!$B$6:$E$1011,4,0)=1,$E288,""),0)</f>
        <v>0</v>
      </c>
      <c r="O288" s="519">
        <f ca="1">_xlfn.IFNA(IF(VLOOKUP($B288&amp;OFFSET(O$10,$A288*2,0),'Mapping A'!$B$6:$E$1011,4,0)=1,$E288,""),0)</f>
        <v>0</v>
      </c>
      <c r="P288" s="519">
        <f ca="1">_xlfn.IFNA(IF(VLOOKUP($B288&amp;OFFSET(P$10,$A288*2,0),'Mapping A'!$B$6:$E$1011,4,0)=1,$E288,""),0)</f>
        <v>0</v>
      </c>
      <c r="Q288" s="519">
        <f ca="1">_xlfn.IFNA(IF(VLOOKUP($B288&amp;OFFSET(Q$10,$A288*2,0),'Mapping A'!$B$6:$E$1011,4,0)=1,$E288,""),0)</f>
        <v>0</v>
      </c>
      <c r="R288" s="519">
        <f ca="1">_xlfn.IFNA(IF(VLOOKUP($B288&amp;OFFSET(R$10,$A288*2,0),'Mapping A'!$B$6:$E$1011,4,0)=1,$E288,""),0)</f>
        <v>0</v>
      </c>
      <c r="S288" s="519">
        <f ca="1">_xlfn.IFNA(IF(VLOOKUP($B288&amp;OFFSET(S$10,$A288*2,0),'Mapping A'!$B$6:$E$1011,4,0)=1,$E288,""),0)</f>
        <v>0</v>
      </c>
      <c r="T288" s="519">
        <f ca="1">_xlfn.IFNA(IF(VLOOKUP($B288&amp;OFFSET(T$10,$A288*2,0),'Mapping A'!$B$6:$E$1011,4,0)=1,$E288,""),0)</f>
        <v>0</v>
      </c>
      <c r="Y288" s="534" t="str">
        <f t="shared" si="111"/>
        <v>COB0661TrustPower</v>
      </c>
      <c r="Z288" s="519" t="str">
        <f t="shared" ref="Z288:AB288" si="174">C54</f>
        <v>TrustPower</v>
      </c>
      <c r="AA288" s="519" t="str">
        <f t="shared" si="174"/>
        <v>COB0661</v>
      </c>
      <c r="AB288" s="519">
        <f t="shared" si="174"/>
        <v>0.12180000000000001</v>
      </c>
      <c r="AC288" s="324"/>
      <c r="AE288" s="519">
        <f t="shared" ca="1" si="95"/>
        <v>0</v>
      </c>
      <c r="AF288" s="519">
        <f t="shared" ca="1" si="96"/>
        <v>0</v>
      </c>
      <c r="AG288" s="519">
        <f t="shared" ca="1" si="97"/>
        <v>0</v>
      </c>
      <c r="AH288" s="519">
        <f t="shared" ca="1" si="98"/>
        <v>0</v>
      </c>
      <c r="AI288" s="519">
        <f t="shared" ca="1" si="99"/>
        <v>0</v>
      </c>
      <c r="AJ288" s="519">
        <f t="shared" ca="1" si="100"/>
        <v>0</v>
      </c>
      <c r="AK288" s="519">
        <f t="shared" ca="1" si="101"/>
        <v>0</v>
      </c>
      <c r="AL288" s="519">
        <f t="shared" ca="1" si="102"/>
        <v>0</v>
      </c>
      <c r="AM288" s="519">
        <f t="shared" ca="1" si="103"/>
        <v>0</v>
      </c>
      <c r="AN288" s="519">
        <f t="shared" ca="1" si="104"/>
        <v>0</v>
      </c>
      <c r="AO288" s="519">
        <f t="shared" ca="1" si="105"/>
        <v>0</v>
      </c>
      <c r="AP288" s="519">
        <f t="shared" ca="1" si="106"/>
        <v>0</v>
      </c>
      <c r="AQ288" s="519">
        <f t="shared" ca="1" si="107"/>
        <v>0</v>
      </c>
    </row>
    <row r="289" spans="1:43" x14ac:dyDescent="0.3">
      <c r="A289" s="556">
        <f t="shared" si="108"/>
        <v>2</v>
      </c>
      <c r="B289" s="519" t="str">
        <f t="shared" si="109"/>
        <v>COL</v>
      </c>
      <c r="C289" s="519" t="str">
        <f t="shared" ref="C289:E289" si="175">C55</f>
        <v>Orion</v>
      </c>
      <c r="D289" s="519" t="str">
        <f t="shared" si="175"/>
        <v>COL0111</v>
      </c>
      <c r="E289" s="519">
        <f t="shared" si="175"/>
        <v>0.40110000000000001</v>
      </c>
      <c r="H289" s="519">
        <f ca="1">_xlfn.IFNA(IF(VLOOKUP($B289&amp;OFFSET(H$10,$A289*2,0),'Mapping A'!$B$6:$E$1011,4,0)=1,$E289,""),0)</f>
        <v>0</v>
      </c>
      <c r="I289" s="519">
        <f ca="1">_xlfn.IFNA(IF(VLOOKUP($B289&amp;OFFSET(I$10,$A289*2,0),'Mapping A'!$B$6:$E$1011,4,0)=1,$E289,""),0)</f>
        <v>0</v>
      </c>
      <c r="J289" s="519">
        <f ca="1">_xlfn.IFNA(IF(VLOOKUP($B289&amp;OFFSET(J$10,$A289*2,0),'Mapping A'!$B$6:$E$1011,4,0)=1,$E289,""),0)</f>
        <v>0.40110000000000001</v>
      </c>
      <c r="K289" s="519">
        <f ca="1">_xlfn.IFNA(IF(VLOOKUP($B289&amp;OFFSET(K$10,$A289*2,0),'Mapping A'!$B$6:$E$1011,4,0)=1,$E289,""),0)</f>
        <v>0</v>
      </c>
      <c r="L289" s="519">
        <f ca="1">_xlfn.IFNA(IF(VLOOKUP($B289&amp;OFFSET(L$10,$A289*2,0),'Mapping A'!$B$6:$E$1011,4,0)=1,$E289,""),0)</f>
        <v>0</v>
      </c>
      <c r="M289" s="519">
        <f ca="1">_xlfn.IFNA(IF(VLOOKUP($B289&amp;OFFSET(M$10,$A289*2,0),'Mapping A'!$B$6:$E$1011,4,0)=1,$E289,""),0)</f>
        <v>0</v>
      </c>
      <c r="N289" s="519">
        <f ca="1">_xlfn.IFNA(IF(VLOOKUP($B289&amp;OFFSET(N$10,$A289*2,0),'Mapping A'!$B$6:$E$1011,4,0)=1,$E289,""),0)</f>
        <v>0</v>
      </c>
      <c r="O289" s="519">
        <f ca="1">_xlfn.IFNA(IF(VLOOKUP($B289&amp;OFFSET(O$10,$A289*2,0),'Mapping A'!$B$6:$E$1011,4,0)=1,$E289,""),0)</f>
        <v>0</v>
      </c>
      <c r="P289" s="519">
        <f ca="1">_xlfn.IFNA(IF(VLOOKUP($B289&amp;OFFSET(P$10,$A289*2,0),'Mapping A'!$B$6:$E$1011,4,0)=1,$E289,""),0)</f>
        <v>0</v>
      </c>
      <c r="Q289" s="519">
        <f ca="1">_xlfn.IFNA(IF(VLOOKUP($B289&amp;OFFSET(Q$10,$A289*2,0),'Mapping A'!$B$6:$E$1011,4,0)=1,$E289,""),0)</f>
        <v>0</v>
      </c>
      <c r="R289" s="519">
        <f ca="1">_xlfn.IFNA(IF(VLOOKUP($B289&amp;OFFSET(R$10,$A289*2,0),'Mapping A'!$B$6:$E$1011,4,0)=1,$E289,""),0)</f>
        <v>0</v>
      </c>
      <c r="S289" s="519">
        <f ca="1">_xlfn.IFNA(IF(VLOOKUP($B289&amp;OFFSET(S$10,$A289*2,0),'Mapping A'!$B$6:$E$1011,4,0)=1,$E289,""),0)</f>
        <v>0</v>
      </c>
      <c r="T289" s="519">
        <f ca="1">_xlfn.IFNA(IF(VLOOKUP($B289&amp;OFFSET(T$10,$A289*2,0),'Mapping A'!$B$6:$E$1011,4,0)=1,$E289,""),0)</f>
        <v>0</v>
      </c>
      <c r="Y289" s="534" t="str">
        <f t="shared" si="111"/>
        <v>COL0111Orion</v>
      </c>
      <c r="Z289" s="519" t="str">
        <f t="shared" ref="Z289:AB289" si="176">C55</f>
        <v>Orion</v>
      </c>
      <c r="AA289" s="519" t="str">
        <f t="shared" si="176"/>
        <v>COL0111</v>
      </c>
      <c r="AB289" s="519">
        <f t="shared" si="176"/>
        <v>0.40110000000000001</v>
      </c>
      <c r="AC289" s="324"/>
      <c r="AE289" s="519">
        <f t="shared" ca="1" si="95"/>
        <v>0</v>
      </c>
      <c r="AF289" s="519">
        <f t="shared" ca="1" si="96"/>
        <v>0</v>
      </c>
      <c r="AG289" s="519">
        <f t="shared" ca="1" si="97"/>
        <v>0</v>
      </c>
      <c r="AH289" s="519">
        <f t="shared" ca="1" si="98"/>
        <v>0</v>
      </c>
      <c r="AI289" s="519">
        <f t="shared" ca="1" si="99"/>
        <v>0</v>
      </c>
      <c r="AJ289" s="519">
        <f t="shared" ca="1" si="100"/>
        <v>0</v>
      </c>
      <c r="AK289" s="519">
        <f t="shared" ca="1" si="101"/>
        <v>0</v>
      </c>
      <c r="AL289" s="519">
        <f t="shared" ca="1" si="102"/>
        <v>0</v>
      </c>
      <c r="AM289" s="519">
        <f t="shared" ca="1" si="103"/>
        <v>0</v>
      </c>
      <c r="AN289" s="519">
        <f t="shared" ca="1" si="104"/>
        <v>0</v>
      </c>
      <c r="AO289" s="519">
        <f t="shared" ca="1" si="105"/>
        <v>0</v>
      </c>
      <c r="AP289" s="519">
        <f t="shared" ca="1" si="106"/>
        <v>0</v>
      </c>
      <c r="AQ289" s="519">
        <f t="shared" ca="1" si="107"/>
        <v>0</v>
      </c>
    </row>
    <row r="290" spans="1:43" x14ac:dyDescent="0.3">
      <c r="A290" s="556">
        <f t="shared" si="108"/>
        <v>2</v>
      </c>
      <c r="B290" s="519" t="str">
        <f t="shared" si="109"/>
        <v>COL</v>
      </c>
      <c r="C290" s="519" t="str">
        <f t="shared" ref="C290:E290" si="177">C56</f>
        <v>TrustPower</v>
      </c>
      <c r="D290" s="519" t="str">
        <f t="shared" si="177"/>
        <v>COL0661</v>
      </c>
      <c r="E290" s="519">
        <f t="shared" si="177"/>
        <v>9.6600000000000005E-2</v>
      </c>
      <c r="H290" s="519">
        <f ca="1">_xlfn.IFNA(IF(VLOOKUP($B290&amp;OFFSET(H$10,$A290*2,0),'Mapping A'!$B$6:$E$1011,4,0)=1,$E290,""),0)</f>
        <v>0</v>
      </c>
      <c r="I290" s="519">
        <f ca="1">_xlfn.IFNA(IF(VLOOKUP($B290&amp;OFFSET(I$10,$A290*2,0),'Mapping A'!$B$6:$E$1011,4,0)=1,$E290,""),0)</f>
        <v>0</v>
      </c>
      <c r="J290" s="519">
        <f ca="1">_xlfn.IFNA(IF(VLOOKUP($B290&amp;OFFSET(J$10,$A290*2,0),'Mapping A'!$B$6:$E$1011,4,0)=1,$E290,""),0)</f>
        <v>9.6600000000000005E-2</v>
      </c>
      <c r="K290" s="519">
        <f ca="1">_xlfn.IFNA(IF(VLOOKUP($B290&amp;OFFSET(K$10,$A290*2,0),'Mapping A'!$B$6:$E$1011,4,0)=1,$E290,""),0)</f>
        <v>0</v>
      </c>
      <c r="L290" s="519">
        <f ca="1">_xlfn.IFNA(IF(VLOOKUP($B290&amp;OFFSET(L$10,$A290*2,0),'Mapping A'!$B$6:$E$1011,4,0)=1,$E290,""),0)</f>
        <v>0</v>
      </c>
      <c r="M290" s="519">
        <f ca="1">_xlfn.IFNA(IF(VLOOKUP($B290&amp;OFFSET(M$10,$A290*2,0),'Mapping A'!$B$6:$E$1011,4,0)=1,$E290,""),0)</f>
        <v>0</v>
      </c>
      <c r="N290" s="519">
        <f ca="1">_xlfn.IFNA(IF(VLOOKUP($B290&amp;OFFSET(N$10,$A290*2,0),'Mapping A'!$B$6:$E$1011,4,0)=1,$E290,""),0)</f>
        <v>0</v>
      </c>
      <c r="O290" s="519">
        <f ca="1">_xlfn.IFNA(IF(VLOOKUP($B290&amp;OFFSET(O$10,$A290*2,0),'Mapping A'!$B$6:$E$1011,4,0)=1,$E290,""),0)</f>
        <v>0</v>
      </c>
      <c r="P290" s="519">
        <f ca="1">_xlfn.IFNA(IF(VLOOKUP($B290&amp;OFFSET(P$10,$A290*2,0),'Mapping A'!$B$6:$E$1011,4,0)=1,$E290,""),0)</f>
        <v>0</v>
      </c>
      <c r="Q290" s="519">
        <f ca="1">_xlfn.IFNA(IF(VLOOKUP($B290&amp;OFFSET(Q$10,$A290*2,0),'Mapping A'!$B$6:$E$1011,4,0)=1,$E290,""),0)</f>
        <v>0</v>
      </c>
      <c r="R290" s="519">
        <f ca="1">_xlfn.IFNA(IF(VLOOKUP($B290&amp;OFFSET(R$10,$A290*2,0),'Mapping A'!$B$6:$E$1011,4,0)=1,$E290,""),0)</f>
        <v>0</v>
      </c>
      <c r="S290" s="519">
        <f ca="1">_xlfn.IFNA(IF(VLOOKUP($B290&amp;OFFSET(S$10,$A290*2,0),'Mapping A'!$B$6:$E$1011,4,0)=1,$E290,""),0)</f>
        <v>0</v>
      </c>
      <c r="T290" s="519">
        <f ca="1">_xlfn.IFNA(IF(VLOOKUP($B290&amp;OFFSET(T$10,$A290*2,0),'Mapping A'!$B$6:$E$1011,4,0)=1,$E290,""),0)</f>
        <v>0</v>
      </c>
      <c r="Y290" s="534" t="str">
        <f t="shared" si="111"/>
        <v>COL0661TrustPower</v>
      </c>
      <c r="Z290" s="519" t="str">
        <f t="shared" ref="Z290:AB290" si="178">C56</f>
        <v>TrustPower</v>
      </c>
      <c r="AA290" s="519" t="str">
        <f t="shared" si="178"/>
        <v>COL0661</v>
      </c>
      <c r="AB290" s="519">
        <f t="shared" si="178"/>
        <v>9.6600000000000005E-2</v>
      </c>
      <c r="AC290" s="324"/>
      <c r="AE290" s="519">
        <f t="shared" ca="1" si="95"/>
        <v>0</v>
      </c>
      <c r="AF290" s="519">
        <f t="shared" ca="1" si="96"/>
        <v>0</v>
      </c>
      <c r="AG290" s="519">
        <f t="shared" ca="1" si="97"/>
        <v>0</v>
      </c>
      <c r="AH290" s="519">
        <f t="shared" ca="1" si="98"/>
        <v>0</v>
      </c>
      <c r="AI290" s="519">
        <f t="shared" ca="1" si="99"/>
        <v>0</v>
      </c>
      <c r="AJ290" s="519">
        <f t="shared" ca="1" si="100"/>
        <v>0</v>
      </c>
      <c r="AK290" s="519">
        <f t="shared" ca="1" si="101"/>
        <v>0</v>
      </c>
      <c r="AL290" s="519">
        <f t="shared" ca="1" si="102"/>
        <v>0</v>
      </c>
      <c r="AM290" s="519">
        <f t="shared" ca="1" si="103"/>
        <v>0</v>
      </c>
      <c r="AN290" s="519">
        <f t="shared" ca="1" si="104"/>
        <v>0</v>
      </c>
      <c r="AO290" s="519">
        <f t="shared" ca="1" si="105"/>
        <v>0</v>
      </c>
      <c r="AP290" s="519">
        <f t="shared" ca="1" si="106"/>
        <v>0</v>
      </c>
      <c r="AQ290" s="519">
        <f t="shared" ca="1" si="107"/>
        <v>0</v>
      </c>
    </row>
    <row r="291" spans="1:43" x14ac:dyDescent="0.3">
      <c r="A291" s="556">
        <f t="shared" si="108"/>
        <v>2</v>
      </c>
      <c r="B291" s="519" t="str">
        <f t="shared" si="109"/>
        <v>CPK</v>
      </c>
      <c r="C291" s="519" t="str">
        <f t="shared" ref="C291:E291" si="179">C57</f>
        <v>Wellington Electricity</v>
      </c>
      <c r="D291" s="519" t="str">
        <f t="shared" si="179"/>
        <v>CPK0111</v>
      </c>
      <c r="E291" s="519">
        <f t="shared" si="179"/>
        <v>24.2193</v>
      </c>
      <c r="H291" s="519">
        <f ca="1">_xlfn.IFNA(IF(VLOOKUP($B291&amp;OFFSET(H$10,$A291*2,0),'Mapping A'!$B$6:$E$1011,4,0)=1,$E291,""),0)</f>
        <v>0</v>
      </c>
      <c r="I291" s="519">
        <f ca="1">_xlfn.IFNA(IF(VLOOKUP($B291&amp;OFFSET(I$10,$A291*2,0),'Mapping A'!$B$6:$E$1011,4,0)=1,$E291,""),0)</f>
        <v>0</v>
      </c>
      <c r="J291" s="519">
        <f ca="1">_xlfn.IFNA(IF(VLOOKUP($B291&amp;OFFSET(J$10,$A291*2,0),'Mapping A'!$B$6:$E$1011,4,0)=1,$E291,""),0)</f>
        <v>0</v>
      </c>
      <c r="K291" s="519">
        <f ca="1">_xlfn.IFNA(IF(VLOOKUP($B291&amp;OFFSET(K$10,$A291*2,0),'Mapping A'!$B$6:$E$1011,4,0)=1,$E291,""),0)</f>
        <v>0</v>
      </c>
      <c r="L291" s="519">
        <f ca="1">_xlfn.IFNA(IF(VLOOKUP($B291&amp;OFFSET(L$10,$A291*2,0),'Mapping A'!$B$6:$E$1011,4,0)=1,$E291,""),0)</f>
        <v>0</v>
      </c>
      <c r="M291" s="519">
        <f ca="1">_xlfn.IFNA(IF(VLOOKUP($B291&amp;OFFSET(M$10,$A291*2,0),'Mapping A'!$B$6:$E$1011,4,0)=1,$E291,""),0)</f>
        <v>0</v>
      </c>
      <c r="N291" s="519">
        <f ca="1">_xlfn.IFNA(IF(VLOOKUP($B291&amp;OFFSET(N$10,$A291*2,0),'Mapping A'!$B$6:$E$1011,4,0)=1,$E291,""),0)</f>
        <v>0</v>
      </c>
      <c r="O291" s="519">
        <f ca="1">_xlfn.IFNA(IF(VLOOKUP($B291&amp;OFFSET(O$10,$A291*2,0),'Mapping A'!$B$6:$E$1011,4,0)=1,$E291,""),0)</f>
        <v>0</v>
      </c>
      <c r="P291" s="519">
        <f ca="1">_xlfn.IFNA(IF(VLOOKUP($B291&amp;OFFSET(P$10,$A291*2,0),'Mapping A'!$B$6:$E$1011,4,0)=1,$E291,""),0)</f>
        <v>0</v>
      </c>
      <c r="Q291" s="519">
        <f ca="1">_xlfn.IFNA(IF(VLOOKUP($B291&amp;OFFSET(Q$10,$A291*2,0),'Mapping A'!$B$6:$E$1011,4,0)=1,$E291,""),0)</f>
        <v>0</v>
      </c>
      <c r="R291" s="519">
        <f ca="1">_xlfn.IFNA(IF(VLOOKUP($B291&amp;OFFSET(R$10,$A291*2,0),'Mapping A'!$B$6:$E$1011,4,0)=1,$E291,""),0)</f>
        <v>0</v>
      </c>
      <c r="S291" s="519">
        <f ca="1">_xlfn.IFNA(IF(VLOOKUP($B291&amp;OFFSET(S$10,$A291*2,0),'Mapping A'!$B$6:$E$1011,4,0)=1,$E291,""),0)</f>
        <v>0</v>
      </c>
      <c r="T291" s="519">
        <f ca="1">_xlfn.IFNA(IF(VLOOKUP($B291&amp;OFFSET(T$10,$A291*2,0),'Mapping A'!$B$6:$E$1011,4,0)=1,$E291,""),0)</f>
        <v>0</v>
      </c>
      <c r="Y291" s="534" t="str">
        <f t="shared" si="111"/>
        <v>CPK0111Wellington Electricity</v>
      </c>
      <c r="Z291" s="519" t="str">
        <f t="shared" ref="Z291:AB291" si="180">C57</f>
        <v>Wellington Electricity</v>
      </c>
      <c r="AA291" s="519" t="str">
        <f t="shared" si="180"/>
        <v>CPK0111</v>
      </c>
      <c r="AB291" s="519">
        <f t="shared" si="180"/>
        <v>24.2193</v>
      </c>
      <c r="AC291" s="324"/>
      <c r="AE291" s="519">
        <f t="shared" ca="1" si="95"/>
        <v>0</v>
      </c>
      <c r="AF291" s="519">
        <f t="shared" ca="1" si="96"/>
        <v>0</v>
      </c>
      <c r="AG291" s="519">
        <f t="shared" ca="1" si="97"/>
        <v>0</v>
      </c>
      <c r="AH291" s="519">
        <f t="shared" ca="1" si="98"/>
        <v>0</v>
      </c>
      <c r="AI291" s="519">
        <f t="shared" ca="1" si="99"/>
        <v>0</v>
      </c>
      <c r="AJ291" s="519">
        <f t="shared" ca="1" si="100"/>
        <v>0</v>
      </c>
      <c r="AK291" s="519">
        <f t="shared" ca="1" si="101"/>
        <v>0</v>
      </c>
      <c r="AL291" s="519">
        <f t="shared" ca="1" si="102"/>
        <v>0</v>
      </c>
      <c r="AM291" s="519">
        <f t="shared" ca="1" si="103"/>
        <v>0</v>
      </c>
      <c r="AN291" s="519">
        <f t="shared" ca="1" si="104"/>
        <v>0</v>
      </c>
      <c r="AO291" s="519">
        <f t="shared" ca="1" si="105"/>
        <v>0</v>
      </c>
      <c r="AP291" s="519">
        <f t="shared" ca="1" si="106"/>
        <v>0</v>
      </c>
      <c r="AQ291" s="519">
        <f t="shared" ca="1" si="107"/>
        <v>0</v>
      </c>
    </row>
    <row r="292" spans="1:43" x14ac:dyDescent="0.3">
      <c r="A292" s="556">
        <f t="shared" si="108"/>
        <v>2</v>
      </c>
      <c r="B292" s="519" t="str">
        <f t="shared" si="109"/>
        <v>CPK</v>
      </c>
      <c r="C292" s="519" t="str">
        <f t="shared" ref="C292:E292" si="181">C58</f>
        <v>Wellington Electricity</v>
      </c>
      <c r="D292" s="519" t="str">
        <f t="shared" si="181"/>
        <v>CPK0331</v>
      </c>
      <c r="E292" s="519">
        <f t="shared" si="181"/>
        <v>165.72149999999999</v>
      </c>
      <c r="H292" s="519">
        <f ca="1">_xlfn.IFNA(IF(VLOOKUP($B292&amp;OFFSET(H$10,$A292*2,0),'Mapping A'!$B$6:$E$1011,4,0)=1,$E292,""),0)</f>
        <v>0</v>
      </c>
      <c r="I292" s="519">
        <f ca="1">_xlfn.IFNA(IF(VLOOKUP($B292&amp;OFFSET(I$10,$A292*2,0),'Mapping A'!$B$6:$E$1011,4,0)=1,$E292,""),0)</f>
        <v>0</v>
      </c>
      <c r="J292" s="519">
        <f ca="1">_xlfn.IFNA(IF(VLOOKUP($B292&amp;OFFSET(J$10,$A292*2,0),'Mapping A'!$B$6:$E$1011,4,0)=1,$E292,""),0)</f>
        <v>0</v>
      </c>
      <c r="K292" s="519">
        <f ca="1">_xlfn.IFNA(IF(VLOOKUP($B292&amp;OFFSET(K$10,$A292*2,0),'Mapping A'!$B$6:$E$1011,4,0)=1,$E292,""),0)</f>
        <v>0</v>
      </c>
      <c r="L292" s="519">
        <f ca="1">_xlfn.IFNA(IF(VLOOKUP($B292&amp;OFFSET(L$10,$A292*2,0),'Mapping A'!$B$6:$E$1011,4,0)=1,$E292,""),0)</f>
        <v>0</v>
      </c>
      <c r="M292" s="519">
        <f ca="1">_xlfn.IFNA(IF(VLOOKUP($B292&amp;OFFSET(M$10,$A292*2,0),'Mapping A'!$B$6:$E$1011,4,0)=1,$E292,""),0)</f>
        <v>0</v>
      </c>
      <c r="N292" s="519">
        <f ca="1">_xlfn.IFNA(IF(VLOOKUP($B292&amp;OFFSET(N$10,$A292*2,0),'Mapping A'!$B$6:$E$1011,4,0)=1,$E292,""),0)</f>
        <v>0</v>
      </c>
      <c r="O292" s="519">
        <f ca="1">_xlfn.IFNA(IF(VLOOKUP($B292&amp;OFFSET(O$10,$A292*2,0),'Mapping A'!$B$6:$E$1011,4,0)=1,$E292,""),0)</f>
        <v>0</v>
      </c>
      <c r="P292" s="519">
        <f ca="1">_xlfn.IFNA(IF(VLOOKUP($B292&amp;OFFSET(P$10,$A292*2,0),'Mapping A'!$B$6:$E$1011,4,0)=1,$E292,""),0)</f>
        <v>0</v>
      </c>
      <c r="Q292" s="519">
        <f ca="1">_xlfn.IFNA(IF(VLOOKUP($B292&amp;OFFSET(Q$10,$A292*2,0),'Mapping A'!$B$6:$E$1011,4,0)=1,$E292,""),0)</f>
        <v>0</v>
      </c>
      <c r="R292" s="519">
        <f ca="1">_xlfn.IFNA(IF(VLOOKUP($B292&amp;OFFSET(R$10,$A292*2,0),'Mapping A'!$B$6:$E$1011,4,0)=1,$E292,""),0)</f>
        <v>0</v>
      </c>
      <c r="S292" s="519">
        <f ca="1">_xlfn.IFNA(IF(VLOOKUP($B292&amp;OFFSET(S$10,$A292*2,0),'Mapping A'!$B$6:$E$1011,4,0)=1,$E292,""),0)</f>
        <v>0</v>
      </c>
      <c r="T292" s="519">
        <f ca="1">_xlfn.IFNA(IF(VLOOKUP($B292&amp;OFFSET(T$10,$A292*2,0),'Mapping A'!$B$6:$E$1011,4,0)=1,$E292,""),0)</f>
        <v>0</v>
      </c>
      <c r="Y292" s="534" t="str">
        <f t="shared" si="111"/>
        <v>CPK0331Wellington Electricity</v>
      </c>
      <c r="Z292" s="519" t="str">
        <f t="shared" ref="Z292:AB292" si="182">C58</f>
        <v>Wellington Electricity</v>
      </c>
      <c r="AA292" s="519" t="str">
        <f t="shared" si="182"/>
        <v>CPK0331</v>
      </c>
      <c r="AB292" s="519">
        <f t="shared" si="182"/>
        <v>165.72149999999999</v>
      </c>
      <c r="AC292" s="324"/>
      <c r="AE292" s="519">
        <f t="shared" ca="1" si="95"/>
        <v>0</v>
      </c>
      <c r="AF292" s="519">
        <f t="shared" ca="1" si="96"/>
        <v>0</v>
      </c>
      <c r="AG292" s="519">
        <f t="shared" ca="1" si="97"/>
        <v>0</v>
      </c>
      <c r="AH292" s="519">
        <f t="shared" ca="1" si="98"/>
        <v>0</v>
      </c>
      <c r="AI292" s="519">
        <f t="shared" ca="1" si="99"/>
        <v>0</v>
      </c>
      <c r="AJ292" s="519">
        <f t="shared" ca="1" si="100"/>
        <v>0</v>
      </c>
      <c r="AK292" s="519">
        <f t="shared" ca="1" si="101"/>
        <v>0</v>
      </c>
      <c r="AL292" s="519">
        <f t="shared" ca="1" si="102"/>
        <v>0</v>
      </c>
      <c r="AM292" s="519">
        <f t="shared" ca="1" si="103"/>
        <v>0</v>
      </c>
      <c r="AN292" s="519">
        <f t="shared" ca="1" si="104"/>
        <v>0</v>
      </c>
      <c r="AO292" s="519">
        <f t="shared" ca="1" si="105"/>
        <v>0</v>
      </c>
      <c r="AP292" s="519">
        <f t="shared" ca="1" si="106"/>
        <v>0</v>
      </c>
      <c r="AQ292" s="519">
        <f t="shared" ca="1" si="107"/>
        <v>0</v>
      </c>
    </row>
    <row r="293" spans="1:43" x14ac:dyDescent="0.3">
      <c r="A293" s="556">
        <f t="shared" si="108"/>
        <v>2</v>
      </c>
      <c r="B293" s="519" t="str">
        <f t="shared" si="109"/>
        <v>CST</v>
      </c>
      <c r="C293" s="519" t="str">
        <f t="shared" ref="C293:E293" si="183">C59</f>
        <v>Powerco</v>
      </c>
      <c r="D293" s="519" t="str">
        <f t="shared" si="183"/>
        <v>CST0331</v>
      </c>
      <c r="E293" s="519">
        <f t="shared" si="183"/>
        <v>60.456899999999997</v>
      </c>
      <c r="H293" s="519">
        <f ca="1">_xlfn.IFNA(IF(VLOOKUP($B293&amp;OFFSET(H$10,$A293*2,0),'Mapping A'!$B$6:$E$1011,4,0)=1,$E293,""),0)</f>
        <v>0</v>
      </c>
      <c r="I293" s="519">
        <f ca="1">_xlfn.IFNA(IF(VLOOKUP($B293&amp;OFFSET(I$10,$A293*2,0),'Mapping A'!$B$6:$E$1011,4,0)=1,$E293,""),0)</f>
        <v>0</v>
      </c>
      <c r="J293" s="519">
        <f ca="1">_xlfn.IFNA(IF(VLOOKUP($B293&amp;OFFSET(J$10,$A293*2,0),'Mapping A'!$B$6:$E$1011,4,0)=1,$E293,""),0)</f>
        <v>0</v>
      </c>
      <c r="K293" s="519">
        <f ca="1">_xlfn.IFNA(IF(VLOOKUP($B293&amp;OFFSET(K$10,$A293*2,0),'Mapping A'!$B$6:$E$1011,4,0)=1,$E293,""),0)</f>
        <v>0</v>
      </c>
      <c r="L293" s="519">
        <f ca="1">_xlfn.IFNA(IF(VLOOKUP($B293&amp;OFFSET(L$10,$A293*2,0),'Mapping A'!$B$6:$E$1011,4,0)=1,$E293,""),0)</f>
        <v>0</v>
      </c>
      <c r="M293" s="519">
        <f ca="1">_xlfn.IFNA(IF(VLOOKUP($B293&amp;OFFSET(M$10,$A293*2,0),'Mapping A'!$B$6:$E$1011,4,0)=1,$E293,""),0)</f>
        <v>0</v>
      </c>
      <c r="N293" s="519">
        <f ca="1">_xlfn.IFNA(IF(VLOOKUP($B293&amp;OFFSET(N$10,$A293*2,0),'Mapping A'!$B$6:$E$1011,4,0)=1,$E293,""),0)</f>
        <v>0</v>
      </c>
      <c r="O293" s="519">
        <f ca="1">_xlfn.IFNA(IF(VLOOKUP($B293&amp;OFFSET(O$10,$A293*2,0),'Mapping A'!$B$6:$E$1011,4,0)=1,$E293,""),0)</f>
        <v>0</v>
      </c>
      <c r="P293" s="519">
        <f ca="1">_xlfn.IFNA(IF(VLOOKUP($B293&amp;OFFSET(P$10,$A293*2,0),'Mapping A'!$B$6:$E$1011,4,0)=1,$E293,""),0)</f>
        <v>0</v>
      </c>
      <c r="Q293" s="519">
        <f ca="1">_xlfn.IFNA(IF(VLOOKUP($B293&amp;OFFSET(Q$10,$A293*2,0),'Mapping A'!$B$6:$E$1011,4,0)=1,$E293,""),0)</f>
        <v>0</v>
      </c>
      <c r="R293" s="519">
        <f ca="1">_xlfn.IFNA(IF(VLOOKUP($B293&amp;OFFSET(R$10,$A293*2,0),'Mapping A'!$B$6:$E$1011,4,0)=1,$E293,""),0)</f>
        <v>0</v>
      </c>
      <c r="S293" s="519">
        <f ca="1">_xlfn.IFNA(IF(VLOOKUP($B293&amp;OFFSET(S$10,$A293*2,0),'Mapping A'!$B$6:$E$1011,4,0)=1,$E293,""),0)</f>
        <v>0</v>
      </c>
      <c r="T293" s="519">
        <f ca="1">_xlfn.IFNA(IF(VLOOKUP($B293&amp;OFFSET(T$10,$A293*2,0),'Mapping A'!$B$6:$E$1011,4,0)=1,$E293,""),0)</f>
        <v>0</v>
      </c>
      <c r="Y293" s="534" t="str">
        <f t="shared" si="111"/>
        <v>CST0331Powerco</v>
      </c>
      <c r="Z293" s="519" t="str">
        <f t="shared" ref="Z293:AB293" si="184">C59</f>
        <v>Powerco</v>
      </c>
      <c r="AA293" s="519" t="str">
        <f t="shared" si="184"/>
        <v>CST0331</v>
      </c>
      <c r="AB293" s="519">
        <f t="shared" si="184"/>
        <v>60.456899999999997</v>
      </c>
      <c r="AC293" s="324"/>
      <c r="AE293" s="519">
        <f t="shared" ca="1" si="95"/>
        <v>0</v>
      </c>
      <c r="AF293" s="519">
        <f t="shared" ca="1" si="96"/>
        <v>0</v>
      </c>
      <c r="AG293" s="519">
        <f t="shared" ca="1" si="97"/>
        <v>0</v>
      </c>
      <c r="AH293" s="519">
        <f t="shared" ca="1" si="98"/>
        <v>0</v>
      </c>
      <c r="AI293" s="519">
        <f t="shared" ca="1" si="99"/>
        <v>0</v>
      </c>
      <c r="AJ293" s="519">
        <f t="shared" ca="1" si="100"/>
        <v>0</v>
      </c>
      <c r="AK293" s="519">
        <f t="shared" ca="1" si="101"/>
        <v>0</v>
      </c>
      <c r="AL293" s="519">
        <f t="shared" ca="1" si="102"/>
        <v>0</v>
      </c>
      <c r="AM293" s="519">
        <f t="shared" ca="1" si="103"/>
        <v>0</v>
      </c>
      <c r="AN293" s="519">
        <f t="shared" ca="1" si="104"/>
        <v>0</v>
      </c>
      <c r="AO293" s="519">
        <f t="shared" ca="1" si="105"/>
        <v>0</v>
      </c>
      <c r="AP293" s="519">
        <f t="shared" ca="1" si="106"/>
        <v>0</v>
      </c>
      <c r="AQ293" s="519">
        <f t="shared" ca="1" si="107"/>
        <v>0</v>
      </c>
    </row>
    <row r="294" spans="1:43" x14ac:dyDescent="0.3">
      <c r="A294" s="556">
        <f t="shared" si="108"/>
        <v>2</v>
      </c>
      <c r="B294" s="519" t="str">
        <f t="shared" si="109"/>
        <v>CUL</v>
      </c>
      <c r="C294" s="519" t="str">
        <f t="shared" ref="C294:E294" si="185">C60</f>
        <v>Mainpower</v>
      </c>
      <c r="D294" s="519" t="str">
        <f t="shared" si="185"/>
        <v>CUL0331</v>
      </c>
      <c r="E294" s="519">
        <f t="shared" si="185"/>
        <v>21.054600000000001</v>
      </c>
      <c r="H294" s="519">
        <f ca="1">_xlfn.IFNA(IF(VLOOKUP($B294&amp;OFFSET(H$10,$A294*2,0),'Mapping A'!$B$6:$E$1011,4,0)=1,$E294,""),0)</f>
        <v>0</v>
      </c>
      <c r="I294" s="519">
        <f ca="1">_xlfn.IFNA(IF(VLOOKUP($B294&amp;OFFSET(I$10,$A294*2,0),'Mapping A'!$B$6:$E$1011,4,0)=1,$E294,""),0)</f>
        <v>0</v>
      </c>
      <c r="J294" s="519">
        <f ca="1">_xlfn.IFNA(IF(VLOOKUP($B294&amp;OFFSET(J$10,$A294*2,0),'Mapping A'!$B$6:$E$1011,4,0)=1,$E294,""),0)</f>
        <v>21.054600000000001</v>
      </c>
      <c r="K294" s="519">
        <f ca="1">_xlfn.IFNA(IF(VLOOKUP($B294&amp;OFFSET(K$10,$A294*2,0),'Mapping A'!$B$6:$E$1011,4,0)=1,$E294,""),0)</f>
        <v>0</v>
      </c>
      <c r="L294" s="519">
        <f ca="1">_xlfn.IFNA(IF(VLOOKUP($B294&amp;OFFSET(L$10,$A294*2,0),'Mapping A'!$B$6:$E$1011,4,0)=1,$E294,""),0)</f>
        <v>0</v>
      </c>
      <c r="M294" s="519">
        <f ca="1">_xlfn.IFNA(IF(VLOOKUP($B294&amp;OFFSET(M$10,$A294*2,0),'Mapping A'!$B$6:$E$1011,4,0)=1,$E294,""),0)</f>
        <v>0</v>
      </c>
      <c r="N294" s="519">
        <f ca="1">_xlfn.IFNA(IF(VLOOKUP($B294&amp;OFFSET(N$10,$A294*2,0),'Mapping A'!$B$6:$E$1011,4,0)=1,$E294,""),0)</f>
        <v>0</v>
      </c>
      <c r="O294" s="519">
        <f ca="1">_xlfn.IFNA(IF(VLOOKUP($B294&amp;OFFSET(O$10,$A294*2,0),'Mapping A'!$B$6:$E$1011,4,0)=1,$E294,""),0)</f>
        <v>0</v>
      </c>
      <c r="P294" s="519">
        <f ca="1">_xlfn.IFNA(IF(VLOOKUP($B294&amp;OFFSET(P$10,$A294*2,0),'Mapping A'!$B$6:$E$1011,4,0)=1,$E294,""),0)</f>
        <v>0</v>
      </c>
      <c r="Q294" s="519">
        <f ca="1">_xlfn.IFNA(IF(VLOOKUP($B294&amp;OFFSET(Q$10,$A294*2,0),'Mapping A'!$B$6:$E$1011,4,0)=1,$E294,""),0)</f>
        <v>0</v>
      </c>
      <c r="R294" s="519">
        <f ca="1">_xlfn.IFNA(IF(VLOOKUP($B294&amp;OFFSET(R$10,$A294*2,0),'Mapping A'!$B$6:$E$1011,4,0)=1,$E294,""),0)</f>
        <v>0</v>
      </c>
      <c r="S294" s="519">
        <f ca="1">_xlfn.IFNA(IF(VLOOKUP($B294&amp;OFFSET(S$10,$A294*2,0),'Mapping A'!$B$6:$E$1011,4,0)=1,$E294,""),0)</f>
        <v>0</v>
      </c>
      <c r="T294" s="519">
        <f ca="1">_xlfn.IFNA(IF(VLOOKUP($B294&amp;OFFSET(T$10,$A294*2,0),'Mapping A'!$B$6:$E$1011,4,0)=1,$E294,""),0)</f>
        <v>0</v>
      </c>
      <c r="Y294" s="534" t="str">
        <f t="shared" si="111"/>
        <v>CUL0331Mainpower</v>
      </c>
      <c r="Z294" s="519" t="str">
        <f t="shared" ref="Z294:AB294" si="186">C60</f>
        <v>Mainpower</v>
      </c>
      <c r="AA294" s="519" t="str">
        <f t="shared" si="186"/>
        <v>CUL0331</v>
      </c>
      <c r="AB294" s="519">
        <f t="shared" si="186"/>
        <v>21.054600000000001</v>
      </c>
      <c r="AC294" s="324"/>
      <c r="AE294" s="519">
        <f t="shared" ca="1" si="95"/>
        <v>0</v>
      </c>
      <c r="AF294" s="519">
        <f t="shared" ca="1" si="96"/>
        <v>0</v>
      </c>
      <c r="AG294" s="519">
        <f t="shared" ca="1" si="97"/>
        <v>0</v>
      </c>
      <c r="AH294" s="519">
        <f t="shared" ca="1" si="98"/>
        <v>0</v>
      </c>
      <c r="AI294" s="519">
        <f t="shared" ca="1" si="99"/>
        <v>0</v>
      </c>
      <c r="AJ294" s="519">
        <f t="shared" ca="1" si="100"/>
        <v>0</v>
      </c>
      <c r="AK294" s="519">
        <f t="shared" ca="1" si="101"/>
        <v>0</v>
      </c>
      <c r="AL294" s="519">
        <f t="shared" ca="1" si="102"/>
        <v>0</v>
      </c>
      <c r="AM294" s="519">
        <f t="shared" ca="1" si="103"/>
        <v>0</v>
      </c>
      <c r="AN294" s="519">
        <f t="shared" ca="1" si="104"/>
        <v>0</v>
      </c>
      <c r="AO294" s="519">
        <f t="shared" ca="1" si="105"/>
        <v>0</v>
      </c>
      <c r="AP294" s="519">
        <f t="shared" ca="1" si="106"/>
        <v>0</v>
      </c>
      <c r="AQ294" s="519">
        <f t="shared" ca="1" si="107"/>
        <v>0</v>
      </c>
    </row>
    <row r="295" spans="1:43" x14ac:dyDescent="0.3">
      <c r="A295" s="556">
        <f t="shared" si="108"/>
        <v>2</v>
      </c>
      <c r="B295" s="519" t="str">
        <f t="shared" si="109"/>
        <v>CUL</v>
      </c>
      <c r="C295" s="519" t="str">
        <f t="shared" ref="C295:E295" si="187">C61</f>
        <v>Mainpower</v>
      </c>
      <c r="D295" s="519" t="str">
        <f t="shared" si="187"/>
        <v>CUL0661</v>
      </c>
      <c r="E295" s="519">
        <f t="shared" si="187"/>
        <v>10.357200000000001</v>
      </c>
      <c r="H295" s="519">
        <f ca="1">_xlfn.IFNA(IF(VLOOKUP($B295&amp;OFFSET(H$10,$A295*2,0),'Mapping A'!$B$6:$E$1011,4,0)=1,$E295,""),0)</f>
        <v>0</v>
      </c>
      <c r="I295" s="519">
        <f ca="1">_xlfn.IFNA(IF(VLOOKUP($B295&amp;OFFSET(I$10,$A295*2,0),'Mapping A'!$B$6:$E$1011,4,0)=1,$E295,""),0)</f>
        <v>0</v>
      </c>
      <c r="J295" s="519">
        <f ca="1">_xlfn.IFNA(IF(VLOOKUP($B295&amp;OFFSET(J$10,$A295*2,0),'Mapping A'!$B$6:$E$1011,4,0)=1,$E295,""),0)</f>
        <v>10.357200000000001</v>
      </c>
      <c r="K295" s="519">
        <f ca="1">_xlfn.IFNA(IF(VLOOKUP($B295&amp;OFFSET(K$10,$A295*2,0),'Mapping A'!$B$6:$E$1011,4,0)=1,$E295,""),0)</f>
        <v>0</v>
      </c>
      <c r="L295" s="519">
        <f ca="1">_xlfn.IFNA(IF(VLOOKUP($B295&amp;OFFSET(L$10,$A295*2,0),'Mapping A'!$B$6:$E$1011,4,0)=1,$E295,""),0)</f>
        <v>0</v>
      </c>
      <c r="M295" s="519">
        <f ca="1">_xlfn.IFNA(IF(VLOOKUP($B295&amp;OFFSET(M$10,$A295*2,0),'Mapping A'!$B$6:$E$1011,4,0)=1,$E295,""),0)</f>
        <v>0</v>
      </c>
      <c r="N295" s="519">
        <f ca="1">_xlfn.IFNA(IF(VLOOKUP($B295&amp;OFFSET(N$10,$A295*2,0),'Mapping A'!$B$6:$E$1011,4,0)=1,$E295,""),0)</f>
        <v>0</v>
      </c>
      <c r="O295" s="519">
        <f ca="1">_xlfn.IFNA(IF(VLOOKUP($B295&amp;OFFSET(O$10,$A295*2,0),'Mapping A'!$B$6:$E$1011,4,0)=1,$E295,""),0)</f>
        <v>0</v>
      </c>
      <c r="P295" s="519">
        <f ca="1">_xlfn.IFNA(IF(VLOOKUP($B295&amp;OFFSET(P$10,$A295*2,0),'Mapping A'!$B$6:$E$1011,4,0)=1,$E295,""),0)</f>
        <v>0</v>
      </c>
      <c r="Q295" s="519">
        <f ca="1">_xlfn.IFNA(IF(VLOOKUP($B295&amp;OFFSET(Q$10,$A295*2,0),'Mapping A'!$B$6:$E$1011,4,0)=1,$E295,""),0)</f>
        <v>0</v>
      </c>
      <c r="R295" s="519">
        <f ca="1">_xlfn.IFNA(IF(VLOOKUP($B295&amp;OFFSET(R$10,$A295*2,0),'Mapping A'!$B$6:$E$1011,4,0)=1,$E295,""),0)</f>
        <v>0</v>
      </c>
      <c r="S295" s="519">
        <f ca="1">_xlfn.IFNA(IF(VLOOKUP($B295&amp;OFFSET(S$10,$A295*2,0),'Mapping A'!$B$6:$E$1011,4,0)=1,$E295,""),0)</f>
        <v>0</v>
      </c>
      <c r="T295" s="519">
        <f ca="1">_xlfn.IFNA(IF(VLOOKUP($B295&amp;OFFSET(T$10,$A295*2,0),'Mapping A'!$B$6:$E$1011,4,0)=1,$E295,""),0)</f>
        <v>0</v>
      </c>
      <c r="Y295" s="534" t="str">
        <f t="shared" si="111"/>
        <v>CUL0661Mainpower</v>
      </c>
      <c r="Z295" s="519" t="str">
        <f t="shared" ref="Z295:AB295" si="188">C61</f>
        <v>Mainpower</v>
      </c>
      <c r="AA295" s="519" t="str">
        <f t="shared" si="188"/>
        <v>CUL0661</v>
      </c>
      <c r="AB295" s="519">
        <f t="shared" si="188"/>
        <v>10.357200000000001</v>
      </c>
      <c r="AC295" s="324"/>
      <c r="AE295" s="519">
        <f t="shared" ca="1" si="95"/>
        <v>0</v>
      </c>
      <c r="AF295" s="519">
        <f t="shared" ca="1" si="96"/>
        <v>0</v>
      </c>
      <c r="AG295" s="519">
        <f t="shared" ca="1" si="97"/>
        <v>0</v>
      </c>
      <c r="AH295" s="519">
        <f t="shared" ca="1" si="98"/>
        <v>0</v>
      </c>
      <c r="AI295" s="519">
        <f t="shared" ca="1" si="99"/>
        <v>0</v>
      </c>
      <c r="AJ295" s="519">
        <f t="shared" ca="1" si="100"/>
        <v>0</v>
      </c>
      <c r="AK295" s="519">
        <f t="shared" ca="1" si="101"/>
        <v>0</v>
      </c>
      <c r="AL295" s="519">
        <f t="shared" ca="1" si="102"/>
        <v>0</v>
      </c>
      <c r="AM295" s="519">
        <f t="shared" ca="1" si="103"/>
        <v>0</v>
      </c>
      <c r="AN295" s="519">
        <f t="shared" ca="1" si="104"/>
        <v>0</v>
      </c>
      <c r="AO295" s="519">
        <f t="shared" ca="1" si="105"/>
        <v>0</v>
      </c>
      <c r="AP295" s="519">
        <f t="shared" ca="1" si="106"/>
        <v>0</v>
      </c>
      <c r="AQ295" s="519">
        <f t="shared" ca="1" si="107"/>
        <v>0</v>
      </c>
    </row>
    <row r="296" spans="1:43" x14ac:dyDescent="0.3">
      <c r="A296" s="556">
        <f t="shared" si="108"/>
        <v>2</v>
      </c>
      <c r="B296" s="519" t="str">
        <f t="shared" si="109"/>
        <v>CYD</v>
      </c>
      <c r="C296" s="519" t="str">
        <f t="shared" ref="C296:E296" si="189">C62</f>
        <v>Aurora Energy</v>
      </c>
      <c r="D296" s="519" t="str">
        <f t="shared" si="189"/>
        <v>CYD0331</v>
      </c>
      <c r="E296" s="519">
        <f t="shared" si="189"/>
        <v>18.156600000000001</v>
      </c>
      <c r="H296" s="519">
        <f ca="1">_xlfn.IFNA(IF(VLOOKUP($B296&amp;OFFSET(H$10,$A296*2,0),'Mapping A'!$B$6:$E$1011,4,0)=1,$E296,""),0)</f>
        <v>0</v>
      </c>
      <c r="I296" s="519">
        <f ca="1">_xlfn.IFNA(IF(VLOOKUP($B296&amp;OFFSET(I$10,$A296*2,0),'Mapping A'!$B$6:$E$1011,4,0)=1,$E296,""),0)</f>
        <v>0</v>
      </c>
      <c r="J296" s="519">
        <f ca="1">_xlfn.IFNA(IF(VLOOKUP($B296&amp;OFFSET(J$10,$A296*2,0),'Mapping A'!$B$6:$E$1011,4,0)=1,$E296,""),0)</f>
        <v>18.156600000000001</v>
      </c>
      <c r="K296" s="519">
        <f ca="1">_xlfn.IFNA(IF(VLOOKUP($B296&amp;OFFSET(K$10,$A296*2,0),'Mapping A'!$B$6:$E$1011,4,0)=1,$E296,""),0)</f>
        <v>0</v>
      </c>
      <c r="L296" s="519">
        <f ca="1">_xlfn.IFNA(IF(VLOOKUP($B296&amp;OFFSET(L$10,$A296*2,0),'Mapping A'!$B$6:$E$1011,4,0)=1,$E296,""),0)</f>
        <v>0</v>
      </c>
      <c r="M296" s="519">
        <f ca="1">_xlfn.IFNA(IF(VLOOKUP($B296&amp;OFFSET(M$10,$A296*2,0),'Mapping A'!$B$6:$E$1011,4,0)=1,$E296,""),0)</f>
        <v>0</v>
      </c>
      <c r="N296" s="519">
        <f ca="1">_xlfn.IFNA(IF(VLOOKUP($B296&amp;OFFSET(N$10,$A296*2,0),'Mapping A'!$B$6:$E$1011,4,0)=1,$E296,""),0)</f>
        <v>0</v>
      </c>
      <c r="O296" s="519">
        <f ca="1">_xlfn.IFNA(IF(VLOOKUP($B296&amp;OFFSET(O$10,$A296*2,0),'Mapping A'!$B$6:$E$1011,4,0)=1,$E296,""),0)</f>
        <v>0</v>
      </c>
      <c r="P296" s="519">
        <f ca="1">_xlfn.IFNA(IF(VLOOKUP($B296&amp;OFFSET(P$10,$A296*2,0),'Mapping A'!$B$6:$E$1011,4,0)=1,$E296,""),0)</f>
        <v>0</v>
      </c>
      <c r="Q296" s="519">
        <f ca="1">_xlfn.IFNA(IF(VLOOKUP($B296&amp;OFFSET(Q$10,$A296*2,0),'Mapping A'!$B$6:$E$1011,4,0)=1,$E296,""),0)</f>
        <v>0</v>
      </c>
      <c r="R296" s="519">
        <f ca="1">_xlfn.IFNA(IF(VLOOKUP($B296&amp;OFFSET(R$10,$A296*2,0),'Mapping A'!$B$6:$E$1011,4,0)=1,$E296,""),0)</f>
        <v>0</v>
      </c>
      <c r="S296" s="519">
        <f ca="1">_xlfn.IFNA(IF(VLOOKUP($B296&amp;OFFSET(S$10,$A296*2,0),'Mapping A'!$B$6:$E$1011,4,0)=1,$E296,""),0)</f>
        <v>0</v>
      </c>
      <c r="T296" s="519">
        <f ca="1">_xlfn.IFNA(IF(VLOOKUP($B296&amp;OFFSET(T$10,$A296*2,0),'Mapping A'!$B$6:$E$1011,4,0)=1,$E296,""),0)</f>
        <v>0</v>
      </c>
      <c r="Y296" s="534" t="str">
        <f t="shared" si="111"/>
        <v>CYD0331Aurora Energy</v>
      </c>
      <c r="Z296" s="519" t="str">
        <f t="shared" ref="Z296:AB296" si="190">C62</f>
        <v>Aurora Energy</v>
      </c>
      <c r="AA296" s="519" t="str">
        <f t="shared" si="190"/>
        <v>CYD0331</v>
      </c>
      <c r="AB296" s="519">
        <f t="shared" si="190"/>
        <v>18.156600000000001</v>
      </c>
      <c r="AC296" s="324"/>
      <c r="AE296" s="519">
        <f t="shared" ca="1" si="95"/>
        <v>0</v>
      </c>
      <c r="AF296" s="519">
        <f t="shared" ca="1" si="96"/>
        <v>0</v>
      </c>
      <c r="AG296" s="519">
        <f t="shared" ca="1" si="97"/>
        <v>0</v>
      </c>
      <c r="AH296" s="519">
        <f t="shared" ca="1" si="98"/>
        <v>0</v>
      </c>
      <c r="AI296" s="519">
        <f t="shared" ca="1" si="99"/>
        <v>0</v>
      </c>
      <c r="AJ296" s="519">
        <f t="shared" ca="1" si="100"/>
        <v>0</v>
      </c>
      <c r="AK296" s="519">
        <f t="shared" ca="1" si="101"/>
        <v>0</v>
      </c>
      <c r="AL296" s="519">
        <f t="shared" ca="1" si="102"/>
        <v>0</v>
      </c>
      <c r="AM296" s="519">
        <f t="shared" ca="1" si="103"/>
        <v>0</v>
      </c>
      <c r="AN296" s="519">
        <f t="shared" ca="1" si="104"/>
        <v>0</v>
      </c>
      <c r="AO296" s="519">
        <f t="shared" ca="1" si="105"/>
        <v>0</v>
      </c>
      <c r="AP296" s="519">
        <f t="shared" ca="1" si="106"/>
        <v>0</v>
      </c>
      <c r="AQ296" s="519">
        <f t="shared" ca="1" si="107"/>
        <v>0</v>
      </c>
    </row>
    <row r="297" spans="1:43" x14ac:dyDescent="0.3">
      <c r="A297" s="556">
        <f t="shared" si="108"/>
        <v>2</v>
      </c>
      <c r="B297" s="519" t="str">
        <f t="shared" si="109"/>
        <v>CYD</v>
      </c>
      <c r="C297" s="519" t="str">
        <f t="shared" ref="C297:E297" si="191">C63</f>
        <v>Contact</v>
      </c>
      <c r="D297" s="519" t="str">
        <f t="shared" si="191"/>
        <v>CYD0331</v>
      </c>
      <c r="E297" s="519">
        <f t="shared" si="191"/>
        <v>0.47460000000000002</v>
      </c>
      <c r="H297" s="519">
        <f ca="1">_xlfn.IFNA(IF(VLOOKUP($B297&amp;OFFSET(H$10,$A297*2,0),'Mapping A'!$B$6:$E$1011,4,0)=1,$E297,""),0)</f>
        <v>0</v>
      </c>
      <c r="I297" s="519">
        <f ca="1">_xlfn.IFNA(IF(VLOOKUP($B297&amp;OFFSET(I$10,$A297*2,0),'Mapping A'!$B$6:$E$1011,4,0)=1,$E297,""),0)</f>
        <v>0</v>
      </c>
      <c r="J297" s="519">
        <f ca="1">_xlfn.IFNA(IF(VLOOKUP($B297&amp;OFFSET(J$10,$A297*2,0),'Mapping A'!$B$6:$E$1011,4,0)=1,$E297,""),0)</f>
        <v>0.47460000000000002</v>
      </c>
      <c r="K297" s="519">
        <f ca="1">_xlfn.IFNA(IF(VLOOKUP($B297&amp;OFFSET(K$10,$A297*2,0),'Mapping A'!$B$6:$E$1011,4,0)=1,$E297,""),0)</f>
        <v>0</v>
      </c>
      <c r="L297" s="519">
        <f ca="1">_xlfn.IFNA(IF(VLOOKUP($B297&amp;OFFSET(L$10,$A297*2,0),'Mapping A'!$B$6:$E$1011,4,0)=1,$E297,""),0)</f>
        <v>0</v>
      </c>
      <c r="M297" s="519">
        <f ca="1">_xlfn.IFNA(IF(VLOOKUP($B297&amp;OFFSET(M$10,$A297*2,0),'Mapping A'!$B$6:$E$1011,4,0)=1,$E297,""),0)</f>
        <v>0</v>
      </c>
      <c r="N297" s="519">
        <f ca="1">_xlfn.IFNA(IF(VLOOKUP($B297&amp;OFFSET(N$10,$A297*2,0),'Mapping A'!$B$6:$E$1011,4,0)=1,$E297,""),0)</f>
        <v>0</v>
      </c>
      <c r="O297" s="519">
        <f ca="1">_xlfn.IFNA(IF(VLOOKUP($B297&amp;OFFSET(O$10,$A297*2,0),'Mapping A'!$B$6:$E$1011,4,0)=1,$E297,""),0)</f>
        <v>0</v>
      </c>
      <c r="P297" s="519">
        <f ca="1">_xlfn.IFNA(IF(VLOOKUP($B297&amp;OFFSET(P$10,$A297*2,0),'Mapping A'!$B$6:$E$1011,4,0)=1,$E297,""),0)</f>
        <v>0</v>
      </c>
      <c r="Q297" s="519">
        <f ca="1">_xlfn.IFNA(IF(VLOOKUP($B297&amp;OFFSET(Q$10,$A297*2,0),'Mapping A'!$B$6:$E$1011,4,0)=1,$E297,""),0)</f>
        <v>0</v>
      </c>
      <c r="R297" s="519">
        <f ca="1">_xlfn.IFNA(IF(VLOOKUP($B297&amp;OFFSET(R$10,$A297*2,0),'Mapping A'!$B$6:$E$1011,4,0)=1,$E297,""),0)</f>
        <v>0</v>
      </c>
      <c r="S297" s="519">
        <f ca="1">_xlfn.IFNA(IF(VLOOKUP($B297&amp;OFFSET(S$10,$A297*2,0),'Mapping A'!$B$6:$E$1011,4,0)=1,$E297,""),0)</f>
        <v>0</v>
      </c>
      <c r="T297" s="519">
        <f ca="1">_xlfn.IFNA(IF(VLOOKUP($B297&amp;OFFSET(T$10,$A297*2,0),'Mapping A'!$B$6:$E$1011,4,0)=1,$E297,""),0)</f>
        <v>0</v>
      </c>
      <c r="Y297" s="534" t="str">
        <f t="shared" si="111"/>
        <v>CYD0331Contact</v>
      </c>
      <c r="Z297" s="519" t="str">
        <f t="shared" ref="Z297:AB297" si="192">C63</f>
        <v>Contact</v>
      </c>
      <c r="AA297" s="519" t="str">
        <f t="shared" si="192"/>
        <v>CYD0331</v>
      </c>
      <c r="AB297" s="519">
        <f t="shared" si="192"/>
        <v>0.47460000000000002</v>
      </c>
      <c r="AC297" s="324"/>
      <c r="AE297" s="519">
        <f t="shared" ca="1" si="95"/>
        <v>0</v>
      </c>
      <c r="AF297" s="519">
        <f t="shared" ca="1" si="96"/>
        <v>0</v>
      </c>
      <c r="AG297" s="519">
        <f t="shared" ca="1" si="97"/>
        <v>0</v>
      </c>
      <c r="AH297" s="519">
        <f t="shared" ca="1" si="98"/>
        <v>0</v>
      </c>
      <c r="AI297" s="519">
        <f t="shared" ca="1" si="99"/>
        <v>0</v>
      </c>
      <c r="AJ297" s="519">
        <f t="shared" ca="1" si="100"/>
        <v>0</v>
      </c>
      <c r="AK297" s="519">
        <f t="shared" ca="1" si="101"/>
        <v>0</v>
      </c>
      <c r="AL297" s="519">
        <f t="shared" ca="1" si="102"/>
        <v>0</v>
      </c>
      <c r="AM297" s="519">
        <f t="shared" ca="1" si="103"/>
        <v>0</v>
      </c>
      <c r="AN297" s="519">
        <f t="shared" ca="1" si="104"/>
        <v>0</v>
      </c>
      <c r="AO297" s="519">
        <f t="shared" ca="1" si="105"/>
        <v>0</v>
      </c>
      <c r="AP297" s="519">
        <f t="shared" ca="1" si="106"/>
        <v>0</v>
      </c>
      <c r="AQ297" s="519">
        <f t="shared" ca="1" si="107"/>
        <v>0</v>
      </c>
    </row>
    <row r="298" spans="1:43" x14ac:dyDescent="0.3">
      <c r="A298" s="556">
        <f t="shared" si="108"/>
        <v>2</v>
      </c>
      <c r="B298" s="519" t="str">
        <f t="shared" si="109"/>
        <v>CYD</v>
      </c>
      <c r="C298" s="519" t="str">
        <f t="shared" ref="C298:E298" si="193">C64</f>
        <v>Contact</v>
      </c>
      <c r="D298" s="519" t="str">
        <f t="shared" si="193"/>
        <v>CYD2201</v>
      </c>
      <c r="E298" s="519">
        <f t="shared" si="193"/>
        <v>6.51</v>
      </c>
      <c r="H298" s="519">
        <f ca="1">_xlfn.IFNA(IF(VLOOKUP($B298&amp;OFFSET(H$10,$A298*2,0),'Mapping A'!$B$6:$E$1011,4,0)=1,$E298,""),0)</f>
        <v>0</v>
      </c>
      <c r="I298" s="519">
        <f ca="1">_xlfn.IFNA(IF(VLOOKUP($B298&amp;OFFSET(I$10,$A298*2,0),'Mapping A'!$B$6:$E$1011,4,0)=1,$E298,""),0)</f>
        <v>0</v>
      </c>
      <c r="J298" s="519">
        <f ca="1">_xlfn.IFNA(IF(VLOOKUP($B298&amp;OFFSET(J$10,$A298*2,0),'Mapping A'!$B$6:$E$1011,4,0)=1,$E298,""),0)</f>
        <v>6.51</v>
      </c>
      <c r="K298" s="519">
        <f ca="1">_xlfn.IFNA(IF(VLOOKUP($B298&amp;OFFSET(K$10,$A298*2,0),'Mapping A'!$B$6:$E$1011,4,0)=1,$E298,""),0)</f>
        <v>0</v>
      </c>
      <c r="L298" s="519">
        <f ca="1">_xlfn.IFNA(IF(VLOOKUP($B298&amp;OFFSET(L$10,$A298*2,0),'Mapping A'!$B$6:$E$1011,4,0)=1,$E298,""),0)</f>
        <v>0</v>
      </c>
      <c r="M298" s="519">
        <f ca="1">_xlfn.IFNA(IF(VLOOKUP($B298&amp;OFFSET(M$10,$A298*2,0),'Mapping A'!$B$6:$E$1011,4,0)=1,$E298,""),0)</f>
        <v>0</v>
      </c>
      <c r="N298" s="519">
        <f ca="1">_xlfn.IFNA(IF(VLOOKUP($B298&amp;OFFSET(N$10,$A298*2,0),'Mapping A'!$B$6:$E$1011,4,0)=1,$E298,""),0)</f>
        <v>0</v>
      </c>
      <c r="O298" s="519">
        <f ca="1">_xlfn.IFNA(IF(VLOOKUP($B298&amp;OFFSET(O$10,$A298*2,0),'Mapping A'!$B$6:$E$1011,4,0)=1,$E298,""),0)</f>
        <v>0</v>
      </c>
      <c r="P298" s="519">
        <f ca="1">_xlfn.IFNA(IF(VLOOKUP($B298&amp;OFFSET(P$10,$A298*2,0),'Mapping A'!$B$6:$E$1011,4,0)=1,$E298,""),0)</f>
        <v>0</v>
      </c>
      <c r="Q298" s="519">
        <f ca="1">_xlfn.IFNA(IF(VLOOKUP($B298&amp;OFFSET(Q$10,$A298*2,0),'Mapping A'!$B$6:$E$1011,4,0)=1,$E298,""),0)</f>
        <v>0</v>
      </c>
      <c r="R298" s="519">
        <f ca="1">_xlfn.IFNA(IF(VLOOKUP($B298&amp;OFFSET(R$10,$A298*2,0),'Mapping A'!$B$6:$E$1011,4,0)=1,$E298,""),0)</f>
        <v>0</v>
      </c>
      <c r="S298" s="519">
        <f ca="1">_xlfn.IFNA(IF(VLOOKUP($B298&amp;OFFSET(S$10,$A298*2,0),'Mapping A'!$B$6:$E$1011,4,0)=1,$E298,""),0)</f>
        <v>0</v>
      </c>
      <c r="T298" s="519">
        <f ca="1">_xlfn.IFNA(IF(VLOOKUP($B298&amp;OFFSET(T$10,$A298*2,0),'Mapping A'!$B$6:$E$1011,4,0)=1,$E298,""),0)</f>
        <v>0</v>
      </c>
      <c r="Y298" s="534" t="str">
        <f t="shared" si="111"/>
        <v>CYD2201Contact</v>
      </c>
      <c r="Z298" s="519" t="str">
        <f t="shared" ref="Z298:AB298" si="194">C64</f>
        <v>Contact</v>
      </c>
      <c r="AA298" s="519" t="str">
        <f t="shared" si="194"/>
        <v>CYD2201</v>
      </c>
      <c r="AB298" s="519">
        <f t="shared" si="194"/>
        <v>6.51</v>
      </c>
      <c r="AC298" s="324"/>
      <c r="AE298" s="519">
        <f t="shared" ca="1" si="95"/>
        <v>0</v>
      </c>
      <c r="AF298" s="519">
        <f t="shared" ca="1" si="96"/>
        <v>0</v>
      </c>
      <c r="AG298" s="519">
        <f t="shared" ca="1" si="97"/>
        <v>0</v>
      </c>
      <c r="AH298" s="519">
        <f t="shared" ca="1" si="98"/>
        <v>0</v>
      </c>
      <c r="AI298" s="519">
        <f t="shared" ca="1" si="99"/>
        <v>0</v>
      </c>
      <c r="AJ298" s="519">
        <f t="shared" ca="1" si="100"/>
        <v>0</v>
      </c>
      <c r="AK298" s="519">
        <f t="shared" ca="1" si="101"/>
        <v>0</v>
      </c>
      <c r="AL298" s="519">
        <f t="shared" ca="1" si="102"/>
        <v>0</v>
      </c>
      <c r="AM298" s="519">
        <f t="shared" ca="1" si="103"/>
        <v>0</v>
      </c>
      <c r="AN298" s="519">
        <f t="shared" ca="1" si="104"/>
        <v>0</v>
      </c>
      <c r="AO298" s="519">
        <f t="shared" ca="1" si="105"/>
        <v>0</v>
      </c>
      <c r="AP298" s="519">
        <f t="shared" ca="1" si="106"/>
        <v>0</v>
      </c>
      <c r="AQ298" s="519">
        <f t="shared" ca="1" si="107"/>
        <v>0</v>
      </c>
    </row>
    <row r="299" spans="1:43" x14ac:dyDescent="0.3">
      <c r="A299" s="556">
        <f t="shared" si="108"/>
        <v>2</v>
      </c>
      <c r="B299" s="519" t="str">
        <f t="shared" si="109"/>
        <v>DOB</v>
      </c>
      <c r="C299" s="519" t="str">
        <f t="shared" ref="C299:E299" si="195">C65</f>
        <v>Westpower</v>
      </c>
      <c r="D299" s="519" t="str">
        <f t="shared" si="195"/>
        <v>DOB0331</v>
      </c>
      <c r="E299" s="519">
        <f t="shared" si="195"/>
        <v>9.7670999999999992</v>
      </c>
      <c r="H299" s="519">
        <f ca="1">_xlfn.IFNA(IF(VLOOKUP($B299&amp;OFFSET(H$10,$A299*2,0),'Mapping A'!$B$6:$E$1011,4,0)=1,$E299,""),0)</f>
        <v>0</v>
      </c>
      <c r="I299" s="519">
        <f ca="1">_xlfn.IFNA(IF(VLOOKUP($B299&amp;OFFSET(I$10,$A299*2,0),'Mapping A'!$B$6:$E$1011,4,0)=1,$E299,""),0)</f>
        <v>0</v>
      </c>
      <c r="J299" s="519">
        <f ca="1">_xlfn.IFNA(IF(VLOOKUP($B299&amp;OFFSET(J$10,$A299*2,0),'Mapping A'!$B$6:$E$1011,4,0)=1,$E299,""),0)</f>
        <v>9.7670999999999992</v>
      </c>
      <c r="K299" s="519">
        <f ca="1">_xlfn.IFNA(IF(VLOOKUP($B299&amp;OFFSET(K$10,$A299*2,0),'Mapping A'!$B$6:$E$1011,4,0)=1,$E299,""),0)</f>
        <v>0</v>
      </c>
      <c r="L299" s="519">
        <f ca="1">_xlfn.IFNA(IF(VLOOKUP($B299&amp;OFFSET(L$10,$A299*2,0),'Mapping A'!$B$6:$E$1011,4,0)=1,$E299,""),0)</f>
        <v>0</v>
      </c>
      <c r="M299" s="519">
        <f ca="1">_xlfn.IFNA(IF(VLOOKUP($B299&amp;OFFSET(M$10,$A299*2,0),'Mapping A'!$B$6:$E$1011,4,0)=1,$E299,""),0)</f>
        <v>0</v>
      </c>
      <c r="N299" s="519">
        <f ca="1">_xlfn.IFNA(IF(VLOOKUP($B299&amp;OFFSET(N$10,$A299*2,0),'Mapping A'!$B$6:$E$1011,4,0)=1,$E299,""),0)</f>
        <v>0</v>
      </c>
      <c r="O299" s="519">
        <f ca="1">_xlfn.IFNA(IF(VLOOKUP($B299&amp;OFFSET(O$10,$A299*2,0),'Mapping A'!$B$6:$E$1011,4,0)=1,$E299,""),0)</f>
        <v>0</v>
      </c>
      <c r="P299" s="519">
        <f ca="1">_xlfn.IFNA(IF(VLOOKUP($B299&amp;OFFSET(P$10,$A299*2,0),'Mapping A'!$B$6:$E$1011,4,0)=1,$E299,""),0)</f>
        <v>0</v>
      </c>
      <c r="Q299" s="519">
        <f ca="1">_xlfn.IFNA(IF(VLOOKUP($B299&amp;OFFSET(Q$10,$A299*2,0),'Mapping A'!$B$6:$E$1011,4,0)=1,$E299,""),0)</f>
        <v>0</v>
      </c>
      <c r="R299" s="519">
        <f ca="1">_xlfn.IFNA(IF(VLOOKUP($B299&amp;OFFSET(R$10,$A299*2,0),'Mapping A'!$B$6:$E$1011,4,0)=1,$E299,""),0)</f>
        <v>0</v>
      </c>
      <c r="S299" s="519">
        <f ca="1">_xlfn.IFNA(IF(VLOOKUP($B299&amp;OFFSET(S$10,$A299*2,0),'Mapping A'!$B$6:$E$1011,4,0)=1,$E299,""),0)</f>
        <v>0</v>
      </c>
      <c r="T299" s="519">
        <f ca="1">_xlfn.IFNA(IF(VLOOKUP($B299&amp;OFFSET(T$10,$A299*2,0),'Mapping A'!$B$6:$E$1011,4,0)=1,$E299,""),0)</f>
        <v>0</v>
      </c>
      <c r="Y299" s="534" t="str">
        <f t="shared" si="111"/>
        <v>DOB0331Westpower</v>
      </c>
      <c r="Z299" s="519" t="str">
        <f t="shared" ref="Z299:AB299" si="196">C65</f>
        <v>Westpower</v>
      </c>
      <c r="AA299" s="519" t="str">
        <f t="shared" si="196"/>
        <v>DOB0331</v>
      </c>
      <c r="AB299" s="519">
        <f t="shared" si="196"/>
        <v>9.7670999999999992</v>
      </c>
      <c r="AC299" s="324"/>
      <c r="AE299" s="519">
        <f t="shared" ca="1" si="95"/>
        <v>0</v>
      </c>
      <c r="AF299" s="519">
        <f t="shared" ca="1" si="96"/>
        <v>0</v>
      </c>
      <c r="AG299" s="519">
        <f t="shared" ca="1" si="97"/>
        <v>0</v>
      </c>
      <c r="AH299" s="519">
        <f t="shared" ca="1" si="98"/>
        <v>0</v>
      </c>
      <c r="AI299" s="519">
        <f t="shared" ca="1" si="99"/>
        <v>0</v>
      </c>
      <c r="AJ299" s="519">
        <f t="shared" ca="1" si="100"/>
        <v>0</v>
      </c>
      <c r="AK299" s="519">
        <f t="shared" ca="1" si="101"/>
        <v>0</v>
      </c>
      <c r="AL299" s="519">
        <f t="shared" ca="1" si="102"/>
        <v>0</v>
      </c>
      <c r="AM299" s="519">
        <f t="shared" ca="1" si="103"/>
        <v>0</v>
      </c>
      <c r="AN299" s="519">
        <f t="shared" ca="1" si="104"/>
        <v>0</v>
      </c>
      <c r="AO299" s="519">
        <f t="shared" ca="1" si="105"/>
        <v>0</v>
      </c>
      <c r="AP299" s="519">
        <f t="shared" ca="1" si="106"/>
        <v>0</v>
      </c>
      <c r="AQ299" s="519">
        <f t="shared" ca="1" si="107"/>
        <v>0</v>
      </c>
    </row>
    <row r="300" spans="1:43" x14ac:dyDescent="0.3">
      <c r="A300" s="556">
        <f t="shared" si="108"/>
        <v>2</v>
      </c>
      <c r="B300" s="519" t="str">
        <f t="shared" si="109"/>
        <v>DVK</v>
      </c>
      <c r="C300" s="519" t="str">
        <f t="shared" ref="C300:E300" si="197">C66</f>
        <v>Scanpower</v>
      </c>
      <c r="D300" s="519" t="str">
        <f t="shared" si="197"/>
        <v>DVK0111</v>
      </c>
      <c r="E300" s="519">
        <f t="shared" si="197"/>
        <v>12.673500000000001</v>
      </c>
      <c r="H300" s="519">
        <f ca="1">_xlfn.IFNA(IF(VLOOKUP($B300&amp;OFFSET(H$10,$A300*2,0),'Mapping A'!$B$6:$E$1011,4,0)=1,$E300,""),0)</f>
        <v>0</v>
      </c>
      <c r="I300" s="519">
        <f ca="1">_xlfn.IFNA(IF(VLOOKUP($B300&amp;OFFSET(I$10,$A300*2,0),'Mapping A'!$B$6:$E$1011,4,0)=1,$E300,""),0)</f>
        <v>0</v>
      </c>
      <c r="J300" s="519">
        <f ca="1">_xlfn.IFNA(IF(VLOOKUP($B300&amp;OFFSET(J$10,$A300*2,0),'Mapping A'!$B$6:$E$1011,4,0)=1,$E300,""),0)</f>
        <v>0</v>
      </c>
      <c r="K300" s="519">
        <f ca="1">_xlfn.IFNA(IF(VLOOKUP($B300&amp;OFFSET(K$10,$A300*2,0),'Mapping A'!$B$6:$E$1011,4,0)=1,$E300,""),0)</f>
        <v>0</v>
      </c>
      <c r="L300" s="519">
        <f ca="1">_xlfn.IFNA(IF(VLOOKUP($B300&amp;OFFSET(L$10,$A300*2,0),'Mapping A'!$B$6:$E$1011,4,0)=1,$E300,""),0)</f>
        <v>0</v>
      </c>
      <c r="M300" s="519">
        <f ca="1">_xlfn.IFNA(IF(VLOOKUP($B300&amp;OFFSET(M$10,$A300*2,0),'Mapping A'!$B$6:$E$1011,4,0)=1,$E300,""),0)</f>
        <v>0</v>
      </c>
      <c r="N300" s="519">
        <f ca="1">_xlfn.IFNA(IF(VLOOKUP($B300&amp;OFFSET(N$10,$A300*2,0),'Mapping A'!$B$6:$E$1011,4,0)=1,$E300,""),0)</f>
        <v>0</v>
      </c>
      <c r="O300" s="519">
        <f ca="1">_xlfn.IFNA(IF(VLOOKUP($B300&amp;OFFSET(O$10,$A300*2,0),'Mapping A'!$B$6:$E$1011,4,0)=1,$E300,""),0)</f>
        <v>0</v>
      </c>
      <c r="P300" s="519">
        <f ca="1">_xlfn.IFNA(IF(VLOOKUP($B300&amp;OFFSET(P$10,$A300*2,0),'Mapping A'!$B$6:$E$1011,4,0)=1,$E300,""),0)</f>
        <v>0</v>
      </c>
      <c r="Q300" s="519">
        <f ca="1">_xlfn.IFNA(IF(VLOOKUP($B300&amp;OFFSET(Q$10,$A300*2,0),'Mapping A'!$B$6:$E$1011,4,0)=1,$E300,""),0)</f>
        <v>0</v>
      </c>
      <c r="R300" s="519">
        <f ca="1">_xlfn.IFNA(IF(VLOOKUP($B300&amp;OFFSET(R$10,$A300*2,0),'Mapping A'!$B$6:$E$1011,4,0)=1,$E300,""),0)</f>
        <v>0</v>
      </c>
      <c r="S300" s="519">
        <f ca="1">_xlfn.IFNA(IF(VLOOKUP($B300&amp;OFFSET(S$10,$A300*2,0),'Mapping A'!$B$6:$E$1011,4,0)=1,$E300,""),0)</f>
        <v>0</v>
      </c>
      <c r="T300" s="519">
        <f ca="1">_xlfn.IFNA(IF(VLOOKUP($B300&amp;OFFSET(T$10,$A300*2,0),'Mapping A'!$B$6:$E$1011,4,0)=1,$E300,""),0)</f>
        <v>0</v>
      </c>
      <c r="Y300" s="534" t="str">
        <f t="shared" si="111"/>
        <v>DVK0111Scanpower</v>
      </c>
      <c r="Z300" s="519" t="str">
        <f t="shared" ref="Z300:AB300" si="198">C66</f>
        <v>Scanpower</v>
      </c>
      <c r="AA300" s="519" t="str">
        <f t="shared" si="198"/>
        <v>DVK0111</v>
      </c>
      <c r="AB300" s="519">
        <f t="shared" si="198"/>
        <v>12.673500000000001</v>
      </c>
      <c r="AC300" s="324"/>
      <c r="AE300" s="519">
        <f t="shared" ca="1" si="95"/>
        <v>0</v>
      </c>
      <c r="AF300" s="519">
        <f t="shared" ca="1" si="96"/>
        <v>0</v>
      </c>
      <c r="AG300" s="519">
        <f t="shared" ca="1" si="97"/>
        <v>0</v>
      </c>
      <c r="AH300" s="519">
        <f t="shared" ca="1" si="98"/>
        <v>0</v>
      </c>
      <c r="AI300" s="519">
        <f t="shared" ca="1" si="99"/>
        <v>0</v>
      </c>
      <c r="AJ300" s="519">
        <f t="shared" ca="1" si="100"/>
        <v>0</v>
      </c>
      <c r="AK300" s="519">
        <f t="shared" ca="1" si="101"/>
        <v>0</v>
      </c>
      <c r="AL300" s="519">
        <f t="shared" ca="1" si="102"/>
        <v>0</v>
      </c>
      <c r="AM300" s="519">
        <f t="shared" ca="1" si="103"/>
        <v>0</v>
      </c>
      <c r="AN300" s="519">
        <f t="shared" ca="1" si="104"/>
        <v>0</v>
      </c>
      <c r="AO300" s="519">
        <f t="shared" ca="1" si="105"/>
        <v>0</v>
      </c>
      <c r="AP300" s="519">
        <f t="shared" ca="1" si="106"/>
        <v>0</v>
      </c>
      <c r="AQ300" s="519">
        <f t="shared" ca="1" si="107"/>
        <v>0</v>
      </c>
    </row>
    <row r="301" spans="1:43" x14ac:dyDescent="0.3">
      <c r="A301" s="556">
        <f t="shared" si="108"/>
        <v>2</v>
      </c>
      <c r="B301" s="519" t="str">
        <f t="shared" si="109"/>
        <v>EDG</v>
      </c>
      <c r="C301" s="519" t="str">
        <f t="shared" ref="C301:E301" si="199">C67</f>
        <v>Horizon</v>
      </c>
      <c r="D301" s="519" t="str">
        <f t="shared" si="199"/>
        <v>EDG0331</v>
      </c>
      <c r="E301" s="519">
        <f t="shared" si="199"/>
        <v>64.562399999999997</v>
      </c>
      <c r="H301" s="519">
        <f ca="1">_xlfn.IFNA(IF(VLOOKUP($B301&amp;OFFSET(H$10,$A301*2,0),'Mapping A'!$B$6:$E$1011,4,0)=1,$E301,""),0)</f>
        <v>0</v>
      </c>
      <c r="I301" s="519">
        <f ca="1">_xlfn.IFNA(IF(VLOOKUP($B301&amp;OFFSET(I$10,$A301*2,0),'Mapping A'!$B$6:$E$1011,4,0)=1,$E301,""),0)</f>
        <v>0</v>
      </c>
      <c r="J301" s="519">
        <f ca="1">_xlfn.IFNA(IF(VLOOKUP($B301&amp;OFFSET(J$10,$A301*2,0),'Mapping A'!$B$6:$E$1011,4,0)=1,$E301,""),0)</f>
        <v>0</v>
      </c>
      <c r="K301" s="519">
        <f ca="1">_xlfn.IFNA(IF(VLOOKUP($B301&amp;OFFSET(K$10,$A301*2,0),'Mapping A'!$B$6:$E$1011,4,0)=1,$E301,""),0)</f>
        <v>0</v>
      </c>
      <c r="L301" s="519">
        <f ca="1">_xlfn.IFNA(IF(VLOOKUP($B301&amp;OFFSET(L$10,$A301*2,0),'Mapping A'!$B$6:$E$1011,4,0)=1,$E301,""),0)</f>
        <v>0</v>
      </c>
      <c r="M301" s="519">
        <f ca="1">_xlfn.IFNA(IF(VLOOKUP($B301&amp;OFFSET(M$10,$A301*2,0),'Mapping A'!$B$6:$E$1011,4,0)=1,$E301,""),0)</f>
        <v>0</v>
      </c>
      <c r="N301" s="519">
        <f ca="1">_xlfn.IFNA(IF(VLOOKUP($B301&amp;OFFSET(N$10,$A301*2,0),'Mapping A'!$B$6:$E$1011,4,0)=1,$E301,""),0)</f>
        <v>0</v>
      </c>
      <c r="O301" s="519">
        <f ca="1">_xlfn.IFNA(IF(VLOOKUP($B301&amp;OFFSET(O$10,$A301*2,0),'Mapping A'!$B$6:$E$1011,4,0)=1,$E301,""),0)</f>
        <v>0</v>
      </c>
      <c r="P301" s="519">
        <f ca="1">_xlfn.IFNA(IF(VLOOKUP($B301&amp;OFFSET(P$10,$A301*2,0),'Mapping A'!$B$6:$E$1011,4,0)=1,$E301,""),0)</f>
        <v>0</v>
      </c>
      <c r="Q301" s="519">
        <f ca="1">_xlfn.IFNA(IF(VLOOKUP($B301&amp;OFFSET(Q$10,$A301*2,0),'Mapping A'!$B$6:$E$1011,4,0)=1,$E301,""),0)</f>
        <v>0</v>
      </c>
      <c r="R301" s="519">
        <f ca="1">_xlfn.IFNA(IF(VLOOKUP($B301&amp;OFFSET(R$10,$A301*2,0),'Mapping A'!$B$6:$E$1011,4,0)=1,$E301,""),0)</f>
        <v>0</v>
      </c>
      <c r="S301" s="519">
        <f ca="1">_xlfn.IFNA(IF(VLOOKUP($B301&amp;OFFSET(S$10,$A301*2,0),'Mapping A'!$B$6:$E$1011,4,0)=1,$E301,""),0)</f>
        <v>0</v>
      </c>
      <c r="T301" s="519">
        <f ca="1">_xlfn.IFNA(IF(VLOOKUP($B301&amp;OFFSET(T$10,$A301*2,0),'Mapping A'!$B$6:$E$1011,4,0)=1,$E301,""),0)</f>
        <v>0</v>
      </c>
      <c r="Y301" s="534" t="str">
        <f t="shared" si="111"/>
        <v>EDG0331Horizon</v>
      </c>
      <c r="Z301" s="519" t="str">
        <f t="shared" ref="Z301:AB301" si="200">C67</f>
        <v>Horizon</v>
      </c>
      <c r="AA301" s="519" t="str">
        <f t="shared" si="200"/>
        <v>EDG0331</v>
      </c>
      <c r="AB301" s="519">
        <f t="shared" si="200"/>
        <v>64.562399999999997</v>
      </c>
      <c r="AC301" s="324"/>
      <c r="AE301" s="519">
        <f t="shared" ca="1" si="95"/>
        <v>0</v>
      </c>
      <c r="AF301" s="519">
        <f t="shared" ca="1" si="96"/>
        <v>0</v>
      </c>
      <c r="AG301" s="519">
        <f t="shared" ca="1" si="97"/>
        <v>0</v>
      </c>
      <c r="AH301" s="519">
        <f t="shared" ca="1" si="98"/>
        <v>0</v>
      </c>
      <c r="AI301" s="519">
        <f t="shared" ca="1" si="99"/>
        <v>0</v>
      </c>
      <c r="AJ301" s="519">
        <f t="shared" ca="1" si="100"/>
        <v>0</v>
      </c>
      <c r="AK301" s="519">
        <f t="shared" ca="1" si="101"/>
        <v>0</v>
      </c>
      <c r="AL301" s="519">
        <f t="shared" ca="1" si="102"/>
        <v>0</v>
      </c>
      <c r="AM301" s="519">
        <f t="shared" ca="1" si="103"/>
        <v>0</v>
      </c>
      <c r="AN301" s="519">
        <f t="shared" ca="1" si="104"/>
        <v>0</v>
      </c>
      <c r="AO301" s="519">
        <f t="shared" ca="1" si="105"/>
        <v>0</v>
      </c>
      <c r="AP301" s="519">
        <f t="shared" ca="1" si="106"/>
        <v>0</v>
      </c>
      <c r="AQ301" s="519">
        <f t="shared" ca="1" si="107"/>
        <v>0</v>
      </c>
    </row>
    <row r="302" spans="1:43" x14ac:dyDescent="0.3">
      <c r="A302" s="556">
        <f t="shared" si="108"/>
        <v>2</v>
      </c>
      <c r="B302" s="519" t="str">
        <f t="shared" si="109"/>
        <v>EDN</v>
      </c>
      <c r="C302" s="519" t="str">
        <f t="shared" ref="C302:E302" si="201">C68</f>
        <v>The Power Company</v>
      </c>
      <c r="D302" s="519" t="str">
        <f t="shared" si="201"/>
        <v>EDN0331</v>
      </c>
      <c r="E302" s="519">
        <f t="shared" si="201"/>
        <v>28.740600000000001</v>
      </c>
      <c r="H302" s="519">
        <f ca="1">_xlfn.IFNA(IF(VLOOKUP($B302&amp;OFFSET(H$10,$A302*2,0),'Mapping A'!$B$6:$E$1011,4,0)=1,$E302,""),0)</f>
        <v>0</v>
      </c>
      <c r="I302" s="519">
        <f ca="1">_xlfn.IFNA(IF(VLOOKUP($B302&amp;OFFSET(I$10,$A302*2,0),'Mapping A'!$B$6:$E$1011,4,0)=1,$E302,""),0)</f>
        <v>0</v>
      </c>
      <c r="J302" s="519">
        <f ca="1">_xlfn.IFNA(IF(VLOOKUP($B302&amp;OFFSET(J$10,$A302*2,0),'Mapping A'!$B$6:$E$1011,4,0)=1,$E302,""),0)</f>
        <v>28.740600000000001</v>
      </c>
      <c r="K302" s="519">
        <f ca="1">_xlfn.IFNA(IF(VLOOKUP($B302&amp;OFFSET(K$10,$A302*2,0),'Mapping A'!$B$6:$E$1011,4,0)=1,$E302,""),0)</f>
        <v>0</v>
      </c>
      <c r="L302" s="519">
        <f ca="1">_xlfn.IFNA(IF(VLOOKUP($B302&amp;OFFSET(L$10,$A302*2,0),'Mapping A'!$B$6:$E$1011,4,0)=1,$E302,""),0)</f>
        <v>0</v>
      </c>
      <c r="M302" s="519">
        <f ca="1">_xlfn.IFNA(IF(VLOOKUP($B302&amp;OFFSET(M$10,$A302*2,0),'Mapping A'!$B$6:$E$1011,4,0)=1,$E302,""),0)</f>
        <v>0</v>
      </c>
      <c r="N302" s="519">
        <f ca="1">_xlfn.IFNA(IF(VLOOKUP($B302&amp;OFFSET(N$10,$A302*2,0),'Mapping A'!$B$6:$E$1011,4,0)=1,$E302,""),0)</f>
        <v>0</v>
      </c>
      <c r="O302" s="519">
        <f ca="1">_xlfn.IFNA(IF(VLOOKUP($B302&amp;OFFSET(O$10,$A302*2,0),'Mapping A'!$B$6:$E$1011,4,0)=1,$E302,""),0)</f>
        <v>0</v>
      </c>
      <c r="P302" s="519">
        <f ca="1">_xlfn.IFNA(IF(VLOOKUP($B302&amp;OFFSET(P$10,$A302*2,0),'Mapping A'!$B$6:$E$1011,4,0)=1,$E302,""),0)</f>
        <v>0</v>
      </c>
      <c r="Q302" s="519">
        <f ca="1">_xlfn.IFNA(IF(VLOOKUP($B302&amp;OFFSET(Q$10,$A302*2,0),'Mapping A'!$B$6:$E$1011,4,0)=1,$E302,""),0)</f>
        <v>0</v>
      </c>
      <c r="R302" s="519">
        <f ca="1">_xlfn.IFNA(IF(VLOOKUP($B302&amp;OFFSET(R$10,$A302*2,0),'Mapping A'!$B$6:$E$1011,4,0)=1,$E302,""),0)</f>
        <v>0</v>
      </c>
      <c r="S302" s="519">
        <f ca="1">_xlfn.IFNA(IF(VLOOKUP($B302&amp;OFFSET(S$10,$A302*2,0),'Mapping A'!$B$6:$E$1011,4,0)=1,$E302,""),0)</f>
        <v>0</v>
      </c>
      <c r="T302" s="519">
        <f ca="1">_xlfn.IFNA(IF(VLOOKUP($B302&amp;OFFSET(T$10,$A302*2,0),'Mapping A'!$B$6:$E$1011,4,0)=1,$E302,""),0)</f>
        <v>0</v>
      </c>
      <c r="Y302" s="534" t="str">
        <f t="shared" si="111"/>
        <v>EDN0331The Power Company</v>
      </c>
      <c r="Z302" s="519" t="str">
        <f t="shared" ref="Z302:AB302" si="202">C68</f>
        <v>The Power Company</v>
      </c>
      <c r="AA302" s="519" t="str">
        <f t="shared" si="202"/>
        <v>EDN0331</v>
      </c>
      <c r="AB302" s="519">
        <f t="shared" si="202"/>
        <v>28.740600000000001</v>
      </c>
      <c r="AC302" s="324"/>
      <c r="AE302" s="519">
        <f t="shared" ca="1" si="95"/>
        <v>0</v>
      </c>
      <c r="AF302" s="519">
        <f t="shared" ca="1" si="96"/>
        <v>0</v>
      </c>
      <c r="AG302" s="519">
        <f t="shared" ca="1" si="97"/>
        <v>0</v>
      </c>
      <c r="AH302" s="519">
        <f t="shared" ca="1" si="98"/>
        <v>0</v>
      </c>
      <c r="AI302" s="519">
        <f t="shared" ca="1" si="99"/>
        <v>0</v>
      </c>
      <c r="AJ302" s="519">
        <f t="shared" ca="1" si="100"/>
        <v>0</v>
      </c>
      <c r="AK302" s="519">
        <f t="shared" ca="1" si="101"/>
        <v>0</v>
      </c>
      <c r="AL302" s="519">
        <f t="shared" ca="1" si="102"/>
        <v>0</v>
      </c>
      <c r="AM302" s="519">
        <f t="shared" ca="1" si="103"/>
        <v>0</v>
      </c>
      <c r="AN302" s="519">
        <f t="shared" ca="1" si="104"/>
        <v>0</v>
      </c>
      <c r="AO302" s="519">
        <f t="shared" ca="1" si="105"/>
        <v>0</v>
      </c>
      <c r="AP302" s="519">
        <f t="shared" ca="1" si="106"/>
        <v>0</v>
      </c>
      <c r="AQ302" s="519">
        <f t="shared" ca="1" si="107"/>
        <v>0</v>
      </c>
    </row>
    <row r="303" spans="1:43" x14ac:dyDescent="0.3">
      <c r="A303" s="556">
        <f t="shared" si="108"/>
        <v>2</v>
      </c>
      <c r="B303" s="519" t="str">
        <f t="shared" si="109"/>
        <v>FHL</v>
      </c>
      <c r="C303" s="519" t="str">
        <f t="shared" ref="C303:E303" si="203">C69</f>
        <v>Unison</v>
      </c>
      <c r="D303" s="519" t="str">
        <f t="shared" si="203"/>
        <v>FHL0331</v>
      </c>
      <c r="E303" s="519">
        <f t="shared" si="203"/>
        <v>52.592399999999998</v>
      </c>
      <c r="H303" s="519">
        <f ca="1">_xlfn.IFNA(IF(VLOOKUP($B303&amp;OFFSET(H$10,$A303*2,0),'Mapping A'!$B$6:$E$1011,4,0)=1,$E303,""),0)</f>
        <v>0</v>
      </c>
      <c r="I303" s="519">
        <f ca="1">_xlfn.IFNA(IF(VLOOKUP($B303&amp;OFFSET(I$10,$A303*2,0),'Mapping A'!$B$6:$E$1011,4,0)=1,$E303,""),0)</f>
        <v>0</v>
      </c>
      <c r="J303" s="519">
        <f ca="1">_xlfn.IFNA(IF(VLOOKUP($B303&amp;OFFSET(J$10,$A303*2,0),'Mapping A'!$B$6:$E$1011,4,0)=1,$E303,""),0)</f>
        <v>0</v>
      </c>
      <c r="K303" s="519">
        <f ca="1">_xlfn.IFNA(IF(VLOOKUP($B303&amp;OFFSET(K$10,$A303*2,0),'Mapping A'!$B$6:$E$1011,4,0)=1,$E303,""),0)</f>
        <v>0</v>
      </c>
      <c r="L303" s="519">
        <f ca="1">_xlfn.IFNA(IF(VLOOKUP($B303&amp;OFFSET(L$10,$A303*2,0),'Mapping A'!$B$6:$E$1011,4,0)=1,$E303,""),0)</f>
        <v>0</v>
      </c>
      <c r="M303" s="519">
        <f ca="1">_xlfn.IFNA(IF(VLOOKUP($B303&amp;OFFSET(M$10,$A303*2,0),'Mapping A'!$B$6:$E$1011,4,0)=1,$E303,""),0)</f>
        <v>0</v>
      </c>
      <c r="N303" s="519">
        <f ca="1">_xlfn.IFNA(IF(VLOOKUP($B303&amp;OFFSET(N$10,$A303*2,0),'Mapping A'!$B$6:$E$1011,4,0)=1,$E303,""),0)</f>
        <v>0</v>
      </c>
      <c r="O303" s="519">
        <f ca="1">_xlfn.IFNA(IF(VLOOKUP($B303&amp;OFFSET(O$10,$A303*2,0),'Mapping A'!$B$6:$E$1011,4,0)=1,$E303,""),0)</f>
        <v>0</v>
      </c>
      <c r="P303" s="519">
        <f ca="1">_xlfn.IFNA(IF(VLOOKUP($B303&amp;OFFSET(P$10,$A303*2,0),'Mapping A'!$B$6:$E$1011,4,0)=1,$E303,""),0)</f>
        <v>0</v>
      </c>
      <c r="Q303" s="519">
        <f ca="1">_xlfn.IFNA(IF(VLOOKUP($B303&amp;OFFSET(Q$10,$A303*2,0),'Mapping A'!$B$6:$E$1011,4,0)=1,$E303,""),0)</f>
        <v>0</v>
      </c>
      <c r="R303" s="519">
        <f ca="1">_xlfn.IFNA(IF(VLOOKUP($B303&amp;OFFSET(R$10,$A303*2,0),'Mapping A'!$B$6:$E$1011,4,0)=1,$E303,""),0)</f>
        <v>0</v>
      </c>
      <c r="S303" s="519">
        <f ca="1">_xlfn.IFNA(IF(VLOOKUP($B303&amp;OFFSET(S$10,$A303*2,0),'Mapping A'!$B$6:$E$1011,4,0)=1,$E303,""),0)</f>
        <v>0</v>
      </c>
      <c r="T303" s="519">
        <f ca="1">_xlfn.IFNA(IF(VLOOKUP($B303&amp;OFFSET(T$10,$A303*2,0),'Mapping A'!$B$6:$E$1011,4,0)=1,$E303,""),0)</f>
        <v>0</v>
      </c>
      <c r="Y303" s="534" t="str">
        <f t="shared" si="111"/>
        <v>FHL0331Unison</v>
      </c>
      <c r="Z303" s="519" t="str">
        <f t="shared" ref="Z303:AB303" si="204">C69</f>
        <v>Unison</v>
      </c>
      <c r="AA303" s="519" t="str">
        <f t="shared" si="204"/>
        <v>FHL0331</v>
      </c>
      <c r="AB303" s="519">
        <f t="shared" si="204"/>
        <v>52.592399999999998</v>
      </c>
      <c r="AC303" s="324"/>
      <c r="AE303" s="519">
        <f t="shared" ca="1" si="95"/>
        <v>0</v>
      </c>
      <c r="AF303" s="519">
        <f t="shared" ca="1" si="96"/>
        <v>0</v>
      </c>
      <c r="AG303" s="519">
        <f t="shared" ca="1" si="97"/>
        <v>0</v>
      </c>
      <c r="AH303" s="519">
        <f t="shared" ca="1" si="98"/>
        <v>0</v>
      </c>
      <c r="AI303" s="519">
        <f t="shared" ca="1" si="99"/>
        <v>0</v>
      </c>
      <c r="AJ303" s="519">
        <f t="shared" ca="1" si="100"/>
        <v>0</v>
      </c>
      <c r="AK303" s="519">
        <f t="shared" ca="1" si="101"/>
        <v>0</v>
      </c>
      <c r="AL303" s="519">
        <f t="shared" ca="1" si="102"/>
        <v>0</v>
      </c>
      <c r="AM303" s="519">
        <f t="shared" ca="1" si="103"/>
        <v>0</v>
      </c>
      <c r="AN303" s="519">
        <f t="shared" ca="1" si="104"/>
        <v>0</v>
      </c>
      <c r="AO303" s="519">
        <f t="shared" ca="1" si="105"/>
        <v>0</v>
      </c>
      <c r="AP303" s="519">
        <f t="shared" ca="1" si="106"/>
        <v>0</v>
      </c>
      <c r="AQ303" s="519">
        <f t="shared" ca="1" si="107"/>
        <v>0</v>
      </c>
    </row>
    <row r="304" spans="1:43" x14ac:dyDescent="0.3">
      <c r="A304" s="556">
        <f t="shared" si="108"/>
        <v>2</v>
      </c>
      <c r="B304" s="519" t="str">
        <f t="shared" si="109"/>
        <v>FKN</v>
      </c>
      <c r="C304" s="519" t="str">
        <f t="shared" ref="C304:E304" si="205">C70</f>
        <v>Aurora Energy</v>
      </c>
      <c r="D304" s="519" t="str">
        <f t="shared" si="205"/>
        <v>FKN0331</v>
      </c>
      <c r="E304" s="519">
        <f t="shared" si="205"/>
        <v>56.477399999999903</v>
      </c>
      <c r="H304" s="519">
        <f ca="1">_xlfn.IFNA(IF(VLOOKUP($B304&amp;OFFSET(H$10,$A304*2,0),'Mapping A'!$B$6:$E$1011,4,0)=1,$E304,""),0)</f>
        <v>0</v>
      </c>
      <c r="I304" s="519">
        <f ca="1">_xlfn.IFNA(IF(VLOOKUP($B304&amp;OFFSET(I$10,$A304*2,0),'Mapping A'!$B$6:$E$1011,4,0)=1,$E304,""),0)</f>
        <v>0</v>
      </c>
      <c r="J304" s="519">
        <f ca="1">_xlfn.IFNA(IF(VLOOKUP($B304&amp;OFFSET(J$10,$A304*2,0),'Mapping A'!$B$6:$E$1011,4,0)=1,$E304,""),0)</f>
        <v>56.477399999999903</v>
      </c>
      <c r="K304" s="519">
        <f ca="1">_xlfn.IFNA(IF(VLOOKUP($B304&amp;OFFSET(K$10,$A304*2,0),'Mapping A'!$B$6:$E$1011,4,0)=1,$E304,""),0)</f>
        <v>0</v>
      </c>
      <c r="L304" s="519">
        <f ca="1">_xlfn.IFNA(IF(VLOOKUP($B304&amp;OFFSET(L$10,$A304*2,0),'Mapping A'!$B$6:$E$1011,4,0)=1,$E304,""),0)</f>
        <v>0</v>
      </c>
      <c r="M304" s="519">
        <f ca="1">_xlfn.IFNA(IF(VLOOKUP($B304&amp;OFFSET(M$10,$A304*2,0),'Mapping A'!$B$6:$E$1011,4,0)=1,$E304,""),0)</f>
        <v>0</v>
      </c>
      <c r="N304" s="519">
        <f ca="1">_xlfn.IFNA(IF(VLOOKUP($B304&amp;OFFSET(N$10,$A304*2,0),'Mapping A'!$B$6:$E$1011,4,0)=1,$E304,""),0)</f>
        <v>0</v>
      </c>
      <c r="O304" s="519">
        <f ca="1">_xlfn.IFNA(IF(VLOOKUP($B304&amp;OFFSET(O$10,$A304*2,0),'Mapping A'!$B$6:$E$1011,4,0)=1,$E304,""),0)</f>
        <v>0</v>
      </c>
      <c r="P304" s="519">
        <f ca="1">_xlfn.IFNA(IF(VLOOKUP($B304&amp;OFFSET(P$10,$A304*2,0),'Mapping A'!$B$6:$E$1011,4,0)=1,$E304,""),0)</f>
        <v>0</v>
      </c>
      <c r="Q304" s="519">
        <f ca="1">_xlfn.IFNA(IF(VLOOKUP($B304&amp;OFFSET(Q$10,$A304*2,0),'Mapping A'!$B$6:$E$1011,4,0)=1,$E304,""),0)</f>
        <v>0</v>
      </c>
      <c r="R304" s="519">
        <f ca="1">_xlfn.IFNA(IF(VLOOKUP($B304&amp;OFFSET(R$10,$A304*2,0),'Mapping A'!$B$6:$E$1011,4,0)=1,$E304,""),0)</f>
        <v>0</v>
      </c>
      <c r="S304" s="519">
        <f ca="1">_xlfn.IFNA(IF(VLOOKUP($B304&amp;OFFSET(S$10,$A304*2,0),'Mapping A'!$B$6:$E$1011,4,0)=1,$E304,""),0)</f>
        <v>0</v>
      </c>
      <c r="T304" s="519">
        <f ca="1">_xlfn.IFNA(IF(VLOOKUP($B304&amp;OFFSET(T$10,$A304*2,0),'Mapping A'!$B$6:$E$1011,4,0)=1,$E304,""),0)</f>
        <v>0</v>
      </c>
      <c r="Y304" s="534" t="str">
        <f t="shared" si="111"/>
        <v>FKN0331Aurora Energy</v>
      </c>
      <c r="Z304" s="519" t="str">
        <f t="shared" ref="Z304:AB304" si="206">C70</f>
        <v>Aurora Energy</v>
      </c>
      <c r="AA304" s="519" t="str">
        <f t="shared" si="206"/>
        <v>FKN0331</v>
      </c>
      <c r="AB304" s="519">
        <f t="shared" si="206"/>
        <v>56.477399999999903</v>
      </c>
      <c r="AC304" s="324"/>
      <c r="AE304" s="519">
        <f t="shared" ca="1" si="95"/>
        <v>0</v>
      </c>
      <c r="AF304" s="519">
        <f t="shared" ca="1" si="96"/>
        <v>0</v>
      </c>
      <c r="AG304" s="519">
        <f t="shared" ca="1" si="97"/>
        <v>0</v>
      </c>
      <c r="AH304" s="519">
        <f t="shared" ca="1" si="98"/>
        <v>0</v>
      </c>
      <c r="AI304" s="519">
        <f t="shared" ca="1" si="99"/>
        <v>0</v>
      </c>
      <c r="AJ304" s="519">
        <f t="shared" ca="1" si="100"/>
        <v>0</v>
      </c>
      <c r="AK304" s="519">
        <f t="shared" ca="1" si="101"/>
        <v>0</v>
      </c>
      <c r="AL304" s="519">
        <f t="shared" ca="1" si="102"/>
        <v>0</v>
      </c>
      <c r="AM304" s="519">
        <f t="shared" ca="1" si="103"/>
        <v>0</v>
      </c>
      <c r="AN304" s="519">
        <f t="shared" ca="1" si="104"/>
        <v>0</v>
      </c>
      <c r="AO304" s="519">
        <f t="shared" ca="1" si="105"/>
        <v>0</v>
      </c>
      <c r="AP304" s="519">
        <f t="shared" ca="1" si="106"/>
        <v>0</v>
      </c>
      <c r="AQ304" s="519">
        <f t="shared" ca="1" si="107"/>
        <v>0</v>
      </c>
    </row>
    <row r="305" spans="1:43" x14ac:dyDescent="0.3">
      <c r="A305" s="556">
        <f t="shared" si="108"/>
        <v>2</v>
      </c>
      <c r="B305" s="519" t="str">
        <f t="shared" si="109"/>
        <v>FKN</v>
      </c>
      <c r="C305" s="519" t="str">
        <f t="shared" ref="C305:E305" si="207">C71</f>
        <v>Lakeland Network</v>
      </c>
      <c r="D305" s="519" t="str">
        <f t="shared" si="207"/>
        <v>FKN0331</v>
      </c>
      <c r="E305" s="519">
        <f t="shared" si="207"/>
        <v>2.7846000000000002</v>
      </c>
      <c r="H305" s="519">
        <f ca="1">_xlfn.IFNA(IF(VLOOKUP($B305&amp;OFFSET(H$10,$A305*2,0),'Mapping A'!$B$6:$E$1011,4,0)=1,$E305,""),0)</f>
        <v>0</v>
      </c>
      <c r="I305" s="519">
        <f ca="1">_xlfn.IFNA(IF(VLOOKUP($B305&amp;OFFSET(I$10,$A305*2,0),'Mapping A'!$B$6:$E$1011,4,0)=1,$E305,""),0)</f>
        <v>0</v>
      </c>
      <c r="J305" s="519">
        <f ca="1">_xlfn.IFNA(IF(VLOOKUP($B305&amp;OFFSET(J$10,$A305*2,0),'Mapping A'!$B$6:$E$1011,4,0)=1,$E305,""),0)</f>
        <v>2.7846000000000002</v>
      </c>
      <c r="K305" s="519">
        <f ca="1">_xlfn.IFNA(IF(VLOOKUP($B305&amp;OFFSET(K$10,$A305*2,0),'Mapping A'!$B$6:$E$1011,4,0)=1,$E305,""),0)</f>
        <v>0</v>
      </c>
      <c r="L305" s="519">
        <f ca="1">_xlfn.IFNA(IF(VLOOKUP($B305&amp;OFFSET(L$10,$A305*2,0),'Mapping A'!$B$6:$E$1011,4,0)=1,$E305,""),0)</f>
        <v>0</v>
      </c>
      <c r="M305" s="519">
        <f ca="1">_xlfn.IFNA(IF(VLOOKUP($B305&amp;OFFSET(M$10,$A305*2,0),'Mapping A'!$B$6:$E$1011,4,0)=1,$E305,""),0)</f>
        <v>0</v>
      </c>
      <c r="N305" s="519">
        <f ca="1">_xlfn.IFNA(IF(VLOOKUP($B305&amp;OFFSET(N$10,$A305*2,0),'Mapping A'!$B$6:$E$1011,4,0)=1,$E305,""),0)</f>
        <v>0</v>
      </c>
      <c r="O305" s="519">
        <f ca="1">_xlfn.IFNA(IF(VLOOKUP($B305&amp;OFFSET(O$10,$A305*2,0),'Mapping A'!$B$6:$E$1011,4,0)=1,$E305,""),0)</f>
        <v>0</v>
      </c>
      <c r="P305" s="519">
        <f ca="1">_xlfn.IFNA(IF(VLOOKUP($B305&amp;OFFSET(P$10,$A305*2,0),'Mapping A'!$B$6:$E$1011,4,0)=1,$E305,""),0)</f>
        <v>0</v>
      </c>
      <c r="Q305" s="519">
        <f ca="1">_xlfn.IFNA(IF(VLOOKUP($B305&amp;OFFSET(Q$10,$A305*2,0),'Mapping A'!$B$6:$E$1011,4,0)=1,$E305,""),0)</f>
        <v>0</v>
      </c>
      <c r="R305" s="519">
        <f ca="1">_xlfn.IFNA(IF(VLOOKUP($B305&amp;OFFSET(R$10,$A305*2,0),'Mapping A'!$B$6:$E$1011,4,0)=1,$E305,""),0)</f>
        <v>0</v>
      </c>
      <c r="S305" s="519">
        <f ca="1">_xlfn.IFNA(IF(VLOOKUP($B305&amp;OFFSET(S$10,$A305*2,0),'Mapping A'!$B$6:$E$1011,4,0)=1,$E305,""),0)</f>
        <v>0</v>
      </c>
      <c r="T305" s="519">
        <f ca="1">_xlfn.IFNA(IF(VLOOKUP($B305&amp;OFFSET(T$10,$A305*2,0),'Mapping A'!$B$6:$E$1011,4,0)=1,$E305,""),0)</f>
        <v>0</v>
      </c>
      <c r="Y305" s="534" t="str">
        <f t="shared" si="111"/>
        <v>FKN0331Lakeland Network</v>
      </c>
      <c r="Z305" s="519" t="str">
        <f t="shared" ref="Z305:AB305" si="208">C71</f>
        <v>Lakeland Network</v>
      </c>
      <c r="AA305" s="519" t="str">
        <f t="shared" si="208"/>
        <v>FKN0331</v>
      </c>
      <c r="AB305" s="519">
        <f t="shared" si="208"/>
        <v>2.7846000000000002</v>
      </c>
      <c r="AC305" s="324"/>
      <c r="AE305" s="519">
        <f t="shared" ca="1" si="95"/>
        <v>0</v>
      </c>
      <c r="AF305" s="519">
        <f t="shared" ca="1" si="96"/>
        <v>0</v>
      </c>
      <c r="AG305" s="519">
        <f t="shared" ca="1" si="97"/>
        <v>0</v>
      </c>
      <c r="AH305" s="519">
        <f t="shared" ca="1" si="98"/>
        <v>0</v>
      </c>
      <c r="AI305" s="519">
        <f t="shared" ca="1" si="99"/>
        <v>0</v>
      </c>
      <c r="AJ305" s="519">
        <f t="shared" ca="1" si="100"/>
        <v>0</v>
      </c>
      <c r="AK305" s="519">
        <f t="shared" ca="1" si="101"/>
        <v>0</v>
      </c>
      <c r="AL305" s="519">
        <f t="shared" ca="1" si="102"/>
        <v>0</v>
      </c>
      <c r="AM305" s="519">
        <f t="shared" ca="1" si="103"/>
        <v>0</v>
      </c>
      <c r="AN305" s="519">
        <f t="shared" ca="1" si="104"/>
        <v>0</v>
      </c>
      <c r="AO305" s="519">
        <f t="shared" ca="1" si="105"/>
        <v>0</v>
      </c>
      <c r="AP305" s="519">
        <f t="shared" ca="1" si="106"/>
        <v>0</v>
      </c>
      <c r="AQ305" s="519">
        <f t="shared" ca="1" si="107"/>
        <v>0</v>
      </c>
    </row>
    <row r="306" spans="1:43" x14ac:dyDescent="0.3">
      <c r="A306" s="556">
        <f t="shared" si="108"/>
        <v>2</v>
      </c>
      <c r="B306" s="519" t="str">
        <f t="shared" si="109"/>
        <v>GFD</v>
      </c>
      <c r="C306" s="519" t="str">
        <f t="shared" ref="C306:E306" si="209">C72</f>
        <v>Wellington Electricity</v>
      </c>
      <c r="D306" s="519" t="str">
        <f t="shared" si="209"/>
        <v>GFD0331</v>
      </c>
      <c r="E306" s="519">
        <f t="shared" si="209"/>
        <v>62.397300000000001</v>
      </c>
      <c r="H306" s="519">
        <f ca="1">_xlfn.IFNA(IF(VLOOKUP($B306&amp;OFFSET(H$10,$A306*2,0),'Mapping A'!$B$6:$E$1011,4,0)=1,$E306,""),0)</f>
        <v>0</v>
      </c>
      <c r="I306" s="519">
        <f ca="1">_xlfn.IFNA(IF(VLOOKUP($B306&amp;OFFSET(I$10,$A306*2,0),'Mapping A'!$B$6:$E$1011,4,0)=1,$E306,""),0)</f>
        <v>0</v>
      </c>
      <c r="J306" s="519">
        <f ca="1">_xlfn.IFNA(IF(VLOOKUP($B306&amp;OFFSET(J$10,$A306*2,0),'Mapping A'!$B$6:$E$1011,4,0)=1,$E306,""),0)</f>
        <v>0</v>
      </c>
      <c r="K306" s="519">
        <f ca="1">_xlfn.IFNA(IF(VLOOKUP($B306&amp;OFFSET(K$10,$A306*2,0),'Mapping A'!$B$6:$E$1011,4,0)=1,$E306,""),0)</f>
        <v>0</v>
      </c>
      <c r="L306" s="519">
        <f ca="1">_xlfn.IFNA(IF(VLOOKUP($B306&amp;OFFSET(L$10,$A306*2,0),'Mapping A'!$B$6:$E$1011,4,0)=1,$E306,""),0)</f>
        <v>0</v>
      </c>
      <c r="M306" s="519">
        <f ca="1">_xlfn.IFNA(IF(VLOOKUP($B306&amp;OFFSET(M$10,$A306*2,0),'Mapping A'!$B$6:$E$1011,4,0)=1,$E306,""),0)</f>
        <v>0</v>
      </c>
      <c r="N306" s="519">
        <f ca="1">_xlfn.IFNA(IF(VLOOKUP($B306&amp;OFFSET(N$10,$A306*2,0),'Mapping A'!$B$6:$E$1011,4,0)=1,$E306,""),0)</f>
        <v>0</v>
      </c>
      <c r="O306" s="519">
        <f ca="1">_xlfn.IFNA(IF(VLOOKUP($B306&amp;OFFSET(O$10,$A306*2,0),'Mapping A'!$B$6:$E$1011,4,0)=1,$E306,""),0)</f>
        <v>0</v>
      </c>
      <c r="P306" s="519">
        <f ca="1">_xlfn.IFNA(IF(VLOOKUP($B306&amp;OFFSET(P$10,$A306*2,0),'Mapping A'!$B$6:$E$1011,4,0)=1,$E306,""),0)</f>
        <v>0</v>
      </c>
      <c r="Q306" s="519">
        <f ca="1">_xlfn.IFNA(IF(VLOOKUP($B306&amp;OFFSET(Q$10,$A306*2,0),'Mapping A'!$B$6:$E$1011,4,0)=1,$E306,""),0)</f>
        <v>0</v>
      </c>
      <c r="R306" s="519">
        <f ca="1">_xlfn.IFNA(IF(VLOOKUP($B306&amp;OFFSET(R$10,$A306*2,0),'Mapping A'!$B$6:$E$1011,4,0)=1,$E306,""),0)</f>
        <v>0</v>
      </c>
      <c r="S306" s="519">
        <f ca="1">_xlfn.IFNA(IF(VLOOKUP($B306&amp;OFFSET(S$10,$A306*2,0),'Mapping A'!$B$6:$E$1011,4,0)=1,$E306,""),0)</f>
        <v>0</v>
      </c>
      <c r="T306" s="519">
        <f ca="1">_xlfn.IFNA(IF(VLOOKUP($B306&amp;OFFSET(T$10,$A306*2,0),'Mapping A'!$B$6:$E$1011,4,0)=1,$E306,""),0)</f>
        <v>0</v>
      </c>
      <c r="Y306" s="534" t="str">
        <f t="shared" si="111"/>
        <v>GFD0331Wellington Electricity</v>
      </c>
      <c r="Z306" s="519" t="str">
        <f t="shared" ref="Z306:AB306" si="210">C72</f>
        <v>Wellington Electricity</v>
      </c>
      <c r="AA306" s="519" t="str">
        <f t="shared" si="210"/>
        <v>GFD0331</v>
      </c>
      <c r="AB306" s="519">
        <f t="shared" si="210"/>
        <v>62.397300000000001</v>
      </c>
      <c r="AC306" s="324"/>
      <c r="AE306" s="519">
        <f t="shared" ca="1" si="95"/>
        <v>0</v>
      </c>
      <c r="AF306" s="519">
        <f t="shared" ca="1" si="96"/>
        <v>0</v>
      </c>
      <c r="AG306" s="519">
        <f t="shared" ca="1" si="97"/>
        <v>0</v>
      </c>
      <c r="AH306" s="519">
        <f t="shared" ca="1" si="98"/>
        <v>0</v>
      </c>
      <c r="AI306" s="519">
        <f t="shared" ca="1" si="99"/>
        <v>0</v>
      </c>
      <c r="AJ306" s="519">
        <f t="shared" ca="1" si="100"/>
        <v>0</v>
      </c>
      <c r="AK306" s="519">
        <f t="shared" ca="1" si="101"/>
        <v>0</v>
      </c>
      <c r="AL306" s="519">
        <f t="shared" ca="1" si="102"/>
        <v>0</v>
      </c>
      <c r="AM306" s="519">
        <f t="shared" ca="1" si="103"/>
        <v>0</v>
      </c>
      <c r="AN306" s="519">
        <f t="shared" ca="1" si="104"/>
        <v>0</v>
      </c>
      <c r="AO306" s="519">
        <f t="shared" ca="1" si="105"/>
        <v>0</v>
      </c>
      <c r="AP306" s="519">
        <f t="shared" ca="1" si="106"/>
        <v>0</v>
      </c>
      <c r="AQ306" s="519">
        <f t="shared" ca="1" si="107"/>
        <v>0</v>
      </c>
    </row>
    <row r="307" spans="1:43" x14ac:dyDescent="0.3">
      <c r="A307" s="556">
        <f t="shared" si="108"/>
        <v>2</v>
      </c>
      <c r="B307" s="519" t="str">
        <f t="shared" si="109"/>
        <v>GLN</v>
      </c>
      <c r="C307" s="519" t="str">
        <f t="shared" ref="C307:E307" si="211">C73</f>
        <v>Counties Power</v>
      </c>
      <c r="D307" s="519" t="str">
        <f t="shared" si="211"/>
        <v>GLN</v>
      </c>
      <c r="E307" s="519">
        <f t="shared" si="211"/>
        <v>38.625300000000003</v>
      </c>
      <c r="H307" s="519">
        <f ca="1">_xlfn.IFNA(IF(VLOOKUP($B307&amp;OFFSET(H$10,$A307*2,0),'Mapping A'!$B$6:$E$1011,4,0)=1,$E307,""),0)</f>
        <v>0</v>
      </c>
      <c r="I307" s="519">
        <f ca="1">_xlfn.IFNA(IF(VLOOKUP($B307&amp;OFFSET(I$10,$A307*2,0),'Mapping A'!$B$6:$E$1011,4,0)=1,$E307,""),0)</f>
        <v>0</v>
      </c>
      <c r="J307" s="519">
        <f ca="1">_xlfn.IFNA(IF(VLOOKUP($B307&amp;OFFSET(J$10,$A307*2,0),'Mapping A'!$B$6:$E$1011,4,0)=1,$E307,""),0)</f>
        <v>0</v>
      </c>
      <c r="K307" s="519">
        <f ca="1">_xlfn.IFNA(IF(VLOOKUP($B307&amp;OFFSET(K$10,$A307*2,0),'Mapping A'!$B$6:$E$1011,4,0)=1,$E307,""),0)</f>
        <v>0</v>
      </c>
      <c r="L307" s="519">
        <f ca="1">_xlfn.IFNA(IF(VLOOKUP($B307&amp;OFFSET(L$10,$A307*2,0),'Mapping A'!$B$6:$E$1011,4,0)=1,$E307,""),0)</f>
        <v>0</v>
      </c>
      <c r="M307" s="519">
        <f ca="1">_xlfn.IFNA(IF(VLOOKUP($B307&amp;OFFSET(M$10,$A307*2,0),'Mapping A'!$B$6:$E$1011,4,0)=1,$E307,""),0)</f>
        <v>0</v>
      </c>
      <c r="N307" s="519">
        <f ca="1">_xlfn.IFNA(IF(VLOOKUP($B307&amp;OFFSET(N$10,$A307*2,0),'Mapping A'!$B$6:$E$1011,4,0)=1,$E307,""),0)</f>
        <v>0</v>
      </c>
      <c r="O307" s="519">
        <f ca="1">_xlfn.IFNA(IF(VLOOKUP($B307&amp;OFFSET(O$10,$A307*2,0),'Mapping A'!$B$6:$E$1011,4,0)=1,$E307,""),0)</f>
        <v>0</v>
      </c>
      <c r="P307" s="519">
        <f ca="1">_xlfn.IFNA(IF(VLOOKUP($B307&amp;OFFSET(P$10,$A307*2,0),'Mapping A'!$B$6:$E$1011,4,0)=1,$E307,""),0)</f>
        <v>0</v>
      </c>
      <c r="Q307" s="519">
        <f ca="1">_xlfn.IFNA(IF(VLOOKUP($B307&amp;OFFSET(Q$10,$A307*2,0),'Mapping A'!$B$6:$E$1011,4,0)=1,$E307,""),0)</f>
        <v>0</v>
      </c>
      <c r="R307" s="519">
        <f ca="1">_xlfn.IFNA(IF(VLOOKUP($B307&amp;OFFSET(R$10,$A307*2,0),'Mapping A'!$B$6:$E$1011,4,0)=1,$E307,""),0)</f>
        <v>0</v>
      </c>
      <c r="S307" s="519">
        <f ca="1">_xlfn.IFNA(IF(VLOOKUP($B307&amp;OFFSET(S$10,$A307*2,0),'Mapping A'!$B$6:$E$1011,4,0)=1,$E307,""),0)</f>
        <v>0</v>
      </c>
      <c r="T307" s="519">
        <f ca="1">_xlfn.IFNA(IF(VLOOKUP($B307&amp;OFFSET(T$10,$A307*2,0),'Mapping A'!$B$6:$E$1011,4,0)=1,$E307,""),0)</f>
        <v>0</v>
      </c>
      <c r="Y307" s="534" t="str">
        <f t="shared" si="111"/>
        <v>GLNCounties Power</v>
      </c>
      <c r="Z307" s="519" t="str">
        <f t="shared" ref="Z307:AB307" si="212">C73</f>
        <v>Counties Power</v>
      </c>
      <c r="AA307" s="519" t="str">
        <f t="shared" si="212"/>
        <v>GLN</v>
      </c>
      <c r="AB307" s="519">
        <f t="shared" si="212"/>
        <v>38.625300000000003</v>
      </c>
      <c r="AC307" s="324"/>
      <c r="AE307" s="519">
        <f t="shared" ca="1" si="95"/>
        <v>0</v>
      </c>
      <c r="AF307" s="519">
        <f t="shared" ca="1" si="96"/>
        <v>0</v>
      </c>
      <c r="AG307" s="519">
        <f t="shared" ca="1" si="97"/>
        <v>0</v>
      </c>
      <c r="AH307" s="519">
        <f t="shared" ca="1" si="98"/>
        <v>0</v>
      </c>
      <c r="AI307" s="519">
        <f t="shared" ca="1" si="99"/>
        <v>0</v>
      </c>
      <c r="AJ307" s="519">
        <f t="shared" ca="1" si="100"/>
        <v>0</v>
      </c>
      <c r="AK307" s="519">
        <f t="shared" ca="1" si="101"/>
        <v>0</v>
      </c>
      <c r="AL307" s="519">
        <f t="shared" ca="1" si="102"/>
        <v>0</v>
      </c>
      <c r="AM307" s="519">
        <f t="shared" ca="1" si="103"/>
        <v>0</v>
      </c>
      <c r="AN307" s="519">
        <f t="shared" ca="1" si="104"/>
        <v>0</v>
      </c>
      <c r="AO307" s="519">
        <f t="shared" ca="1" si="105"/>
        <v>0</v>
      </c>
      <c r="AP307" s="519">
        <f t="shared" ca="1" si="106"/>
        <v>0</v>
      </c>
      <c r="AQ307" s="519">
        <f t="shared" ca="1" si="107"/>
        <v>0</v>
      </c>
    </row>
    <row r="308" spans="1:43" x14ac:dyDescent="0.3">
      <c r="A308" s="556">
        <f t="shared" si="108"/>
        <v>2</v>
      </c>
      <c r="B308" s="519" t="str">
        <f t="shared" si="109"/>
        <v>GLN</v>
      </c>
      <c r="C308" s="519" t="str">
        <f t="shared" ref="C308:E308" si="213">C74</f>
        <v>NZ Steel</v>
      </c>
      <c r="D308" s="519" t="str">
        <f t="shared" si="213"/>
        <v>GLN</v>
      </c>
      <c r="E308" s="519">
        <f t="shared" si="213"/>
        <v>136.75409999999999</v>
      </c>
      <c r="H308" s="519">
        <f ca="1">_xlfn.IFNA(IF(VLOOKUP($B308&amp;OFFSET(H$10,$A308*2,0),'Mapping A'!$B$6:$E$1011,4,0)=1,$E308,""),0)</f>
        <v>0</v>
      </c>
      <c r="I308" s="519">
        <f ca="1">_xlfn.IFNA(IF(VLOOKUP($B308&amp;OFFSET(I$10,$A308*2,0),'Mapping A'!$B$6:$E$1011,4,0)=1,$E308,""),0)</f>
        <v>0</v>
      </c>
      <c r="J308" s="519">
        <f ca="1">_xlfn.IFNA(IF(VLOOKUP($B308&amp;OFFSET(J$10,$A308*2,0),'Mapping A'!$B$6:$E$1011,4,0)=1,$E308,""),0)</f>
        <v>0</v>
      </c>
      <c r="K308" s="519">
        <f ca="1">_xlfn.IFNA(IF(VLOOKUP($B308&amp;OFFSET(K$10,$A308*2,0),'Mapping A'!$B$6:$E$1011,4,0)=1,$E308,""),0)</f>
        <v>0</v>
      </c>
      <c r="L308" s="519">
        <f ca="1">_xlfn.IFNA(IF(VLOOKUP($B308&amp;OFFSET(L$10,$A308*2,0),'Mapping A'!$B$6:$E$1011,4,0)=1,$E308,""),0)</f>
        <v>0</v>
      </c>
      <c r="M308" s="519">
        <f ca="1">_xlfn.IFNA(IF(VLOOKUP($B308&amp;OFFSET(M$10,$A308*2,0),'Mapping A'!$B$6:$E$1011,4,0)=1,$E308,""),0)</f>
        <v>0</v>
      </c>
      <c r="N308" s="519">
        <f ca="1">_xlfn.IFNA(IF(VLOOKUP($B308&amp;OFFSET(N$10,$A308*2,0),'Mapping A'!$B$6:$E$1011,4,0)=1,$E308,""),0)</f>
        <v>0</v>
      </c>
      <c r="O308" s="519">
        <f ca="1">_xlfn.IFNA(IF(VLOOKUP($B308&amp;OFFSET(O$10,$A308*2,0),'Mapping A'!$B$6:$E$1011,4,0)=1,$E308,""),0)</f>
        <v>0</v>
      </c>
      <c r="P308" s="519">
        <f ca="1">_xlfn.IFNA(IF(VLOOKUP($B308&amp;OFFSET(P$10,$A308*2,0),'Mapping A'!$B$6:$E$1011,4,0)=1,$E308,""),0)</f>
        <v>0</v>
      </c>
      <c r="Q308" s="519">
        <f ca="1">_xlfn.IFNA(IF(VLOOKUP($B308&amp;OFFSET(Q$10,$A308*2,0),'Mapping A'!$B$6:$E$1011,4,0)=1,$E308,""),0)</f>
        <v>0</v>
      </c>
      <c r="R308" s="519">
        <f ca="1">_xlfn.IFNA(IF(VLOOKUP($B308&amp;OFFSET(R$10,$A308*2,0),'Mapping A'!$B$6:$E$1011,4,0)=1,$E308,""),0)</f>
        <v>0</v>
      </c>
      <c r="S308" s="519">
        <f ca="1">_xlfn.IFNA(IF(VLOOKUP($B308&amp;OFFSET(S$10,$A308*2,0),'Mapping A'!$B$6:$E$1011,4,0)=1,$E308,""),0)</f>
        <v>0</v>
      </c>
      <c r="T308" s="519">
        <f ca="1">_xlfn.IFNA(IF(VLOOKUP($B308&amp;OFFSET(T$10,$A308*2,0),'Mapping A'!$B$6:$E$1011,4,0)=1,$E308,""),0)</f>
        <v>0</v>
      </c>
      <c r="Y308" s="534" t="str">
        <f t="shared" si="111"/>
        <v>GLNNZ Steel</v>
      </c>
      <c r="Z308" s="519" t="str">
        <f t="shared" ref="Z308:AB308" si="214">C74</f>
        <v>NZ Steel</v>
      </c>
      <c r="AA308" s="519" t="str">
        <f t="shared" si="214"/>
        <v>GLN</v>
      </c>
      <c r="AB308" s="519">
        <f t="shared" si="214"/>
        <v>136.75409999999999</v>
      </c>
      <c r="AC308" s="324"/>
      <c r="AE308" s="519">
        <f t="shared" ca="1" si="95"/>
        <v>0</v>
      </c>
      <c r="AF308" s="519">
        <f t="shared" ca="1" si="96"/>
        <v>0</v>
      </c>
      <c r="AG308" s="519">
        <f t="shared" ca="1" si="97"/>
        <v>0</v>
      </c>
      <c r="AH308" s="519">
        <f t="shared" ca="1" si="98"/>
        <v>0</v>
      </c>
      <c r="AI308" s="519">
        <f t="shared" ca="1" si="99"/>
        <v>0</v>
      </c>
      <c r="AJ308" s="519">
        <f t="shared" ca="1" si="100"/>
        <v>0</v>
      </c>
      <c r="AK308" s="519">
        <f t="shared" ca="1" si="101"/>
        <v>0</v>
      </c>
      <c r="AL308" s="519">
        <f t="shared" ca="1" si="102"/>
        <v>0</v>
      </c>
      <c r="AM308" s="519">
        <f t="shared" ca="1" si="103"/>
        <v>0</v>
      </c>
      <c r="AN308" s="519">
        <f t="shared" ca="1" si="104"/>
        <v>0</v>
      </c>
      <c r="AO308" s="519">
        <f t="shared" ca="1" si="105"/>
        <v>0</v>
      </c>
      <c r="AP308" s="519">
        <f t="shared" ca="1" si="106"/>
        <v>0</v>
      </c>
      <c r="AQ308" s="519">
        <f t="shared" ca="1" si="107"/>
        <v>0</v>
      </c>
    </row>
    <row r="309" spans="1:43" x14ac:dyDescent="0.3">
      <c r="A309" s="556">
        <f t="shared" si="108"/>
        <v>2</v>
      </c>
      <c r="B309" s="519" t="str">
        <f t="shared" si="109"/>
        <v>GOR</v>
      </c>
      <c r="C309" s="519" t="str">
        <f t="shared" ref="C309:E309" si="215">C75</f>
        <v>The Power Company</v>
      </c>
      <c r="D309" s="519" t="str">
        <f t="shared" si="215"/>
        <v>GOR0331</v>
      </c>
      <c r="E309" s="519">
        <f t="shared" si="215"/>
        <v>29.563800000000001</v>
      </c>
      <c r="H309" s="519">
        <f ca="1">_xlfn.IFNA(IF(VLOOKUP($B309&amp;OFFSET(H$10,$A309*2,0),'Mapping A'!$B$6:$E$1011,4,0)=1,$E309,""),0)</f>
        <v>0</v>
      </c>
      <c r="I309" s="519">
        <f ca="1">_xlfn.IFNA(IF(VLOOKUP($B309&amp;OFFSET(I$10,$A309*2,0),'Mapping A'!$B$6:$E$1011,4,0)=1,$E309,""),0)</f>
        <v>0</v>
      </c>
      <c r="J309" s="519">
        <f ca="1">_xlfn.IFNA(IF(VLOOKUP($B309&amp;OFFSET(J$10,$A309*2,0),'Mapping A'!$B$6:$E$1011,4,0)=1,$E309,""),0)</f>
        <v>29.563800000000001</v>
      </c>
      <c r="K309" s="519">
        <f ca="1">_xlfn.IFNA(IF(VLOOKUP($B309&amp;OFFSET(K$10,$A309*2,0),'Mapping A'!$B$6:$E$1011,4,0)=1,$E309,""),0)</f>
        <v>0</v>
      </c>
      <c r="L309" s="519">
        <f ca="1">_xlfn.IFNA(IF(VLOOKUP($B309&amp;OFFSET(L$10,$A309*2,0),'Mapping A'!$B$6:$E$1011,4,0)=1,$E309,""),0)</f>
        <v>0</v>
      </c>
      <c r="M309" s="519">
        <f ca="1">_xlfn.IFNA(IF(VLOOKUP($B309&amp;OFFSET(M$10,$A309*2,0),'Mapping A'!$B$6:$E$1011,4,0)=1,$E309,""),0)</f>
        <v>0</v>
      </c>
      <c r="N309" s="519">
        <f ca="1">_xlfn.IFNA(IF(VLOOKUP($B309&amp;OFFSET(N$10,$A309*2,0),'Mapping A'!$B$6:$E$1011,4,0)=1,$E309,""),0)</f>
        <v>0</v>
      </c>
      <c r="O309" s="519">
        <f ca="1">_xlfn.IFNA(IF(VLOOKUP($B309&amp;OFFSET(O$10,$A309*2,0),'Mapping A'!$B$6:$E$1011,4,0)=1,$E309,""),0)</f>
        <v>0</v>
      </c>
      <c r="P309" s="519">
        <f ca="1">_xlfn.IFNA(IF(VLOOKUP($B309&amp;OFFSET(P$10,$A309*2,0),'Mapping A'!$B$6:$E$1011,4,0)=1,$E309,""),0)</f>
        <v>0</v>
      </c>
      <c r="Q309" s="519">
        <f ca="1">_xlfn.IFNA(IF(VLOOKUP($B309&amp;OFFSET(Q$10,$A309*2,0),'Mapping A'!$B$6:$E$1011,4,0)=1,$E309,""),0)</f>
        <v>0</v>
      </c>
      <c r="R309" s="519">
        <f ca="1">_xlfn.IFNA(IF(VLOOKUP($B309&amp;OFFSET(R$10,$A309*2,0),'Mapping A'!$B$6:$E$1011,4,0)=1,$E309,""),0)</f>
        <v>0</v>
      </c>
      <c r="S309" s="519">
        <f ca="1">_xlfn.IFNA(IF(VLOOKUP($B309&amp;OFFSET(S$10,$A309*2,0),'Mapping A'!$B$6:$E$1011,4,0)=1,$E309,""),0)</f>
        <v>0</v>
      </c>
      <c r="T309" s="519">
        <f ca="1">_xlfn.IFNA(IF(VLOOKUP($B309&amp;OFFSET(T$10,$A309*2,0),'Mapping A'!$B$6:$E$1011,4,0)=1,$E309,""),0)</f>
        <v>0</v>
      </c>
      <c r="Y309" s="534" t="str">
        <f t="shared" si="111"/>
        <v>GOR0331The Power Company</v>
      </c>
      <c r="Z309" s="519" t="str">
        <f t="shared" ref="Z309:AB309" si="216">C75</f>
        <v>The Power Company</v>
      </c>
      <c r="AA309" s="519" t="str">
        <f t="shared" si="216"/>
        <v>GOR0331</v>
      </c>
      <c r="AB309" s="519">
        <f t="shared" si="216"/>
        <v>29.563800000000001</v>
      </c>
      <c r="AC309" s="324"/>
      <c r="AE309" s="519">
        <f t="shared" ca="1" si="95"/>
        <v>0</v>
      </c>
      <c r="AF309" s="519">
        <f t="shared" ca="1" si="96"/>
        <v>0</v>
      </c>
      <c r="AG309" s="519">
        <f t="shared" ca="1" si="97"/>
        <v>0</v>
      </c>
      <c r="AH309" s="519">
        <f t="shared" ca="1" si="98"/>
        <v>0</v>
      </c>
      <c r="AI309" s="519">
        <f t="shared" ca="1" si="99"/>
        <v>0</v>
      </c>
      <c r="AJ309" s="519">
        <f t="shared" ca="1" si="100"/>
        <v>0</v>
      </c>
      <c r="AK309" s="519">
        <f t="shared" ca="1" si="101"/>
        <v>0</v>
      </c>
      <c r="AL309" s="519">
        <f t="shared" ca="1" si="102"/>
        <v>0</v>
      </c>
      <c r="AM309" s="519">
        <f t="shared" ca="1" si="103"/>
        <v>0</v>
      </c>
      <c r="AN309" s="519">
        <f t="shared" ca="1" si="104"/>
        <v>0</v>
      </c>
      <c r="AO309" s="519">
        <f t="shared" ca="1" si="105"/>
        <v>0</v>
      </c>
      <c r="AP309" s="519">
        <f t="shared" ca="1" si="106"/>
        <v>0</v>
      </c>
      <c r="AQ309" s="519">
        <f t="shared" ca="1" si="107"/>
        <v>0</v>
      </c>
    </row>
    <row r="310" spans="1:43" x14ac:dyDescent="0.3">
      <c r="A310" s="556">
        <f t="shared" si="108"/>
        <v>2</v>
      </c>
      <c r="B310" s="519" t="str">
        <f t="shared" si="109"/>
        <v>GYM</v>
      </c>
      <c r="C310" s="519" t="str">
        <f t="shared" ref="C310:E310" si="217">C76</f>
        <v>Westpower</v>
      </c>
      <c r="D310" s="519" t="str">
        <f t="shared" si="217"/>
        <v>GYM0661</v>
      </c>
      <c r="E310" s="519">
        <f t="shared" si="217"/>
        <v>13.6395</v>
      </c>
      <c r="H310" s="519">
        <f ca="1">_xlfn.IFNA(IF(VLOOKUP($B310&amp;OFFSET(H$10,$A310*2,0),'Mapping A'!$B$6:$E$1011,4,0)=1,$E310,""),0)</f>
        <v>0</v>
      </c>
      <c r="I310" s="519">
        <f ca="1">_xlfn.IFNA(IF(VLOOKUP($B310&amp;OFFSET(I$10,$A310*2,0),'Mapping A'!$B$6:$E$1011,4,0)=1,$E310,""),0)</f>
        <v>0</v>
      </c>
      <c r="J310" s="519">
        <f ca="1">_xlfn.IFNA(IF(VLOOKUP($B310&amp;OFFSET(J$10,$A310*2,0),'Mapping A'!$B$6:$E$1011,4,0)=1,$E310,""),0)</f>
        <v>13.6395</v>
      </c>
      <c r="K310" s="519">
        <f ca="1">_xlfn.IFNA(IF(VLOOKUP($B310&amp;OFFSET(K$10,$A310*2,0),'Mapping A'!$B$6:$E$1011,4,0)=1,$E310,""),0)</f>
        <v>0</v>
      </c>
      <c r="L310" s="519">
        <f ca="1">_xlfn.IFNA(IF(VLOOKUP($B310&amp;OFFSET(L$10,$A310*2,0),'Mapping A'!$B$6:$E$1011,4,0)=1,$E310,""),0)</f>
        <v>0</v>
      </c>
      <c r="M310" s="519">
        <f ca="1">_xlfn.IFNA(IF(VLOOKUP($B310&amp;OFFSET(M$10,$A310*2,0),'Mapping A'!$B$6:$E$1011,4,0)=1,$E310,""),0)</f>
        <v>0</v>
      </c>
      <c r="N310" s="519">
        <f ca="1">_xlfn.IFNA(IF(VLOOKUP($B310&amp;OFFSET(N$10,$A310*2,0),'Mapping A'!$B$6:$E$1011,4,0)=1,$E310,""),0)</f>
        <v>0</v>
      </c>
      <c r="O310" s="519">
        <f ca="1">_xlfn.IFNA(IF(VLOOKUP($B310&amp;OFFSET(O$10,$A310*2,0),'Mapping A'!$B$6:$E$1011,4,0)=1,$E310,""),0)</f>
        <v>0</v>
      </c>
      <c r="P310" s="519">
        <f ca="1">_xlfn.IFNA(IF(VLOOKUP($B310&amp;OFFSET(P$10,$A310*2,0),'Mapping A'!$B$6:$E$1011,4,0)=1,$E310,""),0)</f>
        <v>0</v>
      </c>
      <c r="Q310" s="519">
        <f ca="1">_xlfn.IFNA(IF(VLOOKUP($B310&amp;OFFSET(Q$10,$A310*2,0),'Mapping A'!$B$6:$E$1011,4,0)=1,$E310,""),0)</f>
        <v>0</v>
      </c>
      <c r="R310" s="519">
        <f ca="1">_xlfn.IFNA(IF(VLOOKUP($B310&amp;OFFSET(R$10,$A310*2,0),'Mapping A'!$B$6:$E$1011,4,0)=1,$E310,""),0)</f>
        <v>0</v>
      </c>
      <c r="S310" s="519">
        <f ca="1">_xlfn.IFNA(IF(VLOOKUP($B310&amp;OFFSET(S$10,$A310*2,0),'Mapping A'!$B$6:$E$1011,4,0)=1,$E310,""),0)</f>
        <v>0</v>
      </c>
      <c r="T310" s="519">
        <f ca="1">_xlfn.IFNA(IF(VLOOKUP($B310&amp;OFFSET(T$10,$A310*2,0),'Mapping A'!$B$6:$E$1011,4,0)=1,$E310,""),0)</f>
        <v>0</v>
      </c>
      <c r="Y310" s="534" t="str">
        <f t="shared" si="111"/>
        <v>GYM0661Westpower</v>
      </c>
      <c r="Z310" s="519" t="str">
        <f t="shared" ref="Z310:AB310" si="218">C76</f>
        <v>Westpower</v>
      </c>
      <c r="AA310" s="519" t="str">
        <f t="shared" si="218"/>
        <v>GYM0661</v>
      </c>
      <c r="AB310" s="519">
        <f t="shared" si="218"/>
        <v>13.6395</v>
      </c>
      <c r="AC310" s="324"/>
      <c r="AE310" s="519">
        <f t="shared" ca="1" si="95"/>
        <v>0</v>
      </c>
      <c r="AF310" s="519">
        <f t="shared" ca="1" si="96"/>
        <v>0</v>
      </c>
      <c r="AG310" s="519">
        <f t="shared" ca="1" si="97"/>
        <v>0</v>
      </c>
      <c r="AH310" s="519">
        <f t="shared" ca="1" si="98"/>
        <v>0</v>
      </c>
      <c r="AI310" s="519">
        <f t="shared" ca="1" si="99"/>
        <v>0</v>
      </c>
      <c r="AJ310" s="519">
        <f t="shared" ca="1" si="100"/>
        <v>0</v>
      </c>
      <c r="AK310" s="519">
        <f t="shared" ca="1" si="101"/>
        <v>0</v>
      </c>
      <c r="AL310" s="519">
        <f t="shared" ca="1" si="102"/>
        <v>0</v>
      </c>
      <c r="AM310" s="519">
        <f t="shared" ca="1" si="103"/>
        <v>0</v>
      </c>
      <c r="AN310" s="519">
        <f t="shared" ca="1" si="104"/>
        <v>0</v>
      </c>
      <c r="AO310" s="519">
        <f t="shared" ca="1" si="105"/>
        <v>0</v>
      </c>
      <c r="AP310" s="519">
        <f t="shared" ca="1" si="106"/>
        <v>0</v>
      </c>
      <c r="AQ310" s="519">
        <f t="shared" ca="1" si="107"/>
        <v>0</v>
      </c>
    </row>
    <row r="311" spans="1:43" x14ac:dyDescent="0.3">
      <c r="A311" s="556">
        <f t="shared" si="108"/>
        <v>2</v>
      </c>
      <c r="B311" s="519" t="str">
        <f t="shared" si="109"/>
        <v>GYT</v>
      </c>
      <c r="C311" s="519" t="str">
        <f t="shared" ref="C311:E311" si="219">C77</f>
        <v>Powerco</v>
      </c>
      <c r="D311" s="519" t="str">
        <f t="shared" si="219"/>
        <v>GYT0331</v>
      </c>
      <c r="E311" s="519">
        <f t="shared" si="219"/>
        <v>13.2447</v>
      </c>
      <c r="H311" s="519">
        <f ca="1">_xlfn.IFNA(IF(VLOOKUP($B311&amp;OFFSET(H$10,$A311*2,0),'Mapping A'!$B$6:$E$1011,4,0)=1,$E311,""),0)</f>
        <v>0</v>
      </c>
      <c r="I311" s="519">
        <f ca="1">_xlfn.IFNA(IF(VLOOKUP($B311&amp;OFFSET(I$10,$A311*2,0),'Mapping A'!$B$6:$E$1011,4,0)=1,$E311,""),0)</f>
        <v>0</v>
      </c>
      <c r="J311" s="519">
        <f ca="1">_xlfn.IFNA(IF(VLOOKUP($B311&amp;OFFSET(J$10,$A311*2,0),'Mapping A'!$B$6:$E$1011,4,0)=1,$E311,""),0)</f>
        <v>0</v>
      </c>
      <c r="K311" s="519">
        <f ca="1">_xlfn.IFNA(IF(VLOOKUP($B311&amp;OFFSET(K$10,$A311*2,0),'Mapping A'!$B$6:$E$1011,4,0)=1,$E311,""),0)</f>
        <v>0</v>
      </c>
      <c r="L311" s="519">
        <f ca="1">_xlfn.IFNA(IF(VLOOKUP($B311&amp;OFFSET(L$10,$A311*2,0),'Mapping A'!$B$6:$E$1011,4,0)=1,$E311,""),0)</f>
        <v>0</v>
      </c>
      <c r="M311" s="519">
        <f ca="1">_xlfn.IFNA(IF(VLOOKUP($B311&amp;OFFSET(M$10,$A311*2,0),'Mapping A'!$B$6:$E$1011,4,0)=1,$E311,""),0)</f>
        <v>0</v>
      </c>
      <c r="N311" s="519">
        <f ca="1">_xlfn.IFNA(IF(VLOOKUP($B311&amp;OFFSET(N$10,$A311*2,0),'Mapping A'!$B$6:$E$1011,4,0)=1,$E311,""),0)</f>
        <v>0</v>
      </c>
      <c r="O311" s="519">
        <f ca="1">_xlfn.IFNA(IF(VLOOKUP($B311&amp;OFFSET(O$10,$A311*2,0),'Mapping A'!$B$6:$E$1011,4,0)=1,$E311,""),0)</f>
        <v>0</v>
      </c>
      <c r="P311" s="519">
        <f ca="1">_xlfn.IFNA(IF(VLOOKUP($B311&amp;OFFSET(P$10,$A311*2,0),'Mapping A'!$B$6:$E$1011,4,0)=1,$E311,""),0)</f>
        <v>0</v>
      </c>
      <c r="Q311" s="519">
        <f ca="1">_xlfn.IFNA(IF(VLOOKUP($B311&amp;OFFSET(Q$10,$A311*2,0),'Mapping A'!$B$6:$E$1011,4,0)=1,$E311,""),0)</f>
        <v>0</v>
      </c>
      <c r="R311" s="519">
        <f ca="1">_xlfn.IFNA(IF(VLOOKUP($B311&amp;OFFSET(R$10,$A311*2,0),'Mapping A'!$B$6:$E$1011,4,0)=1,$E311,""),0)</f>
        <v>0</v>
      </c>
      <c r="S311" s="519">
        <f ca="1">_xlfn.IFNA(IF(VLOOKUP($B311&amp;OFFSET(S$10,$A311*2,0),'Mapping A'!$B$6:$E$1011,4,0)=1,$E311,""),0)</f>
        <v>0</v>
      </c>
      <c r="T311" s="519">
        <f ca="1">_xlfn.IFNA(IF(VLOOKUP($B311&amp;OFFSET(T$10,$A311*2,0),'Mapping A'!$B$6:$E$1011,4,0)=1,$E311,""),0)</f>
        <v>0</v>
      </c>
      <c r="Y311" s="534" t="str">
        <f t="shared" si="111"/>
        <v>GYT0331Powerco</v>
      </c>
      <c r="Z311" s="519" t="str">
        <f t="shared" ref="Z311:AB311" si="220">C77</f>
        <v>Powerco</v>
      </c>
      <c r="AA311" s="519" t="str">
        <f t="shared" si="220"/>
        <v>GYT0331</v>
      </c>
      <c r="AB311" s="519">
        <f t="shared" si="220"/>
        <v>13.2447</v>
      </c>
      <c r="AC311" s="324"/>
      <c r="AE311" s="519">
        <f t="shared" ca="1" si="95"/>
        <v>0</v>
      </c>
      <c r="AF311" s="519">
        <f t="shared" ca="1" si="96"/>
        <v>0</v>
      </c>
      <c r="AG311" s="519">
        <f t="shared" ca="1" si="97"/>
        <v>0</v>
      </c>
      <c r="AH311" s="519">
        <f t="shared" ca="1" si="98"/>
        <v>0</v>
      </c>
      <c r="AI311" s="519">
        <f t="shared" ca="1" si="99"/>
        <v>0</v>
      </c>
      <c r="AJ311" s="519">
        <f t="shared" ca="1" si="100"/>
        <v>0</v>
      </c>
      <c r="AK311" s="519">
        <f t="shared" ca="1" si="101"/>
        <v>0</v>
      </c>
      <c r="AL311" s="519">
        <f t="shared" ca="1" si="102"/>
        <v>0</v>
      </c>
      <c r="AM311" s="519">
        <f t="shared" ca="1" si="103"/>
        <v>0</v>
      </c>
      <c r="AN311" s="519">
        <f t="shared" ca="1" si="104"/>
        <v>0</v>
      </c>
      <c r="AO311" s="519">
        <f t="shared" ca="1" si="105"/>
        <v>0</v>
      </c>
      <c r="AP311" s="519">
        <f t="shared" ca="1" si="106"/>
        <v>0</v>
      </c>
      <c r="AQ311" s="519">
        <f t="shared" ca="1" si="107"/>
        <v>0</v>
      </c>
    </row>
    <row r="312" spans="1:43" x14ac:dyDescent="0.3">
      <c r="A312" s="556">
        <f t="shared" si="108"/>
        <v>2</v>
      </c>
      <c r="B312" s="519" t="str">
        <f t="shared" si="109"/>
        <v>HAM</v>
      </c>
      <c r="C312" s="519" t="str">
        <f t="shared" ref="C312:E312" si="221">C78</f>
        <v>WEL</v>
      </c>
      <c r="D312" s="519" t="str">
        <f t="shared" si="221"/>
        <v>HAM0111</v>
      </c>
      <c r="E312" s="519">
        <f t="shared" si="221"/>
        <v>37.663499999999999</v>
      </c>
      <c r="H312" s="519">
        <f ca="1">_xlfn.IFNA(IF(VLOOKUP($B312&amp;OFFSET(H$10,$A312*2,0),'Mapping A'!$B$6:$E$1011,4,0)=1,$E312,""),0)</f>
        <v>0</v>
      </c>
      <c r="I312" s="519">
        <f ca="1">_xlfn.IFNA(IF(VLOOKUP($B312&amp;OFFSET(I$10,$A312*2,0),'Mapping A'!$B$6:$E$1011,4,0)=1,$E312,""),0)</f>
        <v>0</v>
      </c>
      <c r="J312" s="519">
        <f ca="1">_xlfn.IFNA(IF(VLOOKUP($B312&amp;OFFSET(J$10,$A312*2,0),'Mapping A'!$B$6:$E$1011,4,0)=1,$E312,""),0)</f>
        <v>0</v>
      </c>
      <c r="K312" s="519">
        <f ca="1">_xlfn.IFNA(IF(VLOOKUP($B312&amp;OFFSET(K$10,$A312*2,0),'Mapping A'!$B$6:$E$1011,4,0)=1,$E312,""),0)</f>
        <v>0</v>
      </c>
      <c r="L312" s="519">
        <f ca="1">_xlfn.IFNA(IF(VLOOKUP($B312&amp;OFFSET(L$10,$A312*2,0),'Mapping A'!$B$6:$E$1011,4,0)=1,$E312,""),0)</f>
        <v>0</v>
      </c>
      <c r="M312" s="519">
        <f ca="1">_xlfn.IFNA(IF(VLOOKUP($B312&amp;OFFSET(M$10,$A312*2,0),'Mapping A'!$B$6:$E$1011,4,0)=1,$E312,""),0)</f>
        <v>0</v>
      </c>
      <c r="N312" s="519">
        <f ca="1">_xlfn.IFNA(IF(VLOOKUP($B312&amp;OFFSET(N$10,$A312*2,0),'Mapping A'!$B$6:$E$1011,4,0)=1,$E312,""),0)</f>
        <v>0</v>
      </c>
      <c r="O312" s="519">
        <f ca="1">_xlfn.IFNA(IF(VLOOKUP($B312&amp;OFFSET(O$10,$A312*2,0),'Mapping A'!$B$6:$E$1011,4,0)=1,$E312,""),0)</f>
        <v>0</v>
      </c>
      <c r="P312" s="519">
        <f ca="1">_xlfn.IFNA(IF(VLOOKUP($B312&amp;OFFSET(P$10,$A312*2,0),'Mapping A'!$B$6:$E$1011,4,0)=1,$E312,""),0)</f>
        <v>0</v>
      </c>
      <c r="Q312" s="519">
        <f ca="1">_xlfn.IFNA(IF(VLOOKUP($B312&amp;OFFSET(Q$10,$A312*2,0),'Mapping A'!$B$6:$E$1011,4,0)=1,$E312,""),0)</f>
        <v>0</v>
      </c>
      <c r="R312" s="519">
        <f ca="1">_xlfn.IFNA(IF(VLOOKUP($B312&amp;OFFSET(R$10,$A312*2,0),'Mapping A'!$B$6:$E$1011,4,0)=1,$E312,""),0)</f>
        <v>0</v>
      </c>
      <c r="S312" s="519">
        <f ca="1">_xlfn.IFNA(IF(VLOOKUP($B312&amp;OFFSET(S$10,$A312*2,0),'Mapping A'!$B$6:$E$1011,4,0)=1,$E312,""),0)</f>
        <v>0</v>
      </c>
      <c r="T312" s="519">
        <f ca="1">_xlfn.IFNA(IF(VLOOKUP($B312&amp;OFFSET(T$10,$A312*2,0),'Mapping A'!$B$6:$E$1011,4,0)=1,$E312,""),0)</f>
        <v>0</v>
      </c>
      <c r="Y312" s="534" t="str">
        <f t="shared" si="111"/>
        <v>HAM0111WEL</v>
      </c>
      <c r="Z312" s="519" t="str">
        <f t="shared" ref="Z312:AB312" si="222">C78</f>
        <v>WEL</v>
      </c>
      <c r="AA312" s="519" t="str">
        <f t="shared" si="222"/>
        <v>HAM0111</v>
      </c>
      <c r="AB312" s="519">
        <f t="shared" si="222"/>
        <v>37.663499999999999</v>
      </c>
      <c r="AC312" s="324"/>
      <c r="AE312" s="519">
        <f t="shared" ca="1" si="95"/>
        <v>0</v>
      </c>
      <c r="AF312" s="519">
        <f t="shared" ca="1" si="96"/>
        <v>0</v>
      </c>
      <c r="AG312" s="519">
        <f t="shared" ca="1" si="97"/>
        <v>0</v>
      </c>
      <c r="AH312" s="519">
        <f t="shared" ca="1" si="98"/>
        <v>0</v>
      </c>
      <c r="AI312" s="519">
        <f t="shared" ca="1" si="99"/>
        <v>0</v>
      </c>
      <c r="AJ312" s="519">
        <f t="shared" ca="1" si="100"/>
        <v>0</v>
      </c>
      <c r="AK312" s="519">
        <f t="shared" ca="1" si="101"/>
        <v>0</v>
      </c>
      <c r="AL312" s="519">
        <f t="shared" ca="1" si="102"/>
        <v>0</v>
      </c>
      <c r="AM312" s="519">
        <f t="shared" ca="1" si="103"/>
        <v>0</v>
      </c>
      <c r="AN312" s="519">
        <f t="shared" ca="1" si="104"/>
        <v>0</v>
      </c>
      <c r="AO312" s="519">
        <f t="shared" ca="1" si="105"/>
        <v>0</v>
      </c>
      <c r="AP312" s="519">
        <f t="shared" ca="1" si="106"/>
        <v>0</v>
      </c>
      <c r="AQ312" s="519">
        <f t="shared" ca="1" si="107"/>
        <v>0</v>
      </c>
    </row>
    <row r="313" spans="1:43" x14ac:dyDescent="0.3">
      <c r="A313" s="556">
        <f t="shared" si="108"/>
        <v>2</v>
      </c>
      <c r="B313" s="519" t="str">
        <f t="shared" si="109"/>
        <v>HAM</v>
      </c>
      <c r="C313" s="519" t="str">
        <f t="shared" ref="C313:E313" si="223">C79</f>
        <v>WEL</v>
      </c>
      <c r="D313" s="519" t="str">
        <f t="shared" si="223"/>
        <v>HAM0331</v>
      </c>
      <c r="E313" s="519">
        <f t="shared" si="223"/>
        <v>137.0103</v>
      </c>
      <c r="H313" s="519">
        <f ca="1">_xlfn.IFNA(IF(VLOOKUP($B313&amp;OFFSET(H$10,$A313*2,0),'Mapping A'!$B$6:$E$1011,4,0)=1,$E313,""),0)</f>
        <v>0</v>
      </c>
      <c r="I313" s="519">
        <f ca="1">_xlfn.IFNA(IF(VLOOKUP($B313&amp;OFFSET(I$10,$A313*2,0),'Mapping A'!$B$6:$E$1011,4,0)=1,$E313,""),0)</f>
        <v>0</v>
      </c>
      <c r="J313" s="519">
        <f ca="1">_xlfn.IFNA(IF(VLOOKUP($B313&amp;OFFSET(J$10,$A313*2,0),'Mapping A'!$B$6:$E$1011,4,0)=1,$E313,""),0)</f>
        <v>0</v>
      </c>
      <c r="K313" s="519">
        <f ca="1">_xlfn.IFNA(IF(VLOOKUP($B313&amp;OFFSET(K$10,$A313*2,0),'Mapping A'!$B$6:$E$1011,4,0)=1,$E313,""),0)</f>
        <v>0</v>
      </c>
      <c r="L313" s="519">
        <f ca="1">_xlfn.IFNA(IF(VLOOKUP($B313&amp;OFFSET(L$10,$A313*2,0),'Mapping A'!$B$6:$E$1011,4,0)=1,$E313,""),0)</f>
        <v>0</v>
      </c>
      <c r="M313" s="519">
        <f ca="1">_xlfn.IFNA(IF(VLOOKUP($B313&amp;OFFSET(M$10,$A313*2,0),'Mapping A'!$B$6:$E$1011,4,0)=1,$E313,""),0)</f>
        <v>0</v>
      </c>
      <c r="N313" s="519">
        <f ca="1">_xlfn.IFNA(IF(VLOOKUP($B313&amp;OFFSET(N$10,$A313*2,0),'Mapping A'!$B$6:$E$1011,4,0)=1,$E313,""),0)</f>
        <v>0</v>
      </c>
      <c r="O313" s="519">
        <f ca="1">_xlfn.IFNA(IF(VLOOKUP($B313&amp;OFFSET(O$10,$A313*2,0),'Mapping A'!$B$6:$E$1011,4,0)=1,$E313,""),0)</f>
        <v>0</v>
      </c>
      <c r="P313" s="519">
        <f ca="1">_xlfn.IFNA(IF(VLOOKUP($B313&amp;OFFSET(P$10,$A313*2,0),'Mapping A'!$B$6:$E$1011,4,0)=1,$E313,""),0)</f>
        <v>0</v>
      </c>
      <c r="Q313" s="519">
        <f ca="1">_xlfn.IFNA(IF(VLOOKUP($B313&amp;OFFSET(Q$10,$A313*2,0),'Mapping A'!$B$6:$E$1011,4,0)=1,$E313,""),0)</f>
        <v>0</v>
      </c>
      <c r="R313" s="519">
        <f ca="1">_xlfn.IFNA(IF(VLOOKUP($B313&amp;OFFSET(R$10,$A313*2,0),'Mapping A'!$B$6:$E$1011,4,0)=1,$E313,""),0)</f>
        <v>0</v>
      </c>
      <c r="S313" s="519">
        <f ca="1">_xlfn.IFNA(IF(VLOOKUP($B313&amp;OFFSET(S$10,$A313*2,0),'Mapping A'!$B$6:$E$1011,4,0)=1,$E313,""),0)</f>
        <v>0</v>
      </c>
      <c r="T313" s="519">
        <f ca="1">_xlfn.IFNA(IF(VLOOKUP($B313&amp;OFFSET(T$10,$A313*2,0),'Mapping A'!$B$6:$E$1011,4,0)=1,$E313,""),0)</f>
        <v>0</v>
      </c>
      <c r="Y313" s="534" t="str">
        <f t="shared" si="111"/>
        <v>HAM0331WEL</v>
      </c>
      <c r="Z313" s="519" t="str">
        <f t="shared" ref="Z313:AB313" si="224">C79</f>
        <v>WEL</v>
      </c>
      <c r="AA313" s="519" t="str">
        <f t="shared" si="224"/>
        <v>HAM0331</v>
      </c>
      <c r="AB313" s="519">
        <f t="shared" si="224"/>
        <v>137.0103</v>
      </c>
      <c r="AC313" s="324"/>
      <c r="AE313" s="519">
        <f t="shared" ca="1" si="95"/>
        <v>0</v>
      </c>
      <c r="AF313" s="519">
        <f t="shared" ca="1" si="96"/>
        <v>0</v>
      </c>
      <c r="AG313" s="519">
        <f t="shared" ca="1" si="97"/>
        <v>0</v>
      </c>
      <c r="AH313" s="519">
        <f t="shared" ca="1" si="98"/>
        <v>0</v>
      </c>
      <c r="AI313" s="519">
        <f t="shared" ca="1" si="99"/>
        <v>0</v>
      </c>
      <c r="AJ313" s="519">
        <f t="shared" ca="1" si="100"/>
        <v>0</v>
      </c>
      <c r="AK313" s="519">
        <f t="shared" ca="1" si="101"/>
        <v>0</v>
      </c>
      <c r="AL313" s="519">
        <f t="shared" ca="1" si="102"/>
        <v>0</v>
      </c>
      <c r="AM313" s="519">
        <f t="shared" ca="1" si="103"/>
        <v>0</v>
      </c>
      <c r="AN313" s="519">
        <f t="shared" ca="1" si="104"/>
        <v>0</v>
      </c>
      <c r="AO313" s="519">
        <f t="shared" ca="1" si="105"/>
        <v>0</v>
      </c>
      <c r="AP313" s="519">
        <f t="shared" ca="1" si="106"/>
        <v>0</v>
      </c>
      <c r="AQ313" s="519">
        <f t="shared" ca="1" si="107"/>
        <v>0</v>
      </c>
    </row>
    <row r="314" spans="1:43" x14ac:dyDescent="0.3">
      <c r="A314" s="556">
        <f t="shared" si="108"/>
        <v>2</v>
      </c>
      <c r="B314" s="519" t="str">
        <f t="shared" si="109"/>
        <v>HAM</v>
      </c>
      <c r="C314" s="519" t="str">
        <f t="shared" ref="C314:E314" si="225">C80</f>
        <v>Kiwirail</v>
      </c>
      <c r="D314" s="519" t="str">
        <f t="shared" si="225"/>
        <v>HAM0551</v>
      </c>
      <c r="E314" s="519">
        <f t="shared" si="225"/>
        <v>6.6464999999999996</v>
      </c>
      <c r="H314" s="519">
        <f ca="1">_xlfn.IFNA(IF(VLOOKUP($B314&amp;OFFSET(H$10,$A314*2,0),'Mapping A'!$B$6:$E$1011,4,0)=1,$E314,""),0)</f>
        <v>0</v>
      </c>
      <c r="I314" s="519">
        <f ca="1">_xlfn.IFNA(IF(VLOOKUP($B314&amp;OFFSET(I$10,$A314*2,0),'Mapping A'!$B$6:$E$1011,4,0)=1,$E314,""),0)</f>
        <v>0</v>
      </c>
      <c r="J314" s="519">
        <f ca="1">_xlfn.IFNA(IF(VLOOKUP($B314&amp;OFFSET(J$10,$A314*2,0),'Mapping A'!$B$6:$E$1011,4,0)=1,$E314,""),0)</f>
        <v>0</v>
      </c>
      <c r="K314" s="519">
        <f ca="1">_xlfn.IFNA(IF(VLOOKUP($B314&amp;OFFSET(K$10,$A314*2,0),'Mapping A'!$B$6:$E$1011,4,0)=1,$E314,""),0)</f>
        <v>0</v>
      </c>
      <c r="L314" s="519">
        <f ca="1">_xlfn.IFNA(IF(VLOOKUP($B314&amp;OFFSET(L$10,$A314*2,0),'Mapping A'!$B$6:$E$1011,4,0)=1,$E314,""),0)</f>
        <v>0</v>
      </c>
      <c r="M314" s="519">
        <f ca="1">_xlfn.IFNA(IF(VLOOKUP($B314&amp;OFFSET(M$10,$A314*2,0),'Mapping A'!$B$6:$E$1011,4,0)=1,$E314,""),0)</f>
        <v>0</v>
      </c>
      <c r="N314" s="519">
        <f ca="1">_xlfn.IFNA(IF(VLOOKUP($B314&amp;OFFSET(N$10,$A314*2,0),'Mapping A'!$B$6:$E$1011,4,0)=1,$E314,""),0)</f>
        <v>0</v>
      </c>
      <c r="O314" s="519">
        <f ca="1">_xlfn.IFNA(IF(VLOOKUP($B314&amp;OFFSET(O$10,$A314*2,0),'Mapping A'!$B$6:$E$1011,4,0)=1,$E314,""),0)</f>
        <v>0</v>
      </c>
      <c r="P314" s="519">
        <f ca="1">_xlfn.IFNA(IF(VLOOKUP($B314&amp;OFFSET(P$10,$A314*2,0),'Mapping A'!$B$6:$E$1011,4,0)=1,$E314,""),0)</f>
        <v>0</v>
      </c>
      <c r="Q314" s="519">
        <f ca="1">_xlfn.IFNA(IF(VLOOKUP($B314&amp;OFFSET(Q$10,$A314*2,0),'Mapping A'!$B$6:$E$1011,4,0)=1,$E314,""),0)</f>
        <v>0</v>
      </c>
      <c r="R314" s="519">
        <f ca="1">_xlfn.IFNA(IF(VLOOKUP($B314&amp;OFFSET(R$10,$A314*2,0),'Mapping A'!$B$6:$E$1011,4,0)=1,$E314,""),0)</f>
        <v>0</v>
      </c>
      <c r="S314" s="519">
        <f ca="1">_xlfn.IFNA(IF(VLOOKUP($B314&amp;OFFSET(S$10,$A314*2,0),'Mapping A'!$B$6:$E$1011,4,0)=1,$E314,""),0)</f>
        <v>0</v>
      </c>
      <c r="T314" s="519">
        <f ca="1">_xlfn.IFNA(IF(VLOOKUP($B314&amp;OFFSET(T$10,$A314*2,0),'Mapping A'!$B$6:$E$1011,4,0)=1,$E314,""),0)</f>
        <v>0</v>
      </c>
      <c r="Y314" s="534" t="str">
        <f t="shared" si="111"/>
        <v>HAM0551Kiwirail</v>
      </c>
      <c r="Z314" s="519" t="str">
        <f t="shared" ref="Z314:AB314" si="226">C80</f>
        <v>Kiwirail</v>
      </c>
      <c r="AA314" s="519" t="str">
        <f t="shared" si="226"/>
        <v>HAM0551</v>
      </c>
      <c r="AB314" s="519">
        <f t="shared" si="226"/>
        <v>6.6464999999999996</v>
      </c>
      <c r="AC314" s="324"/>
      <c r="AE314" s="519">
        <f t="shared" ca="1" si="95"/>
        <v>0</v>
      </c>
      <c r="AF314" s="519">
        <f t="shared" ca="1" si="96"/>
        <v>0</v>
      </c>
      <c r="AG314" s="519">
        <f t="shared" ca="1" si="97"/>
        <v>0</v>
      </c>
      <c r="AH314" s="519">
        <f t="shared" ca="1" si="98"/>
        <v>0</v>
      </c>
      <c r="AI314" s="519">
        <f t="shared" ca="1" si="99"/>
        <v>0</v>
      </c>
      <c r="AJ314" s="519">
        <f t="shared" ca="1" si="100"/>
        <v>0</v>
      </c>
      <c r="AK314" s="519">
        <f t="shared" ca="1" si="101"/>
        <v>0</v>
      </c>
      <c r="AL314" s="519">
        <f t="shared" ca="1" si="102"/>
        <v>0</v>
      </c>
      <c r="AM314" s="519">
        <f t="shared" ca="1" si="103"/>
        <v>0</v>
      </c>
      <c r="AN314" s="519">
        <f t="shared" ca="1" si="104"/>
        <v>0</v>
      </c>
      <c r="AO314" s="519">
        <f t="shared" ca="1" si="105"/>
        <v>0</v>
      </c>
      <c r="AP314" s="519">
        <f t="shared" ca="1" si="106"/>
        <v>0</v>
      </c>
      <c r="AQ314" s="519">
        <f t="shared" ca="1" si="107"/>
        <v>0</v>
      </c>
    </row>
    <row r="315" spans="1:43" x14ac:dyDescent="0.3">
      <c r="A315" s="556">
        <f t="shared" si="108"/>
        <v>2</v>
      </c>
      <c r="B315" s="519" t="str">
        <f t="shared" si="109"/>
        <v>HAY</v>
      </c>
      <c r="C315" s="519" t="str">
        <f t="shared" ref="C315:E315" si="227">C81</f>
        <v>Wellington Electricity</v>
      </c>
      <c r="D315" s="519" t="str">
        <f t="shared" si="227"/>
        <v>HAY0111</v>
      </c>
      <c r="E315" s="519">
        <f t="shared" si="227"/>
        <v>17.940300000000001</v>
      </c>
      <c r="H315" s="519">
        <f ca="1">_xlfn.IFNA(IF(VLOOKUP($B315&amp;OFFSET(H$10,$A315*2,0),'Mapping A'!$B$6:$E$1011,4,0)=1,$E315,""),0)</f>
        <v>0</v>
      </c>
      <c r="I315" s="519">
        <f ca="1">_xlfn.IFNA(IF(VLOOKUP($B315&amp;OFFSET(I$10,$A315*2,0),'Mapping A'!$B$6:$E$1011,4,0)=1,$E315,""),0)</f>
        <v>0</v>
      </c>
      <c r="J315" s="519">
        <f ca="1">_xlfn.IFNA(IF(VLOOKUP($B315&amp;OFFSET(J$10,$A315*2,0),'Mapping A'!$B$6:$E$1011,4,0)=1,$E315,""),0)</f>
        <v>0</v>
      </c>
      <c r="K315" s="519">
        <f ca="1">_xlfn.IFNA(IF(VLOOKUP($B315&amp;OFFSET(K$10,$A315*2,0),'Mapping A'!$B$6:$E$1011,4,0)=1,$E315,""),0)</f>
        <v>0</v>
      </c>
      <c r="L315" s="519">
        <f ca="1">_xlfn.IFNA(IF(VLOOKUP($B315&amp;OFFSET(L$10,$A315*2,0),'Mapping A'!$B$6:$E$1011,4,0)=1,$E315,""),0)</f>
        <v>0</v>
      </c>
      <c r="M315" s="519">
        <f ca="1">_xlfn.IFNA(IF(VLOOKUP($B315&amp;OFFSET(M$10,$A315*2,0),'Mapping A'!$B$6:$E$1011,4,0)=1,$E315,""),0)</f>
        <v>0</v>
      </c>
      <c r="N315" s="519">
        <f ca="1">_xlfn.IFNA(IF(VLOOKUP($B315&amp;OFFSET(N$10,$A315*2,0),'Mapping A'!$B$6:$E$1011,4,0)=1,$E315,""),0)</f>
        <v>0</v>
      </c>
      <c r="O315" s="519">
        <f ca="1">_xlfn.IFNA(IF(VLOOKUP($B315&amp;OFFSET(O$10,$A315*2,0),'Mapping A'!$B$6:$E$1011,4,0)=1,$E315,""),0)</f>
        <v>0</v>
      </c>
      <c r="P315" s="519">
        <f ca="1">_xlfn.IFNA(IF(VLOOKUP($B315&amp;OFFSET(P$10,$A315*2,0),'Mapping A'!$B$6:$E$1011,4,0)=1,$E315,""),0)</f>
        <v>0</v>
      </c>
      <c r="Q315" s="519">
        <f ca="1">_xlfn.IFNA(IF(VLOOKUP($B315&amp;OFFSET(Q$10,$A315*2,0),'Mapping A'!$B$6:$E$1011,4,0)=1,$E315,""),0)</f>
        <v>0</v>
      </c>
      <c r="R315" s="519">
        <f ca="1">_xlfn.IFNA(IF(VLOOKUP($B315&amp;OFFSET(R$10,$A315*2,0),'Mapping A'!$B$6:$E$1011,4,0)=1,$E315,""),0)</f>
        <v>0</v>
      </c>
      <c r="S315" s="519">
        <f ca="1">_xlfn.IFNA(IF(VLOOKUP($B315&amp;OFFSET(S$10,$A315*2,0),'Mapping A'!$B$6:$E$1011,4,0)=1,$E315,""),0)</f>
        <v>0</v>
      </c>
      <c r="T315" s="519">
        <f ca="1">_xlfn.IFNA(IF(VLOOKUP($B315&amp;OFFSET(T$10,$A315*2,0),'Mapping A'!$B$6:$E$1011,4,0)=1,$E315,""),0)</f>
        <v>0</v>
      </c>
      <c r="Y315" s="534" t="str">
        <f t="shared" si="111"/>
        <v>HAY0111Wellington Electricity</v>
      </c>
      <c r="Z315" s="519" t="str">
        <f t="shared" ref="Z315:AB315" si="228">C81</f>
        <v>Wellington Electricity</v>
      </c>
      <c r="AA315" s="519" t="str">
        <f t="shared" si="228"/>
        <v>HAY0111</v>
      </c>
      <c r="AB315" s="519">
        <f t="shared" si="228"/>
        <v>17.940300000000001</v>
      </c>
      <c r="AC315" s="324"/>
      <c r="AE315" s="519">
        <f t="shared" ca="1" si="95"/>
        <v>0</v>
      </c>
      <c r="AF315" s="519">
        <f t="shared" ca="1" si="96"/>
        <v>0</v>
      </c>
      <c r="AG315" s="519">
        <f t="shared" ca="1" si="97"/>
        <v>0</v>
      </c>
      <c r="AH315" s="519">
        <f t="shared" ca="1" si="98"/>
        <v>0</v>
      </c>
      <c r="AI315" s="519">
        <f t="shared" ca="1" si="99"/>
        <v>0</v>
      </c>
      <c r="AJ315" s="519">
        <f t="shared" ca="1" si="100"/>
        <v>0</v>
      </c>
      <c r="AK315" s="519">
        <f t="shared" ca="1" si="101"/>
        <v>0</v>
      </c>
      <c r="AL315" s="519">
        <f t="shared" ca="1" si="102"/>
        <v>0</v>
      </c>
      <c r="AM315" s="519">
        <f t="shared" ca="1" si="103"/>
        <v>0</v>
      </c>
      <c r="AN315" s="519">
        <f t="shared" ca="1" si="104"/>
        <v>0</v>
      </c>
      <c r="AO315" s="519">
        <f t="shared" ca="1" si="105"/>
        <v>0</v>
      </c>
      <c r="AP315" s="519">
        <f t="shared" ca="1" si="106"/>
        <v>0</v>
      </c>
      <c r="AQ315" s="519">
        <f t="shared" ca="1" si="107"/>
        <v>0</v>
      </c>
    </row>
    <row r="316" spans="1:43" x14ac:dyDescent="0.3">
      <c r="A316" s="556">
        <f t="shared" si="108"/>
        <v>2</v>
      </c>
      <c r="B316" s="519" t="str">
        <f t="shared" si="109"/>
        <v>HAY</v>
      </c>
      <c r="C316" s="519" t="str">
        <f t="shared" ref="C316:E316" si="229">C82</f>
        <v>Wellington Electricity</v>
      </c>
      <c r="D316" s="519" t="str">
        <f t="shared" si="229"/>
        <v>HAY0331</v>
      </c>
      <c r="E316" s="519">
        <f t="shared" si="229"/>
        <v>19.611899999999999</v>
      </c>
      <c r="H316" s="519">
        <f ca="1">_xlfn.IFNA(IF(VLOOKUP($B316&amp;OFFSET(H$10,$A316*2,0),'Mapping A'!$B$6:$E$1011,4,0)=1,$E316,""),0)</f>
        <v>0</v>
      </c>
      <c r="I316" s="519">
        <f ca="1">_xlfn.IFNA(IF(VLOOKUP($B316&amp;OFFSET(I$10,$A316*2,0),'Mapping A'!$B$6:$E$1011,4,0)=1,$E316,""),0)</f>
        <v>0</v>
      </c>
      <c r="J316" s="519">
        <f ca="1">_xlfn.IFNA(IF(VLOOKUP($B316&amp;OFFSET(J$10,$A316*2,0),'Mapping A'!$B$6:$E$1011,4,0)=1,$E316,""),0)</f>
        <v>0</v>
      </c>
      <c r="K316" s="519">
        <f ca="1">_xlfn.IFNA(IF(VLOOKUP($B316&amp;OFFSET(K$10,$A316*2,0),'Mapping A'!$B$6:$E$1011,4,0)=1,$E316,""),0)</f>
        <v>0</v>
      </c>
      <c r="L316" s="519">
        <f ca="1">_xlfn.IFNA(IF(VLOOKUP($B316&amp;OFFSET(L$10,$A316*2,0),'Mapping A'!$B$6:$E$1011,4,0)=1,$E316,""),0)</f>
        <v>0</v>
      </c>
      <c r="M316" s="519">
        <f ca="1">_xlfn.IFNA(IF(VLOOKUP($B316&amp;OFFSET(M$10,$A316*2,0),'Mapping A'!$B$6:$E$1011,4,0)=1,$E316,""),0)</f>
        <v>0</v>
      </c>
      <c r="N316" s="519">
        <f ca="1">_xlfn.IFNA(IF(VLOOKUP($B316&amp;OFFSET(N$10,$A316*2,0),'Mapping A'!$B$6:$E$1011,4,0)=1,$E316,""),0)</f>
        <v>0</v>
      </c>
      <c r="O316" s="519">
        <f ca="1">_xlfn.IFNA(IF(VLOOKUP($B316&amp;OFFSET(O$10,$A316*2,0),'Mapping A'!$B$6:$E$1011,4,0)=1,$E316,""),0)</f>
        <v>0</v>
      </c>
      <c r="P316" s="519">
        <f ca="1">_xlfn.IFNA(IF(VLOOKUP($B316&amp;OFFSET(P$10,$A316*2,0),'Mapping A'!$B$6:$E$1011,4,0)=1,$E316,""),0)</f>
        <v>0</v>
      </c>
      <c r="Q316" s="519">
        <f ca="1">_xlfn.IFNA(IF(VLOOKUP($B316&amp;OFFSET(Q$10,$A316*2,0),'Mapping A'!$B$6:$E$1011,4,0)=1,$E316,""),0)</f>
        <v>0</v>
      </c>
      <c r="R316" s="519">
        <f ca="1">_xlfn.IFNA(IF(VLOOKUP($B316&amp;OFFSET(R$10,$A316*2,0),'Mapping A'!$B$6:$E$1011,4,0)=1,$E316,""),0)</f>
        <v>0</v>
      </c>
      <c r="S316" s="519">
        <f ca="1">_xlfn.IFNA(IF(VLOOKUP($B316&amp;OFFSET(S$10,$A316*2,0),'Mapping A'!$B$6:$E$1011,4,0)=1,$E316,""),0)</f>
        <v>0</v>
      </c>
      <c r="T316" s="519">
        <f ca="1">_xlfn.IFNA(IF(VLOOKUP($B316&amp;OFFSET(T$10,$A316*2,0),'Mapping A'!$B$6:$E$1011,4,0)=1,$E316,""),0)</f>
        <v>0</v>
      </c>
      <c r="Y316" s="534" t="str">
        <f t="shared" si="111"/>
        <v>HAY0331Wellington Electricity</v>
      </c>
      <c r="Z316" s="519" t="str">
        <f t="shared" ref="Z316:AB316" si="230">C82</f>
        <v>Wellington Electricity</v>
      </c>
      <c r="AA316" s="519" t="str">
        <f t="shared" si="230"/>
        <v>HAY0331</v>
      </c>
      <c r="AB316" s="519">
        <f t="shared" si="230"/>
        <v>19.611899999999999</v>
      </c>
      <c r="AC316" s="324"/>
      <c r="AE316" s="519">
        <f t="shared" ca="1" si="95"/>
        <v>0</v>
      </c>
      <c r="AF316" s="519">
        <f t="shared" ca="1" si="96"/>
        <v>0</v>
      </c>
      <c r="AG316" s="519">
        <f t="shared" ca="1" si="97"/>
        <v>0</v>
      </c>
      <c r="AH316" s="519">
        <f t="shared" ca="1" si="98"/>
        <v>0</v>
      </c>
      <c r="AI316" s="519">
        <f t="shared" ca="1" si="99"/>
        <v>0</v>
      </c>
      <c r="AJ316" s="519">
        <f t="shared" ca="1" si="100"/>
        <v>0</v>
      </c>
      <c r="AK316" s="519">
        <f t="shared" ca="1" si="101"/>
        <v>0</v>
      </c>
      <c r="AL316" s="519">
        <f t="shared" ca="1" si="102"/>
        <v>0</v>
      </c>
      <c r="AM316" s="519">
        <f t="shared" ca="1" si="103"/>
        <v>0</v>
      </c>
      <c r="AN316" s="519">
        <f t="shared" ca="1" si="104"/>
        <v>0</v>
      </c>
      <c r="AO316" s="519">
        <f t="shared" ca="1" si="105"/>
        <v>0</v>
      </c>
      <c r="AP316" s="519">
        <f t="shared" ca="1" si="106"/>
        <v>0</v>
      </c>
      <c r="AQ316" s="519">
        <f t="shared" ca="1" si="107"/>
        <v>0</v>
      </c>
    </row>
    <row r="317" spans="1:43" x14ac:dyDescent="0.3">
      <c r="A317" s="556">
        <f t="shared" si="108"/>
        <v>2</v>
      </c>
      <c r="B317" s="519" t="str">
        <f t="shared" si="109"/>
        <v>HEN</v>
      </c>
      <c r="C317" s="519" t="str">
        <f t="shared" ref="C317:E317" si="231">C83</f>
        <v>Vector</v>
      </c>
      <c r="D317" s="519" t="str">
        <f t="shared" si="231"/>
        <v>HEN0331</v>
      </c>
      <c r="E317" s="519">
        <f t="shared" si="231"/>
        <v>122.8206</v>
      </c>
      <c r="H317" s="519">
        <f ca="1">_xlfn.IFNA(IF(VLOOKUP($B317&amp;OFFSET(H$10,$A317*2,0),'Mapping A'!$B$6:$E$1011,4,0)=1,$E317,""),0)</f>
        <v>0</v>
      </c>
      <c r="I317" s="519">
        <f ca="1">_xlfn.IFNA(IF(VLOOKUP($B317&amp;OFFSET(I$10,$A317*2,0),'Mapping A'!$B$6:$E$1011,4,0)=1,$E317,""),0)</f>
        <v>0</v>
      </c>
      <c r="J317" s="519">
        <f ca="1">_xlfn.IFNA(IF(VLOOKUP($B317&amp;OFFSET(J$10,$A317*2,0),'Mapping A'!$B$6:$E$1011,4,0)=1,$E317,""),0)</f>
        <v>0</v>
      </c>
      <c r="K317" s="519">
        <f ca="1">_xlfn.IFNA(IF(VLOOKUP($B317&amp;OFFSET(K$10,$A317*2,0),'Mapping A'!$B$6:$E$1011,4,0)=1,$E317,""),0)</f>
        <v>0</v>
      </c>
      <c r="L317" s="519">
        <f ca="1">_xlfn.IFNA(IF(VLOOKUP($B317&amp;OFFSET(L$10,$A317*2,0),'Mapping A'!$B$6:$E$1011,4,0)=1,$E317,""),0)</f>
        <v>0</v>
      </c>
      <c r="M317" s="519">
        <f ca="1">_xlfn.IFNA(IF(VLOOKUP($B317&amp;OFFSET(M$10,$A317*2,0),'Mapping A'!$B$6:$E$1011,4,0)=1,$E317,""),0)</f>
        <v>0</v>
      </c>
      <c r="N317" s="519">
        <f ca="1">_xlfn.IFNA(IF(VLOOKUP($B317&amp;OFFSET(N$10,$A317*2,0),'Mapping A'!$B$6:$E$1011,4,0)=1,$E317,""),0)</f>
        <v>0</v>
      </c>
      <c r="O317" s="519">
        <f ca="1">_xlfn.IFNA(IF(VLOOKUP($B317&amp;OFFSET(O$10,$A317*2,0),'Mapping A'!$B$6:$E$1011,4,0)=1,$E317,""),0)</f>
        <v>0</v>
      </c>
      <c r="P317" s="519">
        <f ca="1">_xlfn.IFNA(IF(VLOOKUP($B317&amp;OFFSET(P$10,$A317*2,0),'Mapping A'!$B$6:$E$1011,4,0)=1,$E317,""),0)</f>
        <v>0</v>
      </c>
      <c r="Q317" s="519">
        <f ca="1">_xlfn.IFNA(IF(VLOOKUP($B317&amp;OFFSET(Q$10,$A317*2,0),'Mapping A'!$B$6:$E$1011,4,0)=1,$E317,""),0)</f>
        <v>0</v>
      </c>
      <c r="R317" s="519">
        <f ca="1">_xlfn.IFNA(IF(VLOOKUP($B317&amp;OFFSET(R$10,$A317*2,0),'Mapping A'!$B$6:$E$1011,4,0)=1,$E317,""),0)</f>
        <v>0</v>
      </c>
      <c r="S317" s="519">
        <f ca="1">_xlfn.IFNA(IF(VLOOKUP($B317&amp;OFFSET(S$10,$A317*2,0),'Mapping A'!$B$6:$E$1011,4,0)=1,$E317,""),0)</f>
        <v>0</v>
      </c>
      <c r="T317" s="519">
        <f ca="1">_xlfn.IFNA(IF(VLOOKUP($B317&amp;OFFSET(T$10,$A317*2,0),'Mapping A'!$B$6:$E$1011,4,0)=1,$E317,""),0)</f>
        <v>0</v>
      </c>
      <c r="Y317" s="534" t="str">
        <f t="shared" si="111"/>
        <v>HEN0331Vector</v>
      </c>
      <c r="Z317" s="519" t="str">
        <f t="shared" ref="Z317:AB317" si="232">C83</f>
        <v>Vector</v>
      </c>
      <c r="AA317" s="519" t="str">
        <f t="shared" si="232"/>
        <v>HEN0331</v>
      </c>
      <c r="AB317" s="519">
        <f t="shared" si="232"/>
        <v>122.8206</v>
      </c>
      <c r="AC317" s="324"/>
      <c r="AE317" s="519">
        <f t="shared" ca="1" si="95"/>
        <v>0</v>
      </c>
      <c r="AF317" s="519">
        <f t="shared" ca="1" si="96"/>
        <v>0</v>
      </c>
      <c r="AG317" s="519">
        <f t="shared" ca="1" si="97"/>
        <v>0</v>
      </c>
      <c r="AH317" s="519">
        <f t="shared" ca="1" si="98"/>
        <v>0</v>
      </c>
      <c r="AI317" s="519">
        <f t="shared" ca="1" si="99"/>
        <v>0</v>
      </c>
      <c r="AJ317" s="519">
        <f t="shared" ca="1" si="100"/>
        <v>0</v>
      </c>
      <c r="AK317" s="519">
        <f t="shared" ca="1" si="101"/>
        <v>0</v>
      </c>
      <c r="AL317" s="519">
        <f t="shared" ca="1" si="102"/>
        <v>0</v>
      </c>
      <c r="AM317" s="519">
        <f t="shared" ca="1" si="103"/>
        <v>0</v>
      </c>
      <c r="AN317" s="519">
        <f t="shared" ca="1" si="104"/>
        <v>0</v>
      </c>
      <c r="AO317" s="519">
        <f t="shared" ca="1" si="105"/>
        <v>0</v>
      </c>
      <c r="AP317" s="519">
        <f t="shared" ca="1" si="106"/>
        <v>0</v>
      </c>
      <c r="AQ317" s="519">
        <f t="shared" ca="1" si="107"/>
        <v>0</v>
      </c>
    </row>
    <row r="318" spans="1:43" x14ac:dyDescent="0.3">
      <c r="A318" s="556">
        <f t="shared" si="108"/>
        <v>2</v>
      </c>
      <c r="B318" s="519" t="str">
        <f t="shared" si="109"/>
        <v>HEP</v>
      </c>
      <c r="C318" s="519" t="str">
        <f t="shared" ref="C318:E318" si="233">C84</f>
        <v>Vector</v>
      </c>
      <c r="D318" s="519" t="str">
        <f t="shared" si="233"/>
        <v>HEP0331</v>
      </c>
      <c r="E318" s="519">
        <f t="shared" si="233"/>
        <v>149.04329999999999</v>
      </c>
      <c r="H318" s="519">
        <f ca="1">_xlfn.IFNA(IF(VLOOKUP($B318&amp;OFFSET(H$10,$A318*2,0),'Mapping A'!$B$6:$E$1011,4,0)=1,$E318,""),0)</f>
        <v>0</v>
      </c>
      <c r="I318" s="519">
        <f ca="1">_xlfn.IFNA(IF(VLOOKUP($B318&amp;OFFSET(I$10,$A318*2,0),'Mapping A'!$B$6:$E$1011,4,0)=1,$E318,""),0)</f>
        <v>0</v>
      </c>
      <c r="J318" s="519">
        <f ca="1">_xlfn.IFNA(IF(VLOOKUP($B318&amp;OFFSET(J$10,$A318*2,0),'Mapping A'!$B$6:$E$1011,4,0)=1,$E318,""),0)</f>
        <v>0</v>
      </c>
      <c r="K318" s="519">
        <f ca="1">_xlfn.IFNA(IF(VLOOKUP($B318&amp;OFFSET(K$10,$A318*2,0),'Mapping A'!$B$6:$E$1011,4,0)=1,$E318,""),0)</f>
        <v>0</v>
      </c>
      <c r="L318" s="519">
        <f ca="1">_xlfn.IFNA(IF(VLOOKUP($B318&amp;OFFSET(L$10,$A318*2,0),'Mapping A'!$B$6:$E$1011,4,0)=1,$E318,""),0)</f>
        <v>0</v>
      </c>
      <c r="M318" s="519">
        <f ca="1">_xlfn.IFNA(IF(VLOOKUP($B318&amp;OFFSET(M$10,$A318*2,0),'Mapping A'!$B$6:$E$1011,4,0)=1,$E318,""),0)</f>
        <v>0</v>
      </c>
      <c r="N318" s="519">
        <f ca="1">_xlfn.IFNA(IF(VLOOKUP($B318&amp;OFFSET(N$10,$A318*2,0),'Mapping A'!$B$6:$E$1011,4,0)=1,$E318,""),0)</f>
        <v>0</v>
      </c>
      <c r="O318" s="519">
        <f ca="1">_xlfn.IFNA(IF(VLOOKUP($B318&amp;OFFSET(O$10,$A318*2,0),'Mapping A'!$B$6:$E$1011,4,0)=1,$E318,""),0)</f>
        <v>0</v>
      </c>
      <c r="P318" s="519">
        <f ca="1">_xlfn.IFNA(IF(VLOOKUP($B318&amp;OFFSET(P$10,$A318*2,0),'Mapping A'!$B$6:$E$1011,4,0)=1,$E318,""),0)</f>
        <v>0</v>
      </c>
      <c r="Q318" s="519">
        <f ca="1">_xlfn.IFNA(IF(VLOOKUP($B318&amp;OFFSET(Q$10,$A318*2,0),'Mapping A'!$B$6:$E$1011,4,0)=1,$E318,""),0)</f>
        <v>0</v>
      </c>
      <c r="R318" s="519">
        <f ca="1">_xlfn.IFNA(IF(VLOOKUP($B318&amp;OFFSET(R$10,$A318*2,0),'Mapping A'!$B$6:$E$1011,4,0)=1,$E318,""),0)</f>
        <v>0</v>
      </c>
      <c r="S318" s="519">
        <f ca="1">_xlfn.IFNA(IF(VLOOKUP($B318&amp;OFFSET(S$10,$A318*2,0),'Mapping A'!$B$6:$E$1011,4,0)=1,$E318,""),0)</f>
        <v>0</v>
      </c>
      <c r="T318" s="519">
        <f ca="1">_xlfn.IFNA(IF(VLOOKUP($B318&amp;OFFSET(T$10,$A318*2,0),'Mapping A'!$B$6:$E$1011,4,0)=1,$E318,""),0)</f>
        <v>0</v>
      </c>
      <c r="Y318" s="534" t="str">
        <f t="shared" si="111"/>
        <v>HEP0331Vector</v>
      </c>
      <c r="Z318" s="519" t="str">
        <f t="shared" ref="Z318:AB318" si="234">C84</f>
        <v>Vector</v>
      </c>
      <c r="AA318" s="519" t="str">
        <f t="shared" si="234"/>
        <v>HEP0331</v>
      </c>
      <c r="AB318" s="519">
        <f t="shared" si="234"/>
        <v>149.04329999999999</v>
      </c>
      <c r="AC318" s="324"/>
      <c r="AE318" s="519">
        <f t="shared" ca="1" si="95"/>
        <v>0</v>
      </c>
      <c r="AF318" s="519">
        <f t="shared" ca="1" si="96"/>
        <v>0</v>
      </c>
      <c r="AG318" s="519">
        <f t="shared" ca="1" si="97"/>
        <v>0</v>
      </c>
      <c r="AH318" s="519">
        <f t="shared" ca="1" si="98"/>
        <v>0</v>
      </c>
      <c r="AI318" s="519">
        <f t="shared" ca="1" si="99"/>
        <v>0</v>
      </c>
      <c r="AJ318" s="519">
        <f t="shared" ca="1" si="100"/>
        <v>0</v>
      </c>
      <c r="AK318" s="519">
        <f t="shared" ca="1" si="101"/>
        <v>0</v>
      </c>
      <c r="AL318" s="519">
        <f t="shared" ca="1" si="102"/>
        <v>0</v>
      </c>
      <c r="AM318" s="519">
        <f t="shared" ca="1" si="103"/>
        <v>0</v>
      </c>
      <c r="AN318" s="519">
        <f t="shared" ca="1" si="104"/>
        <v>0</v>
      </c>
      <c r="AO318" s="519">
        <f t="shared" ca="1" si="105"/>
        <v>0</v>
      </c>
      <c r="AP318" s="519">
        <f t="shared" ca="1" si="106"/>
        <v>0</v>
      </c>
      <c r="AQ318" s="519">
        <f t="shared" ca="1" si="107"/>
        <v>0</v>
      </c>
    </row>
    <row r="319" spans="1:43" x14ac:dyDescent="0.3">
      <c r="A319" s="556">
        <f t="shared" si="108"/>
        <v>2</v>
      </c>
      <c r="B319" s="519" t="str">
        <f t="shared" si="109"/>
        <v>HIN</v>
      </c>
      <c r="C319" s="519" t="str">
        <f t="shared" ref="C319:E319" si="235">C85</f>
        <v>Powerco</v>
      </c>
      <c r="D319" s="519" t="str">
        <f t="shared" si="235"/>
        <v>HIN0331</v>
      </c>
      <c r="E319" s="519">
        <f t="shared" si="235"/>
        <v>45.4923</v>
      </c>
      <c r="H319" s="519">
        <f ca="1">_xlfn.IFNA(IF(VLOOKUP($B319&amp;OFFSET(H$10,$A319*2,0),'Mapping A'!$B$6:$E$1011,4,0)=1,$E319,""),0)</f>
        <v>0</v>
      </c>
      <c r="I319" s="519">
        <f ca="1">_xlfn.IFNA(IF(VLOOKUP($B319&amp;OFFSET(I$10,$A319*2,0),'Mapping A'!$B$6:$E$1011,4,0)=1,$E319,""),0)</f>
        <v>0</v>
      </c>
      <c r="J319" s="519">
        <f ca="1">_xlfn.IFNA(IF(VLOOKUP($B319&amp;OFFSET(J$10,$A319*2,0),'Mapping A'!$B$6:$E$1011,4,0)=1,$E319,""),0)</f>
        <v>0</v>
      </c>
      <c r="K319" s="519">
        <f ca="1">_xlfn.IFNA(IF(VLOOKUP($B319&amp;OFFSET(K$10,$A319*2,0),'Mapping A'!$B$6:$E$1011,4,0)=1,$E319,""),0)</f>
        <v>0</v>
      </c>
      <c r="L319" s="519">
        <f ca="1">_xlfn.IFNA(IF(VLOOKUP($B319&amp;OFFSET(L$10,$A319*2,0),'Mapping A'!$B$6:$E$1011,4,0)=1,$E319,""),0)</f>
        <v>0</v>
      </c>
      <c r="M319" s="519">
        <f ca="1">_xlfn.IFNA(IF(VLOOKUP($B319&amp;OFFSET(M$10,$A319*2,0),'Mapping A'!$B$6:$E$1011,4,0)=1,$E319,""),0)</f>
        <v>0</v>
      </c>
      <c r="N319" s="519">
        <f ca="1">_xlfn.IFNA(IF(VLOOKUP($B319&amp;OFFSET(N$10,$A319*2,0),'Mapping A'!$B$6:$E$1011,4,0)=1,$E319,""),0)</f>
        <v>0</v>
      </c>
      <c r="O319" s="519">
        <f ca="1">_xlfn.IFNA(IF(VLOOKUP($B319&amp;OFFSET(O$10,$A319*2,0),'Mapping A'!$B$6:$E$1011,4,0)=1,$E319,""),0)</f>
        <v>0</v>
      </c>
      <c r="P319" s="519">
        <f ca="1">_xlfn.IFNA(IF(VLOOKUP($B319&amp;OFFSET(P$10,$A319*2,0),'Mapping A'!$B$6:$E$1011,4,0)=1,$E319,""),0)</f>
        <v>0</v>
      </c>
      <c r="Q319" s="519">
        <f ca="1">_xlfn.IFNA(IF(VLOOKUP($B319&amp;OFFSET(Q$10,$A319*2,0),'Mapping A'!$B$6:$E$1011,4,0)=1,$E319,""),0)</f>
        <v>0</v>
      </c>
      <c r="R319" s="519">
        <f ca="1">_xlfn.IFNA(IF(VLOOKUP($B319&amp;OFFSET(R$10,$A319*2,0),'Mapping A'!$B$6:$E$1011,4,0)=1,$E319,""),0)</f>
        <v>0</v>
      </c>
      <c r="S319" s="519">
        <f ca="1">_xlfn.IFNA(IF(VLOOKUP($B319&amp;OFFSET(S$10,$A319*2,0),'Mapping A'!$B$6:$E$1011,4,0)=1,$E319,""),0)</f>
        <v>0</v>
      </c>
      <c r="T319" s="519">
        <f ca="1">_xlfn.IFNA(IF(VLOOKUP($B319&amp;OFFSET(T$10,$A319*2,0),'Mapping A'!$B$6:$E$1011,4,0)=1,$E319,""),0)</f>
        <v>0</v>
      </c>
      <c r="Y319" s="534" t="str">
        <f t="shared" si="111"/>
        <v>HIN0331Powerco</v>
      </c>
      <c r="Z319" s="519" t="str">
        <f t="shared" ref="Z319:AB319" si="236">C85</f>
        <v>Powerco</v>
      </c>
      <c r="AA319" s="519" t="str">
        <f t="shared" si="236"/>
        <v>HIN0331</v>
      </c>
      <c r="AB319" s="519">
        <f t="shared" si="236"/>
        <v>45.4923</v>
      </c>
      <c r="AC319" s="324"/>
      <c r="AE319" s="519">
        <f t="shared" ca="1" si="95"/>
        <v>0</v>
      </c>
      <c r="AF319" s="519">
        <f t="shared" ca="1" si="96"/>
        <v>0</v>
      </c>
      <c r="AG319" s="519">
        <f t="shared" ca="1" si="97"/>
        <v>0</v>
      </c>
      <c r="AH319" s="519">
        <f t="shared" ca="1" si="98"/>
        <v>0</v>
      </c>
      <c r="AI319" s="519">
        <f t="shared" ca="1" si="99"/>
        <v>0</v>
      </c>
      <c r="AJ319" s="519">
        <f t="shared" ca="1" si="100"/>
        <v>0</v>
      </c>
      <c r="AK319" s="519">
        <f t="shared" ca="1" si="101"/>
        <v>0</v>
      </c>
      <c r="AL319" s="519">
        <f t="shared" ca="1" si="102"/>
        <v>0</v>
      </c>
      <c r="AM319" s="519">
        <f t="shared" ca="1" si="103"/>
        <v>0</v>
      </c>
      <c r="AN319" s="519">
        <f t="shared" ca="1" si="104"/>
        <v>0</v>
      </c>
      <c r="AO319" s="519">
        <f t="shared" ca="1" si="105"/>
        <v>0</v>
      </c>
      <c r="AP319" s="519">
        <f t="shared" ca="1" si="106"/>
        <v>0</v>
      </c>
      <c r="AQ319" s="519">
        <f t="shared" ca="1" si="107"/>
        <v>0</v>
      </c>
    </row>
    <row r="320" spans="1:43" x14ac:dyDescent="0.3">
      <c r="A320" s="556">
        <f t="shared" si="108"/>
        <v>2</v>
      </c>
      <c r="B320" s="519" t="str">
        <f t="shared" si="109"/>
        <v>HKK</v>
      </c>
      <c r="C320" s="519" t="str">
        <f t="shared" ref="C320:E320" si="237">C86</f>
        <v>Westpower</v>
      </c>
      <c r="D320" s="519" t="str">
        <f t="shared" si="237"/>
        <v>HKK0661</v>
      </c>
      <c r="E320" s="519">
        <f t="shared" si="237"/>
        <v>20.2272</v>
      </c>
      <c r="H320" s="519">
        <f ca="1">_xlfn.IFNA(IF(VLOOKUP($B320&amp;OFFSET(H$10,$A320*2,0),'Mapping A'!$B$6:$E$1011,4,0)=1,$E320,""),0)</f>
        <v>0</v>
      </c>
      <c r="I320" s="519">
        <f ca="1">_xlfn.IFNA(IF(VLOOKUP($B320&amp;OFFSET(I$10,$A320*2,0),'Mapping A'!$B$6:$E$1011,4,0)=1,$E320,""),0)</f>
        <v>0</v>
      </c>
      <c r="J320" s="519">
        <f ca="1">_xlfn.IFNA(IF(VLOOKUP($B320&amp;OFFSET(J$10,$A320*2,0),'Mapping A'!$B$6:$E$1011,4,0)=1,$E320,""),0)</f>
        <v>20.2272</v>
      </c>
      <c r="K320" s="519">
        <f ca="1">_xlfn.IFNA(IF(VLOOKUP($B320&amp;OFFSET(K$10,$A320*2,0),'Mapping A'!$B$6:$E$1011,4,0)=1,$E320,""),0)</f>
        <v>0</v>
      </c>
      <c r="L320" s="519">
        <f ca="1">_xlfn.IFNA(IF(VLOOKUP($B320&amp;OFFSET(L$10,$A320*2,0),'Mapping A'!$B$6:$E$1011,4,0)=1,$E320,""),0)</f>
        <v>0</v>
      </c>
      <c r="M320" s="519">
        <f ca="1">_xlfn.IFNA(IF(VLOOKUP($B320&amp;OFFSET(M$10,$A320*2,0),'Mapping A'!$B$6:$E$1011,4,0)=1,$E320,""),0)</f>
        <v>0</v>
      </c>
      <c r="N320" s="519">
        <f ca="1">_xlfn.IFNA(IF(VLOOKUP($B320&amp;OFFSET(N$10,$A320*2,0),'Mapping A'!$B$6:$E$1011,4,0)=1,$E320,""),0)</f>
        <v>0</v>
      </c>
      <c r="O320" s="519">
        <f ca="1">_xlfn.IFNA(IF(VLOOKUP($B320&amp;OFFSET(O$10,$A320*2,0),'Mapping A'!$B$6:$E$1011,4,0)=1,$E320,""),0)</f>
        <v>0</v>
      </c>
      <c r="P320" s="519">
        <f ca="1">_xlfn.IFNA(IF(VLOOKUP($B320&amp;OFFSET(P$10,$A320*2,0),'Mapping A'!$B$6:$E$1011,4,0)=1,$E320,""),0)</f>
        <v>0</v>
      </c>
      <c r="Q320" s="519">
        <f ca="1">_xlfn.IFNA(IF(VLOOKUP($B320&amp;OFFSET(Q$10,$A320*2,0),'Mapping A'!$B$6:$E$1011,4,0)=1,$E320,""),0)</f>
        <v>0</v>
      </c>
      <c r="R320" s="519">
        <f ca="1">_xlfn.IFNA(IF(VLOOKUP($B320&amp;OFFSET(R$10,$A320*2,0),'Mapping A'!$B$6:$E$1011,4,0)=1,$E320,""),0)</f>
        <v>0</v>
      </c>
      <c r="S320" s="519">
        <f ca="1">_xlfn.IFNA(IF(VLOOKUP($B320&amp;OFFSET(S$10,$A320*2,0),'Mapping A'!$B$6:$E$1011,4,0)=1,$E320,""),0)</f>
        <v>0</v>
      </c>
      <c r="T320" s="519">
        <f ca="1">_xlfn.IFNA(IF(VLOOKUP($B320&amp;OFFSET(T$10,$A320*2,0),'Mapping A'!$B$6:$E$1011,4,0)=1,$E320,""),0)</f>
        <v>0</v>
      </c>
      <c r="Y320" s="534" t="str">
        <f t="shared" si="111"/>
        <v>HKK0661Westpower</v>
      </c>
      <c r="Z320" s="519" t="str">
        <f t="shared" ref="Z320:AB320" si="238">C86</f>
        <v>Westpower</v>
      </c>
      <c r="AA320" s="519" t="str">
        <f t="shared" si="238"/>
        <v>HKK0661</v>
      </c>
      <c r="AB320" s="519">
        <f t="shared" si="238"/>
        <v>20.2272</v>
      </c>
      <c r="AC320" s="324"/>
      <c r="AE320" s="519">
        <f t="shared" ref="AE320:AE383" ca="1" si="239">IF(SUMIF($A$22:$A$652,$A320,H$22:H$652)=0,0,OFFSET(H$11,$A320*2,0)*H$7*H320/SUMIF($A$22:$A$652,$A320,H$22:H$652))</f>
        <v>0</v>
      </c>
      <c r="AF320" s="519">
        <f t="shared" ref="AF320:AF383" ca="1" si="240">IF(SUMIF($A$22:$A$652,$A320,I$22:I$652)=0,0,OFFSET(I$11,$A320*2,0)*I$7*I320/SUMIF($A$22:$A$652,$A320,I$22:I$652))</f>
        <v>0</v>
      </c>
      <c r="AG320" s="519">
        <f t="shared" ref="AG320:AG383" ca="1" si="241">IF(SUMIF($A$22:$A$652,$A320,J$22:J$652)=0,0,OFFSET(J$11,$A320*2,0)*J$7*J320/SUMIF($A$22:$A$652,$A320,J$22:J$652))</f>
        <v>0</v>
      </c>
      <c r="AH320" s="519">
        <f t="shared" ref="AH320:AH383" ca="1" si="242">IF(SUMIF($A$22:$A$652,$A320,K$22:K$652)=0,0,OFFSET(K$11,$A320*2,0)*K$7*K320/SUMIF($A$22:$A$652,$A320,K$22:K$652))</f>
        <v>0</v>
      </c>
      <c r="AI320" s="519">
        <f t="shared" ref="AI320:AI383" ca="1" si="243">IF(SUMIF($A$22:$A$652,$A320,L$22:L$652)=0,0,OFFSET(L$11,$A320*2,0)*L$7*L320/SUMIF($A$22:$A$652,$A320,L$22:L$652))</f>
        <v>0</v>
      </c>
      <c r="AJ320" s="519">
        <f t="shared" ref="AJ320:AJ383" ca="1" si="244">IF(SUMIF($A$22:$A$652,$A320,M$22:M$652)=0,0,OFFSET(M$11,$A320*2,0)*M$7*M320/SUMIF($A$22:$A$652,$A320,M$22:M$652))</f>
        <v>0</v>
      </c>
      <c r="AK320" s="519">
        <f t="shared" ref="AK320:AK383" ca="1" si="245">IF(SUMIF($A$22:$A$652,$A320,N$22:N$652)=0,0,OFFSET(N$11,$A320*2,0)*N$7*N320/SUMIF($A$22:$A$652,$A320,N$22:N$652))</f>
        <v>0</v>
      </c>
      <c r="AL320" s="519">
        <f t="shared" ref="AL320:AL383" ca="1" si="246">IF(SUMIF($A$22:$A$652,$A320,O$22:O$652)=0,0,OFFSET(O$11,$A320*2,0)*O$7*O320/SUMIF($A$22:$A$652,$A320,O$22:O$652))</f>
        <v>0</v>
      </c>
      <c r="AM320" s="519">
        <f t="shared" ref="AM320:AM383" ca="1" si="247">IF(SUMIF($A$22:$A$652,$A320,P$22:P$652)=0,0,OFFSET(P$11,$A320*2,0)*P$7*P320/SUMIF($A$22:$A$652,$A320,P$22:P$652))</f>
        <v>0</v>
      </c>
      <c r="AN320" s="519">
        <f t="shared" ref="AN320:AN383" ca="1" si="248">IF(SUMIF($A$22:$A$652,$A320,Q$22:Q$652)=0,0,OFFSET(Q$11,$A320*2,0)*Q$7*Q320/SUMIF($A$22:$A$652,$A320,Q$22:Q$652))</f>
        <v>0</v>
      </c>
      <c r="AO320" s="519">
        <f t="shared" ref="AO320:AO383" ca="1" si="249">IF(SUMIF($A$22:$A$652,$A320,R$22:R$652)=0,0,OFFSET(R$11,$A320*2,0)*R$7*R320/SUMIF($A$22:$A$652,$A320,R$22:R$652))</f>
        <v>0</v>
      </c>
      <c r="AP320" s="519">
        <f t="shared" ref="AP320:AP383" ca="1" si="250">IF(SUMIF($A$22:$A$652,$A320,S$22:S$652)=0,0,OFFSET(S$11,$A320*2,0)*S$7*S320/SUMIF($A$22:$A$652,$A320,S$22:S$652))</f>
        <v>0</v>
      </c>
      <c r="AQ320" s="519">
        <f t="shared" ref="AQ320:AQ383" ca="1" si="251">IF(SUMIF($A$22:$A$652,$A320,T$22:T$652)=0,0,OFFSET(T$11,$A320*2,0)*T$7*T320/SUMIF($A$22:$A$652,$A320,T$22:T$652))</f>
        <v>0</v>
      </c>
    </row>
    <row r="321" spans="1:43" x14ac:dyDescent="0.3">
      <c r="A321" s="556">
        <f t="shared" ref="A321:A384" si="252">A87+1</f>
        <v>2</v>
      </c>
      <c r="B321" s="519" t="str">
        <f t="shared" ref="B321:B384" si="253">LEFT(D321,3)</f>
        <v>HLY</v>
      </c>
      <c r="C321" s="519" t="str">
        <f t="shared" ref="C321:E321" si="254">C87</f>
        <v>WEL</v>
      </c>
      <c r="D321" s="519" t="str">
        <f t="shared" si="254"/>
        <v>HLY0331</v>
      </c>
      <c r="E321" s="519">
        <f t="shared" si="254"/>
        <v>26.646899999999999</v>
      </c>
      <c r="H321" s="519">
        <f ca="1">_xlfn.IFNA(IF(VLOOKUP($B321&amp;OFFSET(H$10,$A321*2,0),'Mapping A'!$B$6:$E$1011,4,0)=1,$E321,""),0)</f>
        <v>0</v>
      </c>
      <c r="I321" s="519">
        <f ca="1">_xlfn.IFNA(IF(VLOOKUP($B321&amp;OFFSET(I$10,$A321*2,0),'Mapping A'!$B$6:$E$1011,4,0)=1,$E321,""),0)</f>
        <v>0</v>
      </c>
      <c r="J321" s="519">
        <f ca="1">_xlfn.IFNA(IF(VLOOKUP($B321&amp;OFFSET(J$10,$A321*2,0),'Mapping A'!$B$6:$E$1011,4,0)=1,$E321,""),0)</f>
        <v>0</v>
      </c>
      <c r="K321" s="519">
        <f ca="1">_xlfn.IFNA(IF(VLOOKUP($B321&amp;OFFSET(K$10,$A321*2,0),'Mapping A'!$B$6:$E$1011,4,0)=1,$E321,""),0)</f>
        <v>0</v>
      </c>
      <c r="L321" s="519">
        <f ca="1">_xlfn.IFNA(IF(VLOOKUP($B321&amp;OFFSET(L$10,$A321*2,0),'Mapping A'!$B$6:$E$1011,4,0)=1,$E321,""),0)</f>
        <v>0</v>
      </c>
      <c r="M321" s="519">
        <f ca="1">_xlfn.IFNA(IF(VLOOKUP($B321&amp;OFFSET(M$10,$A321*2,0),'Mapping A'!$B$6:$E$1011,4,0)=1,$E321,""),0)</f>
        <v>0</v>
      </c>
      <c r="N321" s="519">
        <f ca="1">_xlfn.IFNA(IF(VLOOKUP($B321&amp;OFFSET(N$10,$A321*2,0),'Mapping A'!$B$6:$E$1011,4,0)=1,$E321,""),0)</f>
        <v>0</v>
      </c>
      <c r="O321" s="519">
        <f ca="1">_xlfn.IFNA(IF(VLOOKUP($B321&amp;OFFSET(O$10,$A321*2,0),'Mapping A'!$B$6:$E$1011,4,0)=1,$E321,""),0)</f>
        <v>0</v>
      </c>
      <c r="P321" s="519">
        <f ca="1">_xlfn.IFNA(IF(VLOOKUP($B321&amp;OFFSET(P$10,$A321*2,0),'Mapping A'!$B$6:$E$1011,4,0)=1,$E321,""),0)</f>
        <v>0</v>
      </c>
      <c r="Q321" s="519">
        <f ca="1">_xlfn.IFNA(IF(VLOOKUP($B321&amp;OFFSET(Q$10,$A321*2,0),'Mapping A'!$B$6:$E$1011,4,0)=1,$E321,""),0)</f>
        <v>0</v>
      </c>
      <c r="R321" s="519">
        <f ca="1">_xlfn.IFNA(IF(VLOOKUP($B321&amp;OFFSET(R$10,$A321*2,0),'Mapping A'!$B$6:$E$1011,4,0)=1,$E321,""),0)</f>
        <v>0</v>
      </c>
      <c r="S321" s="519">
        <f ca="1">_xlfn.IFNA(IF(VLOOKUP($B321&amp;OFFSET(S$10,$A321*2,0),'Mapping A'!$B$6:$E$1011,4,0)=1,$E321,""),0)</f>
        <v>0</v>
      </c>
      <c r="T321" s="519">
        <f ca="1">_xlfn.IFNA(IF(VLOOKUP($B321&amp;OFFSET(T$10,$A321*2,0),'Mapping A'!$B$6:$E$1011,4,0)=1,$E321,""),0)</f>
        <v>0</v>
      </c>
      <c r="Y321" s="534" t="str">
        <f t="shared" ref="Y321:Y384" si="255">AA321&amp;Z321</f>
        <v>HLY0331WEL</v>
      </c>
      <c r="Z321" s="519" t="str">
        <f t="shared" ref="Z321:AB321" si="256">C87</f>
        <v>WEL</v>
      </c>
      <c r="AA321" s="519" t="str">
        <f t="shared" si="256"/>
        <v>HLY0331</v>
      </c>
      <c r="AB321" s="519">
        <f t="shared" si="256"/>
        <v>26.646899999999999</v>
      </c>
      <c r="AC321" s="324"/>
      <c r="AE321" s="519">
        <f t="shared" ca="1" si="239"/>
        <v>0</v>
      </c>
      <c r="AF321" s="519">
        <f t="shared" ca="1" si="240"/>
        <v>0</v>
      </c>
      <c r="AG321" s="519">
        <f t="shared" ca="1" si="241"/>
        <v>0</v>
      </c>
      <c r="AH321" s="519">
        <f t="shared" ca="1" si="242"/>
        <v>0</v>
      </c>
      <c r="AI321" s="519">
        <f t="shared" ca="1" si="243"/>
        <v>0</v>
      </c>
      <c r="AJ321" s="519">
        <f t="shared" ca="1" si="244"/>
        <v>0</v>
      </c>
      <c r="AK321" s="519">
        <f t="shared" ca="1" si="245"/>
        <v>0</v>
      </c>
      <c r="AL321" s="519">
        <f t="shared" ca="1" si="246"/>
        <v>0</v>
      </c>
      <c r="AM321" s="519">
        <f t="shared" ca="1" si="247"/>
        <v>0</v>
      </c>
      <c r="AN321" s="519">
        <f t="shared" ca="1" si="248"/>
        <v>0</v>
      </c>
      <c r="AO321" s="519">
        <f t="shared" ca="1" si="249"/>
        <v>0</v>
      </c>
      <c r="AP321" s="519">
        <f t="shared" ca="1" si="250"/>
        <v>0</v>
      </c>
      <c r="AQ321" s="519">
        <f t="shared" ca="1" si="251"/>
        <v>0</v>
      </c>
    </row>
    <row r="322" spans="1:43" x14ac:dyDescent="0.3">
      <c r="A322" s="556">
        <f t="shared" si="252"/>
        <v>2</v>
      </c>
      <c r="B322" s="519" t="str">
        <f t="shared" si="253"/>
        <v>HLY</v>
      </c>
      <c r="C322" s="519" t="str">
        <f t="shared" ref="C322:E322" si="257">C88</f>
        <v>Genesis</v>
      </c>
      <c r="D322" s="519" t="str">
        <f t="shared" si="257"/>
        <v>HLY2201</v>
      </c>
      <c r="E322" s="519">
        <f t="shared" si="257"/>
        <v>17.944500000000001</v>
      </c>
      <c r="H322" s="519">
        <f ca="1">_xlfn.IFNA(IF(VLOOKUP($B322&amp;OFFSET(H$10,$A322*2,0),'Mapping A'!$B$6:$E$1011,4,0)=1,$E322,""),0)</f>
        <v>0</v>
      </c>
      <c r="I322" s="519">
        <f ca="1">_xlfn.IFNA(IF(VLOOKUP($B322&amp;OFFSET(I$10,$A322*2,0),'Mapping A'!$B$6:$E$1011,4,0)=1,$E322,""),0)</f>
        <v>0</v>
      </c>
      <c r="J322" s="519">
        <f ca="1">_xlfn.IFNA(IF(VLOOKUP($B322&amp;OFFSET(J$10,$A322*2,0),'Mapping A'!$B$6:$E$1011,4,0)=1,$E322,""),0)</f>
        <v>0</v>
      </c>
      <c r="K322" s="519">
        <f ca="1">_xlfn.IFNA(IF(VLOOKUP($B322&amp;OFFSET(K$10,$A322*2,0),'Mapping A'!$B$6:$E$1011,4,0)=1,$E322,""),0)</f>
        <v>0</v>
      </c>
      <c r="L322" s="519">
        <f ca="1">_xlfn.IFNA(IF(VLOOKUP($B322&amp;OFFSET(L$10,$A322*2,0),'Mapping A'!$B$6:$E$1011,4,0)=1,$E322,""),0)</f>
        <v>0</v>
      </c>
      <c r="M322" s="519">
        <f ca="1">_xlfn.IFNA(IF(VLOOKUP($B322&amp;OFFSET(M$10,$A322*2,0),'Mapping A'!$B$6:$E$1011,4,0)=1,$E322,""),0)</f>
        <v>0</v>
      </c>
      <c r="N322" s="519">
        <f ca="1">_xlfn.IFNA(IF(VLOOKUP($B322&amp;OFFSET(N$10,$A322*2,0),'Mapping A'!$B$6:$E$1011,4,0)=1,$E322,""),0)</f>
        <v>0</v>
      </c>
      <c r="O322" s="519">
        <f ca="1">_xlfn.IFNA(IF(VLOOKUP($B322&amp;OFFSET(O$10,$A322*2,0),'Mapping A'!$B$6:$E$1011,4,0)=1,$E322,""),0)</f>
        <v>0</v>
      </c>
      <c r="P322" s="519">
        <f ca="1">_xlfn.IFNA(IF(VLOOKUP($B322&amp;OFFSET(P$10,$A322*2,0),'Mapping A'!$B$6:$E$1011,4,0)=1,$E322,""),0)</f>
        <v>0</v>
      </c>
      <c r="Q322" s="519">
        <f ca="1">_xlfn.IFNA(IF(VLOOKUP($B322&amp;OFFSET(Q$10,$A322*2,0),'Mapping A'!$B$6:$E$1011,4,0)=1,$E322,""),0)</f>
        <v>0</v>
      </c>
      <c r="R322" s="519">
        <f ca="1">_xlfn.IFNA(IF(VLOOKUP($B322&amp;OFFSET(R$10,$A322*2,0),'Mapping A'!$B$6:$E$1011,4,0)=1,$E322,""),0)</f>
        <v>0</v>
      </c>
      <c r="S322" s="519">
        <f ca="1">_xlfn.IFNA(IF(VLOOKUP($B322&amp;OFFSET(S$10,$A322*2,0),'Mapping A'!$B$6:$E$1011,4,0)=1,$E322,""),0)</f>
        <v>0</v>
      </c>
      <c r="T322" s="519">
        <f ca="1">_xlfn.IFNA(IF(VLOOKUP($B322&amp;OFFSET(T$10,$A322*2,0),'Mapping A'!$B$6:$E$1011,4,0)=1,$E322,""),0)</f>
        <v>0</v>
      </c>
      <c r="Y322" s="534" t="str">
        <f t="shared" si="255"/>
        <v>HLY2201Genesis</v>
      </c>
      <c r="Z322" s="519" t="str">
        <f t="shared" ref="Z322:AB322" si="258">C88</f>
        <v>Genesis</v>
      </c>
      <c r="AA322" s="519" t="str">
        <f t="shared" si="258"/>
        <v>HLY2201</v>
      </c>
      <c r="AB322" s="519">
        <f t="shared" si="258"/>
        <v>17.944500000000001</v>
      </c>
      <c r="AC322" s="324"/>
      <c r="AE322" s="519">
        <f t="shared" ca="1" si="239"/>
        <v>0</v>
      </c>
      <c r="AF322" s="519">
        <f t="shared" ca="1" si="240"/>
        <v>0</v>
      </c>
      <c r="AG322" s="519">
        <f t="shared" ca="1" si="241"/>
        <v>0</v>
      </c>
      <c r="AH322" s="519">
        <f t="shared" ca="1" si="242"/>
        <v>0</v>
      </c>
      <c r="AI322" s="519">
        <f t="shared" ca="1" si="243"/>
        <v>0</v>
      </c>
      <c r="AJ322" s="519">
        <f t="shared" ca="1" si="244"/>
        <v>0</v>
      </c>
      <c r="AK322" s="519">
        <f t="shared" ca="1" si="245"/>
        <v>0</v>
      </c>
      <c r="AL322" s="519">
        <f t="shared" ca="1" si="246"/>
        <v>0</v>
      </c>
      <c r="AM322" s="519">
        <f t="shared" ca="1" si="247"/>
        <v>0</v>
      </c>
      <c r="AN322" s="519">
        <f t="shared" ca="1" si="248"/>
        <v>0</v>
      </c>
      <c r="AO322" s="519">
        <f t="shared" ca="1" si="249"/>
        <v>0</v>
      </c>
      <c r="AP322" s="519">
        <f t="shared" ca="1" si="250"/>
        <v>0</v>
      </c>
      <c r="AQ322" s="519">
        <f t="shared" ca="1" si="251"/>
        <v>0</v>
      </c>
    </row>
    <row r="323" spans="1:43" x14ac:dyDescent="0.3">
      <c r="A323" s="556">
        <f t="shared" si="252"/>
        <v>2</v>
      </c>
      <c r="B323" s="519" t="str">
        <f t="shared" si="253"/>
        <v>HOB</v>
      </c>
      <c r="C323" s="519" t="str">
        <f t="shared" ref="C323:E323" si="259">C89</f>
        <v>Vector</v>
      </c>
      <c r="D323" s="519" t="str">
        <f t="shared" si="259"/>
        <v>HOB1101</v>
      </c>
      <c r="E323" s="519">
        <f t="shared" si="259"/>
        <v>111.1572</v>
      </c>
      <c r="H323" s="519">
        <f ca="1">_xlfn.IFNA(IF(VLOOKUP($B323&amp;OFFSET(H$10,$A323*2,0),'Mapping A'!$B$6:$E$1011,4,0)=1,$E323,""),0)</f>
        <v>0</v>
      </c>
      <c r="I323" s="519">
        <f ca="1">_xlfn.IFNA(IF(VLOOKUP($B323&amp;OFFSET(I$10,$A323*2,0),'Mapping A'!$B$6:$E$1011,4,0)=1,$E323,""),0)</f>
        <v>0</v>
      </c>
      <c r="J323" s="519">
        <f ca="1">_xlfn.IFNA(IF(VLOOKUP($B323&amp;OFFSET(J$10,$A323*2,0),'Mapping A'!$B$6:$E$1011,4,0)=1,$E323,""),0)</f>
        <v>0</v>
      </c>
      <c r="K323" s="519">
        <f ca="1">_xlfn.IFNA(IF(VLOOKUP($B323&amp;OFFSET(K$10,$A323*2,0),'Mapping A'!$B$6:$E$1011,4,0)=1,$E323,""),0)</f>
        <v>0</v>
      </c>
      <c r="L323" s="519">
        <f ca="1">_xlfn.IFNA(IF(VLOOKUP($B323&amp;OFFSET(L$10,$A323*2,0),'Mapping A'!$B$6:$E$1011,4,0)=1,$E323,""),0)</f>
        <v>0</v>
      </c>
      <c r="M323" s="519">
        <f ca="1">_xlfn.IFNA(IF(VLOOKUP($B323&amp;OFFSET(M$10,$A323*2,0),'Mapping A'!$B$6:$E$1011,4,0)=1,$E323,""),0)</f>
        <v>0</v>
      </c>
      <c r="N323" s="519">
        <f ca="1">_xlfn.IFNA(IF(VLOOKUP($B323&amp;OFFSET(N$10,$A323*2,0),'Mapping A'!$B$6:$E$1011,4,0)=1,$E323,""),0)</f>
        <v>0</v>
      </c>
      <c r="O323" s="519">
        <f ca="1">_xlfn.IFNA(IF(VLOOKUP($B323&amp;OFFSET(O$10,$A323*2,0),'Mapping A'!$B$6:$E$1011,4,0)=1,$E323,""),0)</f>
        <v>0</v>
      </c>
      <c r="P323" s="519">
        <f ca="1">_xlfn.IFNA(IF(VLOOKUP($B323&amp;OFFSET(P$10,$A323*2,0),'Mapping A'!$B$6:$E$1011,4,0)=1,$E323,""),0)</f>
        <v>0</v>
      </c>
      <c r="Q323" s="519">
        <f ca="1">_xlfn.IFNA(IF(VLOOKUP($B323&amp;OFFSET(Q$10,$A323*2,0),'Mapping A'!$B$6:$E$1011,4,0)=1,$E323,""),0)</f>
        <v>0</v>
      </c>
      <c r="R323" s="519">
        <f ca="1">_xlfn.IFNA(IF(VLOOKUP($B323&amp;OFFSET(R$10,$A323*2,0),'Mapping A'!$B$6:$E$1011,4,0)=1,$E323,""),0)</f>
        <v>0</v>
      </c>
      <c r="S323" s="519">
        <f ca="1">_xlfn.IFNA(IF(VLOOKUP($B323&amp;OFFSET(S$10,$A323*2,0),'Mapping A'!$B$6:$E$1011,4,0)=1,$E323,""),0)</f>
        <v>0</v>
      </c>
      <c r="T323" s="519">
        <f ca="1">_xlfn.IFNA(IF(VLOOKUP($B323&amp;OFFSET(T$10,$A323*2,0),'Mapping A'!$B$6:$E$1011,4,0)=1,$E323,""),0)</f>
        <v>0</v>
      </c>
      <c r="Y323" s="534" t="str">
        <f t="shared" si="255"/>
        <v>HOB1101Vector</v>
      </c>
      <c r="Z323" s="519" t="str">
        <f t="shared" ref="Z323:AB323" si="260">C89</f>
        <v>Vector</v>
      </c>
      <c r="AA323" s="519" t="str">
        <f t="shared" si="260"/>
        <v>HOB1101</v>
      </c>
      <c r="AB323" s="519">
        <f t="shared" si="260"/>
        <v>111.1572</v>
      </c>
      <c r="AC323" s="324"/>
      <c r="AE323" s="519">
        <f t="shared" ca="1" si="239"/>
        <v>0</v>
      </c>
      <c r="AF323" s="519">
        <f t="shared" ca="1" si="240"/>
        <v>0</v>
      </c>
      <c r="AG323" s="519">
        <f t="shared" ca="1" si="241"/>
        <v>0</v>
      </c>
      <c r="AH323" s="519">
        <f t="shared" ca="1" si="242"/>
        <v>0</v>
      </c>
      <c r="AI323" s="519">
        <f t="shared" ca="1" si="243"/>
        <v>0</v>
      </c>
      <c r="AJ323" s="519">
        <f t="shared" ca="1" si="244"/>
        <v>0</v>
      </c>
      <c r="AK323" s="519">
        <f t="shared" ca="1" si="245"/>
        <v>0</v>
      </c>
      <c r="AL323" s="519">
        <f t="shared" ca="1" si="246"/>
        <v>0</v>
      </c>
      <c r="AM323" s="519">
        <f t="shared" ca="1" si="247"/>
        <v>0</v>
      </c>
      <c r="AN323" s="519">
        <f t="shared" ca="1" si="248"/>
        <v>0</v>
      </c>
      <c r="AO323" s="519">
        <f t="shared" ca="1" si="249"/>
        <v>0</v>
      </c>
      <c r="AP323" s="519">
        <f t="shared" ca="1" si="250"/>
        <v>0</v>
      </c>
      <c r="AQ323" s="519">
        <f t="shared" ca="1" si="251"/>
        <v>0</v>
      </c>
    </row>
    <row r="324" spans="1:43" x14ac:dyDescent="0.3">
      <c r="A324" s="556">
        <f t="shared" si="252"/>
        <v>2</v>
      </c>
      <c r="B324" s="519" t="str">
        <f t="shared" si="253"/>
        <v>HOR</v>
      </c>
      <c r="C324" s="519" t="str">
        <f t="shared" ref="C324:E324" si="261">C90</f>
        <v>Orion</v>
      </c>
      <c r="D324" s="519" t="str">
        <f t="shared" si="261"/>
        <v>HOR0331</v>
      </c>
      <c r="E324" s="519">
        <f t="shared" si="261"/>
        <v>23.776199999999999</v>
      </c>
      <c r="H324" s="519">
        <f ca="1">_xlfn.IFNA(IF(VLOOKUP($B324&amp;OFFSET(H$10,$A324*2,0),'Mapping A'!$B$6:$E$1011,4,0)=1,$E324,""),0)</f>
        <v>0</v>
      </c>
      <c r="I324" s="519">
        <f ca="1">_xlfn.IFNA(IF(VLOOKUP($B324&amp;OFFSET(I$10,$A324*2,0),'Mapping A'!$B$6:$E$1011,4,0)=1,$E324,""),0)</f>
        <v>0</v>
      </c>
      <c r="J324" s="519">
        <f ca="1">_xlfn.IFNA(IF(VLOOKUP($B324&amp;OFFSET(J$10,$A324*2,0),'Mapping A'!$B$6:$E$1011,4,0)=1,$E324,""),0)</f>
        <v>23.776199999999999</v>
      </c>
      <c r="K324" s="519">
        <f ca="1">_xlfn.IFNA(IF(VLOOKUP($B324&amp;OFFSET(K$10,$A324*2,0),'Mapping A'!$B$6:$E$1011,4,0)=1,$E324,""),0)</f>
        <v>0</v>
      </c>
      <c r="L324" s="519">
        <f ca="1">_xlfn.IFNA(IF(VLOOKUP($B324&amp;OFFSET(L$10,$A324*2,0),'Mapping A'!$B$6:$E$1011,4,0)=1,$E324,""),0)</f>
        <v>0</v>
      </c>
      <c r="M324" s="519">
        <f ca="1">_xlfn.IFNA(IF(VLOOKUP($B324&amp;OFFSET(M$10,$A324*2,0),'Mapping A'!$B$6:$E$1011,4,0)=1,$E324,""),0)</f>
        <v>0</v>
      </c>
      <c r="N324" s="519">
        <f ca="1">_xlfn.IFNA(IF(VLOOKUP($B324&amp;OFFSET(N$10,$A324*2,0),'Mapping A'!$B$6:$E$1011,4,0)=1,$E324,""),0)</f>
        <v>0</v>
      </c>
      <c r="O324" s="519">
        <f ca="1">_xlfn.IFNA(IF(VLOOKUP($B324&amp;OFFSET(O$10,$A324*2,0),'Mapping A'!$B$6:$E$1011,4,0)=1,$E324,""),0)</f>
        <v>0</v>
      </c>
      <c r="P324" s="519">
        <f ca="1">_xlfn.IFNA(IF(VLOOKUP($B324&amp;OFFSET(P$10,$A324*2,0),'Mapping A'!$B$6:$E$1011,4,0)=1,$E324,""),0)</f>
        <v>0</v>
      </c>
      <c r="Q324" s="519">
        <f ca="1">_xlfn.IFNA(IF(VLOOKUP($B324&amp;OFFSET(Q$10,$A324*2,0),'Mapping A'!$B$6:$E$1011,4,0)=1,$E324,""),0)</f>
        <v>0</v>
      </c>
      <c r="R324" s="519">
        <f ca="1">_xlfn.IFNA(IF(VLOOKUP($B324&amp;OFFSET(R$10,$A324*2,0),'Mapping A'!$B$6:$E$1011,4,0)=1,$E324,""),0)</f>
        <v>0</v>
      </c>
      <c r="S324" s="519">
        <f ca="1">_xlfn.IFNA(IF(VLOOKUP($B324&amp;OFFSET(S$10,$A324*2,0),'Mapping A'!$B$6:$E$1011,4,0)=1,$E324,""),0)</f>
        <v>0</v>
      </c>
      <c r="T324" s="519">
        <f ca="1">_xlfn.IFNA(IF(VLOOKUP($B324&amp;OFFSET(T$10,$A324*2,0),'Mapping A'!$B$6:$E$1011,4,0)=1,$E324,""),0)</f>
        <v>0</v>
      </c>
      <c r="Y324" s="534" t="str">
        <f t="shared" si="255"/>
        <v>HOR0331Orion</v>
      </c>
      <c r="Z324" s="519" t="str">
        <f t="shared" ref="Z324:AB324" si="262">C90</f>
        <v>Orion</v>
      </c>
      <c r="AA324" s="519" t="str">
        <f t="shared" si="262"/>
        <v>HOR0331</v>
      </c>
      <c r="AB324" s="519">
        <f t="shared" si="262"/>
        <v>23.776199999999999</v>
      </c>
      <c r="AC324" s="324"/>
      <c r="AE324" s="519">
        <f t="shared" ca="1" si="239"/>
        <v>0</v>
      </c>
      <c r="AF324" s="519">
        <f t="shared" ca="1" si="240"/>
        <v>0</v>
      </c>
      <c r="AG324" s="519">
        <f t="shared" ca="1" si="241"/>
        <v>0</v>
      </c>
      <c r="AH324" s="519">
        <f t="shared" ca="1" si="242"/>
        <v>0</v>
      </c>
      <c r="AI324" s="519">
        <f t="shared" ca="1" si="243"/>
        <v>0</v>
      </c>
      <c r="AJ324" s="519">
        <f t="shared" ca="1" si="244"/>
        <v>0</v>
      </c>
      <c r="AK324" s="519">
        <f t="shared" ca="1" si="245"/>
        <v>0</v>
      </c>
      <c r="AL324" s="519">
        <f t="shared" ca="1" si="246"/>
        <v>0</v>
      </c>
      <c r="AM324" s="519">
        <f t="shared" ca="1" si="247"/>
        <v>0</v>
      </c>
      <c r="AN324" s="519">
        <f t="shared" ca="1" si="248"/>
        <v>0</v>
      </c>
      <c r="AO324" s="519">
        <f t="shared" ca="1" si="249"/>
        <v>0</v>
      </c>
      <c r="AP324" s="519">
        <f t="shared" ca="1" si="250"/>
        <v>0</v>
      </c>
      <c r="AQ324" s="519">
        <f t="shared" ca="1" si="251"/>
        <v>0</v>
      </c>
    </row>
    <row r="325" spans="1:43" x14ac:dyDescent="0.3">
      <c r="A325" s="556">
        <f t="shared" si="252"/>
        <v>2</v>
      </c>
      <c r="B325" s="519" t="str">
        <f t="shared" si="253"/>
        <v>HOR</v>
      </c>
      <c r="C325" s="519" t="str">
        <f t="shared" ref="C325:E325" si="263">C91</f>
        <v>Orion</v>
      </c>
      <c r="D325" s="519" t="str">
        <f t="shared" si="263"/>
        <v>HOR0661</v>
      </c>
      <c r="E325" s="519">
        <f t="shared" si="263"/>
        <v>30.5928</v>
      </c>
      <c r="H325" s="519">
        <f ca="1">_xlfn.IFNA(IF(VLOOKUP($B325&amp;OFFSET(H$10,$A325*2,0),'Mapping A'!$B$6:$E$1011,4,0)=1,$E325,""),0)</f>
        <v>0</v>
      </c>
      <c r="I325" s="519">
        <f ca="1">_xlfn.IFNA(IF(VLOOKUP($B325&amp;OFFSET(I$10,$A325*2,0),'Mapping A'!$B$6:$E$1011,4,0)=1,$E325,""),0)</f>
        <v>0</v>
      </c>
      <c r="J325" s="519">
        <f ca="1">_xlfn.IFNA(IF(VLOOKUP($B325&amp;OFFSET(J$10,$A325*2,0),'Mapping A'!$B$6:$E$1011,4,0)=1,$E325,""),0)</f>
        <v>30.5928</v>
      </c>
      <c r="K325" s="519">
        <f ca="1">_xlfn.IFNA(IF(VLOOKUP($B325&amp;OFFSET(K$10,$A325*2,0),'Mapping A'!$B$6:$E$1011,4,0)=1,$E325,""),0)</f>
        <v>0</v>
      </c>
      <c r="L325" s="519">
        <f ca="1">_xlfn.IFNA(IF(VLOOKUP($B325&amp;OFFSET(L$10,$A325*2,0),'Mapping A'!$B$6:$E$1011,4,0)=1,$E325,""),0)</f>
        <v>0</v>
      </c>
      <c r="M325" s="519">
        <f ca="1">_xlfn.IFNA(IF(VLOOKUP($B325&amp;OFFSET(M$10,$A325*2,0),'Mapping A'!$B$6:$E$1011,4,0)=1,$E325,""),0)</f>
        <v>0</v>
      </c>
      <c r="N325" s="519">
        <f ca="1">_xlfn.IFNA(IF(VLOOKUP($B325&amp;OFFSET(N$10,$A325*2,0),'Mapping A'!$B$6:$E$1011,4,0)=1,$E325,""),0)</f>
        <v>0</v>
      </c>
      <c r="O325" s="519">
        <f ca="1">_xlfn.IFNA(IF(VLOOKUP($B325&amp;OFFSET(O$10,$A325*2,0),'Mapping A'!$B$6:$E$1011,4,0)=1,$E325,""),0)</f>
        <v>0</v>
      </c>
      <c r="P325" s="519">
        <f ca="1">_xlfn.IFNA(IF(VLOOKUP($B325&amp;OFFSET(P$10,$A325*2,0),'Mapping A'!$B$6:$E$1011,4,0)=1,$E325,""),0)</f>
        <v>0</v>
      </c>
      <c r="Q325" s="519">
        <f ca="1">_xlfn.IFNA(IF(VLOOKUP($B325&amp;OFFSET(Q$10,$A325*2,0),'Mapping A'!$B$6:$E$1011,4,0)=1,$E325,""),0)</f>
        <v>0</v>
      </c>
      <c r="R325" s="519">
        <f ca="1">_xlfn.IFNA(IF(VLOOKUP($B325&amp;OFFSET(R$10,$A325*2,0),'Mapping A'!$B$6:$E$1011,4,0)=1,$E325,""),0)</f>
        <v>0</v>
      </c>
      <c r="S325" s="519">
        <f ca="1">_xlfn.IFNA(IF(VLOOKUP($B325&amp;OFFSET(S$10,$A325*2,0),'Mapping A'!$B$6:$E$1011,4,0)=1,$E325,""),0)</f>
        <v>0</v>
      </c>
      <c r="T325" s="519">
        <f ca="1">_xlfn.IFNA(IF(VLOOKUP($B325&amp;OFFSET(T$10,$A325*2,0),'Mapping A'!$B$6:$E$1011,4,0)=1,$E325,""),0)</f>
        <v>0</v>
      </c>
      <c r="Y325" s="534" t="str">
        <f t="shared" si="255"/>
        <v>HOR0661Orion</v>
      </c>
      <c r="Z325" s="519" t="str">
        <f t="shared" ref="Z325:AB325" si="264">C91</f>
        <v>Orion</v>
      </c>
      <c r="AA325" s="519" t="str">
        <f t="shared" si="264"/>
        <v>HOR0661</v>
      </c>
      <c r="AB325" s="519">
        <f t="shared" si="264"/>
        <v>30.5928</v>
      </c>
      <c r="AC325" s="324"/>
      <c r="AE325" s="519">
        <f t="shared" ca="1" si="239"/>
        <v>0</v>
      </c>
      <c r="AF325" s="519">
        <f t="shared" ca="1" si="240"/>
        <v>0</v>
      </c>
      <c r="AG325" s="519">
        <f t="shared" ca="1" si="241"/>
        <v>0</v>
      </c>
      <c r="AH325" s="519">
        <f t="shared" ca="1" si="242"/>
        <v>0</v>
      </c>
      <c r="AI325" s="519">
        <f t="shared" ca="1" si="243"/>
        <v>0</v>
      </c>
      <c r="AJ325" s="519">
        <f t="shared" ca="1" si="244"/>
        <v>0</v>
      </c>
      <c r="AK325" s="519">
        <f t="shared" ca="1" si="245"/>
        <v>0</v>
      </c>
      <c r="AL325" s="519">
        <f t="shared" ca="1" si="246"/>
        <v>0</v>
      </c>
      <c r="AM325" s="519">
        <f t="shared" ca="1" si="247"/>
        <v>0</v>
      </c>
      <c r="AN325" s="519">
        <f t="shared" ca="1" si="248"/>
        <v>0</v>
      </c>
      <c r="AO325" s="519">
        <f t="shared" ca="1" si="249"/>
        <v>0</v>
      </c>
      <c r="AP325" s="519">
        <f t="shared" ca="1" si="250"/>
        <v>0</v>
      </c>
      <c r="AQ325" s="519">
        <f t="shared" ca="1" si="251"/>
        <v>0</v>
      </c>
    </row>
    <row r="326" spans="1:43" x14ac:dyDescent="0.3">
      <c r="A326" s="556">
        <f t="shared" si="252"/>
        <v>2</v>
      </c>
      <c r="B326" s="519" t="str">
        <f t="shared" si="253"/>
        <v>HTI</v>
      </c>
      <c r="C326" s="519" t="str">
        <f t="shared" ref="C326:E326" si="265">C92</f>
        <v>The Lines Company</v>
      </c>
      <c r="D326" s="519" t="str">
        <f t="shared" si="265"/>
        <v>HTI0331</v>
      </c>
      <c r="E326" s="519">
        <f t="shared" si="265"/>
        <v>35.250599999999999</v>
      </c>
      <c r="H326" s="519">
        <f ca="1">_xlfn.IFNA(IF(VLOOKUP($B326&amp;OFFSET(H$10,$A326*2,0),'Mapping A'!$B$6:$E$1011,4,0)=1,$E326,""),0)</f>
        <v>0</v>
      </c>
      <c r="I326" s="519">
        <f ca="1">_xlfn.IFNA(IF(VLOOKUP($B326&amp;OFFSET(I$10,$A326*2,0),'Mapping A'!$B$6:$E$1011,4,0)=1,$E326,""),0)</f>
        <v>0</v>
      </c>
      <c r="J326" s="519">
        <f ca="1">_xlfn.IFNA(IF(VLOOKUP($B326&amp;OFFSET(J$10,$A326*2,0),'Mapping A'!$B$6:$E$1011,4,0)=1,$E326,""),0)</f>
        <v>0</v>
      </c>
      <c r="K326" s="519">
        <f ca="1">_xlfn.IFNA(IF(VLOOKUP($B326&amp;OFFSET(K$10,$A326*2,0),'Mapping A'!$B$6:$E$1011,4,0)=1,$E326,""),0)</f>
        <v>0</v>
      </c>
      <c r="L326" s="519">
        <f ca="1">_xlfn.IFNA(IF(VLOOKUP($B326&amp;OFFSET(L$10,$A326*2,0),'Mapping A'!$B$6:$E$1011,4,0)=1,$E326,""),0)</f>
        <v>0</v>
      </c>
      <c r="M326" s="519">
        <f ca="1">_xlfn.IFNA(IF(VLOOKUP($B326&amp;OFFSET(M$10,$A326*2,0),'Mapping A'!$B$6:$E$1011,4,0)=1,$E326,""),0)</f>
        <v>0</v>
      </c>
      <c r="N326" s="519">
        <f ca="1">_xlfn.IFNA(IF(VLOOKUP($B326&amp;OFFSET(N$10,$A326*2,0),'Mapping A'!$B$6:$E$1011,4,0)=1,$E326,""),0)</f>
        <v>0</v>
      </c>
      <c r="O326" s="519">
        <f ca="1">_xlfn.IFNA(IF(VLOOKUP($B326&amp;OFFSET(O$10,$A326*2,0),'Mapping A'!$B$6:$E$1011,4,0)=1,$E326,""),0)</f>
        <v>0</v>
      </c>
      <c r="P326" s="519">
        <f ca="1">_xlfn.IFNA(IF(VLOOKUP($B326&amp;OFFSET(P$10,$A326*2,0),'Mapping A'!$B$6:$E$1011,4,0)=1,$E326,""),0)</f>
        <v>0</v>
      </c>
      <c r="Q326" s="519">
        <f ca="1">_xlfn.IFNA(IF(VLOOKUP($B326&amp;OFFSET(Q$10,$A326*2,0),'Mapping A'!$B$6:$E$1011,4,0)=1,$E326,""),0)</f>
        <v>0</v>
      </c>
      <c r="R326" s="519">
        <f ca="1">_xlfn.IFNA(IF(VLOOKUP($B326&amp;OFFSET(R$10,$A326*2,0),'Mapping A'!$B$6:$E$1011,4,0)=1,$E326,""),0)</f>
        <v>0</v>
      </c>
      <c r="S326" s="519">
        <f ca="1">_xlfn.IFNA(IF(VLOOKUP($B326&amp;OFFSET(S$10,$A326*2,0),'Mapping A'!$B$6:$E$1011,4,0)=1,$E326,""),0)</f>
        <v>0</v>
      </c>
      <c r="T326" s="519">
        <f ca="1">_xlfn.IFNA(IF(VLOOKUP($B326&amp;OFFSET(T$10,$A326*2,0),'Mapping A'!$B$6:$E$1011,4,0)=1,$E326,""),0)</f>
        <v>0</v>
      </c>
      <c r="Y326" s="534" t="str">
        <f t="shared" si="255"/>
        <v>HTI0331The Lines Company</v>
      </c>
      <c r="Z326" s="519" t="str">
        <f t="shared" ref="Z326:AB326" si="266">C92</f>
        <v>The Lines Company</v>
      </c>
      <c r="AA326" s="519" t="str">
        <f t="shared" si="266"/>
        <v>HTI0331</v>
      </c>
      <c r="AB326" s="519">
        <f t="shared" si="266"/>
        <v>35.250599999999999</v>
      </c>
      <c r="AC326" s="324"/>
      <c r="AE326" s="519">
        <f t="shared" ca="1" si="239"/>
        <v>0</v>
      </c>
      <c r="AF326" s="519">
        <f t="shared" ca="1" si="240"/>
        <v>0</v>
      </c>
      <c r="AG326" s="519">
        <f t="shared" ca="1" si="241"/>
        <v>0</v>
      </c>
      <c r="AH326" s="519">
        <f t="shared" ca="1" si="242"/>
        <v>0</v>
      </c>
      <c r="AI326" s="519">
        <f t="shared" ca="1" si="243"/>
        <v>0</v>
      </c>
      <c r="AJ326" s="519">
        <f t="shared" ca="1" si="244"/>
        <v>0</v>
      </c>
      <c r="AK326" s="519">
        <f t="shared" ca="1" si="245"/>
        <v>0</v>
      </c>
      <c r="AL326" s="519">
        <f t="shared" ca="1" si="246"/>
        <v>0</v>
      </c>
      <c r="AM326" s="519">
        <f t="shared" ca="1" si="247"/>
        <v>0</v>
      </c>
      <c r="AN326" s="519">
        <f t="shared" ca="1" si="248"/>
        <v>0</v>
      </c>
      <c r="AO326" s="519">
        <f t="shared" ca="1" si="249"/>
        <v>0</v>
      </c>
      <c r="AP326" s="519">
        <f t="shared" ca="1" si="250"/>
        <v>0</v>
      </c>
      <c r="AQ326" s="519">
        <f t="shared" ca="1" si="251"/>
        <v>0</v>
      </c>
    </row>
    <row r="327" spans="1:43" x14ac:dyDescent="0.3">
      <c r="A327" s="556">
        <f t="shared" si="252"/>
        <v>2</v>
      </c>
      <c r="B327" s="519" t="str">
        <f t="shared" si="253"/>
        <v>HUI</v>
      </c>
      <c r="C327" s="519" t="str">
        <f t="shared" ref="C327:E327" si="267">C93</f>
        <v>Powerco</v>
      </c>
      <c r="D327" s="519" t="str">
        <f t="shared" si="267"/>
        <v>HUI0331</v>
      </c>
      <c r="E327" s="519">
        <f t="shared" si="267"/>
        <v>36.758400000000002</v>
      </c>
      <c r="H327" s="519">
        <f ca="1">_xlfn.IFNA(IF(VLOOKUP($B327&amp;OFFSET(H$10,$A327*2,0),'Mapping A'!$B$6:$E$1011,4,0)=1,$E327,""),0)</f>
        <v>0</v>
      </c>
      <c r="I327" s="519">
        <f ca="1">_xlfn.IFNA(IF(VLOOKUP($B327&amp;OFFSET(I$10,$A327*2,0),'Mapping A'!$B$6:$E$1011,4,0)=1,$E327,""),0)</f>
        <v>0</v>
      </c>
      <c r="J327" s="519">
        <f ca="1">_xlfn.IFNA(IF(VLOOKUP($B327&amp;OFFSET(J$10,$A327*2,0),'Mapping A'!$B$6:$E$1011,4,0)=1,$E327,""),0)</f>
        <v>0</v>
      </c>
      <c r="K327" s="519">
        <f ca="1">_xlfn.IFNA(IF(VLOOKUP($B327&amp;OFFSET(K$10,$A327*2,0),'Mapping A'!$B$6:$E$1011,4,0)=1,$E327,""),0)</f>
        <v>0</v>
      </c>
      <c r="L327" s="519">
        <f ca="1">_xlfn.IFNA(IF(VLOOKUP($B327&amp;OFFSET(L$10,$A327*2,0),'Mapping A'!$B$6:$E$1011,4,0)=1,$E327,""),0)</f>
        <v>0</v>
      </c>
      <c r="M327" s="519">
        <f ca="1">_xlfn.IFNA(IF(VLOOKUP($B327&amp;OFFSET(M$10,$A327*2,0),'Mapping A'!$B$6:$E$1011,4,0)=1,$E327,""),0)</f>
        <v>0</v>
      </c>
      <c r="N327" s="519">
        <f ca="1">_xlfn.IFNA(IF(VLOOKUP($B327&amp;OFFSET(N$10,$A327*2,0),'Mapping A'!$B$6:$E$1011,4,0)=1,$E327,""),0)</f>
        <v>0</v>
      </c>
      <c r="O327" s="519">
        <f ca="1">_xlfn.IFNA(IF(VLOOKUP($B327&amp;OFFSET(O$10,$A327*2,0),'Mapping A'!$B$6:$E$1011,4,0)=1,$E327,""),0)</f>
        <v>0</v>
      </c>
      <c r="P327" s="519">
        <f ca="1">_xlfn.IFNA(IF(VLOOKUP($B327&amp;OFFSET(P$10,$A327*2,0),'Mapping A'!$B$6:$E$1011,4,0)=1,$E327,""),0)</f>
        <v>0</v>
      </c>
      <c r="Q327" s="519">
        <f ca="1">_xlfn.IFNA(IF(VLOOKUP($B327&amp;OFFSET(Q$10,$A327*2,0),'Mapping A'!$B$6:$E$1011,4,0)=1,$E327,""),0)</f>
        <v>0</v>
      </c>
      <c r="R327" s="519">
        <f ca="1">_xlfn.IFNA(IF(VLOOKUP($B327&amp;OFFSET(R$10,$A327*2,0),'Mapping A'!$B$6:$E$1011,4,0)=1,$E327,""),0)</f>
        <v>0</v>
      </c>
      <c r="S327" s="519">
        <f ca="1">_xlfn.IFNA(IF(VLOOKUP($B327&amp;OFFSET(S$10,$A327*2,0),'Mapping A'!$B$6:$E$1011,4,0)=1,$E327,""),0)</f>
        <v>0</v>
      </c>
      <c r="T327" s="519">
        <f ca="1">_xlfn.IFNA(IF(VLOOKUP($B327&amp;OFFSET(T$10,$A327*2,0),'Mapping A'!$B$6:$E$1011,4,0)=1,$E327,""),0)</f>
        <v>0</v>
      </c>
      <c r="Y327" s="534" t="str">
        <f t="shared" si="255"/>
        <v>HUI0331Powerco</v>
      </c>
      <c r="Z327" s="519" t="str">
        <f t="shared" ref="Z327:AB327" si="268">C93</f>
        <v>Powerco</v>
      </c>
      <c r="AA327" s="519" t="str">
        <f t="shared" si="268"/>
        <v>HUI0331</v>
      </c>
      <c r="AB327" s="519">
        <f t="shared" si="268"/>
        <v>36.758400000000002</v>
      </c>
      <c r="AC327" s="324"/>
      <c r="AE327" s="519">
        <f t="shared" ca="1" si="239"/>
        <v>0</v>
      </c>
      <c r="AF327" s="519">
        <f t="shared" ca="1" si="240"/>
        <v>0</v>
      </c>
      <c r="AG327" s="519">
        <f t="shared" ca="1" si="241"/>
        <v>0</v>
      </c>
      <c r="AH327" s="519">
        <f t="shared" ca="1" si="242"/>
        <v>0</v>
      </c>
      <c r="AI327" s="519">
        <f t="shared" ca="1" si="243"/>
        <v>0</v>
      </c>
      <c r="AJ327" s="519">
        <f t="shared" ca="1" si="244"/>
        <v>0</v>
      </c>
      <c r="AK327" s="519">
        <f t="shared" ca="1" si="245"/>
        <v>0</v>
      </c>
      <c r="AL327" s="519">
        <f t="shared" ca="1" si="246"/>
        <v>0</v>
      </c>
      <c r="AM327" s="519">
        <f t="shared" ca="1" si="247"/>
        <v>0</v>
      </c>
      <c r="AN327" s="519">
        <f t="shared" ca="1" si="248"/>
        <v>0</v>
      </c>
      <c r="AO327" s="519">
        <f t="shared" ca="1" si="249"/>
        <v>0</v>
      </c>
      <c r="AP327" s="519">
        <f t="shared" ca="1" si="250"/>
        <v>0</v>
      </c>
      <c r="AQ327" s="519">
        <f t="shared" ca="1" si="251"/>
        <v>0</v>
      </c>
    </row>
    <row r="328" spans="1:43" x14ac:dyDescent="0.3">
      <c r="A328" s="556">
        <f t="shared" si="252"/>
        <v>2</v>
      </c>
      <c r="B328" s="519" t="str">
        <f t="shared" si="253"/>
        <v>HWA</v>
      </c>
      <c r="C328" s="519" t="str">
        <f t="shared" ref="C328:E328" si="269">C94</f>
        <v>Powerco</v>
      </c>
      <c r="D328" s="519" t="str">
        <f t="shared" si="269"/>
        <v>HWA0331</v>
      </c>
      <c r="E328" s="519">
        <f t="shared" si="269"/>
        <v>29.015699999999999</v>
      </c>
      <c r="H328" s="519">
        <f ca="1">_xlfn.IFNA(IF(VLOOKUP($B328&amp;OFFSET(H$10,$A328*2,0),'Mapping A'!$B$6:$E$1011,4,0)=1,$E328,""),0)</f>
        <v>0</v>
      </c>
      <c r="I328" s="519">
        <f ca="1">_xlfn.IFNA(IF(VLOOKUP($B328&amp;OFFSET(I$10,$A328*2,0),'Mapping A'!$B$6:$E$1011,4,0)=1,$E328,""),0)</f>
        <v>0</v>
      </c>
      <c r="J328" s="519">
        <f ca="1">_xlfn.IFNA(IF(VLOOKUP($B328&amp;OFFSET(J$10,$A328*2,0),'Mapping A'!$B$6:$E$1011,4,0)=1,$E328,""),0)</f>
        <v>0</v>
      </c>
      <c r="K328" s="519">
        <f ca="1">_xlfn.IFNA(IF(VLOOKUP($B328&amp;OFFSET(K$10,$A328*2,0),'Mapping A'!$B$6:$E$1011,4,0)=1,$E328,""),0)</f>
        <v>0</v>
      </c>
      <c r="L328" s="519">
        <f ca="1">_xlfn.IFNA(IF(VLOOKUP($B328&amp;OFFSET(L$10,$A328*2,0),'Mapping A'!$B$6:$E$1011,4,0)=1,$E328,""),0)</f>
        <v>0</v>
      </c>
      <c r="M328" s="519">
        <f ca="1">_xlfn.IFNA(IF(VLOOKUP($B328&amp;OFFSET(M$10,$A328*2,0),'Mapping A'!$B$6:$E$1011,4,0)=1,$E328,""),0)</f>
        <v>0</v>
      </c>
      <c r="N328" s="519">
        <f ca="1">_xlfn.IFNA(IF(VLOOKUP($B328&amp;OFFSET(N$10,$A328*2,0),'Mapping A'!$B$6:$E$1011,4,0)=1,$E328,""),0)</f>
        <v>0</v>
      </c>
      <c r="O328" s="519">
        <f ca="1">_xlfn.IFNA(IF(VLOOKUP($B328&amp;OFFSET(O$10,$A328*2,0),'Mapping A'!$B$6:$E$1011,4,0)=1,$E328,""),0)</f>
        <v>0</v>
      </c>
      <c r="P328" s="519">
        <f ca="1">_xlfn.IFNA(IF(VLOOKUP($B328&amp;OFFSET(P$10,$A328*2,0),'Mapping A'!$B$6:$E$1011,4,0)=1,$E328,""),0)</f>
        <v>0</v>
      </c>
      <c r="Q328" s="519">
        <f ca="1">_xlfn.IFNA(IF(VLOOKUP($B328&amp;OFFSET(Q$10,$A328*2,0),'Mapping A'!$B$6:$E$1011,4,0)=1,$E328,""),0)</f>
        <v>0</v>
      </c>
      <c r="R328" s="519">
        <f ca="1">_xlfn.IFNA(IF(VLOOKUP($B328&amp;OFFSET(R$10,$A328*2,0),'Mapping A'!$B$6:$E$1011,4,0)=1,$E328,""),0)</f>
        <v>0</v>
      </c>
      <c r="S328" s="519">
        <f ca="1">_xlfn.IFNA(IF(VLOOKUP($B328&amp;OFFSET(S$10,$A328*2,0),'Mapping A'!$B$6:$E$1011,4,0)=1,$E328,""),0)</f>
        <v>0</v>
      </c>
      <c r="T328" s="519">
        <f ca="1">_xlfn.IFNA(IF(VLOOKUP($B328&amp;OFFSET(T$10,$A328*2,0),'Mapping A'!$B$6:$E$1011,4,0)=1,$E328,""),0)</f>
        <v>0</v>
      </c>
      <c r="Y328" s="534" t="str">
        <f t="shared" si="255"/>
        <v>HWA0331Powerco</v>
      </c>
      <c r="Z328" s="519" t="str">
        <f t="shared" ref="Z328:AB328" si="270">C94</f>
        <v>Powerco</v>
      </c>
      <c r="AA328" s="519" t="str">
        <f t="shared" si="270"/>
        <v>HWA0331</v>
      </c>
      <c r="AB328" s="519">
        <f t="shared" si="270"/>
        <v>29.015699999999999</v>
      </c>
      <c r="AC328" s="324"/>
      <c r="AE328" s="519">
        <f t="shared" ca="1" si="239"/>
        <v>0</v>
      </c>
      <c r="AF328" s="519">
        <f t="shared" ca="1" si="240"/>
        <v>0</v>
      </c>
      <c r="AG328" s="519">
        <f t="shared" ca="1" si="241"/>
        <v>0</v>
      </c>
      <c r="AH328" s="519">
        <f t="shared" ca="1" si="242"/>
        <v>0</v>
      </c>
      <c r="AI328" s="519">
        <f t="shared" ca="1" si="243"/>
        <v>0</v>
      </c>
      <c r="AJ328" s="519">
        <f t="shared" ca="1" si="244"/>
        <v>0</v>
      </c>
      <c r="AK328" s="519">
        <f t="shared" ca="1" si="245"/>
        <v>0</v>
      </c>
      <c r="AL328" s="519">
        <f t="shared" ca="1" si="246"/>
        <v>0</v>
      </c>
      <c r="AM328" s="519">
        <f t="shared" ca="1" si="247"/>
        <v>0</v>
      </c>
      <c r="AN328" s="519">
        <f t="shared" ca="1" si="248"/>
        <v>0</v>
      </c>
      <c r="AO328" s="519">
        <f t="shared" ca="1" si="249"/>
        <v>0</v>
      </c>
      <c r="AP328" s="519">
        <f t="shared" ca="1" si="250"/>
        <v>0</v>
      </c>
      <c r="AQ328" s="519">
        <f t="shared" ca="1" si="251"/>
        <v>0</v>
      </c>
    </row>
    <row r="329" spans="1:43" x14ac:dyDescent="0.3">
      <c r="A329" s="556">
        <f t="shared" si="252"/>
        <v>2</v>
      </c>
      <c r="B329" s="519" t="str">
        <f t="shared" si="253"/>
        <v>HWA</v>
      </c>
      <c r="C329" s="519" t="str">
        <f t="shared" ref="C329:E329" si="271">C95</f>
        <v>Other</v>
      </c>
      <c r="D329" s="519" t="str">
        <f t="shared" si="271"/>
        <v>HWA0332</v>
      </c>
      <c r="E329" s="519">
        <f t="shared" si="271"/>
        <v>0</v>
      </c>
      <c r="H329" s="519">
        <f ca="1">_xlfn.IFNA(IF(VLOOKUP($B329&amp;OFFSET(H$10,$A329*2,0),'Mapping A'!$B$6:$E$1011,4,0)=1,$E329,""),0)</f>
        <v>0</v>
      </c>
      <c r="I329" s="519">
        <f ca="1">_xlfn.IFNA(IF(VLOOKUP($B329&amp;OFFSET(I$10,$A329*2,0),'Mapping A'!$B$6:$E$1011,4,0)=1,$E329,""),0)</f>
        <v>0</v>
      </c>
      <c r="J329" s="519">
        <f ca="1">_xlfn.IFNA(IF(VLOOKUP($B329&amp;OFFSET(J$10,$A329*2,0),'Mapping A'!$B$6:$E$1011,4,0)=1,$E329,""),0)</f>
        <v>0</v>
      </c>
      <c r="K329" s="519">
        <f ca="1">_xlfn.IFNA(IF(VLOOKUP($B329&amp;OFFSET(K$10,$A329*2,0),'Mapping A'!$B$6:$E$1011,4,0)=1,$E329,""),0)</f>
        <v>0</v>
      </c>
      <c r="L329" s="519">
        <f ca="1">_xlfn.IFNA(IF(VLOOKUP($B329&amp;OFFSET(L$10,$A329*2,0),'Mapping A'!$B$6:$E$1011,4,0)=1,$E329,""),0)</f>
        <v>0</v>
      </c>
      <c r="M329" s="519">
        <f ca="1">_xlfn.IFNA(IF(VLOOKUP($B329&amp;OFFSET(M$10,$A329*2,0),'Mapping A'!$B$6:$E$1011,4,0)=1,$E329,""),0)</f>
        <v>0</v>
      </c>
      <c r="N329" s="519">
        <f ca="1">_xlfn.IFNA(IF(VLOOKUP($B329&amp;OFFSET(N$10,$A329*2,0),'Mapping A'!$B$6:$E$1011,4,0)=1,$E329,""),0)</f>
        <v>0</v>
      </c>
      <c r="O329" s="519">
        <f ca="1">_xlfn.IFNA(IF(VLOOKUP($B329&amp;OFFSET(O$10,$A329*2,0),'Mapping A'!$B$6:$E$1011,4,0)=1,$E329,""),0)</f>
        <v>0</v>
      </c>
      <c r="P329" s="519">
        <f ca="1">_xlfn.IFNA(IF(VLOOKUP($B329&amp;OFFSET(P$10,$A329*2,0),'Mapping A'!$B$6:$E$1011,4,0)=1,$E329,""),0)</f>
        <v>0</v>
      </c>
      <c r="Q329" s="519">
        <f ca="1">_xlfn.IFNA(IF(VLOOKUP($B329&amp;OFFSET(Q$10,$A329*2,0),'Mapping A'!$B$6:$E$1011,4,0)=1,$E329,""),0)</f>
        <v>0</v>
      </c>
      <c r="R329" s="519">
        <f ca="1">_xlfn.IFNA(IF(VLOOKUP($B329&amp;OFFSET(R$10,$A329*2,0),'Mapping A'!$B$6:$E$1011,4,0)=1,$E329,""),0)</f>
        <v>0</v>
      </c>
      <c r="S329" s="519">
        <f ca="1">_xlfn.IFNA(IF(VLOOKUP($B329&amp;OFFSET(S$10,$A329*2,0),'Mapping A'!$B$6:$E$1011,4,0)=1,$E329,""),0)</f>
        <v>0</v>
      </c>
      <c r="T329" s="519">
        <f ca="1">_xlfn.IFNA(IF(VLOOKUP($B329&amp;OFFSET(T$10,$A329*2,0),'Mapping A'!$B$6:$E$1011,4,0)=1,$E329,""),0)</f>
        <v>0</v>
      </c>
      <c r="Y329" s="534" t="str">
        <f t="shared" si="255"/>
        <v>HWA0332Other</v>
      </c>
      <c r="Z329" s="519" t="str">
        <f t="shared" ref="Z329:AB329" si="272">C95</f>
        <v>Other</v>
      </c>
      <c r="AA329" s="519" t="str">
        <f t="shared" si="272"/>
        <v>HWA0332</v>
      </c>
      <c r="AB329" s="519">
        <f t="shared" si="272"/>
        <v>0</v>
      </c>
      <c r="AC329" s="324"/>
      <c r="AE329" s="519">
        <f t="shared" ca="1" si="239"/>
        <v>0</v>
      </c>
      <c r="AF329" s="519">
        <f t="shared" ca="1" si="240"/>
        <v>0</v>
      </c>
      <c r="AG329" s="519">
        <f t="shared" ca="1" si="241"/>
        <v>0</v>
      </c>
      <c r="AH329" s="519">
        <f t="shared" ca="1" si="242"/>
        <v>0</v>
      </c>
      <c r="AI329" s="519">
        <f t="shared" ca="1" si="243"/>
        <v>0</v>
      </c>
      <c r="AJ329" s="519">
        <f t="shared" ca="1" si="244"/>
        <v>0</v>
      </c>
      <c r="AK329" s="519">
        <f t="shared" ca="1" si="245"/>
        <v>0</v>
      </c>
      <c r="AL329" s="519">
        <f t="shared" ca="1" si="246"/>
        <v>0</v>
      </c>
      <c r="AM329" s="519">
        <f t="shared" ca="1" si="247"/>
        <v>0</v>
      </c>
      <c r="AN329" s="519">
        <f t="shared" ca="1" si="248"/>
        <v>0</v>
      </c>
      <c r="AO329" s="519">
        <f t="shared" ca="1" si="249"/>
        <v>0</v>
      </c>
      <c r="AP329" s="519">
        <f t="shared" ca="1" si="250"/>
        <v>0</v>
      </c>
      <c r="AQ329" s="519">
        <f t="shared" ca="1" si="251"/>
        <v>0</v>
      </c>
    </row>
    <row r="330" spans="1:43" x14ac:dyDescent="0.3">
      <c r="A330" s="556">
        <f t="shared" si="252"/>
        <v>2</v>
      </c>
      <c r="B330" s="519" t="str">
        <f t="shared" si="253"/>
        <v>HWA</v>
      </c>
      <c r="C330" s="519" t="str">
        <f t="shared" ref="C330:E330" si="273">C96</f>
        <v>TrustPower</v>
      </c>
      <c r="D330" s="519" t="str">
        <f t="shared" si="273"/>
        <v>HWA1101</v>
      </c>
      <c r="E330" s="519">
        <f t="shared" si="273"/>
        <v>2.47799999999999</v>
      </c>
      <c r="H330" s="519">
        <f ca="1">_xlfn.IFNA(IF(VLOOKUP($B330&amp;OFFSET(H$10,$A330*2,0),'Mapping A'!$B$6:$E$1011,4,0)=1,$E330,""),0)</f>
        <v>0</v>
      </c>
      <c r="I330" s="519">
        <f ca="1">_xlfn.IFNA(IF(VLOOKUP($B330&amp;OFFSET(I$10,$A330*2,0),'Mapping A'!$B$6:$E$1011,4,0)=1,$E330,""),0)</f>
        <v>0</v>
      </c>
      <c r="J330" s="519">
        <f ca="1">_xlfn.IFNA(IF(VLOOKUP($B330&amp;OFFSET(J$10,$A330*2,0),'Mapping A'!$B$6:$E$1011,4,0)=1,$E330,""),0)</f>
        <v>0</v>
      </c>
      <c r="K330" s="519">
        <f ca="1">_xlfn.IFNA(IF(VLOOKUP($B330&amp;OFFSET(K$10,$A330*2,0),'Mapping A'!$B$6:$E$1011,4,0)=1,$E330,""),0)</f>
        <v>0</v>
      </c>
      <c r="L330" s="519">
        <f ca="1">_xlfn.IFNA(IF(VLOOKUP($B330&amp;OFFSET(L$10,$A330*2,0),'Mapping A'!$B$6:$E$1011,4,0)=1,$E330,""),0)</f>
        <v>0</v>
      </c>
      <c r="M330" s="519">
        <f ca="1">_xlfn.IFNA(IF(VLOOKUP($B330&amp;OFFSET(M$10,$A330*2,0),'Mapping A'!$B$6:$E$1011,4,0)=1,$E330,""),0)</f>
        <v>0</v>
      </c>
      <c r="N330" s="519">
        <f ca="1">_xlfn.IFNA(IF(VLOOKUP($B330&amp;OFFSET(N$10,$A330*2,0),'Mapping A'!$B$6:$E$1011,4,0)=1,$E330,""),0)</f>
        <v>0</v>
      </c>
      <c r="O330" s="519">
        <f ca="1">_xlfn.IFNA(IF(VLOOKUP($B330&amp;OFFSET(O$10,$A330*2,0),'Mapping A'!$B$6:$E$1011,4,0)=1,$E330,""),0)</f>
        <v>0</v>
      </c>
      <c r="P330" s="519">
        <f ca="1">_xlfn.IFNA(IF(VLOOKUP($B330&amp;OFFSET(P$10,$A330*2,0),'Mapping A'!$B$6:$E$1011,4,0)=1,$E330,""),0)</f>
        <v>0</v>
      </c>
      <c r="Q330" s="519">
        <f ca="1">_xlfn.IFNA(IF(VLOOKUP($B330&amp;OFFSET(Q$10,$A330*2,0),'Mapping A'!$B$6:$E$1011,4,0)=1,$E330,""),0)</f>
        <v>0</v>
      </c>
      <c r="R330" s="519">
        <f ca="1">_xlfn.IFNA(IF(VLOOKUP($B330&amp;OFFSET(R$10,$A330*2,0),'Mapping A'!$B$6:$E$1011,4,0)=1,$E330,""),0)</f>
        <v>0</v>
      </c>
      <c r="S330" s="519">
        <f ca="1">_xlfn.IFNA(IF(VLOOKUP($B330&amp;OFFSET(S$10,$A330*2,0),'Mapping A'!$B$6:$E$1011,4,0)=1,$E330,""),0)</f>
        <v>0</v>
      </c>
      <c r="T330" s="519">
        <f ca="1">_xlfn.IFNA(IF(VLOOKUP($B330&amp;OFFSET(T$10,$A330*2,0),'Mapping A'!$B$6:$E$1011,4,0)=1,$E330,""),0)</f>
        <v>0</v>
      </c>
      <c r="Y330" s="534" t="str">
        <f t="shared" si="255"/>
        <v>HWA1101TrustPower</v>
      </c>
      <c r="Z330" s="519" t="str">
        <f t="shared" ref="Z330:AB330" si="274">C96</f>
        <v>TrustPower</v>
      </c>
      <c r="AA330" s="519" t="str">
        <f t="shared" si="274"/>
        <v>HWA1101</v>
      </c>
      <c r="AB330" s="519">
        <f t="shared" si="274"/>
        <v>2.47799999999999</v>
      </c>
      <c r="AC330" s="324"/>
      <c r="AE330" s="519">
        <f t="shared" ca="1" si="239"/>
        <v>0</v>
      </c>
      <c r="AF330" s="519">
        <f t="shared" ca="1" si="240"/>
        <v>0</v>
      </c>
      <c r="AG330" s="519">
        <f t="shared" ca="1" si="241"/>
        <v>0</v>
      </c>
      <c r="AH330" s="519">
        <f t="shared" ca="1" si="242"/>
        <v>0</v>
      </c>
      <c r="AI330" s="519">
        <f t="shared" ca="1" si="243"/>
        <v>0</v>
      </c>
      <c r="AJ330" s="519">
        <f t="shared" ca="1" si="244"/>
        <v>0</v>
      </c>
      <c r="AK330" s="519">
        <f t="shared" ca="1" si="245"/>
        <v>0</v>
      </c>
      <c r="AL330" s="519">
        <f t="shared" ca="1" si="246"/>
        <v>0</v>
      </c>
      <c r="AM330" s="519">
        <f t="shared" ca="1" si="247"/>
        <v>0</v>
      </c>
      <c r="AN330" s="519">
        <f t="shared" ca="1" si="248"/>
        <v>0</v>
      </c>
      <c r="AO330" s="519">
        <f t="shared" ca="1" si="249"/>
        <v>0</v>
      </c>
      <c r="AP330" s="519">
        <f t="shared" ca="1" si="250"/>
        <v>0</v>
      </c>
      <c r="AQ330" s="519">
        <f t="shared" ca="1" si="251"/>
        <v>0</v>
      </c>
    </row>
    <row r="331" spans="1:43" x14ac:dyDescent="0.3">
      <c r="A331" s="556">
        <f t="shared" si="252"/>
        <v>2</v>
      </c>
      <c r="B331" s="519" t="str">
        <f t="shared" si="253"/>
        <v>HWA</v>
      </c>
      <c r="C331" s="519" t="str">
        <f t="shared" ref="C331:E331" si="275">C97</f>
        <v>Meridian</v>
      </c>
      <c r="D331" s="519" t="str">
        <f t="shared" si="275"/>
        <v>HWA1102</v>
      </c>
      <c r="E331" s="519">
        <f t="shared" si="275"/>
        <v>8.6226000000000003</v>
      </c>
      <c r="H331" s="519">
        <f ca="1">_xlfn.IFNA(IF(VLOOKUP($B331&amp;OFFSET(H$10,$A331*2,0),'Mapping A'!$B$6:$E$1011,4,0)=1,$E331,""),0)</f>
        <v>0</v>
      </c>
      <c r="I331" s="519">
        <f ca="1">_xlfn.IFNA(IF(VLOOKUP($B331&amp;OFFSET(I$10,$A331*2,0),'Mapping A'!$B$6:$E$1011,4,0)=1,$E331,""),0)</f>
        <v>0</v>
      </c>
      <c r="J331" s="519">
        <f ca="1">_xlfn.IFNA(IF(VLOOKUP($B331&amp;OFFSET(J$10,$A331*2,0),'Mapping A'!$B$6:$E$1011,4,0)=1,$E331,""),0)</f>
        <v>0</v>
      </c>
      <c r="K331" s="519">
        <f ca="1">_xlfn.IFNA(IF(VLOOKUP($B331&amp;OFFSET(K$10,$A331*2,0),'Mapping A'!$B$6:$E$1011,4,0)=1,$E331,""),0)</f>
        <v>0</v>
      </c>
      <c r="L331" s="519">
        <f ca="1">_xlfn.IFNA(IF(VLOOKUP($B331&amp;OFFSET(L$10,$A331*2,0),'Mapping A'!$B$6:$E$1011,4,0)=1,$E331,""),0)</f>
        <v>0</v>
      </c>
      <c r="M331" s="519">
        <f ca="1">_xlfn.IFNA(IF(VLOOKUP($B331&amp;OFFSET(M$10,$A331*2,0),'Mapping A'!$B$6:$E$1011,4,0)=1,$E331,""),0)</f>
        <v>0</v>
      </c>
      <c r="N331" s="519">
        <f ca="1">_xlfn.IFNA(IF(VLOOKUP($B331&amp;OFFSET(N$10,$A331*2,0),'Mapping A'!$B$6:$E$1011,4,0)=1,$E331,""),0)</f>
        <v>0</v>
      </c>
      <c r="O331" s="519">
        <f ca="1">_xlfn.IFNA(IF(VLOOKUP($B331&amp;OFFSET(O$10,$A331*2,0),'Mapping A'!$B$6:$E$1011,4,0)=1,$E331,""),0)</f>
        <v>0</v>
      </c>
      <c r="P331" s="519">
        <f ca="1">_xlfn.IFNA(IF(VLOOKUP($B331&amp;OFFSET(P$10,$A331*2,0),'Mapping A'!$B$6:$E$1011,4,0)=1,$E331,""),0)</f>
        <v>0</v>
      </c>
      <c r="Q331" s="519">
        <f ca="1">_xlfn.IFNA(IF(VLOOKUP($B331&amp;OFFSET(Q$10,$A331*2,0),'Mapping A'!$B$6:$E$1011,4,0)=1,$E331,""),0)</f>
        <v>0</v>
      </c>
      <c r="R331" s="519">
        <f ca="1">_xlfn.IFNA(IF(VLOOKUP($B331&amp;OFFSET(R$10,$A331*2,0),'Mapping A'!$B$6:$E$1011,4,0)=1,$E331,""),0)</f>
        <v>0</v>
      </c>
      <c r="S331" s="519">
        <f ca="1">_xlfn.IFNA(IF(VLOOKUP($B331&amp;OFFSET(S$10,$A331*2,0),'Mapping A'!$B$6:$E$1011,4,0)=1,$E331,""),0)</f>
        <v>0</v>
      </c>
      <c r="T331" s="519">
        <f ca="1">_xlfn.IFNA(IF(VLOOKUP($B331&amp;OFFSET(T$10,$A331*2,0),'Mapping A'!$B$6:$E$1011,4,0)=1,$E331,""),0)</f>
        <v>0</v>
      </c>
      <c r="Y331" s="534" t="str">
        <f t="shared" si="255"/>
        <v>HWA1102Meridian</v>
      </c>
      <c r="Z331" s="519" t="str">
        <f t="shared" ref="Z331:AB331" si="276">C97</f>
        <v>Meridian</v>
      </c>
      <c r="AA331" s="519" t="str">
        <f t="shared" si="276"/>
        <v>HWA1102</v>
      </c>
      <c r="AB331" s="519">
        <f t="shared" si="276"/>
        <v>8.6226000000000003</v>
      </c>
      <c r="AC331" s="324"/>
      <c r="AE331" s="519">
        <f t="shared" ca="1" si="239"/>
        <v>0</v>
      </c>
      <c r="AF331" s="519">
        <f t="shared" ca="1" si="240"/>
        <v>0</v>
      </c>
      <c r="AG331" s="519">
        <f t="shared" ca="1" si="241"/>
        <v>0</v>
      </c>
      <c r="AH331" s="519">
        <f t="shared" ca="1" si="242"/>
        <v>0</v>
      </c>
      <c r="AI331" s="519">
        <f t="shared" ca="1" si="243"/>
        <v>0</v>
      </c>
      <c r="AJ331" s="519">
        <f t="shared" ca="1" si="244"/>
        <v>0</v>
      </c>
      <c r="AK331" s="519">
        <f t="shared" ca="1" si="245"/>
        <v>0</v>
      </c>
      <c r="AL331" s="519">
        <f t="shared" ca="1" si="246"/>
        <v>0</v>
      </c>
      <c r="AM331" s="519">
        <f t="shared" ca="1" si="247"/>
        <v>0</v>
      </c>
      <c r="AN331" s="519">
        <f t="shared" ca="1" si="248"/>
        <v>0</v>
      </c>
      <c r="AO331" s="519">
        <f t="shared" ca="1" si="249"/>
        <v>0</v>
      </c>
      <c r="AP331" s="519">
        <f t="shared" ca="1" si="250"/>
        <v>0</v>
      </c>
      <c r="AQ331" s="519">
        <f t="shared" ca="1" si="251"/>
        <v>0</v>
      </c>
    </row>
    <row r="332" spans="1:43" x14ac:dyDescent="0.3">
      <c r="A332" s="556">
        <f t="shared" si="252"/>
        <v>2</v>
      </c>
      <c r="B332" s="519" t="str">
        <f t="shared" si="253"/>
        <v>HWB</v>
      </c>
      <c r="C332" s="519" t="str">
        <f t="shared" ref="C332:E332" si="277">C98</f>
        <v>Aurora Energy</v>
      </c>
      <c r="D332" s="519" t="str">
        <f t="shared" si="277"/>
        <v>HWB0331</v>
      </c>
      <c r="E332" s="519">
        <f t="shared" si="277"/>
        <v>87.240300000000005</v>
      </c>
      <c r="H332" s="519">
        <f ca="1">_xlfn.IFNA(IF(VLOOKUP($B332&amp;OFFSET(H$10,$A332*2,0),'Mapping A'!$B$6:$E$1011,4,0)=1,$E332,""),0)</f>
        <v>0</v>
      </c>
      <c r="I332" s="519">
        <f ca="1">_xlfn.IFNA(IF(VLOOKUP($B332&amp;OFFSET(I$10,$A332*2,0),'Mapping A'!$B$6:$E$1011,4,0)=1,$E332,""),0)</f>
        <v>0</v>
      </c>
      <c r="J332" s="519">
        <f ca="1">_xlfn.IFNA(IF(VLOOKUP($B332&amp;OFFSET(J$10,$A332*2,0),'Mapping A'!$B$6:$E$1011,4,0)=1,$E332,""),0)</f>
        <v>87.240300000000005</v>
      </c>
      <c r="K332" s="519">
        <f ca="1">_xlfn.IFNA(IF(VLOOKUP($B332&amp;OFFSET(K$10,$A332*2,0),'Mapping A'!$B$6:$E$1011,4,0)=1,$E332,""),0)</f>
        <v>0</v>
      </c>
      <c r="L332" s="519">
        <f ca="1">_xlfn.IFNA(IF(VLOOKUP($B332&amp;OFFSET(L$10,$A332*2,0),'Mapping A'!$B$6:$E$1011,4,0)=1,$E332,""),0)</f>
        <v>0</v>
      </c>
      <c r="M332" s="519">
        <f ca="1">_xlfn.IFNA(IF(VLOOKUP($B332&amp;OFFSET(M$10,$A332*2,0),'Mapping A'!$B$6:$E$1011,4,0)=1,$E332,""),0)</f>
        <v>0</v>
      </c>
      <c r="N332" s="519">
        <f ca="1">_xlfn.IFNA(IF(VLOOKUP($B332&amp;OFFSET(N$10,$A332*2,0),'Mapping A'!$B$6:$E$1011,4,0)=1,$E332,""),0)</f>
        <v>0</v>
      </c>
      <c r="O332" s="519">
        <f ca="1">_xlfn.IFNA(IF(VLOOKUP($B332&amp;OFFSET(O$10,$A332*2,0),'Mapping A'!$B$6:$E$1011,4,0)=1,$E332,""),0)</f>
        <v>0</v>
      </c>
      <c r="P332" s="519">
        <f ca="1">_xlfn.IFNA(IF(VLOOKUP($B332&amp;OFFSET(P$10,$A332*2,0),'Mapping A'!$B$6:$E$1011,4,0)=1,$E332,""),0)</f>
        <v>0</v>
      </c>
      <c r="Q332" s="519">
        <f ca="1">_xlfn.IFNA(IF(VLOOKUP($B332&amp;OFFSET(Q$10,$A332*2,0),'Mapping A'!$B$6:$E$1011,4,0)=1,$E332,""),0)</f>
        <v>0</v>
      </c>
      <c r="R332" s="519">
        <f ca="1">_xlfn.IFNA(IF(VLOOKUP($B332&amp;OFFSET(R$10,$A332*2,0),'Mapping A'!$B$6:$E$1011,4,0)=1,$E332,""),0)</f>
        <v>0</v>
      </c>
      <c r="S332" s="519">
        <f ca="1">_xlfn.IFNA(IF(VLOOKUP($B332&amp;OFFSET(S$10,$A332*2,0),'Mapping A'!$B$6:$E$1011,4,0)=1,$E332,""),0)</f>
        <v>0</v>
      </c>
      <c r="T332" s="519">
        <f ca="1">_xlfn.IFNA(IF(VLOOKUP($B332&amp;OFFSET(T$10,$A332*2,0),'Mapping A'!$B$6:$E$1011,4,0)=1,$E332,""),0)</f>
        <v>0</v>
      </c>
      <c r="Y332" s="534" t="str">
        <f t="shared" si="255"/>
        <v>HWB0331Aurora Energy</v>
      </c>
      <c r="Z332" s="519" t="str">
        <f t="shared" ref="Z332:AB332" si="278">C98</f>
        <v>Aurora Energy</v>
      </c>
      <c r="AA332" s="519" t="str">
        <f t="shared" si="278"/>
        <v>HWB0331</v>
      </c>
      <c r="AB332" s="519">
        <f t="shared" si="278"/>
        <v>87.240300000000005</v>
      </c>
      <c r="AC332" s="324"/>
      <c r="AE332" s="519">
        <f t="shared" ca="1" si="239"/>
        <v>0</v>
      </c>
      <c r="AF332" s="519">
        <f t="shared" ca="1" si="240"/>
        <v>0</v>
      </c>
      <c r="AG332" s="519">
        <f t="shared" ca="1" si="241"/>
        <v>0</v>
      </c>
      <c r="AH332" s="519">
        <f t="shared" ca="1" si="242"/>
        <v>0</v>
      </c>
      <c r="AI332" s="519">
        <f t="shared" ca="1" si="243"/>
        <v>0</v>
      </c>
      <c r="AJ332" s="519">
        <f t="shared" ca="1" si="244"/>
        <v>0</v>
      </c>
      <c r="AK332" s="519">
        <f t="shared" ca="1" si="245"/>
        <v>0</v>
      </c>
      <c r="AL332" s="519">
        <f t="shared" ca="1" si="246"/>
        <v>0</v>
      </c>
      <c r="AM332" s="519">
        <f t="shared" ca="1" si="247"/>
        <v>0</v>
      </c>
      <c r="AN332" s="519">
        <f t="shared" ca="1" si="248"/>
        <v>0</v>
      </c>
      <c r="AO332" s="519">
        <f t="shared" ca="1" si="249"/>
        <v>0</v>
      </c>
      <c r="AP332" s="519">
        <f t="shared" ca="1" si="250"/>
        <v>0</v>
      </c>
      <c r="AQ332" s="519">
        <f t="shared" ca="1" si="251"/>
        <v>0</v>
      </c>
    </row>
    <row r="333" spans="1:43" x14ac:dyDescent="0.3">
      <c r="A333" s="556">
        <f t="shared" si="252"/>
        <v>2</v>
      </c>
      <c r="B333" s="519" t="str">
        <f t="shared" si="253"/>
        <v>HWB</v>
      </c>
      <c r="C333" s="519" t="str">
        <f t="shared" ref="C333:E333" si="279">C99</f>
        <v>OtagoNet JV</v>
      </c>
      <c r="D333" s="519" t="str">
        <f t="shared" si="279"/>
        <v>HWB0331</v>
      </c>
      <c r="E333" s="519">
        <f t="shared" si="279"/>
        <v>4.8048000000000002</v>
      </c>
      <c r="H333" s="519">
        <f ca="1">_xlfn.IFNA(IF(VLOOKUP($B333&amp;OFFSET(H$10,$A333*2,0),'Mapping A'!$B$6:$E$1011,4,0)=1,$E333,""),0)</f>
        <v>0</v>
      </c>
      <c r="I333" s="519">
        <f ca="1">_xlfn.IFNA(IF(VLOOKUP($B333&amp;OFFSET(I$10,$A333*2,0),'Mapping A'!$B$6:$E$1011,4,0)=1,$E333,""),0)</f>
        <v>0</v>
      </c>
      <c r="J333" s="519">
        <f ca="1">_xlfn.IFNA(IF(VLOOKUP($B333&amp;OFFSET(J$10,$A333*2,0),'Mapping A'!$B$6:$E$1011,4,0)=1,$E333,""),0)</f>
        <v>4.8048000000000002</v>
      </c>
      <c r="K333" s="519">
        <f ca="1">_xlfn.IFNA(IF(VLOOKUP($B333&amp;OFFSET(K$10,$A333*2,0),'Mapping A'!$B$6:$E$1011,4,0)=1,$E333,""),0)</f>
        <v>0</v>
      </c>
      <c r="L333" s="519">
        <f ca="1">_xlfn.IFNA(IF(VLOOKUP($B333&amp;OFFSET(L$10,$A333*2,0),'Mapping A'!$B$6:$E$1011,4,0)=1,$E333,""),0)</f>
        <v>0</v>
      </c>
      <c r="M333" s="519">
        <f ca="1">_xlfn.IFNA(IF(VLOOKUP($B333&amp;OFFSET(M$10,$A333*2,0),'Mapping A'!$B$6:$E$1011,4,0)=1,$E333,""),0)</f>
        <v>0</v>
      </c>
      <c r="N333" s="519">
        <f ca="1">_xlfn.IFNA(IF(VLOOKUP($B333&amp;OFFSET(N$10,$A333*2,0),'Mapping A'!$B$6:$E$1011,4,0)=1,$E333,""),0)</f>
        <v>0</v>
      </c>
      <c r="O333" s="519">
        <f ca="1">_xlfn.IFNA(IF(VLOOKUP($B333&amp;OFFSET(O$10,$A333*2,0),'Mapping A'!$B$6:$E$1011,4,0)=1,$E333,""),0)</f>
        <v>0</v>
      </c>
      <c r="P333" s="519">
        <f ca="1">_xlfn.IFNA(IF(VLOOKUP($B333&amp;OFFSET(P$10,$A333*2,0),'Mapping A'!$B$6:$E$1011,4,0)=1,$E333,""),0)</f>
        <v>0</v>
      </c>
      <c r="Q333" s="519">
        <f ca="1">_xlfn.IFNA(IF(VLOOKUP($B333&amp;OFFSET(Q$10,$A333*2,0),'Mapping A'!$B$6:$E$1011,4,0)=1,$E333,""),0)</f>
        <v>0</v>
      </c>
      <c r="R333" s="519">
        <f ca="1">_xlfn.IFNA(IF(VLOOKUP($B333&amp;OFFSET(R$10,$A333*2,0),'Mapping A'!$B$6:$E$1011,4,0)=1,$E333,""),0)</f>
        <v>0</v>
      </c>
      <c r="S333" s="519">
        <f ca="1">_xlfn.IFNA(IF(VLOOKUP($B333&amp;OFFSET(S$10,$A333*2,0),'Mapping A'!$B$6:$E$1011,4,0)=1,$E333,""),0)</f>
        <v>0</v>
      </c>
      <c r="T333" s="519">
        <f ca="1">_xlfn.IFNA(IF(VLOOKUP($B333&amp;OFFSET(T$10,$A333*2,0),'Mapping A'!$B$6:$E$1011,4,0)=1,$E333,""),0)</f>
        <v>0</v>
      </c>
      <c r="Y333" s="534" t="str">
        <f t="shared" si="255"/>
        <v>HWB0331OtagoNet JV</v>
      </c>
      <c r="Z333" s="519" t="str">
        <f t="shared" ref="Z333:AB333" si="280">C99</f>
        <v>OtagoNet JV</v>
      </c>
      <c r="AA333" s="519" t="str">
        <f t="shared" si="280"/>
        <v>HWB0331</v>
      </c>
      <c r="AB333" s="519">
        <f t="shared" si="280"/>
        <v>4.8048000000000002</v>
      </c>
      <c r="AC333" s="324"/>
      <c r="AE333" s="519">
        <f t="shared" ca="1" si="239"/>
        <v>0</v>
      </c>
      <c r="AF333" s="519">
        <f t="shared" ca="1" si="240"/>
        <v>0</v>
      </c>
      <c r="AG333" s="519">
        <f t="shared" ca="1" si="241"/>
        <v>0</v>
      </c>
      <c r="AH333" s="519">
        <f t="shared" ca="1" si="242"/>
        <v>0</v>
      </c>
      <c r="AI333" s="519">
        <f t="shared" ca="1" si="243"/>
        <v>0</v>
      </c>
      <c r="AJ333" s="519">
        <f t="shared" ca="1" si="244"/>
        <v>0</v>
      </c>
      <c r="AK333" s="519">
        <f t="shared" ca="1" si="245"/>
        <v>0</v>
      </c>
      <c r="AL333" s="519">
        <f t="shared" ca="1" si="246"/>
        <v>0</v>
      </c>
      <c r="AM333" s="519">
        <f t="shared" ca="1" si="247"/>
        <v>0</v>
      </c>
      <c r="AN333" s="519">
        <f t="shared" ca="1" si="248"/>
        <v>0</v>
      </c>
      <c r="AO333" s="519">
        <f t="shared" ca="1" si="249"/>
        <v>0</v>
      </c>
      <c r="AP333" s="519">
        <f t="shared" ca="1" si="250"/>
        <v>0</v>
      </c>
      <c r="AQ333" s="519">
        <f t="shared" ca="1" si="251"/>
        <v>0</v>
      </c>
    </row>
    <row r="334" spans="1:43" x14ac:dyDescent="0.3">
      <c r="A334" s="556">
        <f t="shared" si="252"/>
        <v>2</v>
      </c>
      <c r="B334" s="519" t="str">
        <f t="shared" si="253"/>
        <v>HWB</v>
      </c>
      <c r="C334" s="519" t="str">
        <f t="shared" ref="C334:E334" si="281">C100</f>
        <v>Aurora Energy</v>
      </c>
      <c r="D334" s="519" t="str">
        <f t="shared" si="281"/>
        <v>HWB0332</v>
      </c>
      <c r="E334" s="519">
        <f t="shared" si="281"/>
        <v>49.578899999999997</v>
      </c>
      <c r="H334" s="519">
        <f ca="1">_xlfn.IFNA(IF(VLOOKUP($B334&amp;OFFSET(H$10,$A334*2,0),'Mapping A'!$B$6:$E$1011,4,0)=1,$E334,""),0)</f>
        <v>0</v>
      </c>
      <c r="I334" s="519">
        <f ca="1">_xlfn.IFNA(IF(VLOOKUP($B334&amp;OFFSET(I$10,$A334*2,0),'Mapping A'!$B$6:$E$1011,4,0)=1,$E334,""),0)</f>
        <v>0</v>
      </c>
      <c r="J334" s="519">
        <f ca="1">_xlfn.IFNA(IF(VLOOKUP($B334&amp;OFFSET(J$10,$A334*2,0),'Mapping A'!$B$6:$E$1011,4,0)=1,$E334,""),0)</f>
        <v>49.578899999999997</v>
      </c>
      <c r="K334" s="519">
        <f ca="1">_xlfn.IFNA(IF(VLOOKUP($B334&amp;OFFSET(K$10,$A334*2,0),'Mapping A'!$B$6:$E$1011,4,0)=1,$E334,""),0)</f>
        <v>0</v>
      </c>
      <c r="L334" s="519">
        <f ca="1">_xlfn.IFNA(IF(VLOOKUP($B334&amp;OFFSET(L$10,$A334*2,0),'Mapping A'!$B$6:$E$1011,4,0)=1,$E334,""),0)</f>
        <v>0</v>
      </c>
      <c r="M334" s="519">
        <f ca="1">_xlfn.IFNA(IF(VLOOKUP($B334&amp;OFFSET(M$10,$A334*2,0),'Mapping A'!$B$6:$E$1011,4,0)=1,$E334,""),0)</f>
        <v>0</v>
      </c>
      <c r="N334" s="519">
        <f ca="1">_xlfn.IFNA(IF(VLOOKUP($B334&amp;OFFSET(N$10,$A334*2,0),'Mapping A'!$B$6:$E$1011,4,0)=1,$E334,""),0)</f>
        <v>0</v>
      </c>
      <c r="O334" s="519">
        <f ca="1">_xlfn.IFNA(IF(VLOOKUP($B334&amp;OFFSET(O$10,$A334*2,0),'Mapping A'!$B$6:$E$1011,4,0)=1,$E334,""),0)</f>
        <v>0</v>
      </c>
      <c r="P334" s="519">
        <f ca="1">_xlfn.IFNA(IF(VLOOKUP($B334&amp;OFFSET(P$10,$A334*2,0),'Mapping A'!$B$6:$E$1011,4,0)=1,$E334,""),0)</f>
        <v>0</v>
      </c>
      <c r="Q334" s="519">
        <f ca="1">_xlfn.IFNA(IF(VLOOKUP($B334&amp;OFFSET(Q$10,$A334*2,0),'Mapping A'!$B$6:$E$1011,4,0)=1,$E334,""),0)</f>
        <v>0</v>
      </c>
      <c r="R334" s="519">
        <f ca="1">_xlfn.IFNA(IF(VLOOKUP($B334&amp;OFFSET(R$10,$A334*2,0),'Mapping A'!$B$6:$E$1011,4,0)=1,$E334,""),0)</f>
        <v>0</v>
      </c>
      <c r="S334" s="519">
        <f ca="1">_xlfn.IFNA(IF(VLOOKUP($B334&amp;OFFSET(S$10,$A334*2,0),'Mapping A'!$B$6:$E$1011,4,0)=1,$E334,""),0)</f>
        <v>0</v>
      </c>
      <c r="T334" s="519">
        <f ca="1">_xlfn.IFNA(IF(VLOOKUP($B334&amp;OFFSET(T$10,$A334*2,0),'Mapping A'!$B$6:$E$1011,4,0)=1,$E334,""),0)</f>
        <v>0</v>
      </c>
      <c r="Y334" s="534" t="str">
        <f t="shared" si="255"/>
        <v>HWB0332Aurora Energy</v>
      </c>
      <c r="Z334" s="519" t="str">
        <f t="shared" ref="Z334:AB334" si="282">C100</f>
        <v>Aurora Energy</v>
      </c>
      <c r="AA334" s="519" t="str">
        <f t="shared" si="282"/>
        <v>HWB0332</v>
      </c>
      <c r="AB334" s="519">
        <f t="shared" si="282"/>
        <v>49.578899999999997</v>
      </c>
      <c r="AC334" s="324"/>
      <c r="AE334" s="519">
        <f t="shared" ca="1" si="239"/>
        <v>0</v>
      </c>
      <c r="AF334" s="519">
        <f t="shared" ca="1" si="240"/>
        <v>0</v>
      </c>
      <c r="AG334" s="519">
        <f t="shared" ca="1" si="241"/>
        <v>0</v>
      </c>
      <c r="AH334" s="519">
        <f t="shared" ca="1" si="242"/>
        <v>0</v>
      </c>
      <c r="AI334" s="519">
        <f t="shared" ca="1" si="243"/>
        <v>0</v>
      </c>
      <c r="AJ334" s="519">
        <f t="shared" ca="1" si="244"/>
        <v>0</v>
      </c>
      <c r="AK334" s="519">
        <f t="shared" ca="1" si="245"/>
        <v>0</v>
      </c>
      <c r="AL334" s="519">
        <f t="shared" ca="1" si="246"/>
        <v>0</v>
      </c>
      <c r="AM334" s="519">
        <f t="shared" ca="1" si="247"/>
        <v>0</v>
      </c>
      <c r="AN334" s="519">
        <f t="shared" ca="1" si="248"/>
        <v>0</v>
      </c>
      <c r="AO334" s="519">
        <f t="shared" ca="1" si="249"/>
        <v>0</v>
      </c>
      <c r="AP334" s="519">
        <f t="shared" ca="1" si="250"/>
        <v>0</v>
      </c>
      <c r="AQ334" s="519">
        <f t="shared" ca="1" si="251"/>
        <v>0</v>
      </c>
    </row>
    <row r="335" spans="1:43" x14ac:dyDescent="0.3">
      <c r="A335" s="556">
        <f t="shared" si="252"/>
        <v>2</v>
      </c>
      <c r="B335" s="519" t="str">
        <f t="shared" si="253"/>
        <v>HWB</v>
      </c>
      <c r="C335" s="519" t="str">
        <f t="shared" ref="C335:E335" si="283">C101</f>
        <v>OtagoNet JV</v>
      </c>
      <c r="D335" s="519" t="str">
        <f t="shared" si="283"/>
        <v>HWB1101</v>
      </c>
      <c r="E335" s="519">
        <f t="shared" si="283"/>
        <v>5.9619</v>
      </c>
      <c r="H335" s="519">
        <f ca="1">_xlfn.IFNA(IF(VLOOKUP($B335&amp;OFFSET(H$10,$A335*2,0),'Mapping A'!$B$6:$E$1011,4,0)=1,$E335,""),0)</f>
        <v>0</v>
      </c>
      <c r="I335" s="519">
        <f ca="1">_xlfn.IFNA(IF(VLOOKUP($B335&amp;OFFSET(I$10,$A335*2,0),'Mapping A'!$B$6:$E$1011,4,0)=1,$E335,""),0)</f>
        <v>0</v>
      </c>
      <c r="J335" s="519">
        <f ca="1">_xlfn.IFNA(IF(VLOOKUP($B335&amp;OFFSET(J$10,$A335*2,0),'Mapping A'!$B$6:$E$1011,4,0)=1,$E335,""),0)</f>
        <v>5.9619</v>
      </c>
      <c r="K335" s="519">
        <f ca="1">_xlfn.IFNA(IF(VLOOKUP($B335&amp;OFFSET(K$10,$A335*2,0),'Mapping A'!$B$6:$E$1011,4,0)=1,$E335,""),0)</f>
        <v>0</v>
      </c>
      <c r="L335" s="519">
        <f ca="1">_xlfn.IFNA(IF(VLOOKUP($B335&amp;OFFSET(L$10,$A335*2,0),'Mapping A'!$B$6:$E$1011,4,0)=1,$E335,""),0)</f>
        <v>0</v>
      </c>
      <c r="M335" s="519">
        <f ca="1">_xlfn.IFNA(IF(VLOOKUP($B335&amp;OFFSET(M$10,$A335*2,0),'Mapping A'!$B$6:$E$1011,4,0)=1,$E335,""),0)</f>
        <v>0</v>
      </c>
      <c r="N335" s="519">
        <f ca="1">_xlfn.IFNA(IF(VLOOKUP($B335&amp;OFFSET(N$10,$A335*2,0),'Mapping A'!$B$6:$E$1011,4,0)=1,$E335,""),0)</f>
        <v>0</v>
      </c>
      <c r="O335" s="519">
        <f ca="1">_xlfn.IFNA(IF(VLOOKUP($B335&amp;OFFSET(O$10,$A335*2,0),'Mapping A'!$B$6:$E$1011,4,0)=1,$E335,""),0)</f>
        <v>0</v>
      </c>
      <c r="P335" s="519">
        <f ca="1">_xlfn.IFNA(IF(VLOOKUP($B335&amp;OFFSET(P$10,$A335*2,0),'Mapping A'!$B$6:$E$1011,4,0)=1,$E335,""),0)</f>
        <v>0</v>
      </c>
      <c r="Q335" s="519">
        <f ca="1">_xlfn.IFNA(IF(VLOOKUP($B335&amp;OFFSET(Q$10,$A335*2,0),'Mapping A'!$B$6:$E$1011,4,0)=1,$E335,""),0)</f>
        <v>0</v>
      </c>
      <c r="R335" s="519">
        <f ca="1">_xlfn.IFNA(IF(VLOOKUP($B335&amp;OFFSET(R$10,$A335*2,0),'Mapping A'!$B$6:$E$1011,4,0)=1,$E335,""),0)</f>
        <v>0</v>
      </c>
      <c r="S335" s="519">
        <f ca="1">_xlfn.IFNA(IF(VLOOKUP($B335&amp;OFFSET(S$10,$A335*2,0),'Mapping A'!$B$6:$E$1011,4,0)=1,$E335,""),0)</f>
        <v>0</v>
      </c>
      <c r="T335" s="519">
        <f ca="1">_xlfn.IFNA(IF(VLOOKUP($B335&amp;OFFSET(T$10,$A335*2,0),'Mapping A'!$B$6:$E$1011,4,0)=1,$E335,""),0)</f>
        <v>0</v>
      </c>
      <c r="Y335" s="534" t="str">
        <f t="shared" si="255"/>
        <v>HWB1101OtagoNet JV</v>
      </c>
      <c r="Z335" s="519" t="str">
        <f t="shared" ref="Z335:AB335" si="284">C101</f>
        <v>OtagoNet JV</v>
      </c>
      <c r="AA335" s="519" t="str">
        <f t="shared" si="284"/>
        <v>HWB1101</v>
      </c>
      <c r="AB335" s="519">
        <f t="shared" si="284"/>
        <v>5.9619</v>
      </c>
      <c r="AC335" s="324"/>
      <c r="AE335" s="519">
        <f t="shared" ca="1" si="239"/>
        <v>0</v>
      </c>
      <c r="AF335" s="519">
        <f t="shared" ca="1" si="240"/>
        <v>0</v>
      </c>
      <c r="AG335" s="519">
        <f t="shared" ca="1" si="241"/>
        <v>0</v>
      </c>
      <c r="AH335" s="519">
        <f t="shared" ca="1" si="242"/>
        <v>0</v>
      </c>
      <c r="AI335" s="519">
        <f t="shared" ca="1" si="243"/>
        <v>0</v>
      </c>
      <c r="AJ335" s="519">
        <f t="shared" ca="1" si="244"/>
        <v>0</v>
      </c>
      <c r="AK335" s="519">
        <f t="shared" ca="1" si="245"/>
        <v>0</v>
      </c>
      <c r="AL335" s="519">
        <f t="shared" ca="1" si="246"/>
        <v>0</v>
      </c>
      <c r="AM335" s="519">
        <f t="shared" ca="1" si="247"/>
        <v>0</v>
      </c>
      <c r="AN335" s="519">
        <f t="shared" ca="1" si="248"/>
        <v>0</v>
      </c>
      <c r="AO335" s="519">
        <f t="shared" ca="1" si="249"/>
        <v>0</v>
      </c>
      <c r="AP335" s="519">
        <f t="shared" ca="1" si="250"/>
        <v>0</v>
      </c>
      <c r="AQ335" s="519">
        <f t="shared" ca="1" si="251"/>
        <v>0</v>
      </c>
    </row>
    <row r="336" spans="1:43" x14ac:dyDescent="0.3">
      <c r="A336" s="556">
        <f t="shared" si="252"/>
        <v>2</v>
      </c>
      <c r="B336" s="519" t="str">
        <f t="shared" si="253"/>
        <v>INV</v>
      </c>
      <c r="C336" s="519" t="str">
        <f t="shared" ref="C336:E336" si="285">C102</f>
        <v>Electricity Invercargill</v>
      </c>
      <c r="D336" s="519" t="str">
        <f t="shared" si="285"/>
        <v>INV0331</v>
      </c>
      <c r="E336" s="519">
        <f t="shared" si="285"/>
        <v>61.324199999999998</v>
      </c>
      <c r="H336" s="519">
        <f ca="1">_xlfn.IFNA(IF(VLOOKUP($B336&amp;OFFSET(H$10,$A336*2,0),'Mapping A'!$B$6:$E$1011,4,0)=1,$E336,""),0)</f>
        <v>0</v>
      </c>
      <c r="I336" s="519">
        <f ca="1">_xlfn.IFNA(IF(VLOOKUP($B336&amp;OFFSET(I$10,$A336*2,0),'Mapping A'!$B$6:$E$1011,4,0)=1,$E336,""),0)</f>
        <v>0</v>
      </c>
      <c r="J336" s="519">
        <f ca="1">_xlfn.IFNA(IF(VLOOKUP($B336&amp;OFFSET(J$10,$A336*2,0),'Mapping A'!$B$6:$E$1011,4,0)=1,$E336,""),0)</f>
        <v>61.324199999999998</v>
      </c>
      <c r="K336" s="519">
        <f ca="1">_xlfn.IFNA(IF(VLOOKUP($B336&amp;OFFSET(K$10,$A336*2,0),'Mapping A'!$B$6:$E$1011,4,0)=1,$E336,""),0)</f>
        <v>0</v>
      </c>
      <c r="L336" s="519">
        <f ca="1">_xlfn.IFNA(IF(VLOOKUP($B336&amp;OFFSET(L$10,$A336*2,0),'Mapping A'!$B$6:$E$1011,4,0)=1,$E336,""),0)</f>
        <v>0</v>
      </c>
      <c r="M336" s="519">
        <f ca="1">_xlfn.IFNA(IF(VLOOKUP($B336&amp;OFFSET(M$10,$A336*2,0),'Mapping A'!$B$6:$E$1011,4,0)=1,$E336,""),0)</f>
        <v>0</v>
      </c>
      <c r="N336" s="519">
        <f ca="1">_xlfn.IFNA(IF(VLOOKUP($B336&amp;OFFSET(N$10,$A336*2,0),'Mapping A'!$B$6:$E$1011,4,0)=1,$E336,""),0)</f>
        <v>0</v>
      </c>
      <c r="O336" s="519">
        <f ca="1">_xlfn.IFNA(IF(VLOOKUP($B336&amp;OFFSET(O$10,$A336*2,0),'Mapping A'!$B$6:$E$1011,4,0)=1,$E336,""),0)</f>
        <v>0</v>
      </c>
      <c r="P336" s="519">
        <f ca="1">_xlfn.IFNA(IF(VLOOKUP($B336&amp;OFFSET(P$10,$A336*2,0),'Mapping A'!$B$6:$E$1011,4,0)=1,$E336,""),0)</f>
        <v>0</v>
      </c>
      <c r="Q336" s="519">
        <f ca="1">_xlfn.IFNA(IF(VLOOKUP($B336&amp;OFFSET(Q$10,$A336*2,0),'Mapping A'!$B$6:$E$1011,4,0)=1,$E336,""),0)</f>
        <v>0</v>
      </c>
      <c r="R336" s="519">
        <f ca="1">_xlfn.IFNA(IF(VLOOKUP($B336&amp;OFFSET(R$10,$A336*2,0),'Mapping A'!$B$6:$E$1011,4,0)=1,$E336,""),0)</f>
        <v>0</v>
      </c>
      <c r="S336" s="519">
        <f ca="1">_xlfn.IFNA(IF(VLOOKUP($B336&amp;OFFSET(S$10,$A336*2,0),'Mapping A'!$B$6:$E$1011,4,0)=1,$E336,""),0)</f>
        <v>0</v>
      </c>
      <c r="T336" s="519">
        <f ca="1">_xlfn.IFNA(IF(VLOOKUP($B336&amp;OFFSET(T$10,$A336*2,0),'Mapping A'!$B$6:$E$1011,4,0)=1,$E336,""),0)</f>
        <v>0</v>
      </c>
      <c r="Y336" s="534" t="str">
        <f t="shared" si="255"/>
        <v>INV0331Electricity Invercargill</v>
      </c>
      <c r="Z336" s="519" t="str">
        <f t="shared" ref="Z336:AB336" si="286">C102</f>
        <v>Electricity Invercargill</v>
      </c>
      <c r="AA336" s="519" t="str">
        <f t="shared" si="286"/>
        <v>INV0331</v>
      </c>
      <c r="AB336" s="519">
        <f t="shared" si="286"/>
        <v>61.324199999999998</v>
      </c>
      <c r="AC336" s="324"/>
      <c r="AE336" s="519">
        <f t="shared" ca="1" si="239"/>
        <v>0</v>
      </c>
      <c r="AF336" s="519">
        <f t="shared" ca="1" si="240"/>
        <v>0</v>
      </c>
      <c r="AG336" s="519">
        <f t="shared" ca="1" si="241"/>
        <v>0</v>
      </c>
      <c r="AH336" s="519">
        <f t="shared" ca="1" si="242"/>
        <v>0</v>
      </c>
      <c r="AI336" s="519">
        <f t="shared" ca="1" si="243"/>
        <v>0</v>
      </c>
      <c r="AJ336" s="519">
        <f t="shared" ca="1" si="244"/>
        <v>0</v>
      </c>
      <c r="AK336" s="519">
        <f t="shared" ca="1" si="245"/>
        <v>0</v>
      </c>
      <c r="AL336" s="519">
        <f t="shared" ca="1" si="246"/>
        <v>0</v>
      </c>
      <c r="AM336" s="519">
        <f t="shared" ca="1" si="247"/>
        <v>0</v>
      </c>
      <c r="AN336" s="519">
        <f t="shared" ca="1" si="248"/>
        <v>0</v>
      </c>
      <c r="AO336" s="519">
        <f t="shared" ca="1" si="249"/>
        <v>0</v>
      </c>
      <c r="AP336" s="519">
        <f t="shared" ca="1" si="250"/>
        <v>0</v>
      </c>
      <c r="AQ336" s="519">
        <f t="shared" ca="1" si="251"/>
        <v>0</v>
      </c>
    </row>
    <row r="337" spans="1:43" x14ac:dyDescent="0.3">
      <c r="A337" s="556">
        <f t="shared" si="252"/>
        <v>2</v>
      </c>
      <c r="B337" s="519" t="str">
        <f t="shared" si="253"/>
        <v>INV</v>
      </c>
      <c r="C337" s="519" t="str">
        <f t="shared" ref="C337:E337" si="287">C103</f>
        <v>The Power Company</v>
      </c>
      <c r="D337" s="519" t="str">
        <f t="shared" si="287"/>
        <v>INV0331</v>
      </c>
      <c r="E337" s="519">
        <f t="shared" si="287"/>
        <v>39.207000000000001</v>
      </c>
      <c r="H337" s="519">
        <f ca="1">_xlfn.IFNA(IF(VLOOKUP($B337&amp;OFFSET(H$10,$A337*2,0),'Mapping A'!$B$6:$E$1011,4,0)=1,$E337,""),0)</f>
        <v>0</v>
      </c>
      <c r="I337" s="519">
        <f ca="1">_xlfn.IFNA(IF(VLOOKUP($B337&amp;OFFSET(I$10,$A337*2,0),'Mapping A'!$B$6:$E$1011,4,0)=1,$E337,""),0)</f>
        <v>0</v>
      </c>
      <c r="J337" s="519">
        <f ca="1">_xlfn.IFNA(IF(VLOOKUP($B337&amp;OFFSET(J$10,$A337*2,0),'Mapping A'!$B$6:$E$1011,4,0)=1,$E337,""),0)</f>
        <v>39.207000000000001</v>
      </c>
      <c r="K337" s="519">
        <f ca="1">_xlfn.IFNA(IF(VLOOKUP($B337&amp;OFFSET(K$10,$A337*2,0),'Mapping A'!$B$6:$E$1011,4,0)=1,$E337,""),0)</f>
        <v>0</v>
      </c>
      <c r="L337" s="519">
        <f ca="1">_xlfn.IFNA(IF(VLOOKUP($B337&amp;OFFSET(L$10,$A337*2,0),'Mapping A'!$B$6:$E$1011,4,0)=1,$E337,""),0)</f>
        <v>0</v>
      </c>
      <c r="M337" s="519">
        <f ca="1">_xlfn.IFNA(IF(VLOOKUP($B337&amp;OFFSET(M$10,$A337*2,0),'Mapping A'!$B$6:$E$1011,4,0)=1,$E337,""),0)</f>
        <v>0</v>
      </c>
      <c r="N337" s="519">
        <f ca="1">_xlfn.IFNA(IF(VLOOKUP($B337&amp;OFFSET(N$10,$A337*2,0),'Mapping A'!$B$6:$E$1011,4,0)=1,$E337,""),0)</f>
        <v>0</v>
      </c>
      <c r="O337" s="519">
        <f ca="1">_xlfn.IFNA(IF(VLOOKUP($B337&amp;OFFSET(O$10,$A337*2,0),'Mapping A'!$B$6:$E$1011,4,0)=1,$E337,""),0)</f>
        <v>0</v>
      </c>
      <c r="P337" s="519">
        <f ca="1">_xlfn.IFNA(IF(VLOOKUP($B337&amp;OFFSET(P$10,$A337*2,0),'Mapping A'!$B$6:$E$1011,4,0)=1,$E337,""),0)</f>
        <v>0</v>
      </c>
      <c r="Q337" s="519">
        <f ca="1">_xlfn.IFNA(IF(VLOOKUP($B337&amp;OFFSET(Q$10,$A337*2,0),'Mapping A'!$B$6:$E$1011,4,0)=1,$E337,""),0)</f>
        <v>0</v>
      </c>
      <c r="R337" s="519">
        <f ca="1">_xlfn.IFNA(IF(VLOOKUP($B337&amp;OFFSET(R$10,$A337*2,0),'Mapping A'!$B$6:$E$1011,4,0)=1,$E337,""),0)</f>
        <v>0</v>
      </c>
      <c r="S337" s="519">
        <f ca="1">_xlfn.IFNA(IF(VLOOKUP($B337&amp;OFFSET(S$10,$A337*2,0),'Mapping A'!$B$6:$E$1011,4,0)=1,$E337,""),0)</f>
        <v>0</v>
      </c>
      <c r="T337" s="519">
        <f ca="1">_xlfn.IFNA(IF(VLOOKUP($B337&amp;OFFSET(T$10,$A337*2,0),'Mapping A'!$B$6:$E$1011,4,0)=1,$E337,""),0)</f>
        <v>0</v>
      </c>
      <c r="Y337" s="534" t="str">
        <f t="shared" si="255"/>
        <v>INV0331The Power Company</v>
      </c>
      <c r="Z337" s="519" t="str">
        <f t="shared" ref="Z337:AB337" si="288">C103</f>
        <v>The Power Company</v>
      </c>
      <c r="AA337" s="519" t="str">
        <f t="shared" si="288"/>
        <v>INV0331</v>
      </c>
      <c r="AB337" s="519">
        <f t="shared" si="288"/>
        <v>39.207000000000001</v>
      </c>
      <c r="AC337" s="324"/>
      <c r="AE337" s="519">
        <f t="shared" ca="1" si="239"/>
        <v>0</v>
      </c>
      <c r="AF337" s="519">
        <f t="shared" ca="1" si="240"/>
        <v>0</v>
      </c>
      <c r="AG337" s="519">
        <f t="shared" ca="1" si="241"/>
        <v>0</v>
      </c>
      <c r="AH337" s="519">
        <f t="shared" ca="1" si="242"/>
        <v>0</v>
      </c>
      <c r="AI337" s="519">
        <f t="shared" ca="1" si="243"/>
        <v>0</v>
      </c>
      <c r="AJ337" s="519">
        <f t="shared" ca="1" si="244"/>
        <v>0</v>
      </c>
      <c r="AK337" s="519">
        <f t="shared" ca="1" si="245"/>
        <v>0</v>
      </c>
      <c r="AL337" s="519">
        <f t="shared" ca="1" si="246"/>
        <v>0</v>
      </c>
      <c r="AM337" s="519">
        <f t="shared" ca="1" si="247"/>
        <v>0</v>
      </c>
      <c r="AN337" s="519">
        <f t="shared" ca="1" si="248"/>
        <v>0</v>
      </c>
      <c r="AO337" s="519">
        <f t="shared" ca="1" si="249"/>
        <v>0</v>
      </c>
      <c r="AP337" s="519">
        <f t="shared" ca="1" si="250"/>
        <v>0</v>
      </c>
      <c r="AQ337" s="519">
        <f t="shared" ca="1" si="251"/>
        <v>0</v>
      </c>
    </row>
    <row r="338" spans="1:43" x14ac:dyDescent="0.3">
      <c r="A338" s="556">
        <f t="shared" si="252"/>
        <v>2</v>
      </c>
      <c r="B338" s="519" t="str">
        <f t="shared" si="253"/>
        <v>ISL</v>
      </c>
      <c r="C338" s="519" t="str">
        <f t="shared" ref="C338:E338" si="289">C104</f>
        <v>Orion</v>
      </c>
      <c r="D338" s="519" t="str">
        <f t="shared" si="289"/>
        <v>ISL0331</v>
      </c>
      <c r="E338" s="519">
        <f t="shared" si="289"/>
        <v>76.406400000000005</v>
      </c>
      <c r="H338" s="519">
        <f ca="1">_xlfn.IFNA(IF(VLOOKUP($B338&amp;OFFSET(H$10,$A338*2,0),'Mapping A'!$B$6:$E$1011,4,0)=1,$E338,""),0)</f>
        <v>0</v>
      </c>
      <c r="I338" s="519">
        <f ca="1">_xlfn.IFNA(IF(VLOOKUP($B338&amp;OFFSET(I$10,$A338*2,0),'Mapping A'!$B$6:$E$1011,4,0)=1,$E338,""),0)</f>
        <v>0</v>
      </c>
      <c r="J338" s="519">
        <f ca="1">_xlfn.IFNA(IF(VLOOKUP($B338&amp;OFFSET(J$10,$A338*2,0),'Mapping A'!$B$6:$E$1011,4,0)=1,$E338,""),0)</f>
        <v>76.406400000000005</v>
      </c>
      <c r="K338" s="519">
        <f ca="1">_xlfn.IFNA(IF(VLOOKUP($B338&amp;OFFSET(K$10,$A338*2,0),'Mapping A'!$B$6:$E$1011,4,0)=1,$E338,""),0)</f>
        <v>0</v>
      </c>
      <c r="L338" s="519">
        <f ca="1">_xlfn.IFNA(IF(VLOOKUP($B338&amp;OFFSET(L$10,$A338*2,0),'Mapping A'!$B$6:$E$1011,4,0)=1,$E338,""),0)</f>
        <v>0</v>
      </c>
      <c r="M338" s="519">
        <f ca="1">_xlfn.IFNA(IF(VLOOKUP($B338&amp;OFFSET(M$10,$A338*2,0),'Mapping A'!$B$6:$E$1011,4,0)=1,$E338,""),0)</f>
        <v>0</v>
      </c>
      <c r="N338" s="519">
        <f ca="1">_xlfn.IFNA(IF(VLOOKUP($B338&amp;OFFSET(N$10,$A338*2,0),'Mapping A'!$B$6:$E$1011,4,0)=1,$E338,""),0)</f>
        <v>0</v>
      </c>
      <c r="O338" s="519">
        <f ca="1">_xlfn.IFNA(IF(VLOOKUP($B338&amp;OFFSET(O$10,$A338*2,0),'Mapping A'!$B$6:$E$1011,4,0)=1,$E338,""),0)</f>
        <v>0</v>
      </c>
      <c r="P338" s="519">
        <f ca="1">_xlfn.IFNA(IF(VLOOKUP($B338&amp;OFFSET(P$10,$A338*2,0),'Mapping A'!$B$6:$E$1011,4,0)=1,$E338,""),0)</f>
        <v>0</v>
      </c>
      <c r="Q338" s="519">
        <f ca="1">_xlfn.IFNA(IF(VLOOKUP($B338&amp;OFFSET(Q$10,$A338*2,0),'Mapping A'!$B$6:$E$1011,4,0)=1,$E338,""),0)</f>
        <v>0</v>
      </c>
      <c r="R338" s="519">
        <f ca="1">_xlfn.IFNA(IF(VLOOKUP($B338&amp;OFFSET(R$10,$A338*2,0),'Mapping A'!$B$6:$E$1011,4,0)=1,$E338,""),0)</f>
        <v>0</v>
      </c>
      <c r="S338" s="519">
        <f ca="1">_xlfn.IFNA(IF(VLOOKUP($B338&amp;OFFSET(S$10,$A338*2,0),'Mapping A'!$B$6:$E$1011,4,0)=1,$E338,""),0)</f>
        <v>0</v>
      </c>
      <c r="T338" s="519">
        <f ca="1">_xlfn.IFNA(IF(VLOOKUP($B338&amp;OFFSET(T$10,$A338*2,0),'Mapping A'!$B$6:$E$1011,4,0)=1,$E338,""),0)</f>
        <v>0</v>
      </c>
      <c r="Y338" s="534" t="str">
        <f t="shared" si="255"/>
        <v>ISL0331Orion</v>
      </c>
      <c r="Z338" s="519" t="str">
        <f t="shared" ref="Z338:AB338" si="290">C104</f>
        <v>Orion</v>
      </c>
      <c r="AA338" s="519" t="str">
        <f t="shared" si="290"/>
        <v>ISL0331</v>
      </c>
      <c r="AB338" s="519">
        <f t="shared" si="290"/>
        <v>76.406400000000005</v>
      </c>
      <c r="AC338" s="324"/>
      <c r="AE338" s="519">
        <f t="shared" ca="1" si="239"/>
        <v>0</v>
      </c>
      <c r="AF338" s="519">
        <f t="shared" ca="1" si="240"/>
        <v>0</v>
      </c>
      <c r="AG338" s="519">
        <f t="shared" ca="1" si="241"/>
        <v>0</v>
      </c>
      <c r="AH338" s="519">
        <f t="shared" ca="1" si="242"/>
        <v>0</v>
      </c>
      <c r="AI338" s="519">
        <f t="shared" ca="1" si="243"/>
        <v>0</v>
      </c>
      <c r="AJ338" s="519">
        <f t="shared" ca="1" si="244"/>
        <v>0</v>
      </c>
      <c r="AK338" s="519">
        <f t="shared" ca="1" si="245"/>
        <v>0</v>
      </c>
      <c r="AL338" s="519">
        <f t="shared" ca="1" si="246"/>
        <v>0</v>
      </c>
      <c r="AM338" s="519">
        <f t="shared" ca="1" si="247"/>
        <v>0</v>
      </c>
      <c r="AN338" s="519">
        <f t="shared" ca="1" si="248"/>
        <v>0</v>
      </c>
      <c r="AO338" s="519">
        <f t="shared" ca="1" si="249"/>
        <v>0</v>
      </c>
      <c r="AP338" s="519">
        <f t="shared" ca="1" si="250"/>
        <v>0</v>
      </c>
      <c r="AQ338" s="519">
        <f t="shared" ca="1" si="251"/>
        <v>0</v>
      </c>
    </row>
    <row r="339" spans="1:43" x14ac:dyDescent="0.3">
      <c r="A339" s="556">
        <f t="shared" si="252"/>
        <v>2</v>
      </c>
      <c r="B339" s="519" t="str">
        <f t="shared" si="253"/>
        <v>ISL</v>
      </c>
      <c r="C339" s="519" t="str">
        <f t="shared" ref="C339:E339" si="291">C105</f>
        <v>Orion</v>
      </c>
      <c r="D339" s="519" t="str">
        <f t="shared" si="291"/>
        <v>ISL0661</v>
      </c>
      <c r="E339" s="519">
        <f t="shared" si="291"/>
        <v>401.96519999999998</v>
      </c>
      <c r="H339" s="519">
        <f ca="1">_xlfn.IFNA(IF(VLOOKUP($B339&amp;OFFSET(H$10,$A339*2,0),'Mapping A'!$B$6:$E$1011,4,0)=1,$E339,""),0)</f>
        <v>0</v>
      </c>
      <c r="I339" s="519">
        <f ca="1">_xlfn.IFNA(IF(VLOOKUP($B339&amp;OFFSET(I$10,$A339*2,0),'Mapping A'!$B$6:$E$1011,4,0)=1,$E339,""),0)</f>
        <v>0</v>
      </c>
      <c r="J339" s="519">
        <f ca="1">_xlfn.IFNA(IF(VLOOKUP($B339&amp;OFFSET(J$10,$A339*2,0),'Mapping A'!$B$6:$E$1011,4,0)=1,$E339,""),0)</f>
        <v>401.96519999999998</v>
      </c>
      <c r="K339" s="519">
        <f ca="1">_xlfn.IFNA(IF(VLOOKUP($B339&amp;OFFSET(K$10,$A339*2,0),'Mapping A'!$B$6:$E$1011,4,0)=1,$E339,""),0)</f>
        <v>0</v>
      </c>
      <c r="L339" s="519">
        <f ca="1">_xlfn.IFNA(IF(VLOOKUP($B339&amp;OFFSET(L$10,$A339*2,0),'Mapping A'!$B$6:$E$1011,4,0)=1,$E339,""),0)</f>
        <v>0</v>
      </c>
      <c r="M339" s="519">
        <f ca="1">_xlfn.IFNA(IF(VLOOKUP($B339&amp;OFFSET(M$10,$A339*2,0),'Mapping A'!$B$6:$E$1011,4,0)=1,$E339,""),0)</f>
        <v>0</v>
      </c>
      <c r="N339" s="519">
        <f ca="1">_xlfn.IFNA(IF(VLOOKUP($B339&amp;OFFSET(N$10,$A339*2,0),'Mapping A'!$B$6:$E$1011,4,0)=1,$E339,""),0)</f>
        <v>0</v>
      </c>
      <c r="O339" s="519">
        <f ca="1">_xlfn.IFNA(IF(VLOOKUP($B339&amp;OFFSET(O$10,$A339*2,0),'Mapping A'!$B$6:$E$1011,4,0)=1,$E339,""),0)</f>
        <v>0</v>
      </c>
      <c r="P339" s="519">
        <f ca="1">_xlfn.IFNA(IF(VLOOKUP($B339&amp;OFFSET(P$10,$A339*2,0),'Mapping A'!$B$6:$E$1011,4,0)=1,$E339,""),0)</f>
        <v>0</v>
      </c>
      <c r="Q339" s="519">
        <f ca="1">_xlfn.IFNA(IF(VLOOKUP($B339&amp;OFFSET(Q$10,$A339*2,0),'Mapping A'!$B$6:$E$1011,4,0)=1,$E339,""),0)</f>
        <v>0</v>
      </c>
      <c r="R339" s="519">
        <f ca="1">_xlfn.IFNA(IF(VLOOKUP($B339&amp;OFFSET(R$10,$A339*2,0),'Mapping A'!$B$6:$E$1011,4,0)=1,$E339,""),0)</f>
        <v>0</v>
      </c>
      <c r="S339" s="519">
        <f ca="1">_xlfn.IFNA(IF(VLOOKUP($B339&amp;OFFSET(S$10,$A339*2,0),'Mapping A'!$B$6:$E$1011,4,0)=1,$E339,""),0)</f>
        <v>0</v>
      </c>
      <c r="T339" s="519">
        <f ca="1">_xlfn.IFNA(IF(VLOOKUP($B339&amp;OFFSET(T$10,$A339*2,0),'Mapping A'!$B$6:$E$1011,4,0)=1,$E339,""),0)</f>
        <v>0</v>
      </c>
      <c r="Y339" s="534" t="str">
        <f t="shared" si="255"/>
        <v>ISL0661Orion</v>
      </c>
      <c r="Z339" s="519" t="str">
        <f t="shared" ref="Z339:AB339" si="292">C105</f>
        <v>Orion</v>
      </c>
      <c r="AA339" s="519" t="str">
        <f t="shared" si="292"/>
        <v>ISL0661</v>
      </c>
      <c r="AB339" s="519">
        <f t="shared" si="292"/>
        <v>401.96519999999998</v>
      </c>
      <c r="AC339" s="324"/>
      <c r="AE339" s="519">
        <f t="shared" ca="1" si="239"/>
        <v>0</v>
      </c>
      <c r="AF339" s="519">
        <f t="shared" ca="1" si="240"/>
        <v>0</v>
      </c>
      <c r="AG339" s="519">
        <f t="shared" ca="1" si="241"/>
        <v>0</v>
      </c>
      <c r="AH339" s="519">
        <f t="shared" ca="1" si="242"/>
        <v>0</v>
      </c>
      <c r="AI339" s="519">
        <f t="shared" ca="1" si="243"/>
        <v>0</v>
      </c>
      <c r="AJ339" s="519">
        <f t="shared" ca="1" si="244"/>
        <v>0</v>
      </c>
      <c r="AK339" s="519">
        <f t="shared" ca="1" si="245"/>
        <v>0</v>
      </c>
      <c r="AL339" s="519">
        <f t="shared" ca="1" si="246"/>
        <v>0</v>
      </c>
      <c r="AM339" s="519">
        <f t="shared" ca="1" si="247"/>
        <v>0</v>
      </c>
      <c r="AN339" s="519">
        <f t="shared" ca="1" si="248"/>
        <v>0</v>
      </c>
      <c r="AO339" s="519">
        <f t="shared" ca="1" si="249"/>
        <v>0</v>
      </c>
      <c r="AP339" s="519">
        <f t="shared" ca="1" si="250"/>
        <v>0</v>
      </c>
      <c r="AQ339" s="519">
        <f t="shared" ca="1" si="251"/>
        <v>0</v>
      </c>
    </row>
    <row r="340" spans="1:43" x14ac:dyDescent="0.3">
      <c r="A340" s="556">
        <f t="shared" si="252"/>
        <v>2</v>
      </c>
      <c r="B340" s="519" t="str">
        <f t="shared" si="253"/>
        <v>KAI</v>
      </c>
      <c r="C340" s="519" t="str">
        <f t="shared" ref="C340:E340" si="293">C106</f>
        <v>Mainpower</v>
      </c>
      <c r="D340" s="519" t="str">
        <f t="shared" si="293"/>
        <v>KAI0111</v>
      </c>
      <c r="E340" s="519">
        <f t="shared" si="293"/>
        <v>28.961099999999998</v>
      </c>
      <c r="H340" s="519">
        <f ca="1">_xlfn.IFNA(IF(VLOOKUP($B340&amp;OFFSET(H$10,$A340*2,0),'Mapping A'!$B$6:$E$1011,4,0)=1,$E340,""),0)</f>
        <v>0</v>
      </c>
      <c r="I340" s="519">
        <f ca="1">_xlfn.IFNA(IF(VLOOKUP($B340&amp;OFFSET(I$10,$A340*2,0),'Mapping A'!$B$6:$E$1011,4,0)=1,$E340,""),0)</f>
        <v>0</v>
      </c>
      <c r="J340" s="519">
        <f ca="1">_xlfn.IFNA(IF(VLOOKUP($B340&amp;OFFSET(J$10,$A340*2,0),'Mapping A'!$B$6:$E$1011,4,0)=1,$E340,""),0)</f>
        <v>28.961099999999998</v>
      </c>
      <c r="K340" s="519">
        <f ca="1">_xlfn.IFNA(IF(VLOOKUP($B340&amp;OFFSET(K$10,$A340*2,0),'Mapping A'!$B$6:$E$1011,4,0)=1,$E340,""),0)</f>
        <v>0</v>
      </c>
      <c r="L340" s="519">
        <f ca="1">_xlfn.IFNA(IF(VLOOKUP($B340&amp;OFFSET(L$10,$A340*2,0),'Mapping A'!$B$6:$E$1011,4,0)=1,$E340,""),0)</f>
        <v>0</v>
      </c>
      <c r="M340" s="519">
        <f ca="1">_xlfn.IFNA(IF(VLOOKUP($B340&amp;OFFSET(M$10,$A340*2,0),'Mapping A'!$B$6:$E$1011,4,0)=1,$E340,""),0)</f>
        <v>0</v>
      </c>
      <c r="N340" s="519">
        <f ca="1">_xlfn.IFNA(IF(VLOOKUP($B340&amp;OFFSET(N$10,$A340*2,0),'Mapping A'!$B$6:$E$1011,4,0)=1,$E340,""),0)</f>
        <v>0</v>
      </c>
      <c r="O340" s="519">
        <f ca="1">_xlfn.IFNA(IF(VLOOKUP($B340&amp;OFFSET(O$10,$A340*2,0),'Mapping A'!$B$6:$E$1011,4,0)=1,$E340,""),0)</f>
        <v>0</v>
      </c>
      <c r="P340" s="519">
        <f ca="1">_xlfn.IFNA(IF(VLOOKUP($B340&amp;OFFSET(P$10,$A340*2,0),'Mapping A'!$B$6:$E$1011,4,0)=1,$E340,""),0)</f>
        <v>0</v>
      </c>
      <c r="Q340" s="519">
        <f ca="1">_xlfn.IFNA(IF(VLOOKUP($B340&amp;OFFSET(Q$10,$A340*2,0),'Mapping A'!$B$6:$E$1011,4,0)=1,$E340,""),0)</f>
        <v>0</v>
      </c>
      <c r="R340" s="519">
        <f ca="1">_xlfn.IFNA(IF(VLOOKUP($B340&amp;OFFSET(R$10,$A340*2,0),'Mapping A'!$B$6:$E$1011,4,0)=1,$E340,""),0)</f>
        <v>0</v>
      </c>
      <c r="S340" s="519">
        <f ca="1">_xlfn.IFNA(IF(VLOOKUP($B340&amp;OFFSET(S$10,$A340*2,0),'Mapping A'!$B$6:$E$1011,4,0)=1,$E340,""),0)</f>
        <v>0</v>
      </c>
      <c r="T340" s="519">
        <f ca="1">_xlfn.IFNA(IF(VLOOKUP($B340&amp;OFFSET(T$10,$A340*2,0),'Mapping A'!$B$6:$E$1011,4,0)=1,$E340,""),0)</f>
        <v>0</v>
      </c>
      <c r="Y340" s="534" t="str">
        <f t="shared" si="255"/>
        <v>KAI0111Mainpower</v>
      </c>
      <c r="Z340" s="519" t="str">
        <f t="shared" ref="Z340:AB340" si="294">C106</f>
        <v>Mainpower</v>
      </c>
      <c r="AA340" s="519" t="str">
        <f t="shared" si="294"/>
        <v>KAI0111</v>
      </c>
      <c r="AB340" s="519">
        <f t="shared" si="294"/>
        <v>28.961099999999998</v>
      </c>
      <c r="AC340" s="324"/>
      <c r="AE340" s="519">
        <f t="shared" ca="1" si="239"/>
        <v>0</v>
      </c>
      <c r="AF340" s="519">
        <f t="shared" ca="1" si="240"/>
        <v>0</v>
      </c>
      <c r="AG340" s="519">
        <f t="shared" ca="1" si="241"/>
        <v>0</v>
      </c>
      <c r="AH340" s="519">
        <f t="shared" ca="1" si="242"/>
        <v>0</v>
      </c>
      <c r="AI340" s="519">
        <f t="shared" ca="1" si="243"/>
        <v>0</v>
      </c>
      <c r="AJ340" s="519">
        <f t="shared" ca="1" si="244"/>
        <v>0</v>
      </c>
      <c r="AK340" s="519">
        <f t="shared" ca="1" si="245"/>
        <v>0</v>
      </c>
      <c r="AL340" s="519">
        <f t="shared" ca="1" si="246"/>
        <v>0</v>
      </c>
      <c r="AM340" s="519">
        <f t="shared" ca="1" si="247"/>
        <v>0</v>
      </c>
      <c r="AN340" s="519">
        <f t="shared" ca="1" si="248"/>
        <v>0</v>
      </c>
      <c r="AO340" s="519">
        <f t="shared" ca="1" si="249"/>
        <v>0</v>
      </c>
      <c r="AP340" s="519">
        <f t="shared" ca="1" si="250"/>
        <v>0</v>
      </c>
      <c r="AQ340" s="519">
        <f t="shared" ca="1" si="251"/>
        <v>0</v>
      </c>
    </row>
    <row r="341" spans="1:43" x14ac:dyDescent="0.3">
      <c r="A341" s="556">
        <f t="shared" si="252"/>
        <v>2</v>
      </c>
      <c r="B341" s="519" t="str">
        <f t="shared" si="253"/>
        <v>KAW</v>
      </c>
      <c r="C341" s="519" t="str">
        <f t="shared" ref="C341:E341" si="295">C107</f>
        <v>Norske Skog</v>
      </c>
      <c r="D341" s="519" t="str">
        <f t="shared" si="295"/>
        <v>KAW</v>
      </c>
      <c r="E341" s="519">
        <f t="shared" si="295"/>
        <v>92.992000000000004</v>
      </c>
      <c r="H341" s="519">
        <f ca="1">_xlfn.IFNA(IF(VLOOKUP($B341&amp;OFFSET(H$10,$A341*2,0),'Mapping A'!$B$6:$E$1011,4,0)=1,$E341,""),0)</f>
        <v>0</v>
      </c>
      <c r="I341" s="519">
        <f ca="1">_xlfn.IFNA(IF(VLOOKUP($B341&amp;OFFSET(I$10,$A341*2,0),'Mapping A'!$B$6:$E$1011,4,0)=1,$E341,""),0)</f>
        <v>0</v>
      </c>
      <c r="J341" s="519">
        <f ca="1">_xlfn.IFNA(IF(VLOOKUP($B341&amp;OFFSET(J$10,$A341*2,0),'Mapping A'!$B$6:$E$1011,4,0)=1,$E341,""),0)</f>
        <v>0</v>
      </c>
      <c r="K341" s="519">
        <f ca="1">_xlfn.IFNA(IF(VLOOKUP($B341&amp;OFFSET(K$10,$A341*2,0),'Mapping A'!$B$6:$E$1011,4,0)=1,$E341,""),0)</f>
        <v>0</v>
      </c>
      <c r="L341" s="519">
        <f ca="1">_xlfn.IFNA(IF(VLOOKUP($B341&amp;OFFSET(L$10,$A341*2,0),'Mapping A'!$B$6:$E$1011,4,0)=1,$E341,""),0)</f>
        <v>0</v>
      </c>
      <c r="M341" s="519">
        <f ca="1">_xlfn.IFNA(IF(VLOOKUP($B341&amp;OFFSET(M$10,$A341*2,0),'Mapping A'!$B$6:$E$1011,4,0)=1,$E341,""),0)</f>
        <v>0</v>
      </c>
      <c r="N341" s="519">
        <f ca="1">_xlfn.IFNA(IF(VLOOKUP($B341&amp;OFFSET(N$10,$A341*2,0),'Mapping A'!$B$6:$E$1011,4,0)=1,$E341,""),0)</f>
        <v>0</v>
      </c>
      <c r="O341" s="519">
        <f ca="1">_xlfn.IFNA(IF(VLOOKUP($B341&amp;OFFSET(O$10,$A341*2,0),'Mapping A'!$B$6:$E$1011,4,0)=1,$E341,""),0)</f>
        <v>0</v>
      </c>
      <c r="P341" s="519">
        <f ca="1">_xlfn.IFNA(IF(VLOOKUP($B341&amp;OFFSET(P$10,$A341*2,0),'Mapping A'!$B$6:$E$1011,4,0)=1,$E341,""),0)</f>
        <v>0</v>
      </c>
      <c r="Q341" s="519">
        <f ca="1">_xlfn.IFNA(IF(VLOOKUP($B341&amp;OFFSET(Q$10,$A341*2,0),'Mapping A'!$B$6:$E$1011,4,0)=1,$E341,""),0)</f>
        <v>0</v>
      </c>
      <c r="R341" s="519">
        <f ca="1">_xlfn.IFNA(IF(VLOOKUP($B341&amp;OFFSET(R$10,$A341*2,0),'Mapping A'!$B$6:$E$1011,4,0)=1,$E341,""),0)</f>
        <v>0</v>
      </c>
      <c r="S341" s="519">
        <f ca="1">_xlfn.IFNA(IF(VLOOKUP($B341&amp;OFFSET(S$10,$A341*2,0),'Mapping A'!$B$6:$E$1011,4,0)=1,$E341,""),0)</f>
        <v>0</v>
      </c>
      <c r="T341" s="519">
        <f ca="1">_xlfn.IFNA(IF(VLOOKUP($B341&amp;OFFSET(T$10,$A341*2,0),'Mapping A'!$B$6:$E$1011,4,0)=1,$E341,""),0)</f>
        <v>0</v>
      </c>
      <c r="Y341" s="534" t="str">
        <f t="shared" si="255"/>
        <v>KAWNorske Skog</v>
      </c>
      <c r="Z341" s="519" t="str">
        <f t="shared" ref="Z341:AB341" si="296">C107</f>
        <v>Norske Skog</v>
      </c>
      <c r="AA341" s="519" t="str">
        <f t="shared" si="296"/>
        <v>KAW</v>
      </c>
      <c r="AB341" s="519">
        <f t="shared" si="296"/>
        <v>92.992000000000004</v>
      </c>
      <c r="AC341" s="324"/>
      <c r="AE341" s="519">
        <f t="shared" ca="1" si="239"/>
        <v>0</v>
      </c>
      <c r="AF341" s="519">
        <f t="shared" ca="1" si="240"/>
        <v>0</v>
      </c>
      <c r="AG341" s="519">
        <f t="shared" ca="1" si="241"/>
        <v>0</v>
      </c>
      <c r="AH341" s="519">
        <f t="shared" ca="1" si="242"/>
        <v>0</v>
      </c>
      <c r="AI341" s="519">
        <f t="shared" ca="1" si="243"/>
        <v>0</v>
      </c>
      <c r="AJ341" s="519">
        <f t="shared" ca="1" si="244"/>
        <v>0</v>
      </c>
      <c r="AK341" s="519">
        <f t="shared" ca="1" si="245"/>
        <v>0</v>
      </c>
      <c r="AL341" s="519">
        <f t="shared" ca="1" si="246"/>
        <v>0</v>
      </c>
      <c r="AM341" s="519">
        <f t="shared" ca="1" si="247"/>
        <v>0</v>
      </c>
      <c r="AN341" s="519">
        <f t="shared" ca="1" si="248"/>
        <v>0</v>
      </c>
      <c r="AO341" s="519">
        <f t="shared" ca="1" si="249"/>
        <v>0</v>
      </c>
      <c r="AP341" s="519">
        <f t="shared" ca="1" si="250"/>
        <v>0</v>
      </c>
      <c r="AQ341" s="519">
        <f t="shared" ca="1" si="251"/>
        <v>0</v>
      </c>
    </row>
    <row r="342" spans="1:43" x14ac:dyDescent="0.3">
      <c r="A342" s="556">
        <f t="shared" si="252"/>
        <v>2</v>
      </c>
      <c r="B342" s="519" t="str">
        <f t="shared" si="253"/>
        <v>KAW</v>
      </c>
      <c r="C342" s="519" t="str">
        <f t="shared" ref="C342:E342" si="297">C108</f>
        <v>Other</v>
      </c>
      <c r="D342" s="519" t="str">
        <f t="shared" si="297"/>
        <v>KAW</v>
      </c>
      <c r="E342" s="519">
        <f t="shared" si="297"/>
        <v>0</v>
      </c>
      <c r="H342" s="519">
        <f ca="1">_xlfn.IFNA(IF(VLOOKUP($B342&amp;OFFSET(H$10,$A342*2,0),'Mapping A'!$B$6:$E$1011,4,0)=1,$E342,""),0)</f>
        <v>0</v>
      </c>
      <c r="I342" s="519">
        <f ca="1">_xlfn.IFNA(IF(VLOOKUP($B342&amp;OFFSET(I$10,$A342*2,0),'Mapping A'!$B$6:$E$1011,4,0)=1,$E342,""),0)</f>
        <v>0</v>
      </c>
      <c r="J342" s="519">
        <f ca="1">_xlfn.IFNA(IF(VLOOKUP($B342&amp;OFFSET(J$10,$A342*2,0),'Mapping A'!$B$6:$E$1011,4,0)=1,$E342,""),0)</f>
        <v>0</v>
      </c>
      <c r="K342" s="519">
        <f ca="1">_xlfn.IFNA(IF(VLOOKUP($B342&amp;OFFSET(K$10,$A342*2,0),'Mapping A'!$B$6:$E$1011,4,0)=1,$E342,""),0)</f>
        <v>0</v>
      </c>
      <c r="L342" s="519">
        <f ca="1">_xlfn.IFNA(IF(VLOOKUP($B342&amp;OFFSET(L$10,$A342*2,0),'Mapping A'!$B$6:$E$1011,4,0)=1,$E342,""),0)</f>
        <v>0</v>
      </c>
      <c r="M342" s="519">
        <f ca="1">_xlfn.IFNA(IF(VLOOKUP($B342&amp;OFFSET(M$10,$A342*2,0),'Mapping A'!$B$6:$E$1011,4,0)=1,$E342,""),0)</f>
        <v>0</v>
      </c>
      <c r="N342" s="519">
        <f ca="1">_xlfn.IFNA(IF(VLOOKUP($B342&amp;OFFSET(N$10,$A342*2,0),'Mapping A'!$B$6:$E$1011,4,0)=1,$E342,""),0)</f>
        <v>0</v>
      </c>
      <c r="O342" s="519">
        <f ca="1">_xlfn.IFNA(IF(VLOOKUP($B342&amp;OFFSET(O$10,$A342*2,0),'Mapping A'!$B$6:$E$1011,4,0)=1,$E342,""),0)</f>
        <v>0</v>
      </c>
      <c r="P342" s="519">
        <f ca="1">_xlfn.IFNA(IF(VLOOKUP($B342&amp;OFFSET(P$10,$A342*2,0),'Mapping A'!$B$6:$E$1011,4,0)=1,$E342,""),0)</f>
        <v>0</v>
      </c>
      <c r="Q342" s="519">
        <f ca="1">_xlfn.IFNA(IF(VLOOKUP($B342&amp;OFFSET(Q$10,$A342*2,0),'Mapping A'!$B$6:$E$1011,4,0)=1,$E342,""),0)</f>
        <v>0</v>
      </c>
      <c r="R342" s="519">
        <f ca="1">_xlfn.IFNA(IF(VLOOKUP($B342&amp;OFFSET(R$10,$A342*2,0),'Mapping A'!$B$6:$E$1011,4,0)=1,$E342,""),0)</f>
        <v>0</v>
      </c>
      <c r="S342" s="519">
        <f ca="1">_xlfn.IFNA(IF(VLOOKUP($B342&amp;OFFSET(S$10,$A342*2,0),'Mapping A'!$B$6:$E$1011,4,0)=1,$E342,""),0)</f>
        <v>0</v>
      </c>
      <c r="T342" s="519">
        <f ca="1">_xlfn.IFNA(IF(VLOOKUP($B342&amp;OFFSET(T$10,$A342*2,0),'Mapping A'!$B$6:$E$1011,4,0)=1,$E342,""),0)</f>
        <v>0</v>
      </c>
      <c r="Y342" s="534" t="str">
        <f t="shared" si="255"/>
        <v>KAWOther</v>
      </c>
      <c r="Z342" s="519" t="str">
        <f t="shared" ref="Z342:AB342" si="298">C108</f>
        <v>Other</v>
      </c>
      <c r="AA342" s="519" t="str">
        <f t="shared" si="298"/>
        <v>KAW</v>
      </c>
      <c r="AB342" s="519">
        <f t="shared" si="298"/>
        <v>0</v>
      </c>
      <c r="AC342" s="324"/>
      <c r="AE342" s="519">
        <f t="shared" ca="1" si="239"/>
        <v>0</v>
      </c>
      <c r="AF342" s="519">
        <f t="shared" ca="1" si="240"/>
        <v>0</v>
      </c>
      <c r="AG342" s="519">
        <f t="shared" ca="1" si="241"/>
        <v>0</v>
      </c>
      <c r="AH342" s="519">
        <f t="shared" ca="1" si="242"/>
        <v>0</v>
      </c>
      <c r="AI342" s="519">
        <f t="shared" ca="1" si="243"/>
        <v>0</v>
      </c>
      <c r="AJ342" s="519">
        <f t="shared" ca="1" si="244"/>
        <v>0</v>
      </c>
      <c r="AK342" s="519">
        <f t="shared" ca="1" si="245"/>
        <v>0</v>
      </c>
      <c r="AL342" s="519">
        <f t="shared" ca="1" si="246"/>
        <v>0</v>
      </c>
      <c r="AM342" s="519">
        <f t="shared" ca="1" si="247"/>
        <v>0</v>
      </c>
      <c r="AN342" s="519">
        <f t="shared" ca="1" si="248"/>
        <v>0</v>
      </c>
      <c r="AO342" s="519">
        <f t="shared" ca="1" si="249"/>
        <v>0</v>
      </c>
      <c r="AP342" s="519">
        <f t="shared" ca="1" si="250"/>
        <v>0</v>
      </c>
      <c r="AQ342" s="519">
        <f t="shared" ca="1" si="251"/>
        <v>0</v>
      </c>
    </row>
    <row r="343" spans="1:43" x14ac:dyDescent="0.3">
      <c r="A343" s="556">
        <f t="shared" si="252"/>
        <v>2</v>
      </c>
      <c r="B343" s="519" t="str">
        <f t="shared" si="253"/>
        <v>KAW</v>
      </c>
      <c r="C343" s="519" t="str">
        <f t="shared" ref="C343:E343" si="299">C109</f>
        <v>Horizon</v>
      </c>
      <c r="D343" s="519" t="str">
        <f t="shared" si="299"/>
        <v>KAW0111</v>
      </c>
      <c r="E343" s="519">
        <f t="shared" si="299"/>
        <v>18.704699999999999</v>
      </c>
      <c r="H343" s="519">
        <f ca="1">_xlfn.IFNA(IF(VLOOKUP($B343&amp;OFFSET(H$10,$A343*2,0),'Mapping A'!$B$6:$E$1011,4,0)=1,$E343,""),0)</f>
        <v>0</v>
      </c>
      <c r="I343" s="519">
        <f ca="1">_xlfn.IFNA(IF(VLOOKUP($B343&amp;OFFSET(I$10,$A343*2,0),'Mapping A'!$B$6:$E$1011,4,0)=1,$E343,""),0)</f>
        <v>0</v>
      </c>
      <c r="J343" s="519">
        <f ca="1">_xlfn.IFNA(IF(VLOOKUP($B343&amp;OFFSET(J$10,$A343*2,0),'Mapping A'!$B$6:$E$1011,4,0)=1,$E343,""),0)</f>
        <v>0</v>
      </c>
      <c r="K343" s="519">
        <f ca="1">_xlfn.IFNA(IF(VLOOKUP($B343&amp;OFFSET(K$10,$A343*2,0),'Mapping A'!$B$6:$E$1011,4,0)=1,$E343,""),0)</f>
        <v>0</v>
      </c>
      <c r="L343" s="519">
        <f ca="1">_xlfn.IFNA(IF(VLOOKUP($B343&amp;OFFSET(L$10,$A343*2,0),'Mapping A'!$B$6:$E$1011,4,0)=1,$E343,""),0)</f>
        <v>0</v>
      </c>
      <c r="M343" s="519">
        <f ca="1">_xlfn.IFNA(IF(VLOOKUP($B343&amp;OFFSET(M$10,$A343*2,0),'Mapping A'!$B$6:$E$1011,4,0)=1,$E343,""),0)</f>
        <v>0</v>
      </c>
      <c r="N343" s="519">
        <f ca="1">_xlfn.IFNA(IF(VLOOKUP($B343&amp;OFFSET(N$10,$A343*2,0),'Mapping A'!$B$6:$E$1011,4,0)=1,$E343,""),0)</f>
        <v>0</v>
      </c>
      <c r="O343" s="519">
        <f ca="1">_xlfn.IFNA(IF(VLOOKUP($B343&amp;OFFSET(O$10,$A343*2,0),'Mapping A'!$B$6:$E$1011,4,0)=1,$E343,""),0)</f>
        <v>0</v>
      </c>
      <c r="P343" s="519">
        <f ca="1">_xlfn.IFNA(IF(VLOOKUP($B343&amp;OFFSET(P$10,$A343*2,0),'Mapping A'!$B$6:$E$1011,4,0)=1,$E343,""),0)</f>
        <v>0</v>
      </c>
      <c r="Q343" s="519">
        <f ca="1">_xlfn.IFNA(IF(VLOOKUP($B343&amp;OFFSET(Q$10,$A343*2,0),'Mapping A'!$B$6:$E$1011,4,0)=1,$E343,""),0)</f>
        <v>0</v>
      </c>
      <c r="R343" s="519">
        <f ca="1">_xlfn.IFNA(IF(VLOOKUP($B343&amp;OFFSET(R$10,$A343*2,0),'Mapping A'!$B$6:$E$1011,4,0)=1,$E343,""),0)</f>
        <v>0</v>
      </c>
      <c r="S343" s="519">
        <f ca="1">_xlfn.IFNA(IF(VLOOKUP($B343&amp;OFFSET(S$10,$A343*2,0),'Mapping A'!$B$6:$E$1011,4,0)=1,$E343,""),0)</f>
        <v>0</v>
      </c>
      <c r="T343" s="519">
        <f ca="1">_xlfn.IFNA(IF(VLOOKUP($B343&amp;OFFSET(T$10,$A343*2,0),'Mapping A'!$B$6:$E$1011,4,0)=1,$E343,""),0)</f>
        <v>0</v>
      </c>
      <c r="Y343" s="534" t="str">
        <f t="shared" si="255"/>
        <v>KAW0111Horizon</v>
      </c>
      <c r="Z343" s="519" t="str">
        <f t="shared" ref="Z343:AB343" si="300">C109</f>
        <v>Horizon</v>
      </c>
      <c r="AA343" s="519" t="str">
        <f t="shared" si="300"/>
        <v>KAW0111</v>
      </c>
      <c r="AB343" s="519">
        <f t="shared" si="300"/>
        <v>18.704699999999999</v>
      </c>
      <c r="AC343" s="324"/>
      <c r="AE343" s="519">
        <f t="shared" ca="1" si="239"/>
        <v>0</v>
      </c>
      <c r="AF343" s="519">
        <f t="shared" ca="1" si="240"/>
        <v>0</v>
      </c>
      <c r="AG343" s="519">
        <f t="shared" ca="1" si="241"/>
        <v>0</v>
      </c>
      <c r="AH343" s="519">
        <f t="shared" ca="1" si="242"/>
        <v>0</v>
      </c>
      <c r="AI343" s="519">
        <f t="shared" ca="1" si="243"/>
        <v>0</v>
      </c>
      <c r="AJ343" s="519">
        <f t="shared" ca="1" si="244"/>
        <v>0</v>
      </c>
      <c r="AK343" s="519">
        <f t="shared" ca="1" si="245"/>
        <v>0</v>
      </c>
      <c r="AL343" s="519">
        <f t="shared" ca="1" si="246"/>
        <v>0</v>
      </c>
      <c r="AM343" s="519">
        <f t="shared" ca="1" si="247"/>
        <v>0</v>
      </c>
      <c r="AN343" s="519">
        <f t="shared" ca="1" si="248"/>
        <v>0</v>
      </c>
      <c r="AO343" s="519">
        <f t="shared" ca="1" si="249"/>
        <v>0</v>
      </c>
      <c r="AP343" s="519">
        <f t="shared" ca="1" si="250"/>
        <v>0</v>
      </c>
      <c r="AQ343" s="519">
        <f t="shared" ca="1" si="251"/>
        <v>0</v>
      </c>
    </row>
    <row r="344" spans="1:43" x14ac:dyDescent="0.3">
      <c r="A344" s="556">
        <f t="shared" si="252"/>
        <v>2</v>
      </c>
      <c r="B344" s="519" t="str">
        <f t="shared" si="253"/>
        <v>KBY</v>
      </c>
      <c r="C344" s="519" t="str">
        <f t="shared" ref="C344:E344" si="301">C110</f>
        <v>Orion</v>
      </c>
      <c r="D344" s="519" t="str">
        <f t="shared" si="301"/>
        <v>KBY0661</v>
      </c>
      <c r="E344" s="519">
        <f t="shared" si="301"/>
        <v>12.940200000000001</v>
      </c>
      <c r="H344" s="519">
        <f ca="1">_xlfn.IFNA(IF(VLOOKUP($B344&amp;OFFSET(H$10,$A344*2,0),'Mapping A'!$B$6:$E$1011,4,0)=1,$E344,""),0)</f>
        <v>0</v>
      </c>
      <c r="I344" s="519">
        <f ca="1">_xlfn.IFNA(IF(VLOOKUP($B344&amp;OFFSET(I$10,$A344*2,0),'Mapping A'!$B$6:$E$1011,4,0)=1,$E344,""),0)</f>
        <v>0</v>
      </c>
      <c r="J344" s="519">
        <f ca="1">_xlfn.IFNA(IF(VLOOKUP($B344&amp;OFFSET(J$10,$A344*2,0),'Mapping A'!$B$6:$E$1011,4,0)=1,$E344,""),0)</f>
        <v>12.940200000000001</v>
      </c>
      <c r="K344" s="519">
        <f ca="1">_xlfn.IFNA(IF(VLOOKUP($B344&amp;OFFSET(K$10,$A344*2,0),'Mapping A'!$B$6:$E$1011,4,0)=1,$E344,""),0)</f>
        <v>0</v>
      </c>
      <c r="L344" s="519">
        <f ca="1">_xlfn.IFNA(IF(VLOOKUP($B344&amp;OFFSET(L$10,$A344*2,0),'Mapping A'!$B$6:$E$1011,4,0)=1,$E344,""),0)</f>
        <v>0</v>
      </c>
      <c r="M344" s="519">
        <f ca="1">_xlfn.IFNA(IF(VLOOKUP($B344&amp;OFFSET(M$10,$A344*2,0),'Mapping A'!$B$6:$E$1011,4,0)=1,$E344,""),0)</f>
        <v>0</v>
      </c>
      <c r="N344" s="519">
        <f ca="1">_xlfn.IFNA(IF(VLOOKUP($B344&amp;OFFSET(N$10,$A344*2,0),'Mapping A'!$B$6:$E$1011,4,0)=1,$E344,""),0)</f>
        <v>0</v>
      </c>
      <c r="O344" s="519">
        <f ca="1">_xlfn.IFNA(IF(VLOOKUP($B344&amp;OFFSET(O$10,$A344*2,0),'Mapping A'!$B$6:$E$1011,4,0)=1,$E344,""),0)</f>
        <v>0</v>
      </c>
      <c r="P344" s="519">
        <f ca="1">_xlfn.IFNA(IF(VLOOKUP($B344&amp;OFFSET(P$10,$A344*2,0),'Mapping A'!$B$6:$E$1011,4,0)=1,$E344,""),0)</f>
        <v>0</v>
      </c>
      <c r="Q344" s="519">
        <f ca="1">_xlfn.IFNA(IF(VLOOKUP($B344&amp;OFFSET(Q$10,$A344*2,0),'Mapping A'!$B$6:$E$1011,4,0)=1,$E344,""),0)</f>
        <v>0</v>
      </c>
      <c r="R344" s="519">
        <f ca="1">_xlfn.IFNA(IF(VLOOKUP($B344&amp;OFFSET(R$10,$A344*2,0),'Mapping A'!$B$6:$E$1011,4,0)=1,$E344,""),0)</f>
        <v>0</v>
      </c>
      <c r="S344" s="519">
        <f ca="1">_xlfn.IFNA(IF(VLOOKUP($B344&amp;OFFSET(S$10,$A344*2,0),'Mapping A'!$B$6:$E$1011,4,0)=1,$E344,""),0)</f>
        <v>0</v>
      </c>
      <c r="T344" s="519">
        <f ca="1">_xlfn.IFNA(IF(VLOOKUP($B344&amp;OFFSET(T$10,$A344*2,0),'Mapping A'!$B$6:$E$1011,4,0)=1,$E344,""),0)</f>
        <v>0</v>
      </c>
      <c r="Y344" s="534" t="str">
        <f t="shared" si="255"/>
        <v>KBY0661Orion</v>
      </c>
      <c r="Z344" s="519" t="str">
        <f t="shared" ref="Z344:AB344" si="302">C110</f>
        <v>Orion</v>
      </c>
      <c r="AA344" s="519" t="str">
        <f t="shared" si="302"/>
        <v>KBY0661</v>
      </c>
      <c r="AB344" s="519">
        <f t="shared" si="302"/>
        <v>12.940200000000001</v>
      </c>
      <c r="AC344" s="324"/>
      <c r="AE344" s="519">
        <f t="shared" ca="1" si="239"/>
        <v>0</v>
      </c>
      <c r="AF344" s="519">
        <f t="shared" ca="1" si="240"/>
        <v>0</v>
      </c>
      <c r="AG344" s="519">
        <f t="shared" ca="1" si="241"/>
        <v>0</v>
      </c>
      <c r="AH344" s="519">
        <f t="shared" ca="1" si="242"/>
        <v>0</v>
      </c>
      <c r="AI344" s="519">
        <f t="shared" ca="1" si="243"/>
        <v>0</v>
      </c>
      <c r="AJ344" s="519">
        <f t="shared" ca="1" si="244"/>
        <v>0</v>
      </c>
      <c r="AK344" s="519">
        <f t="shared" ca="1" si="245"/>
        <v>0</v>
      </c>
      <c r="AL344" s="519">
        <f t="shared" ca="1" si="246"/>
        <v>0</v>
      </c>
      <c r="AM344" s="519">
        <f t="shared" ca="1" si="247"/>
        <v>0</v>
      </c>
      <c r="AN344" s="519">
        <f t="shared" ca="1" si="248"/>
        <v>0</v>
      </c>
      <c r="AO344" s="519">
        <f t="shared" ca="1" si="249"/>
        <v>0</v>
      </c>
      <c r="AP344" s="519">
        <f t="shared" ca="1" si="250"/>
        <v>0</v>
      </c>
      <c r="AQ344" s="519">
        <f t="shared" ca="1" si="251"/>
        <v>0</v>
      </c>
    </row>
    <row r="345" spans="1:43" x14ac:dyDescent="0.3">
      <c r="A345" s="556">
        <f t="shared" si="252"/>
        <v>2</v>
      </c>
      <c r="B345" s="519" t="str">
        <f t="shared" si="253"/>
        <v>KBY</v>
      </c>
      <c r="C345" s="519" t="str">
        <f t="shared" ref="C345:E345" si="303">C111</f>
        <v>Orion</v>
      </c>
      <c r="D345" s="519" t="str">
        <f t="shared" si="303"/>
        <v>KBY0662</v>
      </c>
      <c r="E345" s="519">
        <f t="shared" si="303"/>
        <v>7.4823000000000004</v>
      </c>
      <c r="H345" s="519">
        <f ca="1">_xlfn.IFNA(IF(VLOOKUP($B345&amp;OFFSET(H$10,$A345*2,0),'Mapping A'!$B$6:$E$1011,4,0)=1,$E345,""),0)</f>
        <v>0</v>
      </c>
      <c r="I345" s="519">
        <f ca="1">_xlfn.IFNA(IF(VLOOKUP($B345&amp;OFFSET(I$10,$A345*2,0),'Mapping A'!$B$6:$E$1011,4,0)=1,$E345,""),0)</f>
        <v>0</v>
      </c>
      <c r="J345" s="519">
        <f ca="1">_xlfn.IFNA(IF(VLOOKUP($B345&amp;OFFSET(J$10,$A345*2,0),'Mapping A'!$B$6:$E$1011,4,0)=1,$E345,""),0)</f>
        <v>7.4823000000000004</v>
      </c>
      <c r="K345" s="519">
        <f ca="1">_xlfn.IFNA(IF(VLOOKUP($B345&amp;OFFSET(K$10,$A345*2,0),'Mapping A'!$B$6:$E$1011,4,0)=1,$E345,""),0)</f>
        <v>0</v>
      </c>
      <c r="L345" s="519">
        <f ca="1">_xlfn.IFNA(IF(VLOOKUP($B345&amp;OFFSET(L$10,$A345*2,0),'Mapping A'!$B$6:$E$1011,4,0)=1,$E345,""),0)</f>
        <v>0</v>
      </c>
      <c r="M345" s="519">
        <f ca="1">_xlfn.IFNA(IF(VLOOKUP($B345&amp;OFFSET(M$10,$A345*2,0),'Mapping A'!$B$6:$E$1011,4,0)=1,$E345,""),0)</f>
        <v>0</v>
      </c>
      <c r="N345" s="519">
        <f ca="1">_xlfn.IFNA(IF(VLOOKUP($B345&amp;OFFSET(N$10,$A345*2,0),'Mapping A'!$B$6:$E$1011,4,0)=1,$E345,""),0)</f>
        <v>0</v>
      </c>
      <c r="O345" s="519">
        <f ca="1">_xlfn.IFNA(IF(VLOOKUP($B345&amp;OFFSET(O$10,$A345*2,0),'Mapping A'!$B$6:$E$1011,4,0)=1,$E345,""),0)</f>
        <v>0</v>
      </c>
      <c r="P345" s="519">
        <f ca="1">_xlfn.IFNA(IF(VLOOKUP($B345&amp;OFFSET(P$10,$A345*2,0),'Mapping A'!$B$6:$E$1011,4,0)=1,$E345,""),0)</f>
        <v>0</v>
      </c>
      <c r="Q345" s="519">
        <f ca="1">_xlfn.IFNA(IF(VLOOKUP($B345&amp;OFFSET(Q$10,$A345*2,0),'Mapping A'!$B$6:$E$1011,4,0)=1,$E345,""),0)</f>
        <v>0</v>
      </c>
      <c r="R345" s="519">
        <f ca="1">_xlfn.IFNA(IF(VLOOKUP($B345&amp;OFFSET(R$10,$A345*2,0),'Mapping A'!$B$6:$E$1011,4,0)=1,$E345,""),0)</f>
        <v>0</v>
      </c>
      <c r="S345" s="519">
        <f ca="1">_xlfn.IFNA(IF(VLOOKUP($B345&amp;OFFSET(S$10,$A345*2,0),'Mapping A'!$B$6:$E$1011,4,0)=1,$E345,""),0)</f>
        <v>0</v>
      </c>
      <c r="T345" s="519">
        <f ca="1">_xlfn.IFNA(IF(VLOOKUP($B345&amp;OFFSET(T$10,$A345*2,0),'Mapping A'!$B$6:$E$1011,4,0)=1,$E345,""),0)</f>
        <v>0</v>
      </c>
      <c r="Y345" s="534" t="str">
        <f t="shared" si="255"/>
        <v>KBY0662Orion</v>
      </c>
      <c r="Z345" s="519" t="str">
        <f t="shared" ref="Z345:AB345" si="304">C111</f>
        <v>Orion</v>
      </c>
      <c r="AA345" s="519" t="str">
        <f t="shared" si="304"/>
        <v>KBY0662</v>
      </c>
      <c r="AB345" s="519">
        <f t="shared" si="304"/>
        <v>7.4823000000000004</v>
      </c>
      <c r="AC345" s="324"/>
      <c r="AE345" s="519">
        <f t="shared" ca="1" si="239"/>
        <v>0</v>
      </c>
      <c r="AF345" s="519">
        <f t="shared" ca="1" si="240"/>
        <v>0</v>
      </c>
      <c r="AG345" s="519">
        <f t="shared" ca="1" si="241"/>
        <v>0</v>
      </c>
      <c r="AH345" s="519">
        <f t="shared" ca="1" si="242"/>
        <v>0</v>
      </c>
      <c r="AI345" s="519">
        <f t="shared" ca="1" si="243"/>
        <v>0</v>
      </c>
      <c r="AJ345" s="519">
        <f t="shared" ca="1" si="244"/>
        <v>0</v>
      </c>
      <c r="AK345" s="519">
        <f t="shared" ca="1" si="245"/>
        <v>0</v>
      </c>
      <c r="AL345" s="519">
        <f t="shared" ca="1" si="246"/>
        <v>0</v>
      </c>
      <c r="AM345" s="519">
        <f t="shared" ca="1" si="247"/>
        <v>0</v>
      </c>
      <c r="AN345" s="519">
        <f t="shared" ca="1" si="248"/>
        <v>0</v>
      </c>
      <c r="AO345" s="519">
        <f t="shared" ca="1" si="249"/>
        <v>0</v>
      </c>
      <c r="AP345" s="519">
        <f t="shared" ca="1" si="250"/>
        <v>0</v>
      </c>
      <c r="AQ345" s="519">
        <f t="shared" ca="1" si="251"/>
        <v>0</v>
      </c>
    </row>
    <row r="346" spans="1:43" x14ac:dyDescent="0.3">
      <c r="A346" s="556">
        <f t="shared" si="252"/>
        <v>2</v>
      </c>
      <c r="B346" s="519" t="str">
        <f t="shared" si="253"/>
        <v>KIK</v>
      </c>
      <c r="C346" s="519" t="str">
        <f t="shared" ref="C346:E346" si="305">C112</f>
        <v>Network Tasman</v>
      </c>
      <c r="D346" s="519" t="str">
        <f t="shared" si="305"/>
        <v>KIK0111</v>
      </c>
      <c r="E346" s="519">
        <f t="shared" si="305"/>
        <v>3.2886000000000002</v>
      </c>
      <c r="H346" s="519">
        <f ca="1">_xlfn.IFNA(IF(VLOOKUP($B346&amp;OFFSET(H$10,$A346*2,0),'Mapping A'!$B$6:$E$1011,4,0)=1,$E346,""),0)</f>
        <v>0</v>
      </c>
      <c r="I346" s="519">
        <f ca="1">_xlfn.IFNA(IF(VLOOKUP($B346&amp;OFFSET(I$10,$A346*2,0),'Mapping A'!$B$6:$E$1011,4,0)=1,$E346,""),0)</f>
        <v>0</v>
      </c>
      <c r="J346" s="519">
        <f ca="1">_xlfn.IFNA(IF(VLOOKUP($B346&amp;OFFSET(J$10,$A346*2,0),'Mapping A'!$B$6:$E$1011,4,0)=1,$E346,""),0)</f>
        <v>3.2886000000000002</v>
      </c>
      <c r="K346" s="519">
        <f ca="1">_xlfn.IFNA(IF(VLOOKUP($B346&amp;OFFSET(K$10,$A346*2,0),'Mapping A'!$B$6:$E$1011,4,0)=1,$E346,""),0)</f>
        <v>0</v>
      </c>
      <c r="L346" s="519">
        <f ca="1">_xlfn.IFNA(IF(VLOOKUP($B346&amp;OFFSET(L$10,$A346*2,0),'Mapping A'!$B$6:$E$1011,4,0)=1,$E346,""),0)</f>
        <v>0</v>
      </c>
      <c r="M346" s="519">
        <f ca="1">_xlfn.IFNA(IF(VLOOKUP($B346&amp;OFFSET(M$10,$A346*2,0),'Mapping A'!$B$6:$E$1011,4,0)=1,$E346,""),0)</f>
        <v>0</v>
      </c>
      <c r="N346" s="519">
        <f ca="1">_xlfn.IFNA(IF(VLOOKUP($B346&amp;OFFSET(N$10,$A346*2,0),'Mapping A'!$B$6:$E$1011,4,0)=1,$E346,""),0)</f>
        <v>0</v>
      </c>
      <c r="O346" s="519">
        <f ca="1">_xlfn.IFNA(IF(VLOOKUP($B346&amp;OFFSET(O$10,$A346*2,0),'Mapping A'!$B$6:$E$1011,4,0)=1,$E346,""),0)</f>
        <v>0</v>
      </c>
      <c r="P346" s="519">
        <f ca="1">_xlfn.IFNA(IF(VLOOKUP($B346&amp;OFFSET(P$10,$A346*2,0),'Mapping A'!$B$6:$E$1011,4,0)=1,$E346,""),0)</f>
        <v>0</v>
      </c>
      <c r="Q346" s="519">
        <f ca="1">_xlfn.IFNA(IF(VLOOKUP($B346&amp;OFFSET(Q$10,$A346*2,0),'Mapping A'!$B$6:$E$1011,4,0)=1,$E346,""),0)</f>
        <v>0</v>
      </c>
      <c r="R346" s="519">
        <f ca="1">_xlfn.IFNA(IF(VLOOKUP($B346&amp;OFFSET(R$10,$A346*2,0),'Mapping A'!$B$6:$E$1011,4,0)=1,$E346,""),0)</f>
        <v>0</v>
      </c>
      <c r="S346" s="519">
        <f ca="1">_xlfn.IFNA(IF(VLOOKUP($B346&amp;OFFSET(S$10,$A346*2,0),'Mapping A'!$B$6:$E$1011,4,0)=1,$E346,""),0)</f>
        <v>0</v>
      </c>
      <c r="T346" s="519">
        <f ca="1">_xlfn.IFNA(IF(VLOOKUP($B346&amp;OFFSET(T$10,$A346*2,0),'Mapping A'!$B$6:$E$1011,4,0)=1,$E346,""),0)</f>
        <v>0</v>
      </c>
      <c r="Y346" s="534" t="str">
        <f t="shared" si="255"/>
        <v>KIK0111Network Tasman</v>
      </c>
      <c r="Z346" s="519" t="str">
        <f t="shared" ref="Z346:AB346" si="306">C112</f>
        <v>Network Tasman</v>
      </c>
      <c r="AA346" s="519" t="str">
        <f t="shared" si="306"/>
        <v>KIK0111</v>
      </c>
      <c r="AB346" s="519">
        <f t="shared" si="306"/>
        <v>3.2886000000000002</v>
      </c>
      <c r="AC346" s="324"/>
      <c r="AE346" s="519">
        <f t="shared" ca="1" si="239"/>
        <v>0</v>
      </c>
      <c r="AF346" s="519">
        <f t="shared" ca="1" si="240"/>
        <v>0</v>
      </c>
      <c r="AG346" s="519">
        <f t="shared" ca="1" si="241"/>
        <v>0</v>
      </c>
      <c r="AH346" s="519">
        <f t="shared" ca="1" si="242"/>
        <v>0</v>
      </c>
      <c r="AI346" s="519">
        <f t="shared" ca="1" si="243"/>
        <v>0</v>
      </c>
      <c r="AJ346" s="519">
        <f t="shared" ca="1" si="244"/>
        <v>0</v>
      </c>
      <c r="AK346" s="519">
        <f t="shared" ca="1" si="245"/>
        <v>0</v>
      </c>
      <c r="AL346" s="519">
        <f t="shared" ca="1" si="246"/>
        <v>0</v>
      </c>
      <c r="AM346" s="519">
        <f t="shared" ca="1" si="247"/>
        <v>0</v>
      </c>
      <c r="AN346" s="519">
        <f t="shared" ca="1" si="248"/>
        <v>0</v>
      </c>
      <c r="AO346" s="519">
        <f t="shared" ca="1" si="249"/>
        <v>0</v>
      </c>
      <c r="AP346" s="519">
        <f t="shared" ca="1" si="250"/>
        <v>0</v>
      </c>
      <c r="AQ346" s="519">
        <f t="shared" ca="1" si="251"/>
        <v>0</v>
      </c>
    </row>
    <row r="347" spans="1:43" x14ac:dyDescent="0.3">
      <c r="A347" s="556">
        <f t="shared" si="252"/>
        <v>2</v>
      </c>
      <c r="B347" s="519" t="str">
        <f t="shared" si="253"/>
        <v>KIN</v>
      </c>
      <c r="C347" s="519" t="str">
        <f t="shared" ref="C347:E347" si="307">C113</f>
        <v>Powerco</v>
      </c>
      <c r="D347" s="519" t="str">
        <f t="shared" si="307"/>
        <v>KIN</v>
      </c>
      <c r="E347" s="519">
        <f t="shared" si="307"/>
        <v>0</v>
      </c>
      <c r="H347" s="519">
        <f ca="1">_xlfn.IFNA(IF(VLOOKUP($B347&amp;OFFSET(H$10,$A347*2,0),'Mapping A'!$B$6:$E$1011,4,0)=1,$E347,""),0)</f>
        <v>0</v>
      </c>
      <c r="I347" s="519">
        <f ca="1">_xlfn.IFNA(IF(VLOOKUP($B347&amp;OFFSET(I$10,$A347*2,0),'Mapping A'!$B$6:$E$1011,4,0)=1,$E347,""),0)</f>
        <v>0</v>
      </c>
      <c r="J347" s="519">
        <f ca="1">_xlfn.IFNA(IF(VLOOKUP($B347&amp;OFFSET(J$10,$A347*2,0),'Mapping A'!$B$6:$E$1011,4,0)=1,$E347,""),0)</f>
        <v>0</v>
      </c>
      <c r="K347" s="519">
        <f ca="1">_xlfn.IFNA(IF(VLOOKUP($B347&amp;OFFSET(K$10,$A347*2,0),'Mapping A'!$B$6:$E$1011,4,0)=1,$E347,""),0)</f>
        <v>0</v>
      </c>
      <c r="L347" s="519">
        <f ca="1">_xlfn.IFNA(IF(VLOOKUP($B347&amp;OFFSET(L$10,$A347*2,0),'Mapping A'!$B$6:$E$1011,4,0)=1,$E347,""),0)</f>
        <v>0</v>
      </c>
      <c r="M347" s="519">
        <f ca="1">_xlfn.IFNA(IF(VLOOKUP($B347&amp;OFFSET(M$10,$A347*2,0),'Mapping A'!$B$6:$E$1011,4,0)=1,$E347,""),0)</f>
        <v>0</v>
      </c>
      <c r="N347" s="519">
        <f ca="1">_xlfn.IFNA(IF(VLOOKUP($B347&amp;OFFSET(N$10,$A347*2,0),'Mapping A'!$B$6:$E$1011,4,0)=1,$E347,""),0)</f>
        <v>0</v>
      </c>
      <c r="O347" s="519">
        <f ca="1">_xlfn.IFNA(IF(VLOOKUP($B347&amp;OFFSET(O$10,$A347*2,0),'Mapping A'!$B$6:$E$1011,4,0)=1,$E347,""),0)</f>
        <v>0</v>
      </c>
      <c r="P347" s="519">
        <f ca="1">_xlfn.IFNA(IF(VLOOKUP($B347&amp;OFFSET(P$10,$A347*2,0),'Mapping A'!$B$6:$E$1011,4,0)=1,$E347,""),0)</f>
        <v>0</v>
      </c>
      <c r="Q347" s="519">
        <f ca="1">_xlfn.IFNA(IF(VLOOKUP($B347&amp;OFFSET(Q$10,$A347*2,0),'Mapping A'!$B$6:$E$1011,4,0)=1,$E347,""),0)</f>
        <v>0</v>
      </c>
      <c r="R347" s="519">
        <f ca="1">_xlfn.IFNA(IF(VLOOKUP($B347&amp;OFFSET(R$10,$A347*2,0),'Mapping A'!$B$6:$E$1011,4,0)=1,$E347,""),0)</f>
        <v>0</v>
      </c>
      <c r="S347" s="519">
        <f ca="1">_xlfn.IFNA(IF(VLOOKUP($B347&amp;OFFSET(S$10,$A347*2,0),'Mapping A'!$B$6:$E$1011,4,0)=1,$E347,""),0)</f>
        <v>0</v>
      </c>
      <c r="T347" s="519">
        <f ca="1">_xlfn.IFNA(IF(VLOOKUP($B347&amp;OFFSET(T$10,$A347*2,0),'Mapping A'!$B$6:$E$1011,4,0)=1,$E347,""),0)</f>
        <v>0</v>
      </c>
      <c r="Y347" s="534" t="str">
        <f t="shared" si="255"/>
        <v>KINPowerco</v>
      </c>
      <c r="Z347" s="519" t="str">
        <f t="shared" ref="Z347:AB347" si="308">C113</f>
        <v>Powerco</v>
      </c>
      <c r="AA347" s="519" t="str">
        <f t="shared" si="308"/>
        <v>KIN</v>
      </c>
      <c r="AB347" s="519">
        <f t="shared" si="308"/>
        <v>0</v>
      </c>
      <c r="AC347" s="324"/>
      <c r="AE347" s="519">
        <f t="shared" ca="1" si="239"/>
        <v>0</v>
      </c>
      <c r="AF347" s="519">
        <f t="shared" ca="1" si="240"/>
        <v>0</v>
      </c>
      <c r="AG347" s="519">
        <f t="shared" ca="1" si="241"/>
        <v>0</v>
      </c>
      <c r="AH347" s="519">
        <f t="shared" ca="1" si="242"/>
        <v>0</v>
      </c>
      <c r="AI347" s="519">
        <f t="shared" ca="1" si="243"/>
        <v>0</v>
      </c>
      <c r="AJ347" s="519">
        <f t="shared" ca="1" si="244"/>
        <v>0</v>
      </c>
      <c r="AK347" s="519">
        <f t="shared" ca="1" si="245"/>
        <v>0</v>
      </c>
      <c r="AL347" s="519">
        <f t="shared" ca="1" si="246"/>
        <v>0</v>
      </c>
      <c r="AM347" s="519">
        <f t="shared" ca="1" si="247"/>
        <v>0</v>
      </c>
      <c r="AN347" s="519">
        <f t="shared" ca="1" si="248"/>
        <v>0</v>
      </c>
      <c r="AO347" s="519">
        <f t="shared" ca="1" si="249"/>
        <v>0</v>
      </c>
      <c r="AP347" s="519">
        <f t="shared" ca="1" si="250"/>
        <v>0</v>
      </c>
      <c r="AQ347" s="519">
        <f t="shared" ca="1" si="251"/>
        <v>0</v>
      </c>
    </row>
    <row r="348" spans="1:43" x14ac:dyDescent="0.3">
      <c r="A348" s="556">
        <f t="shared" si="252"/>
        <v>2</v>
      </c>
      <c r="B348" s="519" t="str">
        <f t="shared" si="253"/>
        <v>KIN</v>
      </c>
      <c r="C348" s="519" t="str">
        <f t="shared" ref="C348:E348" si="309">C114</f>
        <v>Powerco</v>
      </c>
      <c r="D348" s="519" t="str">
        <f t="shared" si="309"/>
        <v>KIN0331</v>
      </c>
      <c r="E348" s="519">
        <f t="shared" si="309"/>
        <v>129.2362</v>
      </c>
      <c r="H348" s="519">
        <f ca="1">_xlfn.IFNA(IF(VLOOKUP($B348&amp;OFFSET(H$10,$A348*2,0),'Mapping A'!$B$6:$E$1011,4,0)=1,$E348,""),0)</f>
        <v>0</v>
      </c>
      <c r="I348" s="519">
        <f ca="1">_xlfn.IFNA(IF(VLOOKUP($B348&amp;OFFSET(I$10,$A348*2,0),'Mapping A'!$B$6:$E$1011,4,0)=1,$E348,""),0)</f>
        <v>0</v>
      </c>
      <c r="J348" s="519">
        <f ca="1">_xlfn.IFNA(IF(VLOOKUP($B348&amp;OFFSET(J$10,$A348*2,0),'Mapping A'!$B$6:$E$1011,4,0)=1,$E348,""),0)</f>
        <v>0</v>
      </c>
      <c r="K348" s="519">
        <f ca="1">_xlfn.IFNA(IF(VLOOKUP($B348&amp;OFFSET(K$10,$A348*2,0),'Mapping A'!$B$6:$E$1011,4,0)=1,$E348,""),0)</f>
        <v>0</v>
      </c>
      <c r="L348" s="519">
        <f ca="1">_xlfn.IFNA(IF(VLOOKUP($B348&amp;OFFSET(L$10,$A348*2,0),'Mapping A'!$B$6:$E$1011,4,0)=1,$E348,""),0)</f>
        <v>0</v>
      </c>
      <c r="M348" s="519">
        <f ca="1">_xlfn.IFNA(IF(VLOOKUP($B348&amp;OFFSET(M$10,$A348*2,0),'Mapping A'!$B$6:$E$1011,4,0)=1,$E348,""),0)</f>
        <v>0</v>
      </c>
      <c r="N348" s="519">
        <f ca="1">_xlfn.IFNA(IF(VLOOKUP($B348&amp;OFFSET(N$10,$A348*2,0),'Mapping A'!$B$6:$E$1011,4,0)=1,$E348,""),0)</f>
        <v>0</v>
      </c>
      <c r="O348" s="519">
        <f ca="1">_xlfn.IFNA(IF(VLOOKUP($B348&amp;OFFSET(O$10,$A348*2,0),'Mapping A'!$B$6:$E$1011,4,0)=1,$E348,""),0)</f>
        <v>0</v>
      </c>
      <c r="P348" s="519">
        <f ca="1">_xlfn.IFNA(IF(VLOOKUP($B348&amp;OFFSET(P$10,$A348*2,0),'Mapping A'!$B$6:$E$1011,4,0)=1,$E348,""),0)</f>
        <v>0</v>
      </c>
      <c r="Q348" s="519">
        <f ca="1">_xlfn.IFNA(IF(VLOOKUP($B348&amp;OFFSET(Q$10,$A348*2,0),'Mapping A'!$B$6:$E$1011,4,0)=1,$E348,""),0)</f>
        <v>0</v>
      </c>
      <c r="R348" s="519">
        <f ca="1">_xlfn.IFNA(IF(VLOOKUP($B348&amp;OFFSET(R$10,$A348*2,0),'Mapping A'!$B$6:$E$1011,4,0)=1,$E348,""),0)</f>
        <v>0</v>
      </c>
      <c r="S348" s="519">
        <f ca="1">_xlfn.IFNA(IF(VLOOKUP($B348&amp;OFFSET(S$10,$A348*2,0),'Mapping A'!$B$6:$E$1011,4,0)=1,$E348,""),0)</f>
        <v>0</v>
      </c>
      <c r="T348" s="519">
        <f ca="1">_xlfn.IFNA(IF(VLOOKUP($B348&amp;OFFSET(T$10,$A348*2,0),'Mapping A'!$B$6:$E$1011,4,0)=1,$E348,""),0)</f>
        <v>0</v>
      </c>
      <c r="Y348" s="534" t="str">
        <f t="shared" si="255"/>
        <v>KIN0331Powerco</v>
      </c>
      <c r="Z348" s="519" t="str">
        <f t="shared" ref="Z348:AB348" si="310">C114</f>
        <v>Powerco</v>
      </c>
      <c r="AA348" s="519" t="str">
        <f t="shared" si="310"/>
        <v>KIN0331</v>
      </c>
      <c r="AB348" s="519">
        <f t="shared" si="310"/>
        <v>129.2362</v>
      </c>
      <c r="AC348" s="324"/>
      <c r="AE348" s="519">
        <f t="shared" ca="1" si="239"/>
        <v>0</v>
      </c>
      <c r="AF348" s="519">
        <f t="shared" ca="1" si="240"/>
        <v>0</v>
      </c>
      <c r="AG348" s="519">
        <f t="shared" ca="1" si="241"/>
        <v>0</v>
      </c>
      <c r="AH348" s="519">
        <f t="shared" ca="1" si="242"/>
        <v>0</v>
      </c>
      <c r="AI348" s="519">
        <f t="shared" ca="1" si="243"/>
        <v>0</v>
      </c>
      <c r="AJ348" s="519">
        <f t="shared" ca="1" si="244"/>
        <v>0</v>
      </c>
      <c r="AK348" s="519">
        <f t="shared" ca="1" si="245"/>
        <v>0</v>
      </c>
      <c r="AL348" s="519">
        <f t="shared" ca="1" si="246"/>
        <v>0</v>
      </c>
      <c r="AM348" s="519">
        <f t="shared" ca="1" si="247"/>
        <v>0</v>
      </c>
      <c r="AN348" s="519">
        <f t="shared" ca="1" si="248"/>
        <v>0</v>
      </c>
      <c r="AO348" s="519">
        <f t="shared" ca="1" si="249"/>
        <v>0</v>
      </c>
      <c r="AP348" s="519">
        <f t="shared" ca="1" si="250"/>
        <v>0</v>
      </c>
      <c r="AQ348" s="519">
        <f t="shared" ca="1" si="251"/>
        <v>0</v>
      </c>
    </row>
    <row r="349" spans="1:43" x14ac:dyDescent="0.3">
      <c r="A349" s="556">
        <f t="shared" si="252"/>
        <v>2</v>
      </c>
      <c r="B349" s="519" t="str">
        <f t="shared" si="253"/>
        <v>KMO</v>
      </c>
      <c r="C349" s="519" t="str">
        <f t="shared" ref="C349:E349" si="311">C115</f>
        <v>Powerco</v>
      </c>
      <c r="D349" s="519" t="str">
        <f t="shared" si="311"/>
        <v>KMO0331</v>
      </c>
      <c r="E349" s="519">
        <f t="shared" si="311"/>
        <v>21.186900000000001</v>
      </c>
      <c r="H349" s="519">
        <f ca="1">_xlfn.IFNA(IF(VLOOKUP($B349&amp;OFFSET(H$10,$A349*2,0),'Mapping A'!$B$6:$E$1011,4,0)=1,$E349,""),0)</f>
        <v>0</v>
      </c>
      <c r="I349" s="519">
        <f ca="1">_xlfn.IFNA(IF(VLOOKUP($B349&amp;OFFSET(I$10,$A349*2,0),'Mapping A'!$B$6:$E$1011,4,0)=1,$E349,""),0)</f>
        <v>0</v>
      </c>
      <c r="J349" s="519">
        <f ca="1">_xlfn.IFNA(IF(VLOOKUP($B349&amp;OFFSET(J$10,$A349*2,0),'Mapping A'!$B$6:$E$1011,4,0)=1,$E349,""),0)</f>
        <v>0</v>
      </c>
      <c r="K349" s="519">
        <f ca="1">_xlfn.IFNA(IF(VLOOKUP($B349&amp;OFFSET(K$10,$A349*2,0),'Mapping A'!$B$6:$E$1011,4,0)=1,$E349,""),0)</f>
        <v>0</v>
      </c>
      <c r="L349" s="519">
        <f ca="1">_xlfn.IFNA(IF(VLOOKUP($B349&amp;OFFSET(L$10,$A349*2,0),'Mapping A'!$B$6:$E$1011,4,0)=1,$E349,""),0)</f>
        <v>0</v>
      </c>
      <c r="M349" s="519">
        <f ca="1">_xlfn.IFNA(IF(VLOOKUP($B349&amp;OFFSET(M$10,$A349*2,0),'Mapping A'!$B$6:$E$1011,4,0)=1,$E349,""),0)</f>
        <v>0</v>
      </c>
      <c r="N349" s="519">
        <f ca="1">_xlfn.IFNA(IF(VLOOKUP($B349&amp;OFFSET(N$10,$A349*2,0),'Mapping A'!$B$6:$E$1011,4,0)=1,$E349,""),0)</f>
        <v>0</v>
      </c>
      <c r="O349" s="519">
        <f ca="1">_xlfn.IFNA(IF(VLOOKUP($B349&amp;OFFSET(O$10,$A349*2,0),'Mapping A'!$B$6:$E$1011,4,0)=1,$E349,""),0)</f>
        <v>0</v>
      </c>
      <c r="P349" s="519">
        <f ca="1">_xlfn.IFNA(IF(VLOOKUP($B349&amp;OFFSET(P$10,$A349*2,0),'Mapping A'!$B$6:$E$1011,4,0)=1,$E349,""),0)</f>
        <v>0</v>
      </c>
      <c r="Q349" s="519">
        <f ca="1">_xlfn.IFNA(IF(VLOOKUP($B349&amp;OFFSET(Q$10,$A349*2,0),'Mapping A'!$B$6:$E$1011,4,0)=1,$E349,""),0)</f>
        <v>0</v>
      </c>
      <c r="R349" s="519">
        <f ca="1">_xlfn.IFNA(IF(VLOOKUP($B349&amp;OFFSET(R$10,$A349*2,0),'Mapping A'!$B$6:$E$1011,4,0)=1,$E349,""),0)</f>
        <v>0</v>
      </c>
      <c r="S349" s="519">
        <f ca="1">_xlfn.IFNA(IF(VLOOKUP($B349&amp;OFFSET(S$10,$A349*2,0),'Mapping A'!$B$6:$E$1011,4,0)=1,$E349,""),0)</f>
        <v>0</v>
      </c>
      <c r="T349" s="519">
        <f ca="1">_xlfn.IFNA(IF(VLOOKUP($B349&amp;OFFSET(T$10,$A349*2,0),'Mapping A'!$B$6:$E$1011,4,0)=1,$E349,""),0)</f>
        <v>0</v>
      </c>
      <c r="Y349" s="534" t="str">
        <f t="shared" si="255"/>
        <v>KMO0331Powerco</v>
      </c>
      <c r="Z349" s="519" t="str">
        <f t="shared" ref="Z349:AB349" si="312">C115</f>
        <v>Powerco</v>
      </c>
      <c r="AA349" s="519" t="str">
        <f t="shared" si="312"/>
        <v>KMO0331</v>
      </c>
      <c r="AB349" s="519">
        <f t="shared" si="312"/>
        <v>21.186900000000001</v>
      </c>
      <c r="AC349" s="324"/>
      <c r="AE349" s="519">
        <f t="shared" ca="1" si="239"/>
        <v>0</v>
      </c>
      <c r="AF349" s="519">
        <f t="shared" ca="1" si="240"/>
        <v>0</v>
      </c>
      <c r="AG349" s="519">
        <f t="shared" ca="1" si="241"/>
        <v>0</v>
      </c>
      <c r="AH349" s="519">
        <f t="shared" ca="1" si="242"/>
        <v>0</v>
      </c>
      <c r="AI349" s="519">
        <f t="shared" ca="1" si="243"/>
        <v>0</v>
      </c>
      <c r="AJ349" s="519">
        <f t="shared" ca="1" si="244"/>
        <v>0</v>
      </c>
      <c r="AK349" s="519">
        <f t="shared" ca="1" si="245"/>
        <v>0</v>
      </c>
      <c r="AL349" s="519">
        <f t="shared" ca="1" si="246"/>
        <v>0</v>
      </c>
      <c r="AM349" s="519">
        <f t="shared" ca="1" si="247"/>
        <v>0</v>
      </c>
      <c r="AN349" s="519">
        <f t="shared" ca="1" si="248"/>
        <v>0</v>
      </c>
      <c r="AO349" s="519">
        <f t="shared" ca="1" si="249"/>
        <v>0</v>
      </c>
      <c r="AP349" s="519">
        <f t="shared" ca="1" si="250"/>
        <v>0</v>
      </c>
      <c r="AQ349" s="519">
        <f t="shared" ca="1" si="251"/>
        <v>0</v>
      </c>
    </row>
    <row r="350" spans="1:43" x14ac:dyDescent="0.3">
      <c r="A350" s="556">
        <f t="shared" si="252"/>
        <v>2</v>
      </c>
      <c r="B350" s="519" t="str">
        <f t="shared" si="253"/>
        <v>KOE</v>
      </c>
      <c r="C350" s="519" t="str">
        <f t="shared" ref="C350:E350" si="313">C116</f>
        <v>Juken</v>
      </c>
      <c r="D350" s="519" t="str">
        <f t="shared" si="313"/>
        <v>KOE1101</v>
      </c>
      <c r="E350" s="519">
        <f t="shared" si="313"/>
        <v>0</v>
      </c>
      <c r="H350" s="519">
        <f ca="1">_xlfn.IFNA(IF(VLOOKUP($B350&amp;OFFSET(H$10,$A350*2,0),'Mapping A'!$B$6:$E$1011,4,0)=1,$E350,""),0)</f>
        <v>0</v>
      </c>
      <c r="I350" s="519">
        <f ca="1">_xlfn.IFNA(IF(VLOOKUP($B350&amp;OFFSET(I$10,$A350*2,0),'Mapping A'!$B$6:$E$1011,4,0)=1,$E350,""),0)</f>
        <v>0</v>
      </c>
      <c r="J350" s="519">
        <f ca="1">_xlfn.IFNA(IF(VLOOKUP($B350&amp;OFFSET(J$10,$A350*2,0),'Mapping A'!$B$6:$E$1011,4,0)=1,$E350,""),0)</f>
        <v>0</v>
      </c>
      <c r="K350" s="519">
        <f ca="1">_xlfn.IFNA(IF(VLOOKUP($B350&amp;OFFSET(K$10,$A350*2,0),'Mapping A'!$B$6:$E$1011,4,0)=1,$E350,""),0)</f>
        <v>0</v>
      </c>
      <c r="L350" s="519">
        <f ca="1">_xlfn.IFNA(IF(VLOOKUP($B350&amp;OFFSET(L$10,$A350*2,0),'Mapping A'!$B$6:$E$1011,4,0)=1,$E350,""),0)</f>
        <v>0</v>
      </c>
      <c r="M350" s="519">
        <f ca="1">_xlfn.IFNA(IF(VLOOKUP($B350&amp;OFFSET(M$10,$A350*2,0),'Mapping A'!$B$6:$E$1011,4,0)=1,$E350,""),0)</f>
        <v>0</v>
      </c>
      <c r="N350" s="519">
        <f ca="1">_xlfn.IFNA(IF(VLOOKUP($B350&amp;OFFSET(N$10,$A350*2,0),'Mapping A'!$B$6:$E$1011,4,0)=1,$E350,""),0)</f>
        <v>0</v>
      </c>
      <c r="O350" s="519">
        <f ca="1">_xlfn.IFNA(IF(VLOOKUP($B350&amp;OFFSET(O$10,$A350*2,0),'Mapping A'!$B$6:$E$1011,4,0)=1,$E350,""),0)</f>
        <v>0</v>
      </c>
      <c r="P350" s="519">
        <f ca="1">_xlfn.IFNA(IF(VLOOKUP($B350&amp;OFFSET(P$10,$A350*2,0),'Mapping A'!$B$6:$E$1011,4,0)=1,$E350,""),0)</f>
        <v>0</v>
      </c>
      <c r="Q350" s="519">
        <f ca="1">_xlfn.IFNA(IF(VLOOKUP($B350&amp;OFFSET(Q$10,$A350*2,0),'Mapping A'!$B$6:$E$1011,4,0)=1,$E350,""),0)</f>
        <v>0</v>
      </c>
      <c r="R350" s="519">
        <f ca="1">_xlfn.IFNA(IF(VLOOKUP($B350&amp;OFFSET(R$10,$A350*2,0),'Mapping A'!$B$6:$E$1011,4,0)=1,$E350,""),0)</f>
        <v>0</v>
      </c>
      <c r="S350" s="519">
        <f ca="1">_xlfn.IFNA(IF(VLOOKUP($B350&amp;OFFSET(S$10,$A350*2,0),'Mapping A'!$B$6:$E$1011,4,0)=1,$E350,""),0)</f>
        <v>0</v>
      </c>
      <c r="T350" s="519">
        <f ca="1">_xlfn.IFNA(IF(VLOOKUP($B350&amp;OFFSET(T$10,$A350*2,0),'Mapping A'!$B$6:$E$1011,4,0)=1,$E350,""),0)</f>
        <v>0</v>
      </c>
      <c r="Y350" s="534" t="str">
        <f t="shared" si="255"/>
        <v>KOE1101Juken</v>
      </c>
      <c r="Z350" s="519" t="str">
        <f t="shared" ref="Z350:AB350" si="314">C116</f>
        <v>Juken</v>
      </c>
      <c r="AA350" s="519" t="str">
        <f t="shared" si="314"/>
        <v>KOE1101</v>
      </c>
      <c r="AB350" s="519">
        <f t="shared" si="314"/>
        <v>0</v>
      </c>
      <c r="AC350" s="324"/>
      <c r="AE350" s="519">
        <f t="shared" ca="1" si="239"/>
        <v>0</v>
      </c>
      <c r="AF350" s="519">
        <f t="shared" ca="1" si="240"/>
        <v>0</v>
      </c>
      <c r="AG350" s="519">
        <f t="shared" ca="1" si="241"/>
        <v>0</v>
      </c>
      <c r="AH350" s="519">
        <f t="shared" ca="1" si="242"/>
        <v>0</v>
      </c>
      <c r="AI350" s="519">
        <f t="shared" ca="1" si="243"/>
        <v>0</v>
      </c>
      <c r="AJ350" s="519">
        <f t="shared" ca="1" si="244"/>
        <v>0</v>
      </c>
      <c r="AK350" s="519">
        <f t="shared" ca="1" si="245"/>
        <v>0</v>
      </c>
      <c r="AL350" s="519">
        <f t="shared" ca="1" si="246"/>
        <v>0</v>
      </c>
      <c r="AM350" s="519">
        <f t="shared" ca="1" si="247"/>
        <v>0</v>
      </c>
      <c r="AN350" s="519">
        <f t="shared" ca="1" si="248"/>
        <v>0</v>
      </c>
      <c r="AO350" s="519">
        <f t="shared" ca="1" si="249"/>
        <v>0</v>
      </c>
      <c r="AP350" s="519">
        <f t="shared" ca="1" si="250"/>
        <v>0</v>
      </c>
      <c r="AQ350" s="519">
        <f t="shared" ca="1" si="251"/>
        <v>0</v>
      </c>
    </row>
    <row r="351" spans="1:43" x14ac:dyDescent="0.3">
      <c r="A351" s="556">
        <f t="shared" si="252"/>
        <v>2</v>
      </c>
      <c r="B351" s="519" t="str">
        <f t="shared" si="253"/>
        <v>KOE</v>
      </c>
      <c r="C351" s="519" t="str">
        <f t="shared" ref="C351:E351" si="315">C117</f>
        <v>Top Energy</v>
      </c>
      <c r="D351" s="519" t="str">
        <f t="shared" si="315"/>
        <v>KOE1101</v>
      </c>
      <c r="E351" s="519">
        <f t="shared" si="315"/>
        <v>73.577700000000007</v>
      </c>
      <c r="H351" s="519">
        <f ca="1">_xlfn.IFNA(IF(VLOOKUP($B351&amp;OFFSET(H$10,$A351*2,0),'Mapping A'!$B$6:$E$1011,4,0)=1,$E351,""),0)</f>
        <v>0</v>
      </c>
      <c r="I351" s="519">
        <f ca="1">_xlfn.IFNA(IF(VLOOKUP($B351&amp;OFFSET(I$10,$A351*2,0),'Mapping A'!$B$6:$E$1011,4,0)=1,$E351,""),0)</f>
        <v>0</v>
      </c>
      <c r="J351" s="519">
        <f ca="1">_xlfn.IFNA(IF(VLOOKUP($B351&amp;OFFSET(J$10,$A351*2,0),'Mapping A'!$B$6:$E$1011,4,0)=1,$E351,""),0)</f>
        <v>0</v>
      </c>
      <c r="K351" s="519">
        <f ca="1">_xlfn.IFNA(IF(VLOOKUP($B351&amp;OFFSET(K$10,$A351*2,0),'Mapping A'!$B$6:$E$1011,4,0)=1,$E351,""),0)</f>
        <v>0</v>
      </c>
      <c r="L351" s="519">
        <f ca="1">_xlfn.IFNA(IF(VLOOKUP($B351&amp;OFFSET(L$10,$A351*2,0),'Mapping A'!$B$6:$E$1011,4,0)=1,$E351,""),0)</f>
        <v>0</v>
      </c>
      <c r="M351" s="519">
        <f ca="1">_xlfn.IFNA(IF(VLOOKUP($B351&amp;OFFSET(M$10,$A351*2,0),'Mapping A'!$B$6:$E$1011,4,0)=1,$E351,""),0)</f>
        <v>0</v>
      </c>
      <c r="N351" s="519">
        <f ca="1">_xlfn.IFNA(IF(VLOOKUP($B351&amp;OFFSET(N$10,$A351*2,0),'Mapping A'!$B$6:$E$1011,4,0)=1,$E351,""),0)</f>
        <v>0</v>
      </c>
      <c r="O351" s="519">
        <f ca="1">_xlfn.IFNA(IF(VLOOKUP($B351&amp;OFFSET(O$10,$A351*2,0),'Mapping A'!$B$6:$E$1011,4,0)=1,$E351,""),0)</f>
        <v>0</v>
      </c>
      <c r="P351" s="519">
        <f ca="1">_xlfn.IFNA(IF(VLOOKUP($B351&amp;OFFSET(P$10,$A351*2,0),'Mapping A'!$B$6:$E$1011,4,0)=1,$E351,""),0)</f>
        <v>0</v>
      </c>
      <c r="Q351" s="519">
        <f ca="1">_xlfn.IFNA(IF(VLOOKUP($B351&amp;OFFSET(Q$10,$A351*2,0),'Mapping A'!$B$6:$E$1011,4,0)=1,$E351,""),0)</f>
        <v>0</v>
      </c>
      <c r="R351" s="519">
        <f ca="1">_xlfn.IFNA(IF(VLOOKUP($B351&amp;OFFSET(R$10,$A351*2,0),'Mapping A'!$B$6:$E$1011,4,0)=1,$E351,""),0)</f>
        <v>0</v>
      </c>
      <c r="S351" s="519">
        <f ca="1">_xlfn.IFNA(IF(VLOOKUP($B351&amp;OFFSET(S$10,$A351*2,0),'Mapping A'!$B$6:$E$1011,4,0)=1,$E351,""),0)</f>
        <v>0</v>
      </c>
      <c r="T351" s="519">
        <f ca="1">_xlfn.IFNA(IF(VLOOKUP($B351&amp;OFFSET(T$10,$A351*2,0),'Mapping A'!$B$6:$E$1011,4,0)=1,$E351,""),0)</f>
        <v>0</v>
      </c>
      <c r="Y351" s="534" t="str">
        <f t="shared" si="255"/>
        <v>KOE1101Top Energy</v>
      </c>
      <c r="Z351" s="519" t="str">
        <f t="shared" ref="Z351:AB351" si="316">C117</f>
        <v>Top Energy</v>
      </c>
      <c r="AA351" s="519" t="str">
        <f t="shared" si="316"/>
        <v>KOE1101</v>
      </c>
      <c r="AB351" s="519">
        <f t="shared" si="316"/>
        <v>73.577700000000007</v>
      </c>
      <c r="AC351" s="324"/>
      <c r="AE351" s="519">
        <f t="shared" ca="1" si="239"/>
        <v>0</v>
      </c>
      <c r="AF351" s="519">
        <f t="shared" ca="1" si="240"/>
        <v>0</v>
      </c>
      <c r="AG351" s="519">
        <f t="shared" ca="1" si="241"/>
        <v>0</v>
      </c>
      <c r="AH351" s="519">
        <f t="shared" ca="1" si="242"/>
        <v>0</v>
      </c>
      <c r="AI351" s="519">
        <f t="shared" ca="1" si="243"/>
        <v>0</v>
      </c>
      <c r="AJ351" s="519">
        <f t="shared" ca="1" si="244"/>
        <v>0</v>
      </c>
      <c r="AK351" s="519">
        <f t="shared" ca="1" si="245"/>
        <v>0</v>
      </c>
      <c r="AL351" s="519">
        <f t="shared" ca="1" si="246"/>
        <v>0</v>
      </c>
      <c r="AM351" s="519">
        <f t="shared" ca="1" si="247"/>
        <v>0</v>
      </c>
      <c r="AN351" s="519">
        <f t="shared" ca="1" si="248"/>
        <v>0</v>
      </c>
      <c r="AO351" s="519">
        <f t="shared" ca="1" si="249"/>
        <v>0</v>
      </c>
      <c r="AP351" s="519">
        <f t="shared" ca="1" si="250"/>
        <v>0</v>
      </c>
      <c r="AQ351" s="519">
        <f t="shared" ca="1" si="251"/>
        <v>0</v>
      </c>
    </row>
    <row r="352" spans="1:43" x14ac:dyDescent="0.3">
      <c r="A352" s="556">
        <f t="shared" si="252"/>
        <v>2</v>
      </c>
      <c r="B352" s="519" t="str">
        <f t="shared" si="253"/>
        <v>KPU</v>
      </c>
      <c r="C352" s="519" t="str">
        <f t="shared" ref="C352:E352" si="317">C118</f>
        <v>Powerco</v>
      </c>
      <c r="D352" s="519" t="str">
        <f t="shared" si="317"/>
        <v>KPU0661</v>
      </c>
      <c r="E352" s="519">
        <f t="shared" si="317"/>
        <v>51.069899999999997</v>
      </c>
      <c r="H352" s="519">
        <f ca="1">_xlfn.IFNA(IF(VLOOKUP($B352&amp;OFFSET(H$10,$A352*2,0),'Mapping A'!$B$6:$E$1011,4,0)=1,$E352,""),0)</f>
        <v>0</v>
      </c>
      <c r="I352" s="519">
        <f ca="1">_xlfn.IFNA(IF(VLOOKUP($B352&amp;OFFSET(I$10,$A352*2,0),'Mapping A'!$B$6:$E$1011,4,0)=1,$E352,""),0)</f>
        <v>0</v>
      </c>
      <c r="J352" s="519">
        <f ca="1">_xlfn.IFNA(IF(VLOOKUP($B352&amp;OFFSET(J$10,$A352*2,0),'Mapping A'!$B$6:$E$1011,4,0)=1,$E352,""),0)</f>
        <v>0</v>
      </c>
      <c r="K352" s="519">
        <f ca="1">_xlfn.IFNA(IF(VLOOKUP($B352&amp;OFFSET(K$10,$A352*2,0),'Mapping A'!$B$6:$E$1011,4,0)=1,$E352,""),0)</f>
        <v>0</v>
      </c>
      <c r="L352" s="519">
        <f ca="1">_xlfn.IFNA(IF(VLOOKUP($B352&amp;OFFSET(L$10,$A352*2,0),'Mapping A'!$B$6:$E$1011,4,0)=1,$E352,""),0)</f>
        <v>0</v>
      </c>
      <c r="M352" s="519">
        <f ca="1">_xlfn.IFNA(IF(VLOOKUP($B352&amp;OFFSET(M$10,$A352*2,0),'Mapping A'!$B$6:$E$1011,4,0)=1,$E352,""),0)</f>
        <v>0</v>
      </c>
      <c r="N352" s="519">
        <f ca="1">_xlfn.IFNA(IF(VLOOKUP($B352&amp;OFFSET(N$10,$A352*2,0),'Mapping A'!$B$6:$E$1011,4,0)=1,$E352,""),0)</f>
        <v>0</v>
      </c>
      <c r="O352" s="519">
        <f ca="1">_xlfn.IFNA(IF(VLOOKUP($B352&amp;OFFSET(O$10,$A352*2,0),'Mapping A'!$B$6:$E$1011,4,0)=1,$E352,""),0)</f>
        <v>0</v>
      </c>
      <c r="P352" s="519">
        <f ca="1">_xlfn.IFNA(IF(VLOOKUP($B352&amp;OFFSET(P$10,$A352*2,0),'Mapping A'!$B$6:$E$1011,4,0)=1,$E352,""),0)</f>
        <v>0</v>
      </c>
      <c r="Q352" s="519">
        <f ca="1">_xlfn.IFNA(IF(VLOOKUP($B352&amp;OFFSET(Q$10,$A352*2,0),'Mapping A'!$B$6:$E$1011,4,0)=1,$E352,""),0)</f>
        <v>0</v>
      </c>
      <c r="R352" s="519">
        <f ca="1">_xlfn.IFNA(IF(VLOOKUP($B352&amp;OFFSET(R$10,$A352*2,0),'Mapping A'!$B$6:$E$1011,4,0)=1,$E352,""),0)</f>
        <v>0</v>
      </c>
      <c r="S352" s="519">
        <f ca="1">_xlfn.IFNA(IF(VLOOKUP($B352&amp;OFFSET(S$10,$A352*2,0),'Mapping A'!$B$6:$E$1011,4,0)=1,$E352,""),0)</f>
        <v>0</v>
      </c>
      <c r="T352" s="519">
        <f ca="1">_xlfn.IFNA(IF(VLOOKUP($B352&amp;OFFSET(T$10,$A352*2,0),'Mapping A'!$B$6:$E$1011,4,0)=1,$E352,""),0)</f>
        <v>0</v>
      </c>
      <c r="Y352" s="534" t="str">
        <f t="shared" si="255"/>
        <v>KPU0661Powerco</v>
      </c>
      <c r="Z352" s="519" t="str">
        <f t="shared" ref="Z352:AB352" si="318">C118</f>
        <v>Powerco</v>
      </c>
      <c r="AA352" s="519" t="str">
        <f t="shared" si="318"/>
        <v>KPU0661</v>
      </c>
      <c r="AB352" s="519">
        <f t="shared" si="318"/>
        <v>51.069899999999997</v>
      </c>
      <c r="AC352" s="324"/>
      <c r="AE352" s="519">
        <f t="shared" ca="1" si="239"/>
        <v>0</v>
      </c>
      <c r="AF352" s="519">
        <f t="shared" ca="1" si="240"/>
        <v>0</v>
      </c>
      <c r="AG352" s="519">
        <f t="shared" ca="1" si="241"/>
        <v>0</v>
      </c>
      <c r="AH352" s="519">
        <f t="shared" ca="1" si="242"/>
        <v>0</v>
      </c>
      <c r="AI352" s="519">
        <f t="shared" ca="1" si="243"/>
        <v>0</v>
      </c>
      <c r="AJ352" s="519">
        <f t="shared" ca="1" si="244"/>
        <v>0</v>
      </c>
      <c r="AK352" s="519">
        <f t="shared" ca="1" si="245"/>
        <v>0</v>
      </c>
      <c r="AL352" s="519">
        <f t="shared" ca="1" si="246"/>
        <v>0</v>
      </c>
      <c r="AM352" s="519">
        <f t="shared" ca="1" si="247"/>
        <v>0</v>
      </c>
      <c r="AN352" s="519">
        <f t="shared" ca="1" si="248"/>
        <v>0</v>
      </c>
      <c r="AO352" s="519">
        <f t="shared" ca="1" si="249"/>
        <v>0</v>
      </c>
      <c r="AP352" s="519">
        <f t="shared" ca="1" si="250"/>
        <v>0</v>
      </c>
      <c r="AQ352" s="519">
        <f t="shared" ca="1" si="251"/>
        <v>0</v>
      </c>
    </row>
    <row r="353" spans="1:43" x14ac:dyDescent="0.3">
      <c r="A353" s="556">
        <f t="shared" si="252"/>
        <v>2</v>
      </c>
      <c r="B353" s="519" t="str">
        <f t="shared" si="253"/>
        <v>KUM</v>
      </c>
      <c r="C353" s="519" t="str">
        <f t="shared" ref="C353:E353" si="319">C119</f>
        <v>Westpower</v>
      </c>
      <c r="D353" s="519" t="str">
        <f t="shared" si="319"/>
        <v>KUM0661</v>
      </c>
      <c r="E353" s="519">
        <f t="shared" si="319"/>
        <v>9.66</v>
      </c>
      <c r="H353" s="519">
        <f ca="1">_xlfn.IFNA(IF(VLOOKUP($B353&amp;OFFSET(H$10,$A353*2,0),'Mapping A'!$B$6:$E$1011,4,0)=1,$E353,""),0)</f>
        <v>0</v>
      </c>
      <c r="I353" s="519">
        <f ca="1">_xlfn.IFNA(IF(VLOOKUP($B353&amp;OFFSET(I$10,$A353*2,0),'Mapping A'!$B$6:$E$1011,4,0)=1,$E353,""),0)</f>
        <v>0</v>
      </c>
      <c r="J353" s="519">
        <f ca="1">_xlfn.IFNA(IF(VLOOKUP($B353&amp;OFFSET(J$10,$A353*2,0),'Mapping A'!$B$6:$E$1011,4,0)=1,$E353,""),0)</f>
        <v>9.66</v>
      </c>
      <c r="K353" s="519">
        <f ca="1">_xlfn.IFNA(IF(VLOOKUP($B353&amp;OFFSET(K$10,$A353*2,0),'Mapping A'!$B$6:$E$1011,4,0)=1,$E353,""),0)</f>
        <v>0</v>
      </c>
      <c r="L353" s="519">
        <f ca="1">_xlfn.IFNA(IF(VLOOKUP($B353&amp;OFFSET(L$10,$A353*2,0),'Mapping A'!$B$6:$E$1011,4,0)=1,$E353,""),0)</f>
        <v>0</v>
      </c>
      <c r="M353" s="519">
        <f ca="1">_xlfn.IFNA(IF(VLOOKUP($B353&amp;OFFSET(M$10,$A353*2,0),'Mapping A'!$B$6:$E$1011,4,0)=1,$E353,""),0)</f>
        <v>0</v>
      </c>
      <c r="N353" s="519">
        <f ca="1">_xlfn.IFNA(IF(VLOOKUP($B353&amp;OFFSET(N$10,$A353*2,0),'Mapping A'!$B$6:$E$1011,4,0)=1,$E353,""),0)</f>
        <v>0</v>
      </c>
      <c r="O353" s="519">
        <f ca="1">_xlfn.IFNA(IF(VLOOKUP($B353&amp;OFFSET(O$10,$A353*2,0),'Mapping A'!$B$6:$E$1011,4,0)=1,$E353,""),0)</f>
        <v>0</v>
      </c>
      <c r="P353" s="519">
        <f ca="1">_xlfn.IFNA(IF(VLOOKUP($B353&amp;OFFSET(P$10,$A353*2,0),'Mapping A'!$B$6:$E$1011,4,0)=1,$E353,""),0)</f>
        <v>0</v>
      </c>
      <c r="Q353" s="519">
        <f ca="1">_xlfn.IFNA(IF(VLOOKUP($B353&amp;OFFSET(Q$10,$A353*2,0),'Mapping A'!$B$6:$E$1011,4,0)=1,$E353,""),0)</f>
        <v>0</v>
      </c>
      <c r="R353" s="519">
        <f ca="1">_xlfn.IFNA(IF(VLOOKUP($B353&amp;OFFSET(R$10,$A353*2,0),'Mapping A'!$B$6:$E$1011,4,0)=1,$E353,""),0)</f>
        <v>0</v>
      </c>
      <c r="S353" s="519">
        <f ca="1">_xlfn.IFNA(IF(VLOOKUP($B353&amp;OFFSET(S$10,$A353*2,0),'Mapping A'!$B$6:$E$1011,4,0)=1,$E353,""),0)</f>
        <v>0</v>
      </c>
      <c r="T353" s="519">
        <f ca="1">_xlfn.IFNA(IF(VLOOKUP($B353&amp;OFFSET(T$10,$A353*2,0),'Mapping A'!$B$6:$E$1011,4,0)=1,$E353,""),0)</f>
        <v>0</v>
      </c>
      <c r="Y353" s="534" t="str">
        <f t="shared" si="255"/>
        <v>KUM0661Westpower</v>
      </c>
      <c r="Z353" s="519" t="str">
        <f t="shared" ref="Z353:AB353" si="320">C119</f>
        <v>Westpower</v>
      </c>
      <c r="AA353" s="519" t="str">
        <f t="shared" si="320"/>
        <v>KUM0661</v>
      </c>
      <c r="AB353" s="519">
        <f t="shared" si="320"/>
        <v>9.66</v>
      </c>
      <c r="AC353" s="324"/>
      <c r="AE353" s="519">
        <f t="shared" ca="1" si="239"/>
        <v>0</v>
      </c>
      <c r="AF353" s="519">
        <f t="shared" ca="1" si="240"/>
        <v>0</v>
      </c>
      <c r="AG353" s="519">
        <f t="shared" ca="1" si="241"/>
        <v>0</v>
      </c>
      <c r="AH353" s="519">
        <f t="shared" ca="1" si="242"/>
        <v>0</v>
      </c>
      <c r="AI353" s="519">
        <f t="shared" ca="1" si="243"/>
        <v>0</v>
      </c>
      <c r="AJ353" s="519">
        <f t="shared" ca="1" si="244"/>
        <v>0</v>
      </c>
      <c r="AK353" s="519">
        <f t="shared" ca="1" si="245"/>
        <v>0</v>
      </c>
      <c r="AL353" s="519">
        <f t="shared" ca="1" si="246"/>
        <v>0</v>
      </c>
      <c r="AM353" s="519">
        <f t="shared" ca="1" si="247"/>
        <v>0</v>
      </c>
      <c r="AN353" s="519">
        <f t="shared" ca="1" si="248"/>
        <v>0</v>
      </c>
      <c r="AO353" s="519">
        <f t="shared" ca="1" si="249"/>
        <v>0</v>
      </c>
      <c r="AP353" s="519">
        <f t="shared" ca="1" si="250"/>
        <v>0</v>
      </c>
      <c r="AQ353" s="519">
        <f t="shared" ca="1" si="251"/>
        <v>0</v>
      </c>
    </row>
    <row r="354" spans="1:43" x14ac:dyDescent="0.3">
      <c r="A354" s="556">
        <f t="shared" si="252"/>
        <v>2</v>
      </c>
      <c r="B354" s="519" t="str">
        <f t="shared" si="253"/>
        <v>KWA</v>
      </c>
      <c r="C354" s="519" t="str">
        <f t="shared" ref="C354:E354" si="321">C120</f>
        <v>Wellington Electricity</v>
      </c>
      <c r="D354" s="519" t="str">
        <f t="shared" si="321"/>
        <v>KWA0111</v>
      </c>
      <c r="E354" s="519">
        <f t="shared" si="321"/>
        <v>34.360199999999999</v>
      </c>
      <c r="H354" s="519">
        <f ca="1">_xlfn.IFNA(IF(VLOOKUP($B354&amp;OFFSET(H$10,$A354*2,0),'Mapping A'!$B$6:$E$1011,4,0)=1,$E354,""),0)</f>
        <v>0</v>
      </c>
      <c r="I354" s="519">
        <f ca="1">_xlfn.IFNA(IF(VLOOKUP($B354&amp;OFFSET(I$10,$A354*2,0),'Mapping A'!$B$6:$E$1011,4,0)=1,$E354,""),0)</f>
        <v>0</v>
      </c>
      <c r="J354" s="519">
        <f ca="1">_xlfn.IFNA(IF(VLOOKUP($B354&amp;OFFSET(J$10,$A354*2,0),'Mapping A'!$B$6:$E$1011,4,0)=1,$E354,""),0)</f>
        <v>0</v>
      </c>
      <c r="K354" s="519">
        <f ca="1">_xlfn.IFNA(IF(VLOOKUP($B354&amp;OFFSET(K$10,$A354*2,0),'Mapping A'!$B$6:$E$1011,4,0)=1,$E354,""),0)</f>
        <v>0</v>
      </c>
      <c r="L354" s="519">
        <f ca="1">_xlfn.IFNA(IF(VLOOKUP($B354&amp;OFFSET(L$10,$A354*2,0),'Mapping A'!$B$6:$E$1011,4,0)=1,$E354,""),0)</f>
        <v>0</v>
      </c>
      <c r="M354" s="519">
        <f ca="1">_xlfn.IFNA(IF(VLOOKUP($B354&amp;OFFSET(M$10,$A354*2,0),'Mapping A'!$B$6:$E$1011,4,0)=1,$E354,""),0)</f>
        <v>0</v>
      </c>
      <c r="N354" s="519">
        <f ca="1">_xlfn.IFNA(IF(VLOOKUP($B354&amp;OFFSET(N$10,$A354*2,0),'Mapping A'!$B$6:$E$1011,4,0)=1,$E354,""),0)</f>
        <v>0</v>
      </c>
      <c r="O354" s="519">
        <f ca="1">_xlfn.IFNA(IF(VLOOKUP($B354&amp;OFFSET(O$10,$A354*2,0),'Mapping A'!$B$6:$E$1011,4,0)=1,$E354,""),0)</f>
        <v>0</v>
      </c>
      <c r="P354" s="519">
        <f ca="1">_xlfn.IFNA(IF(VLOOKUP($B354&amp;OFFSET(P$10,$A354*2,0),'Mapping A'!$B$6:$E$1011,4,0)=1,$E354,""),0)</f>
        <v>0</v>
      </c>
      <c r="Q354" s="519">
        <f ca="1">_xlfn.IFNA(IF(VLOOKUP($B354&amp;OFFSET(Q$10,$A354*2,0),'Mapping A'!$B$6:$E$1011,4,0)=1,$E354,""),0)</f>
        <v>0</v>
      </c>
      <c r="R354" s="519">
        <f ca="1">_xlfn.IFNA(IF(VLOOKUP($B354&amp;OFFSET(R$10,$A354*2,0),'Mapping A'!$B$6:$E$1011,4,0)=1,$E354,""),0)</f>
        <v>0</v>
      </c>
      <c r="S354" s="519">
        <f ca="1">_xlfn.IFNA(IF(VLOOKUP($B354&amp;OFFSET(S$10,$A354*2,0),'Mapping A'!$B$6:$E$1011,4,0)=1,$E354,""),0)</f>
        <v>0</v>
      </c>
      <c r="T354" s="519">
        <f ca="1">_xlfn.IFNA(IF(VLOOKUP($B354&amp;OFFSET(T$10,$A354*2,0),'Mapping A'!$B$6:$E$1011,4,0)=1,$E354,""),0)</f>
        <v>0</v>
      </c>
      <c r="Y354" s="534" t="str">
        <f t="shared" si="255"/>
        <v>KWA0111Wellington Electricity</v>
      </c>
      <c r="Z354" s="519" t="str">
        <f t="shared" ref="Z354:AB354" si="322">C120</f>
        <v>Wellington Electricity</v>
      </c>
      <c r="AA354" s="519" t="str">
        <f t="shared" si="322"/>
        <v>KWA0111</v>
      </c>
      <c r="AB354" s="519">
        <f t="shared" si="322"/>
        <v>34.360199999999999</v>
      </c>
      <c r="AC354" s="324"/>
      <c r="AE354" s="519">
        <f t="shared" ca="1" si="239"/>
        <v>0</v>
      </c>
      <c r="AF354" s="519">
        <f t="shared" ca="1" si="240"/>
        <v>0</v>
      </c>
      <c r="AG354" s="519">
        <f t="shared" ca="1" si="241"/>
        <v>0</v>
      </c>
      <c r="AH354" s="519">
        <f t="shared" ca="1" si="242"/>
        <v>0</v>
      </c>
      <c r="AI354" s="519">
        <f t="shared" ca="1" si="243"/>
        <v>0</v>
      </c>
      <c r="AJ354" s="519">
        <f t="shared" ca="1" si="244"/>
        <v>0</v>
      </c>
      <c r="AK354" s="519">
        <f t="shared" ca="1" si="245"/>
        <v>0</v>
      </c>
      <c r="AL354" s="519">
        <f t="shared" ca="1" si="246"/>
        <v>0</v>
      </c>
      <c r="AM354" s="519">
        <f t="shared" ca="1" si="247"/>
        <v>0</v>
      </c>
      <c r="AN354" s="519">
        <f t="shared" ca="1" si="248"/>
        <v>0</v>
      </c>
      <c r="AO354" s="519">
        <f t="shared" ca="1" si="249"/>
        <v>0</v>
      </c>
      <c r="AP354" s="519">
        <f t="shared" ca="1" si="250"/>
        <v>0</v>
      </c>
      <c r="AQ354" s="519">
        <f t="shared" ca="1" si="251"/>
        <v>0</v>
      </c>
    </row>
    <row r="355" spans="1:43" x14ac:dyDescent="0.3">
      <c r="A355" s="556">
        <f t="shared" si="252"/>
        <v>2</v>
      </c>
      <c r="B355" s="519" t="str">
        <f t="shared" si="253"/>
        <v>LFD</v>
      </c>
      <c r="C355" s="519" t="str">
        <f t="shared" ref="C355:E355" si="323">C121</f>
        <v>Fonterra</v>
      </c>
      <c r="D355" s="519" t="str">
        <f t="shared" si="323"/>
        <v>LFD1101</v>
      </c>
      <c r="E355" s="519">
        <f t="shared" si="323"/>
        <v>7.8855000000000004</v>
      </c>
      <c r="H355" s="519">
        <f ca="1">_xlfn.IFNA(IF(VLOOKUP($B355&amp;OFFSET(H$10,$A355*2,0),'Mapping A'!$B$6:$E$1011,4,0)=1,$E355,""),0)</f>
        <v>0</v>
      </c>
      <c r="I355" s="519">
        <f ca="1">_xlfn.IFNA(IF(VLOOKUP($B355&amp;OFFSET(I$10,$A355*2,0),'Mapping A'!$B$6:$E$1011,4,0)=1,$E355,""),0)</f>
        <v>0</v>
      </c>
      <c r="J355" s="519">
        <f ca="1">_xlfn.IFNA(IF(VLOOKUP($B355&amp;OFFSET(J$10,$A355*2,0),'Mapping A'!$B$6:$E$1011,4,0)=1,$E355,""),0)</f>
        <v>0</v>
      </c>
      <c r="K355" s="519">
        <f ca="1">_xlfn.IFNA(IF(VLOOKUP($B355&amp;OFFSET(K$10,$A355*2,0),'Mapping A'!$B$6:$E$1011,4,0)=1,$E355,""),0)</f>
        <v>0</v>
      </c>
      <c r="L355" s="519">
        <f ca="1">_xlfn.IFNA(IF(VLOOKUP($B355&amp;OFFSET(L$10,$A355*2,0),'Mapping A'!$B$6:$E$1011,4,0)=1,$E355,""),0)</f>
        <v>0</v>
      </c>
      <c r="M355" s="519">
        <f ca="1">_xlfn.IFNA(IF(VLOOKUP($B355&amp;OFFSET(M$10,$A355*2,0),'Mapping A'!$B$6:$E$1011,4,0)=1,$E355,""),0)</f>
        <v>0</v>
      </c>
      <c r="N355" s="519">
        <f ca="1">_xlfn.IFNA(IF(VLOOKUP($B355&amp;OFFSET(N$10,$A355*2,0),'Mapping A'!$B$6:$E$1011,4,0)=1,$E355,""),0)</f>
        <v>0</v>
      </c>
      <c r="O355" s="519">
        <f ca="1">_xlfn.IFNA(IF(VLOOKUP($B355&amp;OFFSET(O$10,$A355*2,0),'Mapping A'!$B$6:$E$1011,4,0)=1,$E355,""),0)</f>
        <v>0</v>
      </c>
      <c r="P355" s="519">
        <f ca="1">_xlfn.IFNA(IF(VLOOKUP($B355&amp;OFFSET(P$10,$A355*2,0),'Mapping A'!$B$6:$E$1011,4,0)=1,$E355,""),0)</f>
        <v>0</v>
      </c>
      <c r="Q355" s="519">
        <f ca="1">_xlfn.IFNA(IF(VLOOKUP($B355&amp;OFFSET(Q$10,$A355*2,0),'Mapping A'!$B$6:$E$1011,4,0)=1,$E355,""),0)</f>
        <v>0</v>
      </c>
      <c r="R355" s="519">
        <f ca="1">_xlfn.IFNA(IF(VLOOKUP($B355&amp;OFFSET(R$10,$A355*2,0),'Mapping A'!$B$6:$E$1011,4,0)=1,$E355,""),0)</f>
        <v>0</v>
      </c>
      <c r="S355" s="519">
        <f ca="1">_xlfn.IFNA(IF(VLOOKUP($B355&amp;OFFSET(S$10,$A355*2,0),'Mapping A'!$B$6:$E$1011,4,0)=1,$E355,""),0)</f>
        <v>0</v>
      </c>
      <c r="T355" s="519">
        <f ca="1">_xlfn.IFNA(IF(VLOOKUP($B355&amp;OFFSET(T$10,$A355*2,0),'Mapping A'!$B$6:$E$1011,4,0)=1,$E355,""),0)</f>
        <v>0</v>
      </c>
      <c r="Y355" s="534" t="str">
        <f t="shared" si="255"/>
        <v>LFD1101Fonterra</v>
      </c>
      <c r="Z355" s="519" t="str">
        <f t="shared" ref="Z355:AB355" si="324">C121</f>
        <v>Fonterra</v>
      </c>
      <c r="AA355" s="519" t="str">
        <f t="shared" si="324"/>
        <v>LFD1101</v>
      </c>
      <c r="AB355" s="519">
        <f t="shared" si="324"/>
        <v>7.8855000000000004</v>
      </c>
      <c r="AC355" s="324"/>
      <c r="AE355" s="519">
        <f t="shared" ca="1" si="239"/>
        <v>0</v>
      </c>
      <c r="AF355" s="519">
        <f t="shared" ca="1" si="240"/>
        <v>0</v>
      </c>
      <c r="AG355" s="519">
        <f t="shared" ca="1" si="241"/>
        <v>0</v>
      </c>
      <c r="AH355" s="519">
        <f t="shared" ca="1" si="242"/>
        <v>0</v>
      </c>
      <c r="AI355" s="519">
        <f t="shared" ca="1" si="243"/>
        <v>0</v>
      </c>
      <c r="AJ355" s="519">
        <f t="shared" ca="1" si="244"/>
        <v>0</v>
      </c>
      <c r="AK355" s="519">
        <f t="shared" ca="1" si="245"/>
        <v>0</v>
      </c>
      <c r="AL355" s="519">
        <f t="shared" ca="1" si="246"/>
        <v>0</v>
      </c>
      <c r="AM355" s="519">
        <f t="shared" ca="1" si="247"/>
        <v>0</v>
      </c>
      <c r="AN355" s="519">
        <f t="shared" ca="1" si="248"/>
        <v>0</v>
      </c>
      <c r="AO355" s="519">
        <f t="shared" ca="1" si="249"/>
        <v>0</v>
      </c>
      <c r="AP355" s="519">
        <f t="shared" ca="1" si="250"/>
        <v>0</v>
      </c>
      <c r="AQ355" s="519">
        <f t="shared" ca="1" si="251"/>
        <v>0</v>
      </c>
    </row>
    <row r="356" spans="1:43" x14ac:dyDescent="0.3">
      <c r="A356" s="556">
        <f t="shared" si="252"/>
        <v>2</v>
      </c>
      <c r="B356" s="519" t="str">
        <f t="shared" si="253"/>
        <v>LFD</v>
      </c>
      <c r="C356" s="519" t="str">
        <f t="shared" ref="C356:E356" si="325">C122</f>
        <v>Fonterra</v>
      </c>
      <c r="D356" s="519" t="str">
        <f t="shared" si="325"/>
        <v>LFD1102</v>
      </c>
      <c r="E356" s="519">
        <f t="shared" si="325"/>
        <v>5.4032999999999998</v>
      </c>
      <c r="H356" s="519">
        <f ca="1">_xlfn.IFNA(IF(VLOOKUP($B356&amp;OFFSET(H$10,$A356*2,0),'Mapping A'!$B$6:$E$1011,4,0)=1,$E356,""),0)</f>
        <v>0</v>
      </c>
      <c r="I356" s="519">
        <f ca="1">_xlfn.IFNA(IF(VLOOKUP($B356&amp;OFFSET(I$10,$A356*2,0),'Mapping A'!$B$6:$E$1011,4,0)=1,$E356,""),0)</f>
        <v>0</v>
      </c>
      <c r="J356" s="519">
        <f ca="1">_xlfn.IFNA(IF(VLOOKUP($B356&amp;OFFSET(J$10,$A356*2,0),'Mapping A'!$B$6:$E$1011,4,0)=1,$E356,""),0)</f>
        <v>0</v>
      </c>
      <c r="K356" s="519">
        <f ca="1">_xlfn.IFNA(IF(VLOOKUP($B356&amp;OFFSET(K$10,$A356*2,0),'Mapping A'!$B$6:$E$1011,4,0)=1,$E356,""),0)</f>
        <v>0</v>
      </c>
      <c r="L356" s="519">
        <f ca="1">_xlfn.IFNA(IF(VLOOKUP($B356&amp;OFFSET(L$10,$A356*2,0),'Mapping A'!$B$6:$E$1011,4,0)=1,$E356,""),0)</f>
        <v>0</v>
      </c>
      <c r="M356" s="519">
        <f ca="1">_xlfn.IFNA(IF(VLOOKUP($B356&amp;OFFSET(M$10,$A356*2,0),'Mapping A'!$B$6:$E$1011,4,0)=1,$E356,""),0)</f>
        <v>0</v>
      </c>
      <c r="N356" s="519">
        <f ca="1">_xlfn.IFNA(IF(VLOOKUP($B356&amp;OFFSET(N$10,$A356*2,0),'Mapping A'!$B$6:$E$1011,4,0)=1,$E356,""),0)</f>
        <v>0</v>
      </c>
      <c r="O356" s="519">
        <f ca="1">_xlfn.IFNA(IF(VLOOKUP($B356&amp;OFFSET(O$10,$A356*2,0),'Mapping A'!$B$6:$E$1011,4,0)=1,$E356,""),0)</f>
        <v>0</v>
      </c>
      <c r="P356" s="519">
        <f ca="1">_xlfn.IFNA(IF(VLOOKUP($B356&amp;OFFSET(P$10,$A356*2,0),'Mapping A'!$B$6:$E$1011,4,0)=1,$E356,""),0)</f>
        <v>0</v>
      </c>
      <c r="Q356" s="519">
        <f ca="1">_xlfn.IFNA(IF(VLOOKUP($B356&amp;OFFSET(Q$10,$A356*2,0),'Mapping A'!$B$6:$E$1011,4,0)=1,$E356,""),0)</f>
        <v>0</v>
      </c>
      <c r="R356" s="519">
        <f ca="1">_xlfn.IFNA(IF(VLOOKUP($B356&amp;OFFSET(R$10,$A356*2,0),'Mapping A'!$B$6:$E$1011,4,0)=1,$E356,""),0)</f>
        <v>0</v>
      </c>
      <c r="S356" s="519">
        <f ca="1">_xlfn.IFNA(IF(VLOOKUP($B356&amp;OFFSET(S$10,$A356*2,0),'Mapping A'!$B$6:$E$1011,4,0)=1,$E356,""),0)</f>
        <v>0</v>
      </c>
      <c r="T356" s="519">
        <f ca="1">_xlfn.IFNA(IF(VLOOKUP($B356&amp;OFFSET(T$10,$A356*2,0),'Mapping A'!$B$6:$E$1011,4,0)=1,$E356,""),0)</f>
        <v>0</v>
      </c>
      <c r="Y356" s="534" t="str">
        <f t="shared" si="255"/>
        <v>LFD1102Fonterra</v>
      </c>
      <c r="Z356" s="519" t="str">
        <f t="shared" ref="Z356:AB356" si="326">C122</f>
        <v>Fonterra</v>
      </c>
      <c r="AA356" s="519" t="str">
        <f t="shared" si="326"/>
        <v>LFD1102</v>
      </c>
      <c r="AB356" s="519">
        <f t="shared" si="326"/>
        <v>5.4032999999999998</v>
      </c>
      <c r="AC356" s="324"/>
      <c r="AE356" s="519">
        <f t="shared" ca="1" si="239"/>
        <v>0</v>
      </c>
      <c r="AF356" s="519">
        <f t="shared" ca="1" si="240"/>
        <v>0</v>
      </c>
      <c r="AG356" s="519">
        <f t="shared" ca="1" si="241"/>
        <v>0</v>
      </c>
      <c r="AH356" s="519">
        <f t="shared" ca="1" si="242"/>
        <v>0</v>
      </c>
      <c r="AI356" s="519">
        <f t="shared" ca="1" si="243"/>
        <v>0</v>
      </c>
      <c r="AJ356" s="519">
        <f t="shared" ca="1" si="244"/>
        <v>0</v>
      </c>
      <c r="AK356" s="519">
        <f t="shared" ca="1" si="245"/>
        <v>0</v>
      </c>
      <c r="AL356" s="519">
        <f t="shared" ca="1" si="246"/>
        <v>0</v>
      </c>
      <c r="AM356" s="519">
        <f t="shared" ca="1" si="247"/>
        <v>0</v>
      </c>
      <c r="AN356" s="519">
        <f t="shared" ca="1" si="248"/>
        <v>0</v>
      </c>
      <c r="AO356" s="519">
        <f t="shared" ca="1" si="249"/>
        <v>0</v>
      </c>
      <c r="AP356" s="519">
        <f t="shared" ca="1" si="250"/>
        <v>0</v>
      </c>
      <c r="AQ356" s="519">
        <f t="shared" ca="1" si="251"/>
        <v>0</v>
      </c>
    </row>
    <row r="357" spans="1:43" x14ac:dyDescent="0.3">
      <c r="A357" s="556">
        <f t="shared" si="252"/>
        <v>2</v>
      </c>
      <c r="B357" s="519" t="str">
        <f t="shared" si="253"/>
        <v>LTN</v>
      </c>
      <c r="C357" s="519" t="str">
        <f t="shared" ref="C357:E357" si="327">C123</f>
        <v>Powerco</v>
      </c>
      <c r="D357" s="519" t="str">
        <f t="shared" si="327"/>
        <v>LTN0331</v>
      </c>
      <c r="E357" s="519">
        <f t="shared" si="327"/>
        <v>60.731999999999999</v>
      </c>
      <c r="H357" s="519">
        <f ca="1">_xlfn.IFNA(IF(VLOOKUP($B357&amp;OFFSET(H$10,$A357*2,0),'Mapping A'!$B$6:$E$1011,4,0)=1,$E357,""),0)</f>
        <v>0</v>
      </c>
      <c r="I357" s="519">
        <f ca="1">_xlfn.IFNA(IF(VLOOKUP($B357&amp;OFFSET(I$10,$A357*2,0),'Mapping A'!$B$6:$E$1011,4,0)=1,$E357,""),0)</f>
        <v>0</v>
      </c>
      <c r="J357" s="519">
        <f ca="1">_xlfn.IFNA(IF(VLOOKUP($B357&amp;OFFSET(J$10,$A357*2,0),'Mapping A'!$B$6:$E$1011,4,0)=1,$E357,""),0)</f>
        <v>0</v>
      </c>
      <c r="K357" s="519">
        <f ca="1">_xlfn.IFNA(IF(VLOOKUP($B357&amp;OFFSET(K$10,$A357*2,0),'Mapping A'!$B$6:$E$1011,4,0)=1,$E357,""),0)</f>
        <v>0</v>
      </c>
      <c r="L357" s="519">
        <f ca="1">_xlfn.IFNA(IF(VLOOKUP($B357&amp;OFFSET(L$10,$A357*2,0),'Mapping A'!$B$6:$E$1011,4,0)=1,$E357,""),0)</f>
        <v>0</v>
      </c>
      <c r="M357" s="519">
        <f ca="1">_xlfn.IFNA(IF(VLOOKUP($B357&amp;OFFSET(M$10,$A357*2,0),'Mapping A'!$B$6:$E$1011,4,0)=1,$E357,""),0)</f>
        <v>0</v>
      </c>
      <c r="N357" s="519">
        <f ca="1">_xlfn.IFNA(IF(VLOOKUP($B357&amp;OFFSET(N$10,$A357*2,0),'Mapping A'!$B$6:$E$1011,4,0)=1,$E357,""),0)</f>
        <v>0</v>
      </c>
      <c r="O357" s="519">
        <f ca="1">_xlfn.IFNA(IF(VLOOKUP($B357&amp;OFFSET(O$10,$A357*2,0),'Mapping A'!$B$6:$E$1011,4,0)=1,$E357,""),0)</f>
        <v>0</v>
      </c>
      <c r="P357" s="519">
        <f ca="1">_xlfn.IFNA(IF(VLOOKUP($B357&amp;OFFSET(P$10,$A357*2,0),'Mapping A'!$B$6:$E$1011,4,0)=1,$E357,""),0)</f>
        <v>0</v>
      </c>
      <c r="Q357" s="519">
        <f ca="1">_xlfn.IFNA(IF(VLOOKUP($B357&amp;OFFSET(Q$10,$A357*2,0),'Mapping A'!$B$6:$E$1011,4,0)=1,$E357,""),0)</f>
        <v>0</v>
      </c>
      <c r="R357" s="519">
        <f ca="1">_xlfn.IFNA(IF(VLOOKUP($B357&amp;OFFSET(R$10,$A357*2,0),'Mapping A'!$B$6:$E$1011,4,0)=1,$E357,""),0)</f>
        <v>0</v>
      </c>
      <c r="S357" s="519">
        <f ca="1">_xlfn.IFNA(IF(VLOOKUP($B357&amp;OFFSET(S$10,$A357*2,0),'Mapping A'!$B$6:$E$1011,4,0)=1,$E357,""),0)</f>
        <v>0</v>
      </c>
      <c r="T357" s="519">
        <f ca="1">_xlfn.IFNA(IF(VLOOKUP($B357&amp;OFFSET(T$10,$A357*2,0),'Mapping A'!$B$6:$E$1011,4,0)=1,$E357,""),0)</f>
        <v>0</v>
      </c>
      <c r="Y357" s="534" t="str">
        <f t="shared" si="255"/>
        <v>LTN0331Powerco</v>
      </c>
      <c r="Z357" s="519" t="str">
        <f t="shared" ref="Z357:AB357" si="328">C123</f>
        <v>Powerco</v>
      </c>
      <c r="AA357" s="519" t="str">
        <f t="shared" si="328"/>
        <v>LTN0331</v>
      </c>
      <c r="AB357" s="519">
        <f t="shared" si="328"/>
        <v>60.731999999999999</v>
      </c>
      <c r="AC357" s="324"/>
      <c r="AE357" s="519">
        <f t="shared" ca="1" si="239"/>
        <v>0</v>
      </c>
      <c r="AF357" s="519">
        <f t="shared" ca="1" si="240"/>
        <v>0</v>
      </c>
      <c r="AG357" s="519">
        <f t="shared" ca="1" si="241"/>
        <v>0</v>
      </c>
      <c r="AH357" s="519">
        <f t="shared" ca="1" si="242"/>
        <v>0</v>
      </c>
      <c r="AI357" s="519">
        <f t="shared" ca="1" si="243"/>
        <v>0</v>
      </c>
      <c r="AJ357" s="519">
        <f t="shared" ca="1" si="244"/>
        <v>0</v>
      </c>
      <c r="AK357" s="519">
        <f t="shared" ca="1" si="245"/>
        <v>0</v>
      </c>
      <c r="AL357" s="519">
        <f t="shared" ca="1" si="246"/>
        <v>0</v>
      </c>
      <c r="AM357" s="519">
        <f t="shared" ca="1" si="247"/>
        <v>0</v>
      </c>
      <c r="AN357" s="519">
        <f t="shared" ca="1" si="248"/>
        <v>0</v>
      </c>
      <c r="AO357" s="519">
        <f t="shared" ca="1" si="249"/>
        <v>0</v>
      </c>
      <c r="AP357" s="519">
        <f t="shared" ca="1" si="250"/>
        <v>0</v>
      </c>
      <c r="AQ357" s="519">
        <f t="shared" ca="1" si="251"/>
        <v>0</v>
      </c>
    </row>
    <row r="358" spans="1:43" x14ac:dyDescent="0.3">
      <c r="A358" s="556">
        <f t="shared" si="252"/>
        <v>2</v>
      </c>
      <c r="B358" s="519" t="str">
        <f t="shared" si="253"/>
        <v>MAT</v>
      </c>
      <c r="C358" s="519" t="str">
        <f t="shared" ref="C358:E358" si="329">C124</f>
        <v>TrustPower</v>
      </c>
      <c r="D358" s="519" t="str">
        <f t="shared" si="329"/>
        <v>MAT1101</v>
      </c>
      <c r="E358" s="519">
        <f t="shared" si="329"/>
        <v>3.1415999999999999</v>
      </c>
      <c r="H358" s="519">
        <f ca="1">_xlfn.IFNA(IF(VLOOKUP($B358&amp;OFFSET(H$10,$A358*2,0),'Mapping A'!$B$6:$E$1011,4,0)=1,$E358,""),0)</f>
        <v>0</v>
      </c>
      <c r="I358" s="519">
        <f ca="1">_xlfn.IFNA(IF(VLOOKUP($B358&amp;OFFSET(I$10,$A358*2,0),'Mapping A'!$B$6:$E$1011,4,0)=1,$E358,""),0)</f>
        <v>0</v>
      </c>
      <c r="J358" s="519">
        <f ca="1">_xlfn.IFNA(IF(VLOOKUP($B358&amp;OFFSET(J$10,$A358*2,0),'Mapping A'!$B$6:$E$1011,4,0)=1,$E358,""),0)</f>
        <v>0</v>
      </c>
      <c r="K358" s="519">
        <f ca="1">_xlfn.IFNA(IF(VLOOKUP($B358&amp;OFFSET(K$10,$A358*2,0),'Mapping A'!$B$6:$E$1011,4,0)=1,$E358,""),0)</f>
        <v>0</v>
      </c>
      <c r="L358" s="519">
        <f ca="1">_xlfn.IFNA(IF(VLOOKUP($B358&amp;OFFSET(L$10,$A358*2,0),'Mapping A'!$B$6:$E$1011,4,0)=1,$E358,""),0)</f>
        <v>0</v>
      </c>
      <c r="M358" s="519">
        <f ca="1">_xlfn.IFNA(IF(VLOOKUP($B358&amp;OFFSET(M$10,$A358*2,0),'Mapping A'!$B$6:$E$1011,4,0)=1,$E358,""),0)</f>
        <v>0</v>
      </c>
      <c r="N358" s="519">
        <f ca="1">_xlfn.IFNA(IF(VLOOKUP($B358&amp;OFFSET(N$10,$A358*2,0),'Mapping A'!$B$6:$E$1011,4,0)=1,$E358,""),0)</f>
        <v>0</v>
      </c>
      <c r="O358" s="519">
        <f ca="1">_xlfn.IFNA(IF(VLOOKUP($B358&amp;OFFSET(O$10,$A358*2,0),'Mapping A'!$B$6:$E$1011,4,0)=1,$E358,""),0)</f>
        <v>0</v>
      </c>
      <c r="P358" s="519">
        <f ca="1">_xlfn.IFNA(IF(VLOOKUP($B358&amp;OFFSET(P$10,$A358*2,0),'Mapping A'!$B$6:$E$1011,4,0)=1,$E358,""),0)</f>
        <v>0</v>
      </c>
      <c r="Q358" s="519">
        <f ca="1">_xlfn.IFNA(IF(VLOOKUP($B358&amp;OFFSET(Q$10,$A358*2,0),'Mapping A'!$B$6:$E$1011,4,0)=1,$E358,""),0)</f>
        <v>0</v>
      </c>
      <c r="R358" s="519">
        <f ca="1">_xlfn.IFNA(IF(VLOOKUP($B358&amp;OFFSET(R$10,$A358*2,0),'Mapping A'!$B$6:$E$1011,4,0)=1,$E358,""),0)</f>
        <v>0</v>
      </c>
      <c r="S358" s="519">
        <f ca="1">_xlfn.IFNA(IF(VLOOKUP($B358&amp;OFFSET(S$10,$A358*2,0),'Mapping A'!$B$6:$E$1011,4,0)=1,$E358,""),0)</f>
        <v>0</v>
      </c>
      <c r="T358" s="519">
        <f ca="1">_xlfn.IFNA(IF(VLOOKUP($B358&amp;OFFSET(T$10,$A358*2,0),'Mapping A'!$B$6:$E$1011,4,0)=1,$E358,""),0)</f>
        <v>0</v>
      </c>
      <c r="Y358" s="534" t="str">
        <f t="shared" si="255"/>
        <v>MAT1101TrustPower</v>
      </c>
      <c r="Z358" s="519" t="str">
        <f t="shared" ref="Z358:AB358" si="330">C124</f>
        <v>TrustPower</v>
      </c>
      <c r="AA358" s="519" t="str">
        <f t="shared" si="330"/>
        <v>MAT1101</v>
      </c>
      <c r="AB358" s="519">
        <f t="shared" si="330"/>
        <v>3.1415999999999999</v>
      </c>
      <c r="AC358" s="324"/>
      <c r="AE358" s="519">
        <f t="shared" ca="1" si="239"/>
        <v>0</v>
      </c>
      <c r="AF358" s="519">
        <f t="shared" ca="1" si="240"/>
        <v>0</v>
      </c>
      <c r="AG358" s="519">
        <f t="shared" ca="1" si="241"/>
        <v>0</v>
      </c>
      <c r="AH358" s="519">
        <f t="shared" ca="1" si="242"/>
        <v>0</v>
      </c>
      <c r="AI358" s="519">
        <f t="shared" ca="1" si="243"/>
        <v>0</v>
      </c>
      <c r="AJ358" s="519">
        <f t="shared" ca="1" si="244"/>
        <v>0</v>
      </c>
      <c r="AK358" s="519">
        <f t="shared" ca="1" si="245"/>
        <v>0</v>
      </c>
      <c r="AL358" s="519">
        <f t="shared" ca="1" si="246"/>
        <v>0</v>
      </c>
      <c r="AM358" s="519">
        <f t="shared" ca="1" si="247"/>
        <v>0</v>
      </c>
      <c r="AN358" s="519">
        <f t="shared" ca="1" si="248"/>
        <v>0</v>
      </c>
      <c r="AO358" s="519">
        <f t="shared" ca="1" si="249"/>
        <v>0</v>
      </c>
      <c r="AP358" s="519">
        <f t="shared" ca="1" si="250"/>
        <v>0</v>
      </c>
      <c r="AQ358" s="519">
        <f t="shared" ca="1" si="251"/>
        <v>0</v>
      </c>
    </row>
    <row r="359" spans="1:43" x14ac:dyDescent="0.3">
      <c r="A359" s="556">
        <f t="shared" si="252"/>
        <v>2</v>
      </c>
      <c r="B359" s="519" t="str">
        <f t="shared" si="253"/>
        <v>MAT</v>
      </c>
      <c r="C359" s="519" t="str">
        <f t="shared" ref="C359:E359" si="331">C125</f>
        <v>TrustPower</v>
      </c>
      <c r="D359" s="519" t="str">
        <f t="shared" si="331"/>
        <v>MAT1102</v>
      </c>
      <c r="E359" s="519">
        <f t="shared" si="331"/>
        <v>0.99539999999999995</v>
      </c>
      <c r="H359" s="519">
        <f ca="1">_xlfn.IFNA(IF(VLOOKUP($B359&amp;OFFSET(H$10,$A359*2,0),'Mapping A'!$B$6:$E$1011,4,0)=1,$E359,""),0)</f>
        <v>0</v>
      </c>
      <c r="I359" s="519">
        <f ca="1">_xlfn.IFNA(IF(VLOOKUP($B359&amp;OFFSET(I$10,$A359*2,0),'Mapping A'!$B$6:$E$1011,4,0)=1,$E359,""),0)</f>
        <v>0</v>
      </c>
      <c r="J359" s="519">
        <f ca="1">_xlfn.IFNA(IF(VLOOKUP($B359&amp;OFFSET(J$10,$A359*2,0),'Mapping A'!$B$6:$E$1011,4,0)=1,$E359,""),0)</f>
        <v>0</v>
      </c>
      <c r="K359" s="519">
        <f ca="1">_xlfn.IFNA(IF(VLOOKUP($B359&amp;OFFSET(K$10,$A359*2,0),'Mapping A'!$B$6:$E$1011,4,0)=1,$E359,""),0)</f>
        <v>0</v>
      </c>
      <c r="L359" s="519">
        <f ca="1">_xlfn.IFNA(IF(VLOOKUP($B359&amp;OFFSET(L$10,$A359*2,0),'Mapping A'!$B$6:$E$1011,4,0)=1,$E359,""),0)</f>
        <v>0</v>
      </c>
      <c r="M359" s="519">
        <f ca="1">_xlfn.IFNA(IF(VLOOKUP($B359&amp;OFFSET(M$10,$A359*2,0),'Mapping A'!$B$6:$E$1011,4,0)=1,$E359,""),0)</f>
        <v>0</v>
      </c>
      <c r="N359" s="519">
        <f ca="1">_xlfn.IFNA(IF(VLOOKUP($B359&amp;OFFSET(N$10,$A359*2,0),'Mapping A'!$B$6:$E$1011,4,0)=1,$E359,""),0)</f>
        <v>0</v>
      </c>
      <c r="O359" s="519">
        <f ca="1">_xlfn.IFNA(IF(VLOOKUP($B359&amp;OFFSET(O$10,$A359*2,0),'Mapping A'!$B$6:$E$1011,4,0)=1,$E359,""),0)</f>
        <v>0</v>
      </c>
      <c r="P359" s="519">
        <f ca="1">_xlfn.IFNA(IF(VLOOKUP($B359&amp;OFFSET(P$10,$A359*2,0),'Mapping A'!$B$6:$E$1011,4,0)=1,$E359,""),0)</f>
        <v>0</v>
      </c>
      <c r="Q359" s="519">
        <f ca="1">_xlfn.IFNA(IF(VLOOKUP($B359&amp;OFFSET(Q$10,$A359*2,0),'Mapping A'!$B$6:$E$1011,4,0)=1,$E359,""),0)</f>
        <v>0</v>
      </c>
      <c r="R359" s="519">
        <f ca="1">_xlfn.IFNA(IF(VLOOKUP($B359&amp;OFFSET(R$10,$A359*2,0),'Mapping A'!$B$6:$E$1011,4,0)=1,$E359,""),0)</f>
        <v>0</v>
      </c>
      <c r="S359" s="519">
        <f ca="1">_xlfn.IFNA(IF(VLOOKUP($B359&amp;OFFSET(S$10,$A359*2,0),'Mapping A'!$B$6:$E$1011,4,0)=1,$E359,""),0)</f>
        <v>0</v>
      </c>
      <c r="T359" s="519">
        <f ca="1">_xlfn.IFNA(IF(VLOOKUP($B359&amp;OFFSET(T$10,$A359*2,0),'Mapping A'!$B$6:$E$1011,4,0)=1,$E359,""),0)</f>
        <v>0</v>
      </c>
      <c r="Y359" s="534" t="str">
        <f t="shared" si="255"/>
        <v>MAT1102TrustPower</v>
      </c>
      <c r="Z359" s="519" t="str">
        <f t="shared" ref="Z359:AB359" si="332">C125</f>
        <v>TrustPower</v>
      </c>
      <c r="AA359" s="519" t="str">
        <f t="shared" si="332"/>
        <v>MAT1102</v>
      </c>
      <c r="AB359" s="519">
        <f t="shared" si="332"/>
        <v>0.99539999999999995</v>
      </c>
      <c r="AC359" s="324"/>
      <c r="AE359" s="519">
        <f t="shared" ca="1" si="239"/>
        <v>0</v>
      </c>
      <c r="AF359" s="519">
        <f t="shared" ca="1" si="240"/>
        <v>0</v>
      </c>
      <c r="AG359" s="519">
        <f t="shared" ca="1" si="241"/>
        <v>0</v>
      </c>
      <c r="AH359" s="519">
        <f t="shared" ca="1" si="242"/>
        <v>0</v>
      </c>
      <c r="AI359" s="519">
        <f t="shared" ca="1" si="243"/>
        <v>0</v>
      </c>
      <c r="AJ359" s="519">
        <f t="shared" ca="1" si="244"/>
        <v>0</v>
      </c>
      <c r="AK359" s="519">
        <f t="shared" ca="1" si="245"/>
        <v>0</v>
      </c>
      <c r="AL359" s="519">
        <f t="shared" ca="1" si="246"/>
        <v>0</v>
      </c>
      <c r="AM359" s="519">
        <f t="shared" ca="1" si="247"/>
        <v>0</v>
      </c>
      <c r="AN359" s="519">
        <f t="shared" ca="1" si="248"/>
        <v>0</v>
      </c>
      <c r="AO359" s="519">
        <f t="shared" ca="1" si="249"/>
        <v>0</v>
      </c>
      <c r="AP359" s="519">
        <f t="shared" ca="1" si="250"/>
        <v>0</v>
      </c>
      <c r="AQ359" s="519">
        <f t="shared" ca="1" si="251"/>
        <v>0</v>
      </c>
    </row>
    <row r="360" spans="1:43" x14ac:dyDescent="0.3">
      <c r="A360" s="556">
        <f t="shared" si="252"/>
        <v>2</v>
      </c>
      <c r="B360" s="519" t="str">
        <f t="shared" si="253"/>
        <v>MCH</v>
      </c>
      <c r="C360" s="519" t="str">
        <f t="shared" ref="C360:E360" si="333">C126</f>
        <v>Network Tasman</v>
      </c>
      <c r="D360" s="519" t="str">
        <f t="shared" si="333"/>
        <v>MCH0111</v>
      </c>
      <c r="E360" s="519">
        <f t="shared" si="333"/>
        <v>2.7698999999999998</v>
      </c>
      <c r="H360" s="519">
        <f ca="1">_xlfn.IFNA(IF(VLOOKUP($B360&amp;OFFSET(H$10,$A360*2,0),'Mapping A'!$B$6:$E$1011,4,0)=1,$E360,""),0)</f>
        <v>0</v>
      </c>
      <c r="I360" s="519">
        <f ca="1">_xlfn.IFNA(IF(VLOOKUP($B360&amp;OFFSET(I$10,$A360*2,0),'Mapping A'!$B$6:$E$1011,4,0)=1,$E360,""),0)</f>
        <v>0</v>
      </c>
      <c r="J360" s="519">
        <f ca="1">_xlfn.IFNA(IF(VLOOKUP($B360&amp;OFFSET(J$10,$A360*2,0),'Mapping A'!$B$6:$E$1011,4,0)=1,$E360,""),0)</f>
        <v>2.7698999999999998</v>
      </c>
      <c r="K360" s="519">
        <f ca="1">_xlfn.IFNA(IF(VLOOKUP($B360&amp;OFFSET(K$10,$A360*2,0),'Mapping A'!$B$6:$E$1011,4,0)=1,$E360,""),0)</f>
        <v>0</v>
      </c>
      <c r="L360" s="519">
        <f ca="1">_xlfn.IFNA(IF(VLOOKUP($B360&amp;OFFSET(L$10,$A360*2,0),'Mapping A'!$B$6:$E$1011,4,0)=1,$E360,""),0)</f>
        <v>0</v>
      </c>
      <c r="M360" s="519">
        <f ca="1">_xlfn.IFNA(IF(VLOOKUP($B360&amp;OFFSET(M$10,$A360*2,0),'Mapping A'!$B$6:$E$1011,4,0)=1,$E360,""),0)</f>
        <v>0</v>
      </c>
      <c r="N360" s="519">
        <f ca="1">_xlfn.IFNA(IF(VLOOKUP($B360&amp;OFFSET(N$10,$A360*2,0),'Mapping A'!$B$6:$E$1011,4,0)=1,$E360,""),0)</f>
        <v>0</v>
      </c>
      <c r="O360" s="519">
        <f ca="1">_xlfn.IFNA(IF(VLOOKUP($B360&amp;OFFSET(O$10,$A360*2,0),'Mapping A'!$B$6:$E$1011,4,0)=1,$E360,""),0)</f>
        <v>0</v>
      </c>
      <c r="P360" s="519">
        <f ca="1">_xlfn.IFNA(IF(VLOOKUP($B360&amp;OFFSET(P$10,$A360*2,0),'Mapping A'!$B$6:$E$1011,4,0)=1,$E360,""),0)</f>
        <v>0</v>
      </c>
      <c r="Q360" s="519">
        <f ca="1">_xlfn.IFNA(IF(VLOOKUP($B360&amp;OFFSET(Q$10,$A360*2,0),'Mapping A'!$B$6:$E$1011,4,0)=1,$E360,""),0)</f>
        <v>0</v>
      </c>
      <c r="R360" s="519">
        <f ca="1">_xlfn.IFNA(IF(VLOOKUP($B360&amp;OFFSET(R$10,$A360*2,0),'Mapping A'!$B$6:$E$1011,4,0)=1,$E360,""),0)</f>
        <v>0</v>
      </c>
      <c r="S360" s="519">
        <f ca="1">_xlfn.IFNA(IF(VLOOKUP($B360&amp;OFFSET(S$10,$A360*2,0),'Mapping A'!$B$6:$E$1011,4,0)=1,$E360,""),0)</f>
        <v>0</v>
      </c>
      <c r="T360" s="519">
        <f ca="1">_xlfn.IFNA(IF(VLOOKUP($B360&amp;OFFSET(T$10,$A360*2,0),'Mapping A'!$B$6:$E$1011,4,0)=1,$E360,""),0)</f>
        <v>0</v>
      </c>
      <c r="Y360" s="534" t="str">
        <f t="shared" si="255"/>
        <v>MCH0111Network Tasman</v>
      </c>
      <c r="Z360" s="519" t="str">
        <f t="shared" ref="Z360:AB360" si="334">C126</f>
        <v>Network Tasman</v>
      </c>
      <c r="AA360" s="519" t="str">
        <f t="shared" si="334"/>
        <v>MCH0111</v>
      </c>
      <c r="AB360" s="519">
        <f t="shared" si="334"/>
        <v>2.7698999999999998</v>
      </c>
      <c r="AC360" s="324"/>
      <c r="AE360" s="519">
        <f t="shared" ca="1" si="239"/>
        <v>0</v>
      </c>
      <c r="AF360" s="519">
        <f t="shared" ca="1" si="240"/>
        <v>0</v>
      </c>
      <c r="AG360" s="519">
        <f t="shared" ca="1" si="241"/>
        <v>0</v>
      </c>
      <c r="AH360" s="519">
        <f t="shared" ca="1" si="242"/>
        <v>0</v>
      </c>
      <c r="AI360" s="519">
        <f t="shared" ca="1" si="243"/>
        <v>0</v>
      </c>
      <c r="AJ360" s="519">
        <f t="shared" ca="1" si="244"/>
        <v>0</v>
      </c>
      <c r="AK360" s="519">
        <f t="shared" ca="1" si="245"/>
        <v>0</v>
      </c>
      <c r="AL360" s="519">
        <f t="shared" ca="1" si="246"/>
        <v>0</v>
      </c>
      <c r="AM360" s="519">
        <f t="shared" ca="1" si="247"/>
        <v>0</v>
      </c>
      <c r="AN360" s="519">
        <f t="shared" ca="1" si="248"/>
        <v>0</v>
      </c>
      <c r="AO360" s="519">
        <f t="shared" ca="1" si="249"/>
        <v>0</v>
      </c>
      <c r="AP360" s="519">
        <f t="shared" ca="1" si="250"/>
        <v>0</v>
      </c>
      <c r="AQ360" s="519">
        <f t="shared" ca="1" si="251"/>
        <v>0</v>
      </c>
    </row>
    <row r="361" spans="1:43" x14ac:dyDescent="0.3">
      <c r="A361" s="556">
        <f t="shared" si="252"/>
        <v>2</v>
      </c>
      <c r="B361" s="519" t="str">
        <f t="shared" si="253"/>
        <v>MER</v>
      </c>
      <c r="C361" s="519" t="str">
        <f t="shared" ref="C361:E361" si="335">C127</f>
        <v>WEL</v>
      </c>
      <c r="D361" s="519" t="str">
        <f t="shared" si="335"/>
        <v>MER0331</v>
      </c>
      <c r="E361" s="519">
        <f t="shared" si="335"/>
        <v>8.3999999999999995E-3</v>
      </c>
      <c r="H361" s="519">
        <f ca="1">_xlfn.IFNA(IF(VLOOKUP($B361&amp;OFFSET(H$10,$A361*2,0),'Mapping A'!$B$6:$E$1011,4,0)=1,$E361,""),0)</f>
        <v>0</v>
      </c>
      <c r="I361" s="519">
        <f ca="1">_xlfn.IFNA(IF(VLOOKUP($B361&amp;OFFSET(I$10,$A361*2,0),'Mapping A'!$B$6:$E$1011,4,0)=1,$E361,""),0)</f>
        <v>0</v>
      </c>
      <c r="J361" s="519">
        <f ca="1">_xlfn.IFNA(IF(VLOOKUP($B361&amp;OFFSET(J$10,$A361*2,0),'Mapping A'!$B$6:$E$1011,4,0)=1,$E361,""),0)</f>
        <v>0</v>
      </c>
      <c r="K361" s="519">
        <f ca="1">_xlfn.IFNA(IF(VLOOKUP($B361&amp;OFFSET(K$10,$A361*2,0),'Mapping A'!$B$6:$E$1011,4,0)=1,$E361,""),0)</f>
        <v>0</v>
      </c>
      <c r="L361" s="519">
        <f ca="1">_xlfn.IFNA(IF(VLOOKUP($B361&amp;OFFSET(L$10,$A361*2,0),'Mapping A'!$B$6:$E$1011,4,0)=1,$E361,""),0)</f>
        <v>0</v>
      </c>
      <c r="M361" s="519">
        <f ca="1">_xlfn.IFNA(IF(VLOOKUP($B361&amp;OFFSET(M$10,$A361*2,0),'Mapping A'!$B$6:$E$1011,4,0)=1,$E361,""),0)</f>
        <v>0</v>
      </c>
      <c r="N361" s="519">
        <f ca="1">_xlfn.IFNA(IF(VLOOKUP($B361&amp;OFFSET(N$10,$A361*2,0),'Mapping A'!$B$6:$E$1011,4,0)=1,$E361,""),0)</f>
        <v>0</v>
      </c>
      <c r="O361" s="519">
        <f ca="1">_xlfn.IFNA(IF(VLOOKUP($B361&amp;OFFSET(O$10,$A361*2,0),'Mapping A'!$B$6:$E$1011,4,0)=1,$E361,""),0)</f>
        <v>0</v>
      </c>
      <c r="P361" s="519">
        <f ca="1">_xlfn.IFNA(IF(VLOOKUP($B361&amp;OFFSET(P$10,$A361*2,0),'Mapping A'!$B$6:$E$1011,4,0)=1,$E361,""),0)</f>
        <v>0</v>
      </c>
      <c r="Q361" s="519">
        <f ca="1">_xlfn.IFNA(IF(VLOOKUP($B361&amp;OFFSET(Q$10,$A361*2,0),'Mapping A'!$B$6:$E$1011,4,0)=1,$E361,""),0)</f>
        <v>0</v>
      </c>
      <c r="R361" s="519">
        <f ca="1">_xlfn.IFNA(IF(VLOOKUP($B361&amp;OFFSET(R$10,$A361*2,0),'Mapping A'!$B$6:$E$1011,4,0)=1,$E361,""),0)</f>
        <v>0</v>
      </c>
      <c r="S361" s="519">
        <f ca="1">_xlfn.IFNA(IF(VLOOKUP($B361&amp;OFFSET(S$10,$A361*2,0),'Mapping A'!$B$6:$E$1011,4,0)=1,$E361,""),0)</f>
        <v>0</v>
      </c>
      <c r="T361" s="519">
        <f ca="1">_xlfn.IFNA(IF(VLOOKUP($B361&amp;OFFSET(T$10,$A361*2,0),'Mapping A'!$B$6:$E$1011,4,0)=1,$E361,""),0)</f>
        <v>0</v>
      </c>
      <c r="Y361" s="534" t="str">
        <f t="shared" si="255"/>
        <v>MER0331WEL</v>
      </c>
      <c r="Z361" s="519" t="str">
        <f t="shared" ref="Z361:AB361" si="336">C127</f>
        <v>WEL</v>
      </c>
      <c r="AA361" s="519" t="str">
        <f t="shared" si="336"/>
        <v>MER0331</v>
      </c>
      <c r="AB361" s="519">
        <f t="shared" si="336"/>
        <v>8.3999999999999995E-3</v>
      </c>
      <c r="AC361" s="324"/>
      <c r="AE361" s="519">
        <f t="shared" ca="1" si="239"/>
        <v>0</v>
      </c>
      <c r="AF361" s="519">
        <f t="shared" ca="1" si="240"/>
        <v>0</v>
      </c>
      <c r="AG361" s="519">
        <f t="shared" ca="1" si="241"/>
        <v>0</v>
      </c>
      <c r="AH361" s="519">
        <f t="shared" ca="1" si="242"/>
        <v>0</v>
      </c>
      <c r="AI361" s="519">
        <f t="shared" ca="1" si="243"/>
        <v>0</v>
      </c>
      <c r="AJ361" s="519">
        <f t="shared" ca="1" si="244"/>
        <v>0</v>
      </c>
      <c r="AK361" s="519">
        <f t="shared" ca="1" si="245"/>
        <v>0</v>
      </c>
      <c r="AL361" s="519">
        <f t="shared" ca="1" si="246"/>
        <v>0</v>
      </c>
      <c r="AM361" s="519">
        <f t="shared" ca="1" si="247"/>
        <v>0</v>
      </c>
      <c r="AN361" s="519">
        <f t="shared" ca="1" si="248"/>
        <v>0</v>
      </c>
      <c r="AO361" s="519">
        <f t="shared" ca="1" si="249"/>
        <v>0</v>
      </c>
      <c r="AP361" s="519">
        <f t="shared" ca="1" si="250"/>
        <v>0</v>
      </c>
      <c r="AQ361" s="519">
        <f t="shared" ca="1" si="251"/>
        <v>0</v>
      </c>
    </row>
    <row r="362" spans="1:43" x14ac:dyDescent="0.3">
      <c r="A362" s="556">
        <f t="shared" si="252"/>
        <v>2</v>
      </c>
      <c r="B362" s="519" t="str">
        <f t="shared" si="253"/>
        <v>MGM</v>
      </c>
      <c r="C362" s="519" t="str">
        <f t="shared" ref="C362:E362" si="337">C128</f>
        <v>Powerco</v>
      </c>
      <c r="D362" s="519" t="str">
        <f t="shared" si="337"/>
        <v>MGM0331</v>
      </c>
      <c r="E362" s="519">
        <f t="shared" si="337"/>
        <v>11.894399999999999</v>
      </c>
      <c r="H362" s="519">
        <f ca="1">_xlfn.IFNA(IF(VLOOKUP($B362&amp;OFFSET(H$10,$A362*2,0),'Mapping A'!$B$6:$E$1011,4,0)=1,$E362,""),0)</f>
        <v>0</v>
      </c>
      <c r="I362" s="519">
        <f ca="1">_xlfn.IFNA(IF(VLOOKUP($B362&amp;OFFSET(I$10,$A362*2,0),'Mapping A'!$B$6:$E$1011,4,0)=1,$E362,""),0)</f>
        <v>0</v>
      </c>
      <c r="J362" s="519">
        <f ca="1">_xlfn.IFNA(IF(VLOOKUP($B362&amp;OFFSET(J$10,$A362*2,0),'Mapping A'!$B$6:$E$1011,4,0)=1,$E362,""),0)</f>
        <v>0</v>
      </c>
      <c r="K362" s="519">
        <f ca="1">_xlfn.IFNA(IF(VLOOKUP($B362&amp;OFFSET(K$10,$A362*2,0),'Mapping A'!$B$6:$E$1011,4,0)=1,$E362,""),0)</f>
        <v>0</v>
      </c>
      <c r="L362" s="519">
        <f ca="1">_xlfn.IFNA(IF(VLOOKUP($B362&amp;OFFSET(L$10,$A362*2,0),'Mapping A'!$B$6:$E$1011,4,0)=1,$E362,""),0)</f>
        <v>0</v>
      </c>
      <c r="M362" s="519">
        <f ca="1">_xlfn.IFNA(IF(VLOOKUP($B362&amp;OFFSET(M$10,$A362*2,0),'Mapping A'!$B$6:$E$1011,4,0)=1,$E362,""),0)</f>
        <v>0</v>
      </c>
      <c r="N362" s="519">
        <f ca="1">_xlfn.IFNA(IF(VLOOKUP($B362&amp;OFFSET(N$10,$A362*2,0),'Mapping A'!$B$6:$E$1011,4,0)=1,$E362,""),0)</f>
        <v>0</v>
      </c>
      <c r="O362" s="519">
        <f ca="1">_xlfn.IFNA(IF(VLOOKUP($B362&amp;OFFSET(O$10,$A362*2,0),'Mapping A'!$B$6:$E$1011,4,0)=1,$E362,""),0)</f>
        <v>0</v>
      </c>
      <c r="P362" s="519">
        <f ca="1">_xlfn.IFNA(IF(VLOOKUP($B362&amp;OFFSET(P$10,$A362*2,0),'Mapping A'!$B$6:$E$1011,4,0)=1,$E362,""),0)</f>
        <v>0</v>
      </c>
      <c r="Q362" s="519">
        <f ca="1">_xlfn.IFNA(IF(VLOOKUP($B362&amp;OFFSET(Q$10,$A362*2,0),'Mapping A'!$B$6:$E$1011,4,0)=1,$E362,""),0)</f>
        <v>0</v>
      </c>
      <c r="R362" s="519">
        <f ca="1">_xlfn.IFNA(IF(VLOOKUP($B362&amp;OFFSET(R$10,$A362*2,0),'Mapping A'!$B$6:$E$1011,4,0)=1,$E362,""),0)</f>
        <v>0</v>
      </c>
      <c r="S362" s="519">
        <f ca="1">_xlfn.IFNA(IF(VLOOKUP($B362&amp;OFFSET(S$10,$A362*2,0),'Mapping A'!$B$6:$E$1011,4,0)=1,$E362,""),0)</f>
        <v>0</v>
      </c>
      <c r="T362" s="519">
        <f ca="1">_xlfn.IFNA(IF(VLOOKUP($B362&amp;OFFSET(T$10,$A362*2,0),'Mapping A'!$B$6:$E$1011,4,0)=1,$E362,""),0)</f>
        <v>0</v>
      </c>
      <c r="Y362" s="534" t="str">
        <f t="shared" si="255"/>
        <v>MGM0331Powerco</v>
      </c>
      <c r="Z362" s="519" t="str">
        <f t="shared" ref="Z362:AB362" si="338">C128</f>
        <v>Powerco</v>
      </c>
      <c r="AA362" s="519" t="str">
        <f t="shared" si="338"/>
        <v>MGM0331</v>
      </c>
      <c r="AB362" s="519">
        <f t="shared" si="338"/>
        <v>11.894399999999999</v>
      </c>
      <c r="AC362" s="324"/>
      <c r="AE362" s="519">
        <f t="shared" ca="1" si="239"/>
        <v>0</v>
      </c>
      <c r="AF362" s="519">
        <f t="shared" ca="1" si="240"/>
        <v>0</v>
      </c>
      <c r="AG362" s="519">
        <f t="shared" ca="1" si="241"/>
        <v>0</v>
      </c>
      <c r="AH362" s="519">
        <f t="shared" ca="1" si="242"/>
        <v>0</v>
      </c>
      <c r="AI362" s="519">
        <f t="shared" ca="1" si="243"/>
        <v>0</v>
      </c>
      <c r="AJ362" s="519">
        <f t="shared" ca="1" si="244"/>
        <v>0</v>
      </c>
      <c r="AK362" s="519">
        <f t="shared" ca="1" si="245"/>
        <v>0</v>
      </c>
      <c r="AL362" s="519">
        <f t="shared" ca="1" si="246"/>
        <v>0</v>
      </c>
      <c r="AM362" s="519">
        <f t="shared" ca="1" si="247"/>
        <v>0</v>
      </c>
      <c r="AN362" s="519">
        <f t="shared" ca="1" si="248"/>
        <v>0</v>
      </c>
      <c r="AO362" s="519">
        <f t="shared" ca="1" si="249"/>
        <v>0</v>
      </c>
      <c r="AP362" s="519">
        <f t="shared" ca="1" si="250"/>
        <v>0</v>
      </c>
      <c r="AQ362" s="519">
        <f t="shared" ca="1" si="251"/>
        <v>0</v>
      </c>
    </row>
    <row r="363" spans="1:43" x14ac:dyDescent="0.3">
      <c r="A363" s="556">
        <f t="shared" si="252"/>
        <v>2</v>
      </c>
      <c r="B363" s="519" t="str">
        <f t="shared" si="253"/>
        <v>MHO</v>
      </c>
      <c r="C363" s="519" t="str">
        <f t="shared" ref="C363:E363" si="339">C129</f>
        <v>Electra</v>
      </c>
      <c r="D363" s="519" t="str">
        <f t="shared" si="339"/>
        <v>MHO0331</v>
      </c>
      <c r="E363" s="519">
        <f t="shared" si="339"/>
        <v>37.193100000000001</v>
      </c>
      <c r="H363" s="519">
        <f ca="1">_xlfn.IFNA(IF(VLOOKUP($B363&amp;OFFSET(H$10,$A363*2,0),'Mapping A'!$B$6:$E$1011,4,0)=1,$E363,""),0)</f>
        <v>0</v>
      </c>
      <c r="I363" s="519">
        <f ca="1">_xlfn.IFNA(IF(VLOOKUP($B363&amp;OFFSET(I$10,$A363*2,0),'Mapping A'!$B$6:$E$1011,4,0)=1,$E363,""),0)</f>
        <v>0</v>
      </c>
      <c r="J363" s="519">
        <f ca="1">_xlfn.IFNA(IF(VLOOKUP($B363&amp;OFFSET(J$10,$A363*2,0),'Mapping A'!$B$6:$E$1011,4,0)=1,$E363,""),0)</f>
        <v>0</v>
      </c>
      <c r="K363" s="519">
        <f ca="1">_xlfn.IFNA(IF(VLOOKUP($B363&amp;OFFSET(K$10,$A363*2,0),'Mapping A'!$B$6:$E$1011,4,0)=1,$E363,""),0)</f>
        <v>0</v>
      </c>
      <c r="L363" s="519">
        <f ca="1">_xlfn.IFNA(IF(VLOOKUP($B363&amp;OFFSET(L$10,$A363*2,0),'Mapping A'!$B$6:$E$1011,4,0)=1,$E363,""),0)</f>
        <v>0</v>
      </c>
      <c r="M363" s="519">
        <f ca="1">_xlfn.IFNA(IF(VLOOKUP($B363&amp;OFFSET(M$10,$A363*2,0),'Mapping A'!$B$6:$E$1011,4,0)=1,$E363,""),0)</f>
        <v>0</v>
      </c>
      <c r="N363" s="519">
        <f ca="1">_xlfn.IFNA(IF(VLOOKUP($B363&amp;OFFSET(N$10,$A363*2,0),'Mapping A'!$B$6:$E$1011,4,0)=1,$E363,""),0)</f>
        <v>0</v>
      </c>
      <c r="O363" s="519">
        <f ca="1">_xlfn.IFNA(IF(VLOOKUP($B363&amp;OFFSET(O$10,$A363*2,0),'Mapping A'!$B$6:$E$1011,4,0)=1,$E363,""),0)</f>
        <v>0</v>
      </c>
      <c r="P363" s="519">
        <f ca="1">_xlfn.IFNA(IF(VLOOKUP($B363&amp;OFFSET(P$10,$A363*2,0),'Mapping A'!$B$6:$E$1011,4,0)=1,$E363,""),0)</f>
        <v>0</v>
      </c>
      <c r="Q363" s="519">
        <f ca="1">_xlfn.IFNA(IF(VLOOKUP($B363&amp;OFFSET(Q$10,$A363*2,0),'Mapping A'!$B$6:$E$1011,4,0)=1,$E363,""),0)</f>
        <v>0</v>
      </c>
      <c r="R363" s="519">
        <f ca="1">_xlfn.IFNA(IF(VLOOKUP($B363&amp;OFFSET(R$10,$A363*2,0),'Mapping A'!$B$6:$E$1011,4,0)=1,$E363,""),0)</f>
        <v>0</v>
      </c>
      <c r="S363" s="519">
        <f ca="1">_xlfn.IFNA(IF(VLOOKUP($B363&amp;OFFSET(S$10,$A363*2,0),'Mapping A'!$B$6:$E$1011,4,0)=1,$E363,""),0)</f>
        <v>0</v>
      </c>
      <c r="T363" s="519">
        <f ca="1">_xlfn.IFNA(IF(VLOOKUP($B363&amp;OFFSET(T$10,$A363*2,0),'Mapping A'!$B$6:$E$1011,4,0)=1,$E363,""),0)</f>
        <v>0</v>
      </c>
      <c r="Y363" s="534" t="str">
        <f t="shared" si="255"/>
        <v>MHO0331Electra</v>
      </c>
      <c r="Z363" s="519" t="str">
        <f t="shared" ref="Z363:AB363" si="340">C129</f>
        <v>Electra</v>
      </c>
      <c r="AA363" s="519" t="str">
        <f t="shared" si="340"/>
        <v>MHO0331</v>
      </c>
      <c r="AB363" s="519">
        <f t="shared" si="340"/>
        <v>37.193100000000001</v>
      </c>
      <c r="AC363" s="324"/>
      <c r="AE363" s="519">
        <f t="shared" ca="1" si="239"/>
        <v>0</v>
      </c>
      <c r="AF363" s="519">
        <f t="shared" ca="1" si="240"/>
        <v>0</v>
      </c>
      <c r="AG363" s="519">
        <f t="shared" ca="1" si="241"/>
        <v>0</v>
      </c>
      <c r="AH363" s="519">
        <f t="shared" ca="1" si="242"/>
        <v>0</v>
      </c>
      <c r="AI363" s="519">
        <f t="shared" ca="1" si="243"/>
        <v>0</v>
      </c>
      <c r="AJ363" s="519">
        <f t="shared" ca="1" si="244"/>
        <v>0</v>
      </c>
      <c r="AK363" s="519">
        <f t="shared" ca="1" si="245"/>
        <v>0</v>
      </c>
      <c r="AL363" s="519">
        <f t="shared" ca="1" si="246"/>
        <v>0</v>
      </c>
      <c r="AM363" s="519">
        <f t="shared" ca="1" si="247"/>
        <v>0</v>
      </c>
      <c r="AN363" s="519">
        <f t="shared" ca="1" si="248"/>
        <v>0</v>
      </c>
      <c r="AO363" s="519">
        <f t="shared" ca="1" si="249"/>
        <v>0</v>
      </c>
      <c r="AP363" s="519">
        <f t="shared" ca="1" si="250"/>
        <v>0</v>
      </c>
      <c r="AQ363" s="519">
        <f t="shared" ca="1" si="251"/>
        <v>0</v>
      </c>
    </row>
    <row r="364" spans="1:43" x14ac:dyDescent="0.3">
      <c r="A364" s="556">
        <f t="shared" si="252"/>
        <v>2</v>
      </c>
      <c r="B364" s="519" t="str">
        <f t="shared" si="253"/>
        <v>MKE</v>
      </c>
      <c r="C364" s="519" t="str">
        <f t="shared" ref="C364:E364" si="341">C130</f>
        <v>Todd</v>
      </c>
      <c r="D364" s="519" t="str">
        <f t="shared" si="341"/>
        <v>MKE1101</v>
      </c>
      <c r="E364" s="519">
        <f t="shared" si="341"/>
        <v>0.86939999999999995</v>
      </c>
      <c r="H364" s="519">
        <f ca="1">_xlfn.IFNA(IF(VLOOKUP($B364&amp;OFFSET(H$10,$A364*2,0),'Mapping A'!$B$6:$E$1011,4,0)=1,$E364,""),0)</f>
        <v>0</v>
      </c>
      <c r="I364" s="519">
        <f ca="1">_xlfn.IFNA(IF(VLOOKUP($B364&amp;OFFSET(I$10,$A364*2,0),'Mapping A'!$B$6:$E$1011,4,0)=1,$E364,""),0)</f>
        <v>0</v>
      </c>
      <c r="J364" s="519">
        <f ca="1">_xlfn.IFNA(IF(VLOOKUP($B364&amp;OFFSET(J$10,$A364*2,0),'Mapping A'!$B$6:$E$1011,4,0)=1,$E364,""),0)</f>
        <v>0</v>
      </c>
      <c r="K364" s="519">
        <f ca="1">_xlfn.IFNA(IF(VLOOKUP($B364&amp;OFFSET(K$10,$A364*2,0),'Mapping A'!$B$6:$E$1011,4,0)=1,$E364,""),0)</f>
        <v>0</v>
      </c>
      <c r="L364" s="519">
        <f ca="1">_xlfn.IFNA(IF(VLOOKUP($B364&amp;OFFSET(L$10,$A364*2,0),'Mapping A'!$B$6:$E$1011,4,0)=1,$E364,""),0)</f>
        <v>0</v>
      </c>
      <c r="M364" s="519">
        <f ca="1">_xlfn.IFNA(IF(VLOOKUP($B364&amp;OFFSET(M$10,$A364*2,0),'Mapping A'!$B$6:$E$1011,4,0)=1,$E364,""),0)</f>
        <v>0</v>
      </c>
      <c r="N364" s="519">
        <f ca="1">_xlfn.IFNA(IF(VLOOKUP($B364&amp;OFFSET(N$10,$A364*2,0),'Mapping A'!$B$6:$E$1011,4,0)=1,$E364,""),0)</f>
        <v>0</v>
      </c>
      <c r="O364" s="519">
        <f ca="1">_xlfn.IFNA(IF(VLOOKUP($B364&amp;OFFSET(O$10,$A364*2,0),'Mapping A'!$B$6:$E$1011,4,0)=1,$E364,""),0)</f>
        <v>0</v>
      </c>
      <c r="P364" s="519">
        <f ca="1">_xlfn.IFNA(IF(VLOOKUP($B364&amp;OFFSET(P$10,$A364*2,0),'Mapping A'!$B$6:$E$1011,4,0)=1,$E364,""),0)</f>
        <v>0</v>
      </c>
      <c r="Q364" s="519">
        <f ca="1">_xlfn.IFNA(IF(VLOOKUP($B364&amp;OFFSET(Q$10,$A364*2,0),'Mapping A'!$B$6:$E$1011,4,0)=1,$E364,""),0)</f>
        <v>0</v>
      </c>
      <c r="R364" s="519">
        <f ca="1">_xlfn.IFNA(IF(VLOOKUP($B364&amp;OFFSET(R$10,$A364*2,0),'Mapping A'!$B$6:$E$1011,4,0)=1,$E364,""),0)</f>
        <v>0</v>
      </c>
      <c r="S364" s="519">
        <f ca="1">_xlfn.IFNA(IF(VLOOKUP($B364&amp;OFFSET(S$10,$A364*2,0),'Mapping A'!$B$6:$E$1011,4,0)=1,$E364,""),0)</f>
        <v>0</v>
      </c>
      <c r="T364" s="519">
        <f ca="1">_xlfn.IFNA(IF(VLOOKUP($B364&amp;OFFSET(T$10,$A364*2,0),'Mapping A'!$B$6:$E$1011,4,0)=1,$E364,""),0)</f>
        <v>0</v>
      </c>
      <c r="Y364" s="534" t="str">
        <f t="shared" si="255"/>
        <v>MKE1101Todd</v>
      </c>
      <c r="Z364" s="519" t="str">
        <f t="shared" ref="Z364:AB364" si="342">C130</f>
        <v>Todd</v>
      </c>
      <c r="AA364" s="519" t="str">
        <f t="shared" si="342"/>
        <v>MKE1101</v>
      </c>
      <c r="AB364" s="519">
        <f t="shared" si="342"/>
        <v>0.86939999999999995</v>
      </c>
      <c r="AC364" s="324"/>
      <c r="AE364" s="519">
        <f t="shared" ca="1" si="239"/>
        <v>0</v>
      </c>
      <c r="AF364" s="519">
        <f t="shared" ca="1" si="240"/>
        <v>0</v>
      </c>
      <c r="AG364" s="519">
        <f t="shared" ca="1" si="241"/>
        <v>0</v>
      </c>
      <c r="AH364" s="519">
        <f t="shared" ca="1" si="242"/>
        <v>0</v>
      </c>
      <c r="AI364" s="519">
        <f t="shared" ca="1" si="243"/>
        <v>0</v>
      </c>
      <c r="AJ364" s="519">
        <f t="shared" ca="1" si="244"/>
        <v>0</v>
      </c>
      <c r="AK364" s="519">
        <f t="shared" ca="1" si="245"/>
        <v>0</v>
      </c>
      <c r="AL364" s="519">
        <f t="shared" ca="1" si="246"/>
        <v>0</v>
      </c>
      <c r="AM364" s="519">
        <f t="shared" ca="1" si="247"/>
        <v>0</v>
      </c>
      <c r="AN364" s="519">
        <f t="shared" ca="1" si="248"/>
        <v>0</v>
      </c>
      <c r="AO364" s="519">
        <f t="shared" ca="1" si="249"/>
        <v>0</v>
      </c>
      <c r="AP364" s="519">
        <f t="shared" ca="1" si="250"/>
        <v>0</v>
      </c>
      <c r="AQ364" s="519">
        <f t="shared" ca="1" si="251"/>
        <v>0</v>
      </c>
    </row>
    <row r="365" spans="1:43" x14ac:dyDescent="0.3">
      <c r="A365" s="556">
        <f t="shared" si="252"/>
        <v>2</v>
      </c>
      <c r="B365" s="519" t="str">
        <f t="shared" si="253"/>
        <v>MLG</v>
      </c>
      <c r="C365" s="519" t="str">
        <f t="shared" ref="C365:E365" si="343">C131</f>
        <v>Wellington Electricity</v>
      </c>
      <c r="D365" s="519" t="str">
        <f t="shared" si="343"/>
        <v>MLG0111</v>
      </c>
      <c r="E365" s="519">
        <f t="shared" si="343"/>
        <v>27.388200000000001</v>
      </c>
      <c r="H365" s="519">
        <f ca="1">_xlfn.IFNA(IF(VLOOKUP($B365&amp;OFFSET(H$10,$A365*2,0),'Mapping A'!$B$6:$E$1011,4,0)=1,$E365,""),0)</f>
        <v>0</v>
      </c>
      <c r="I365" s="519">
        <f ca="1">_xlfn.IFNA(IF(VLOOKUP($B365&amp;OFFSET(I$10,$A365*2,0),'Mapping A'!$B$6:$E$1011,4,0)=1,$E365,""),0)</f>
        <v>0</v>
      </c>
      <c r="J365" s="519">
        <f ca="1">_xlfn.IFNA(IF(VLOOKUP($B365&amp;OFFSET(J$10,$A365*2,0),'Mapping A'!$B$6:$E$1011,4,0)=1,$E365,""),0)</f>
        <v>0</v>
      </c>
      <c r="K365" s="519">
        <f ca="1">_xlfn.IFNA(IF(VLOOKUP($B365&amp;OFFSET(K$10,$A365*2,0),'Mapping A'!$B$6:$E$1011,4,0)=1,$E365,""),0)</f>
        <v>0</v>
      </c>
      <c r="L365" s="519">
        <f ca="1">_xlfn.IFNA(IF(VLOOKUP($B365&amp;OFFSET(L$10,$A365*2,0),'Mapping A'!$B$6:$E$1011,4,0)=1,$E365,""),0)</f>
        <v>0</v>
      </c>
      <c r="M365" s="519">
        <f ca="1">_xlfn.IFNA(IF(VLOOKUP($B365&amp;OFFSET(M$10,$A365*2,0),'Mapping A'!$B$6:$E$1011,4,0)=1,$E365,""),0)</f>
        <v>0</v>
      </c>
      <c r="N365" s="519">
        <f ca="1">_xlfn.IFNA(IF(VLOOKUP($B365&amp;OFFSET(N$10,$A365*2,0),'Mapping A'!$B$6:$E$1011,4,0)=1,$E365,""),0)</f>
        <v>0</v>
      </c>
      <c r="O365" s="519">
        <f ca="1">_xlfn.IFNA(IF(VLOOKUP($B365&amp;OFFSET(O$10,$A365*2,0),'Mapping A'!$B$6:$E$1011,4,0)=1,$E365,""),0)</f>
        <v>0</v>
      </c>
      <c r="P365" s="519">
        <f ca="1">_xlfn.IFNA(IF(VLOOKUP($B365&amp;OFFSET(P$10,$A365*2,0),'Mapping A'!$B$6:$E$1011,4,0)=1,$E365,""),0)</f>
        <v>0</v>
      </c>
      <c r="Q365" s="519">
        <f ca="1">_xlfn.IFNA(IF(VLOOKUP($B365&amp;OFFSET(Q$10,$A365*2,0),'Mapping A'!$B$6:$E$1011,4,0)=1,$E365,""),0)</f>
        <v>0</v>
      </c>
      <c r="R365" s="519">
        <f ca="1">_xlfn.IFNA(IF(VLOOKUP($B365&amp;OFFSET(R$10,$A365*2,0),'Mapping A'!$B$6:$E$1011,4,0)=1,$E365,""),0)</f>
        <v>0</v>
      </c>
      <c r="S365" s="519">
        <f ca="1">_xlfn.IFNA(IF(VLOOKUP($B365&amp;OFFSET(S$10,$A365*2,0),'Mapping A'!$B$6:$E$1011,4,0)=1,$E365,""),0)</f>
        <v>0</v>
      </c>
      <c r="T365" s="519">
        <f ca="1">_xlfn.IFNA(IF(VLOOKUP($B365&amp;OFFSET(T$10,$A365*2,0),'Mapping A'!$B$6:$E$1011,4,0)=1,$E365,""),0)</f>
        <v>0</v>
      </c>
      <c r="Y365" s="534" t="str">
        <f t="shared" si="255"/>
        <v>MLG0111Wellington Electricity</v>
      </c>
      <c r="Z365" s="519" t="str">
        <f t="shared" ref="Z365:AB365" si="344">C131</f>
        <v>Wellington Electricity</v>
      </c>
      <c r="AA365" s="519" t="str">
        <f t="shared" si="344"/>
        <v>MLG0111</v>
      </c>
      <c r="AB365" s="519">
        <f t="shared" si="344"/>
        <v>27.388200000000001</v>
      </c>
      <c r="AC365" s="324"/>
      <c r="AE365" s="519">
        <f t="shared" ca="1" si="239"/>
        <v>0</v>
      </c>
      <c r="AF365" s="519">
        <f t="shared" ca="1" si="240"/>
        <v>0</v>
      </c>
      <c r="AG365" s="519">
        <f t="shared" ca="1" si="241"/>
        <v>0</v>
      </c>
      <c r="AH365" s="519">
        <f t="shared" ca="1" si="242"/>
        <v>0</v>
      </c>
      <c r="AI365" s="519">
        <f t="shared" ca="1" si="243"/>
        <v>0</v>
      </c>
      <c r="AJ365" s="519">
        <f t="shared" ca="1" si="244"/>
        <v>0</v>
      </c>
      <c r="AK365" s="519">
        <f t="shared" ca="1" si="245"/>
        <v>0</v>
      </c>
      <c r="AL365" s="519">
        <f t="shared" ca="1" si="246"/>
        <v>0</v>
      </c>
      <c r="AM365" s="519">
        <f t="shared" ca="1" si="247"/>
        <v>0</v>
      </c>
      <c r="AN365" s="519">
        <f t="shared" ca="1" si="248"/>
        <v>0</v>
      </c>
      <c r="AO365" s="519">
        <f t="shared" ca="1" si="249"/>
        <v>0</v>
      </c>
      <c r="AP365" s="519">
        <f t="shared" ca="1" si="250"/>
        <v>0</v>
      </c>
      <c r="AQ365" s="519">
        <f t="shared" ca="1" si="251"/>
        <v>0</v>
      </c>
    </row>
    <row r="366" spans="1:43" x14ac:dyDescent="0.3">
      <c r="A366" s="556">
        <f t="shared" si="252"/>
        <v>2</v>
      </c>
      <c r="B366" s="519" t="str">
        <f t="shared" si="253"/>
        <v>MLG</v>
      </c>
      <c r="C366" s="519" t="str">
        <f t="shared" ref="C366:E366" si="345">C132</f>
        <v>Wellington Electricity</v>
      </c>
      <c r="D366" s="519" t="str">
        <f t="shared" si="345"/>
        <v>MLG0331</v>
      </c>
      <c r="E366" s="519">
        <f t="shared" si="345"/>
        <v>37.232999999999997</v>
      </c>
      <c r="H366" s="519">
        <f ca="1">_xlfn.IFNA(IF(VLOOKUP($B366&amp;OFFSET(H$10,$A366*2,0),'Mapping A'!$B$6:$E$1011,4,0)=1,$E366,""),0)</f>
        <v>0</v>
      </c>
      <c r="I366" s="519">
        <f ca="1">_xlfn.IFNA(IF(VLOOKUP($B366&amp;OFFSET(I$10,$A366*2,0),'Mapping A'!$B$6:$E$1011,4,0)=1,$E366,""),0)</f>
        <v>0</v>
      </c>
      <c r="J366" s="519">
        <f ca="1">_xlfn.IFNA(IF(VLOOKUP($B366&amp;OFFSET(J$10,$A366*2,0),'Mapping A'!$B$6:$E$1011,4,0)=1,$E366,""),0)</f>
        <v>0</v>
      </c>
      <c r="K366" s="519">
        <f ca="1">_xlfn.IFNA(IF(VLOOKUP($B366&amp;OFFSET(K$10,$A366*2,0),'Mapping A'!$B$6:$E$1011,4,0)=1,$E366,""),0)</f>
        <v>0</v>
      </c>
      <c r="L366" s="519">
        <f ca="1">_xlfn.IFNA(IF(VLOOKUP($B366&amp;OFFSET(L$10,$A366*2,0),'Mapping A'!$B$6:$E$1011,4,0)=1,$E366,""),0)</f>
        <v>0</v>
      </c>
      <c r="M366" s="519">
        <f ca="1">_xlfn.IFNA(IF(VLOOKUP($B366&amp;OFFSET(M$10,$A366*2,0),'Mapping A'!$B$6:$E$1011,4,0)=1,$E366,""),0)</f>
        <v>0</v>
      </c>
      <c r="N366" s="519">
        <f ca="1">_xlfn.IFNA(IF(VLOOKUP($B366&amp;OFFSET(N$10,$A366*2,0),'Mapping A'!$B$6:$E$1011,4,0)=1,$E366,""),0)</f>
        <v>0</v>
      </c>
      <c r="O366" s="519">
        <f ca="1">_xlfn.IFNA(IF(VLOOKUP($B366&amp;OFFSET(O$10,$A366*2,0),'Mapping A'!$B$6:$E$1011,4,0)=1,$E366,""),0)</f>
        <v>0</v>
      </c>
      <c r="P366" s="519">
        <f ca="1">_xlfn.IFNA(IF(VLOOKUP($B366&amp;OFFSET(P$10,$A366*2,0),'Mapping A'!$B$6:$E$1011,4,0)=1,$E366,""),0)</f>
        <v>0</v>
      </c>
      <c r="Q366" s="519">
        <f ca="1">_xlfn.IFNA(IF(VLOOKUP($B366&amp;OFFSET(Q$10,$A366*2,0),'Mapping A'!$B$6:$E$1011,4,0)=1,$E366,""),0)</f>
        <v>0</v>
      </c>
      <c r="R366" s="519">
        <f ca="1">_xlfn.IFNA(IF(VLOOKUP($B366&amp;OFFSET(R$10,$A366*2,0),'Mapping A'!$B$6:$E$1011,4,0)=1,$E366,""),0)</f>
        <v>0</v>
      </c>
      <c r="S366" s="519">
        <f ca="1">_xlfn.IFNA(IF(VLOOKUP($B366&amp;OFFSET(S$10,$A366*2,0),'Mapping A'!$B$6:$E$1011,4,0)=1,$E366,""),0)</f>
        <v>0</v>
      </c>
      <c r="T366" s="519">
        <f ca="1">_xlfn.IFNA(IF(VLOOKUP($B366&amp;OFFSET(T$10,$A366*2,0),'Mapping A'!$B$6:$E$1011,4,0)=1,$E366,""),0)</f>
        <v>0</v>
      </c>
      <c r="Y366" s="534" t="str">
        <f t="shared" si="255"/>
        <v>MLG0331Wellington Electricity</v>
      </c>
      <c r="Z366" s="519" t="str">
        <f t="shared" ref="Z366:AB366" si="346">C132</f>
        <v>Wellington Electricity</v>
      </c>
      <c r="AA366" s="519" t="str">
        <f t="shared" si="346"/>
        <v>MLG0331</v>
      </c>
      <c r="AB366" s="519">
        <f t="shared" si="346"/>
        <v>37.232999999999997</v>
      </c>
      <c r="AC366" s="324"/>
      <c r="AE366" s="519">
        <f t="shared" ca="1" si="239"/>
        <v>0</v>
      </c>
      <c r="AF366" s="519">
        <f t="shared" ca="1" si="240"/>
        <v>0</v>
      </c>
      <c r="AG366" s="519">
        <f t="shared" ca="1" si="241"/>
        <v>0</v>
      </c>
      <c r="AH366" s="519">
        <f t="shared" ca="1" si="242"/>
        <v>0</v>
      </c>
      <c r="AI366" s="519">
        <f t="shared" ca="1" si="243"/>
        <v>0</v>
      </c>
      <c r="AJ366" s="519">
        <f t="shared" ca="1" si="244"/>
        <v>0</v>
      </c>
      <c r="AK366" s="519">
        <f t="shared" ca="1" si="245"/>
        <v>0</v>
      </c>
      <c r="AL366" s="519">
        <f t="shared" ca="1" si="246"/>
        <v>0</v>
      </c>
      <c r="AM366" s="519">
        <f t="shared" ca="1" si="247"/>
        <v>0</v>
      </c>
      <c r="AN366" s="519">
        <f t="shared" ca="1" si="248"/>
        <v>0</v>
      </c>
      <c r="AO366" s="519">
        <f t="shared" ca="1" si="249"/>
        <v>0</v>
      </c>
      <c r="AP366" s="519">
        <f t="shared" ca="1" si="250"/>
        <v>0</v>
      </c>
      <c r="AQ366" s="519">
        <f t="shared" ca="1" si="251"/>
        <v>0</v>
      </c>
    </row>
    <row r="367" spans="1:43" x14ac:dyDescent="0.3">
      <c r="A367" s="556">
        <f t="shared" si="252"/>
        <v>2</v>
      </c>
      <c r="B367" s="519" t="str">
        <f t="shared" si="253"/>
        <v>MNG</v>
      </c>
      <c r="C367" s="519" t="str">
        <f t="shared" ref="C367:E367" si="347">C133</f>
        <v>Vector</v>
      </c>
      <c r="D367" s="519" t="str">
        <f t="shared" si="347"/>
        <v>MNG0331</v>
      </c>
      <c r="E367" s="519">
        <f t="shared" si="347"/>
        <v>100.89660000000001</v>
      </c>
      <c r="H367" s="519">
        <f ca="1">_xlfn.IFNA(IF(VLOOKUP($B367&amp;OFFSET(H$10,$A367*2,0),'Mapping A'!$B$6:$E$1011,4,0)=1,$E367,""),0)</f>
        <v>0</v>
      </c>
      <c r="I367" s="519">
        <f ca="1">_xlfn.IFNA(IF(VLOOKUP($B367&amp;OFFSET(I$10,$A367*2,0),'Mapping A'!$B$6:$E$1011,4,0)=1,$E367,""),0)</f>
        <v>0</v>
      </c>
      <c r="J367" s="519">
        <f ca="1">_xlfn.IFNA(IF(VLOOKUP($B367&amp;OFFSET(J$10,$A367*2,0),'Mapping A'!$B$6:$E$1011,4,0)=1,$E367,""),0)</f>
        <v>0</v>
      </c>
      <c r="K367" s="519">
        <f ca="1">_xlfn.IFNA(IF(VLOOKUP($B367&amp;OFFSET(K$10,$A367*2,0),'Mapping A'!$B$6:$E$1011,4,0)=1,$E367,""),0)</f>
        <v>0</v>
      </c>
      <c r="L367" s="519">
        <f ca="1">_xlfn.IFNA(IF(VLOOKUP($B367&amp;OFFSET(L$10,$A367*2,0),'Mapping A'!$B$6:$E$1011,4,0)=1,$E367,""),0)</f>
        <v>0</v>
      </c>
      <c r="M367" s="519">
        <f ca="1">_xlfn.IFNA(IF(VLOOKUP($B367&amp;OFFSET(M$10,$A367*2,0),'Mapping A'!$B$6:$E$1011,4,0)=1,$E367,""),0)</f>
        <v>0</v>
      </c>
      <c r="N367" s="519">
        <f ca="1">_xlfn.IFNA(IF(VLOOKUP($B367&amp;OFFSET(N$10,$A367*2,0),'Mapping A'!$B$6:$E$1011,4,0)=1,$E367,""),0)</f>
        <v>0</v>
      </c>
      <c r="O367" s="519">
        <f ca="1">_xlfn.IFNA(IF(VLOOKUP($B367&amp;OFFSET(O$10,$A367*2,0),'Mapping A'!$B$6:$E$1011,4,0)=1,$E367,""),0)</f>
        <v>0</v>
      </c>
      <c r="P367" s="519">
        <f ca="1">_xlfn.IFNA(IF(VLOOKUP($B367&amp;OFFSET(P$10,$A367*2,0),'Mapping A'!$B$6:$E$1011,4,0)=1,$E367,""),0)</f>
        <v>0</v>
      </c>
      <c r="Q367" s="519">
        <f ca="1">_xlfn.IFNA(IF(VLOOKUP($B367&amp;OFFSET(Q$10,$A367*2,0),'Mapping A'!$B$6:$E$1011,4,0)=1,$E367,""),0)</f>
        <v>0</v>
      </c>
      <c r="R367" s="519">
        <f ca="1">_xlfn.IFNA(IF(VLOOKUP($B367&amp;OFFSET(R$10,$A367*2,0),'Mapping A'!$B$6:$E$1011,4,0)=1,$E367,""),0)</f>
        <v>0</v>
      </c>
      <c r="S367" s="519">
        <f ca="1">_xlfn.IFNA(IF(VLOOKUP($B367&amp;OFFSET(S$10,$A367*2,0),'Mapping A'!$B$6:$E$1011,4,0)=1,$E367,""),0)</f>
        <v>0</v>
      </c>
      <c r="T367" s="519">
        <f ca="1">_xlfn.IFNA(IF(VLOOKUP($B367&amp;OFFSET(T$10,$A367*2,0),'Mapping A'!$B$6:$E$1011,4,0)=1,$E367,""),0)</f>
        <v>0</v>
      </c>
      <c r="Y367" s="534" t="str">
        <f t="shared" si="255"/>
        <v>MNG0331Vector</v>
      </c>
      <c r="Z367" s="519" t="str">
        <f t="shared" ref="Z367:AB367" si="348">C133</f>
        <v>Vector</v>
      </c>
      <c r="AA367" s="519" t="str">
        <f t="shared" si="348"/>
        <v>MNG0331</v>
      </c>
      <c r="AB367" s="519">
        <f t="shared" si="348"/>
        <v>100.89660000000001</v>
      </c>
      <c r="AC367" s="324"/>
      <c r="AE367" s="519">
        <f t="shared" ca="1" si="239"/>
        <v>0</v>
      </c>
      <c r="AF367" s="519">
        <f t="shared" ca="1" si="240"/>
        <v>0</v>
      </c>
      <c r="AG367" s="519">
        <f t="shared" ca="1" si="241"/>
        <v>0</v>
      </c>
      <c r="AH367" s="519">
        <f t="shared" ca="1" si="242"/>
        <v>0</v>
      </c>
      <c r="AI367" s="519">
        <f t="shared" ca="1" si="243"/>
        <v>0</v>
      </c>
      <c r="AJ367" s="519">
        <f t="shared" ca="1" si="244"/>
        <v>0</v>
      </c>
      <c r="AK367" s="519">
        <f t="shared" ca="1" si="245"/>
        <v>0</v>
      </c>
      <c r="AL367" s="519">
        <f t="shared" ca="1" si="246"/>
        <v>0</v>
      </c>
      <c r="AM367" s="519">
        <f t="shared" ca="1" si="247"/>
        <v>0</v>
      </c>
      <c r="AN367" s="519">
        <f t="shared" ca="1" si="248"/>
        <v>0</v>
      </c>
      <c r="AO367" s="519">
        <f t="shared" ca="1" si="249"/>
        <v>0</v>
      </c>
      <c r="AP367" s="519">
        <f t="shared" ca="1" si="250"/>
        <v>0</v>
      </c>
      <c r="AQ367" s="519">
        <f t="shared" ca="1" si="251"/>
        <v>0</v>
      </c>
    </row>
    <row r="368" spans="1:43" x14ac:dyDescent="0.3">
      <c r="A368" s="556">
        <f t="shared" si="252"/>
        <v>2</v>
      </c>
      <c r="B368" s="519" t="str">
        <f t="shared" si="253"/>
        <v>MNG</v>
      </c>
      <c r="C368" s="519" t="str">
        <f t="shared" ref="C368:E368" si="349">C134</f>
        <v>Pacific Steel</v>
      </c>
      <c r="D368" s="519" t="str">
        <f t="shared" si="349"/>
        <v>MNG1101</v>
      </c>
      <c r="E368" s="519">
        <f t="shared" si="349"/>
        <v>16.773333333333333</v>
      </c>
      <c r="H368" s="519">
        <f ca="1">_xlfn.IFNA(IF(VLOOKUP($B368&amp;OFFSET(H$10,$A368*2,0),'Mapping A'!$B$6:$E$1011,4,0)=1,$E368,""),0)</f>
        <v>0</v>
      </c>
      <c r="I368" s="519">
        <f ca="1">_xlfn.IFNA(IF(VLOOKUP($B368&amp;OFFSET(I$10,$A368*2,0),'Mapping A'!$B$6:$E$1011,4,0)=1,$E368,""),0)</f>
        <v>0</v>
      </c>
      <c r="J368" s="519">
        <f ca="1">_xlfn.IFNA(IF(VLOOKUP($B368&amp;OFFSET(J$10,$A368*2,0),'Mapping A'!$B$6:$E$1011,4,0)=1,$E368,""),0)</f>
        <v>0</v>
      </c>
      <c r="K368" s="519">
        <f ca="1">_xlfn.IFNA(IF(VLOOKUP($B368&amp;OFFSET(K$10,$A368*2,0),'Mapping A'!$B$6:$E$1011,4,0)=1,$E368,""),0)</f>
        <v>0</v>
      </c>
      <c r="L368" s="519">
        <f ca="1">_xlfn.IFNA(IF(VLOOKUP($B368&amp;OFFSET(L$10,$A368*2,0),'Mapping A'!$B$6:$E$1011,4,0)=1,$E368,""),0)</f>
        <v>0</v>
      </c>
      <c r="M368" s="519">
        <f ca="1">_xlfn.IFNA(IF(VLOOKUP($B368&amp;OFFSET(M$10,$A368*2,0),'Mapping A'!$B$6:$E$1011,4,0)=1,$E368,""),0)</f>
        <v>0</v>
      </c>
      <c r="N368" s="519">
        <f ca="1">_xlfn.IFNA(IF(VLOOKUP($B368&amp;OFFSET(N$10,$A368*2,0),'Mapping A'!$B$6:$E$1011,4,0)=1,$E368,""),0)</f>
        <v>0</v>
      </c>
      <c r="O368" s="519">
        <f ca="1">_xlfn.IFNA(IF(VLOOKUP($B368&amp;OFFSET(O$10,$A368*2,0),'Mapping A'!$B$6:$E$1011,4,0)=1,$E368,""),0)</f>
        <v>0</v>
      </c>
      <c r="P368" s="519">
        <f ca="1">_xlfn.IFNA(IF(VLOOKUP($B368&amp;OFFSET(P$10,$A368*2,0),'Mapping A'!$B$6:$E$1011,4,0)=1,$E368,""),0)</f>
        <v>0</v>
      </c>
      <c r="Q368" s="519">
        <f ca="1">_xlfn.IFNA(IF(VLOOKUP($B368&amp;OFFSET(Q$10,$A368*2,0),'Mapping A'!$B$6:$E$1011,4,0)=1,$E368,""),0)</f>
        <v>0</v>
      </c>
      <c r="R368" s="519">
        <f ca="1">_xlfn.IFNA(IF(VLOOKUP($B368&amp;OFFSET(R$10,$A368*2,0),'Mapping A'!$B$6:$E$1011,4,0)=1,$E368,""),0)</f>
        <v>0</v>
      </c>
      <c r="S368" s="519">
        <f ca="1">_xlfn.IFNA(IF(VLOOKUP($B368&amp;OFFSET(S$10,$A368*2,0),'Mapping A'!$B$6:$E$1011,4,0)=1,$E368,""),0)</f>
        <v>0</v>
      </c>
      <c r="T368" s="519">
        <f ca="1">_xlfn.IFNA(IF(VLOOKUP($B368&amp;OFFSET(T$10,$A368*2,0),'Mapping A'!$B$6:$E$1011,4,0)=1,$E368,""),0)</f>
        <v>0</v>
      </c>
      <c r="Y368" s="534" t="str">
        <f t="shared" si="255"/>
        <v>MNG1101Pacific Steel</v>
      </c>
      <c r="Z368" s="519" t="str">
        <f t="shared" ref="Z368:AB368" si="350">C134</f>
        <v>Pacific Steel</v>
      </c>
      <c r="AA368" s="519" t="str">
        <f t="shared" si="350"/>
        <v>MNG1101</v>
      </c>
      <c r="AB368" s="519">
        <f t="shared" si="350"/>
        <v>16.773333333333333</v>
      </c>
      <c r="AC368" s="324"/>
      <c r="AE368" s="519">
        <f t="shared" ca="1" si="239"/>
        <v>0</v>
      </c>
      <c r="AF368" s="519">
        <f t="shared" ca="1" si="240"/>
        <v>0</v>
      </c>
      <c r="AG368" s="519">
        <f t="shared" ca="1" si="241"/>
        <v>0</v>
      </c>
      <c r="AH368" s="519">
        <f t="shared" ca="1" si="242"/>
        <v>0</v>
      </c>
      <c r="AI368" s="519">
        <f t="shared" ca="1" si="243"/>
        <v>0</v>
      </c>
      <c r="AJ368" s="519">
        <f t="shared" ca="1" si="244"/>
        <v>0</v>
      </c>
      <c r="AK368" s="519">
        <f t="shared" ca="1" si="245"/>
        <v>0</v>
      </c>
      <c r="AL368" s="519">
        <f t="shared" ca="1" si="246"/>
        <v>0</v>
      </c>
      <c r="AM368" s="519">
        <f t="shared" ca="1" si="247"/>
        <v>0</v>
      </c>
      <c r="AN368" s="519">
        <f t="shared" ca="1" si="248"/>
        <v>0</v>
      </c>
      <c r="AO368" s="519">
        <f t="shared" ca="1" si="249"/>
        <v>0</v>
      </c>
      <c r="AP368" s="519">
        <f t="shared" ca="1" si="250"/>
        <v>0</v>
      </c>
      <c r="AQ368" s="519">
        <f t="shared" ca="1" si="251"/>
        <v>0</v>
      </c>
    </row>
    <row r="369" spans="1:43" x14ac:dyDescent="0.3">
      <c r="A369" s="556">
        <f t="shared" si="252"/>
        <v>2</v>
      </c>
      <c r="B369" s="519" t="str">
        <f t="shared" si="253"/>
        <v>MNI</v>
      </c>
      <c r="C369" s="519" t="str">
        <f t="shared" ref="C369:E369" si="351">C135</f>
        <v>Methanex</v>
      </c>
      <c r="D369" s="519" t="str">
        <f t="shared" si="351"/>
        <v>MNI0111</v>
      </c>
      <c r="E369" s="519">
        <f t="shared" si="351"/>
        <v>9.5024999999999995</v>
      </c>
      <c r="H369" s="519">
        <f ca="1">_xlfn.IFNA(IF(VLOOKUP($B369&amp;OFFSET(H$10,$A369*2,0),'Mapping A'!$B$6:$E$1011,4,0)=1,$E369,""),0)</f>
        <v>0</v>
      </c>
      <c r="I369" s="519">
        <f ca="1">_xlfn.IFNA(IF(VLOOKUP($B369&amp;OFFSET(I$10,$A369*2,0),'Mapping A'!$B$6:$E$1011,4,0)=1,$E369,""),0)</f>
        <v>0</v>
      </c>
      <c r="J369" s="519">
        <f ca="1">_xlfn.IFNA(IF(VLOOKUP($B369&amp;OFFSET(J$10,$A369*2,0),'Mapping A'!$B$6:$E$1011,4,0)=1,$E369,""),0)</f>
        <v>0</v>
      </c>
      <c r="K369" s="519">
        <f ca="1">_xlfn.IFNA(IF(VLOOKUP($B369&amp;OFFSET(K$10,$A369*2,0),'Mapping A'!$B$6:$E$1011,4,0)=1,$E369,""),0)</f>
        <v>0</v>
      </c>
      <c r="L369" s="519">
        <f ca="1">_xlfn.IFNA(IF(VLOOKUP($B369&amp;OFFSET(L$10,$A369*2,0),'Mapping A'!$B$6:$E$1011,4,0)=1,$E369,""),0)</f>
        <v>0</v>
      </c>
      <c r="M369" s="519">
        <f ca="1">_xlfn.IFNA(IF(VLOOKUP($B369&amp;OFFSET(M$10,$A369*2,0),'Mapping A'!$B$6:$E$1011,4,0)=1,$E369,""),0)</f>
        <v>0</v>
      </c>
      <c r="N369" s="519">
        <f ca="1">_xlfn.IFNA(IF(VLOOKUP($B369&amp;OFFSET(N$10,$A369*2,0),'Mapping A'!$B$6:$E$1011,4,0)=1,$E369,""),0)</f>
        <v>0</v>
      </c>
      <c r="O369" s="519">
        <f ca="1">_xlfn.IFNA(IF(VLOOKUP($B369&amp;OFFSET(O$10,$A369*2,0),'Mapping A'!$B$6:$E$1011,4,0)=1,$E369,""),0)</f>
        <v>0</v>
      </c>
      <c r="P369" s="519">
        <f ca="1">_xlfn.IFNA(IF(VLOOKUP($B369&amp;OFFSET(P$10,$A369*2,0),'Mapping A'!$B$6:$E$1011,4,0)=1,$E369,""),0)</f>
        <v>0</v>
      </c>
      <c r="Q369" s="519">
        <f ca="1">_xlfn.IFNA(IF(VLOOKUP($B369&amp;OFFSET(Q$10,$A369*2,0),'Mapping A'!$B$6:$E$1011,4,0)=1,$E369,""),0)</f>
        <v>0</v>
      </c>
      <c r="R369" s="519">
        <f ca="1">_xlfn.IFNA(IF(VLOOKUP($B369&amp;OFFSET(R$10,$A369*2,0),'Mapping A'!$B$6:$E$1011,4,0)=1,$E369,""),0)</f>
        <v>0</v>
      </c>
      <c r="S369" s="519">
        <f ca="1">_xlfn.IFNA(IF(VLOOKUP($B369&amp;OFFSET(S$10,$A369*2,0),'Mapping A'!$B$6:$E$1011,4,0)=1,$E369,""),0)</f>
        <v>0</v>
      </c>
      <c r="T369" s="519">
        <f ca="1">_xlfn.IFNA(IF(VLOOKUP($B369&amp;OFFSET(T$10,$A369*2,0),'Mapping A'!$B$6:$E$1011,4,0)=1,$E369,""),0)</f>
        <v>0</v>
      </c>
      <c r="Y369" s="534" t="str">
        <f t="shared" si="255"/>
        <v>MNI0111Methanex</v>
      </c>
      <c r="Z369" s="519" t="str">
        <f t="shared" ref="Z369:AB369" si="352">C135</f>
        <v>Methanex</v>
      </c>
      <c r="AA369" s="519" t="str">
        <f t="shared" si="352"/>
        <v>MNI0111</v>
      </c>
      <c r="AB369" s="519">
        <f t="shared" si="352"/>
        <v>9.5024999999999995</v>
      </c>
      <c r="AC369" s="324"/>
      <c r="AE369" s="519">
        <f t="shared" ca="1" si="239"/>
        <v>0</v>
      </c>
      <c r="AF369" s="519">
        <f t="shared" ca="1" si="240"/>
        <v>0</v>
      </c>
      <c r="AG369" s="519">
        <f t="shared" ca="1" si="241"/>
        <v>0</v>
      </c>
      <c r="AH369" s="519">
        <f t="shared" ca="1" si="242"/>
        <v>0</v>
      </c>
      <c r="AI369" s="519">
        <f t="shared" ca="1" si="243"/>
        <v>0</v>
      </c>
      <c r="AJ369" s="519">
        <f t="shared" ca="1" si="244"/>
        <v>0</v>
      </c>
      <c r="AK369" s="519">
        <f t="shared" ca="1" si="245"/>
        <v>0</v>
      </c>
      <c r="AL369" s="519">
        <f t="shared" ca="1" si="246"/>
        <v>0</v>
      </c>
      <c r="AM369" s="519">
        <f t="shared" ca="1" si="247"/>
        <v>0</v>
      </c>
      <c r="AN369" s="519">
        <f t="shared" ca="1" si="248"/>
        <v>0</v>
      </c>
      <c r="AO369" s="519">
        <f t="shared" ca="1" si="249"/>
        <v>0</v>
      </c>
      <c r="AP369" s="519">
        <f t="shared" ca="1" si="250"/>
        <v>0</v>
      </c>
      <c r="AQ369" s="519">
        <f t="shared" ca="1" si="251"/>
        <v>0</v>
      </c>
    </row>
    <row r="370" spans="1:43" x14ac:dyDescent="0.3">
      <c r="A370" s="556">
        <f t="shared" si="252"/>
        <v>2</v>
      </c>
      <c r="B370" s="519" t="str">
        <f t="shared" si="253"/>
        <v>MPE</v>
      </c>
      <c r="C370" s="519" t="str">
        <f t="shared" ref="C370:E370" si="353">C136</f>
        <v>Northpower</v>
      </c>
      <c r="D370" s="519" t="str">
        <f t="shared" si="353"/>
        <v>MPE1101</v>
      </c>
      <c r="E370" s="519">
        <f t="shared" si="353"/>
        <v>106.74299999999999</v>
      </c>
      <c r="H370" s="519">
        <f ca="1">_xlfn.IFNA(IF(VLOOKUP($B370&amp;OFFSET(H$10,$A370*2,0),'Mapping A'!$B$6:$E$1011,4,0)=1,$E370,""),0)</f>
        <v>0</v>
      </c>
      <c r="I370" s="519">
        <f ca="1">_xlfn.IFNA(IF(VLOOKUP($B370&amp;OFFSET(I$10,$A370*2,0),'Mapping A'!$B$6:$E$1011,4,0)=1,$E370,""),0)</f>
        <v>0</v>
      </c>
      <c r="J370" s="519">
        <f ca="1">_xlfn.IFNA(IF(VLOOKUP($B370&amp;OFFSET(J$10,$A370*2,0),'Mapping A'!$B$6:$E$1011,4,0)=1,$E370,""),0)</f>
        <v>0</v>
      </c>
      <c r="K370" s="519">
        <f ca="1">_xlfn.IFNA(IF(VLOOKUP($B370&amp;OFFSET(K$10,$A370*2,0),'Mapping A'!$B$6:$E$1011,4,0)=1,$E370,""),0)</f>
        <v>0</v>
      </c>
      <c r="L370" s="519">
        <f ca="1">_xlfn.IFNA(IF(VLOOKUP($B370&amp;OFFSET(L$10,$A370*2,0),'Mapping A'!$B$6:$E$1011,4,0)=1,$E370,""),0)</f>
        <v>0</v>
      </c>
      <c r="M370" s="519">
        <f ca="1">_xlfn.IFNA(IF(VLOOKUP($B370&amp;OFFSET(M$10,$A370*2,0),'Mapping A'!$B$6:$E$1011,4,0)=1,$E370,""),0)</f>
        <v>0</v>
      </c>
      <c r="N370" s="519">
        <f ca="1">_xlfn.IFNA(IF(VLOOKUP($B370&amp;OFFSET(N$10,$A370*2,0),'Mapping A'!$B$6:$E$1011,4,0)=1,$E370,""),0)</f>
        <v>0</v>
      </c>
      <c r="O370" s="519">
        <f ca="1">_xlfn.IFNA(IF(VLOOKUP($B370&amp;OFFSET(O$10,$A370*2,0),'Mapping A'!$B$6:$E$1011,4,0)=1,$E370,""),0)</f>
        <v>0</v>
      </c>
      <c r="P370" s="519">
        <f ca="1">_xlfn.IFNA(IF(VLOOKUP($B370&amp;OFFSET(P$10,$A370*2,0),'Mapping A'!$B$6:$E$1011,4,0)=1,$E370,""),0)</f>
        <v>0</v>
      </c>
      <c r="Q370" s="519">
        <f ca="1">_xlfn.IFNA(IF(VLOOKUP($B370&amp;OFFSET(Q$10,$A370*2,0),'Mapping A'!$B$6:$E$1011,4,0)=1,$E370,""),0)</f>
        <v>0</v>
      </c>
      <c r="R370" s="519">
        <f ca="1">_xlfn.IFNA(IF(VLOOKUP($B370&amp;OFFSET(R$10,$A370*2,0),'Mapping A'!$B$6:$E$1011,4,0)=1,$E370,""),0)</f>
        <v>0</v>
      </c>
      <c r="S370" s="519">
        <f ca="1">_xlfn.IFNA(IF(VLOOKUP($B370&amp;OFFSET(S$10,$A370*2,0),'Mapping A'!$B$6:$E$1011,4,0)=1,$E370,""),0)</f>
        <v>0</v>
      </c>
      <c r="T370" s="519">
        <f ca="1">_xlfn.IFNA(IF(VLOOKUP($B370&amp;OFFSET(T$10,$A370*2,0),'Mapping A'!$B$6:$E$1011,4,0)=1,$E370,""),0)</f>
        <v>0</v>
      </c>
      <c r="Y370" s="534" t="str">
        <f t="shared" si="255"/>
        <v>MPE1101Northpower</v>
      </c>
      <c r="Z370" s="519" t="str">
        <f t="shared" ref="Z370:AB370" si="354">C136</f>
        <v>Northpower</v>
      </c>
      <c r="AA370" s="519" t="str">
        <f t="shared" si="354"/>
        <v>MPE1101</v>
      </c>
      <c r="AB370" s="519">
        <f t="shared" si="354"/>
        <v>106.74299999999999</v>
      </c>
      <c r="AC370" s="324"/>
      <c r="AE370" s="519">
        <f t="shared" ca="1" si="239"/>
        <v>0</v>
      </c>
      <c r="AF370" s="519">
        <f t="shared" ca="1" si="240"/>
        <v>0</v>
      </c>
      <c r="AG370" s="519">
        <f t="shared" ca="1" si="241"/>
        <v>0</v>
      </c>
      <c r="AH370" s="519">
        <f t="shared" ca="1" si="242"/>
        <v>0</v>
      </c>
      <c r="AI370" s="519">
        <f t="shared" ca="1" si="243"/>
        <v>0</v>
      </c>
      <c r="AJ370" s="519">
        <f t="shared" ca="1" si="244"/>
        <v>0</v>
      </c>
      <c r="AK370" s="519">
        <f t="shared" ca="1" si="245"/>
        <v>0</v>
      </c>
      <c r="AL370" s="519">
        <f t="shared" ca="1" si="246"/>
        <v>0</v>
      </c>
      <c r="AM370" s="519">
        <f t="shared" ca="1" si="247"/>
        <v>0</v>
      </c>
      <c r="AN370" s="519">
        <f t="shared" ca="1" si="248"/>
        <v>0</v>
      </c>
      <c r="AO370" s="519">
        <f t="shared" ca="1" si="249"/>
        <v>0</v>
      </c>
      <c r="AP370" s="519">
        <f t="shared" ca="1" si="250"/>
        <v>0</v>
      </c>
      <c r="AQ370" s="519">
        <f t="shared" ca="1" si="251"/>
        <v>0</v>
      </c>
    </row>
    <row r="371" spans="1:43" x14ac:dyDescent="0.3">
      <c r="A371" s="556">
        <f t="shared" si="252"/>
        <v>2</v>
      </c>
      <c r="B371" s="519" t="str">
        <f t="shared" si="253"/>
        <v>MST</v>
      </c>
      <c r="C371" s="519" t="str">
        <f t="shared" ref="C371:E371" si="355">C137</f>
        <v>Powerco</v>
      </c>
      <c r="D371" s="519" t="str">
        <f t="shared" si="355"/>
        <v>MST0331</v>
      </c>
      <c r="E371" s="519">
        <f t="shared" si="355"/>
        <v>45.011400000000002</v>
      </c>
      <c r="H371" s="519">
        <f ca="1">_xlfn.IFNA(IF(VLOOKUP($B371&amp;OFFSET(H$10,$A371*2,0),'Mapping A'!$B$6:$E$1011,4,0)=1,$E371,""),0)</f>
        <v>0</v>
      </c>
      <c r="I371" s="519">
        <f ca="1">_xlfn.IFNA(IF(VLOOKUP($B371&amp;OFFSET(I$10,$A371*2,0),'Mapping A'!$B$6:$E$1011,4,0)=1,$E371,""),0)</f>
        <v>0</v>
      </c>
      <c r="J371" s="519">
        <f ca="1">_xlfn.IFNA(IF(VLOOKUP($B371&amp;OFFSET(J$10,$A371*2,0),'Mapping A'!$B$6:$E$1011,4,0)=1,$E371,""),0)</f>
        <v>0</v>
      </c>
      <c r="K371" s="519">
        <f ca="1">_xlfn.IFNA(IF(VLOOKUP($B371&amp;OFFSET(K$10,$A371*2,0),'Mapping A'!$B$6:$E$1011,4,0)=1,$E371,""),0)</f>
        <v>0</v>
      </c>
      <c r="L371" s="519">
        <f ca="1">_xlfn.IFNA(IF(VLOOKUP($B371&amp;OFFSET(L$10,$A371*2,0),'Mapping A'!$B$6:$E$1011,4,0)=1,$E371,""),0)</f>
        <v>0</v>
      </c>
      <c r="M371" s="519">
        <f ca="1">_xlfn.IFNA(IF(VLOOKUP($B371&amp;OFFSET(M$10,$A371*2,0),'Mapping A'!$B$6:$E$1011,4,0)=1,$E371,""),0)</f>
        <v>0</v>
      </c>
      <c r="N371" s="519">
        <f ca="1">_xlfn.IFNA(IF(VLOOKUP($B371&amp;OFFSET(N$10,$A371*2,0),'Mapping A'!$B$6:$E$1011,4,0)=1,$E371,""),0)</f>
        <v>0</v>
      </c>
      <c r="O371" s="519">
        <f ca="1">_xlfn.IFNA(IF(VLOOKUP($B371&amp;OFFSET(O$10,$A371*2,0),'Mapping A'!$B$6:$E$1011,4,0)=1,$E371,""),0)</f>
        <v>0</v>
      </c>
      <c r="P371" s="519">
        <f ca="1">_xlfn.IFNA(IF(VLOOKUP($B371&amp;OFFSET(P$10,$A371*2,0),'Mapping A'!$B$6:$E$1011,4,0)=1,$E371,""),0)</f>
        <v>0</v>
      </c>
      <c r="Q371" s="519">
        <f ca="1">_xlfn.IFNA(IF(VLOOKUP($B371&amp;OFFSET(Q$10,$A371*2,0),'Mapping A'!$B$6:$E$1011,4,0)=1,$E371,""),0)</f>
        <v>0</v>
      </c>
      <c r="R371" s="519">
        <f ca="1">_xlfn.IFNA(IF(VLOOKUP($B371&amp;OFFSET(R$10,$A371*2,0),'Mapping A'!$B$6:$E$1011,4,0)=1,$E371,""),0)</f>
        <v>0</v>
      </c>
      <c r="S371" s="519">
        <f ca="1">_xlfn.IFNA(IF(VLOOKUP($B371&amp;OFFSET(S$10,$A371*2,0),'Mapping A'!$B$6:$E$1011,4,0)=1,$E371,""),0)</f>
        <v>0</v>
      </c>
      <c r="T371" s="519">
        <f ca="1">_xlfn.IFNA(IF(VLOOKUP($B371&amp;OFFSET(T$10,$A371*2,0),'Mapping A'!$B$6:$E$1011,4,0)=1,$E371,""),0)</f>
        <v>0</v>
      </c>
      <c r="Y371" s="534" t="str">
        <f t="shared" si="255"/>
        <v>MST0331Powerco</v>
      </c>
      <c r="Z371" s="519" t="str">
        <f t="shared" ref="Z371:AB371" si="356">C137</f>
        <v>Powerco</v>
      </c>
      <c r="AA371" s="519" t="str">
        <f t="shared" si="356"/>
        <v>MST0331</v>
      </c>
      <c r="AB371" s="519">
        <f t="shared" si="356"/>
        <v>45.011400000000002</v>
      </c>
      <c r="AC371" s="324"/>
      <c r="AE371" s="519">
        <f t="shared" ca="1" si="239"/>
        <v>0</v>
      </c>
      <c r="AF371" s="519">
        <f t="shared" ca="1" si="240"/>
        <v>0</v>
      </c>
      <c r="AG371" s="519">
        <f t="shared" ca="1" si="241"/>
        <v>0</v>
      </c>
      <c r="AH371" s="519">
        <f t="shared" ca="1" si="242"/>
        <v>0</v>
      </c>
      <c r="AI371" s="519">
        <f t="shared" ca="1" si="243"/>
        <v>0</v>
      </c>
      <c r="AJ371" s="519">
        <f t="shared" ca="1" si="244"/>
        <v>0</v>
      </c>
      <c r="AK371" s="519">
        <f t="shared" ca="1" si="245"/>
        <v>0</v>
      </c>
      <c r="AL371" s="519">
        <f t="shared" ca="1" si="246"/>
        <v>0</v>
      </c>
      <c r="AM371" s="519">
        <f t="shared" ca="1" si="247"/>
        <v>0</v>
      </c>
      <c r="AN371" s="519">
        <f t="shared" ca="1" si="248"/>
        <v>0</v>
      </c>
      <c r="AO371" s="519">
        <f t="shared" ca="1" si="249"/>
        <v>0</v>
      </c>
      <c r="AP371" s="519">
        <f t="shared" ca="1" si="250"/>
        <v>0</v>
      </c>
      <c r="AQ371" s="519">
        <f t="shared" ca="1" si="251"/>
        <v>0</v>
      </c>
    </row>
    <row r="372" spans="1:43" x14ac:dyDescent="0.3">
      <c r="A372" s="556">
        <f t="shared" si="252"/>
        <v>2</v>
      </c>
      <c r="B372" s="519" t="str">
        <f t="shared" si="253"/>
        <v>MTI</v>
      </c>
      <c r="C372" s="519" t="str">
        <f t="shared" ref="C372:E372" si="357">C138</f>
        <v>MRP</v>
      </c>
      <c r="D372" s="519" t="str">
        <f t="shared" si="357"/>
        <v>MTI2201</v>
      </c>
      <c r="E372" s="519">
        <f t="shared" si="357"/>
        <v>4.9139999999999997</v>
      </c>
      <c r="H372" s="519">
        <f ca="1">_xlfn.IFNA(IF(VLOOKUP($B372&amp;OFFSET(H$10,$A372*2,0),'Mapping A'!$B$6:$E$1011,4,0)=1,$E372,""),0)</f>
        <v>0</v>
      </c>
      <c r="I372" s="519">
        <f ca="1">_xlfn.IFNA(IF(VLOOKUP($B372&amp;OFFSET(I$10,$A372*2,0),'Mapping A'!$B$6:$E$1011,4,0)=1,$E372,""),0)</f>
        <v>0</v>
      </c>
      <c r="J372" s="519">
        <f ca="1">_xlfn.IFNA(IF(VLOOKUP($B372&amp;OFFSET(J$10,$A372*2,0),'Mapping A'!$B$6:$E$1011,4,0)=1,$E372,""),0)</f>
        <v>0</v>
      </c>
      <c r="K372" s="519">
        <f ca="1">_xlfn.IFNA(IF(VLOOKUP($B372&amp;OFFSET(K$10,$A372*2,0),'Mapping A'!$B$6:$E$1011,4,0)=1,$E372,""),0)</f>
        <v>0</v>
      </c>
      <c r="L372" s="519">
        <f ca="1">_xlfn.IFNA(IF(VLOOKUP($B372&amp;OFFSET(L$10,$A372*2,0),'Mapping A'!$B$6:$E$1011,4,0)=1,$E372,""),0)</f>
        <v>0</v>
      </c>
      <c r="M372" s="519">
        <f ca="1">_xlfn.IFNA(IF(VLOOKUP($B372&amp;OFFSET(M$10,$A372*2,0),'Mapping A'!$B$6:$E$1011,4,0)=1,$E372,""),0)</f>
        <v>0</v>
      </c>
      <c r="N372" s="519">
        <f ca="1">_xlfn.IFNA(IF(VLOOKUP($B372&amp;OFFSET(N$10,$A372*2,0),'Mapping A'!$B$6:$E$1011,4,0)=1,$E372,""),0)</f>
        <v>0</v>
      </c>
      <c r="O372" s="519">
        <f ca="1">_xlfn.IFNA(IF(VLOOKUP($B372&amp;OFFSET(O$10,$A372*2,0),'Mapping A'!$B$6:$E$1011,4,0)=1,$E372,""),0)</f>
        <v>0</v>
      </c>
      <c r="P372" s="519">
        <f ca="1">_xlfn.IFNA(IF(VLOOKUP($B372&amp;OFFSET(P$10,$A372*2,0),'Mapping A'!$B$6:$E$1011,4,0)=1,$E372,""),0)</f>
        <v>0</v>
      </c>
      <c r="Q372" s="519">
        <f ca="1">_xlfn.IFNA(IF(VLOOKUP($B372&amp;OFFSET(Q$10,$A372*2,0),'Mapping A'!$B$6:$E$1011,4,0)=1,$E372,""),0)</f>
        <v>0</v>
      </c>
      <c r="R372" s="519">
        <f ca="1">_xlfn.IFNA(IF(VLOOKUP($B372&amp;OFFSET(R$10,$A372*2,0),'Mapping A'!$B$6:$E$1011,4,0)=1,$E372,""),0)</f>
        <v>0</v>
      </c>
      <c r="S372" s="519">
        <f ca="1">_xlfn.IFNA(IF(VLOOKUP($B372&amp;OFFSET(S$10,$A372*2,0),'Mapping A'!$B$6:$E$1011,4,0)=1,$E372,""),0)</f>
        <v>0</v>
      </c>
      <c r="T372" s="519">
        <f ca="1">_xlfn.IFNA(IF(VLOOKUP($B372&amp;OFFSET(T$10,$A372*2,0),'Mapping A'!$B$6:$E$1011,4,0)=1,$E372,""),0)</f>
        <v>0</v>
      </c>
      <c r="Y372" s="534" t="str">
        <f t="shared" si="255"/>
        <v>MTI2201MRP</v>
      </c>
      <c r="Z372" s="519" t="str">
        <f t="shared" ref="Z372:AB372" si="358">C138</f>
        <v>MRP</v>
      </c>
      <c r="AA372" s="519" t="str">
        <f t="shared" si="358"/>
        <v>MTI2201</v>
      </c>
      <c r="AB372" s="519">
        <f t="shared" si="358"/>
        <v>4.9139999999999997</v>
      </c>
      <c r="AC372" s="324"/>
      <c r="AE372" s="519">
        <f t="shared" ca="1" si="239"/>
        <v>0</v>
      </c>
      <c r="AF372" s="519">
        <f t="shared" ca="1" si="240"/>
        <v>0</v>
      </c>
      <c r="AG372" s="519">
        <f t="shared" ca="1" si="241"/>
        <v>0</v>
      </c>
      <c r="AH372" s="519">
        <f t="shared" ca="1" si="242"/>
        <v>0</v>
      </c>
      <c r="AI372" s="519">
        <f t="shared" ca="1" si="243"/>
        <v>0</v>
      </c>
      <c r="AJ372" s="519">
        <f t="shared" ca="1" si="244"/>
        <v>0</v>
      </c>
      <c r="AK372" s="519">
        <f t="shared" ca="1" si="245"/>
        <v>0</v>
      </c>
      <c r="AL372" s="519">
        <f t="shared" ca="1" si="246"/>
        <v>0</v>
      </c>
      <c r="AM372" s="519">
        <f t="shared" ca="1" si="247"/>
        <v>0</v>
      </c>
      <c r="AN372" s="519">
        <f t="shared" ca="1" si="248"/>
        <v>0</v>
      </c>
      <c r="AO372" s="519">
        <f t="shared" ca="1" si="249"/>
        <v>0</v>
      </c>
      <c r="AP372" s="519">
        <f t="shared" ca="1" si="250"/>
        <v>0</v>
      </c>
      <c r="AQ372" s="519">
        <f t="shared" ca="1" si="251"/>
        <v>0</v>
      </c>
    </row>
    <row r="373" spans="1:43" x14ac:dyDescent="0.3">
      <c r="A373" s="556">
        <f t="shared" si="252"/>
        <v>2</v>
      </c>
      <c r="B373" s="519" t="str">
        <f t="shared" si="253"/>
        <v>MTM</v>
      </c>
      <c r="C373" s="519" t="str">
        <f t="shared" ref="C373:E373" si="359">C139</f>
        <v>Powerco</v>
      </c>
      <c r="D373" s="519" t="str">
        <f t="shared" si="359"/>
        <v>MTM0331</v>
      </c>
      <c r="E373" s="519">
        <f t="shared" si="359"/>
        <v>65.438100000000006</v>
      </c>
      <c r="H373" s="519">
        <f ca="1">_xlfn.IFNA(IF(VLOOKUP($B373&amp;OFFSET(H$10,$A373*2,0),'Mapping A'!$B$6:$E$1011,4,0)=1,$E373,""),0)</f>
        <v>0</v>
      </c>
      <c r="I373" s="519">
        <f ca="1">_xlfn.IFNA(IF(VLOOKUP($B373&amp;OFFSET(I$10,$A373*2,0),'Mapping A'!$B$6:$E$1011,4,0)=1,$E373,""),0)</f>
        <v>0</v>
      </c>
      <c r="J373" s="519">
        <f ca="1">_xlfn.IFNA(IF(VLOOKUP($B373&amp;OFFSET(J$10,$A373*2,0),'Mapping A'!$B$6:$E$1011,4,0)=1,$E373,""),0)</f>
        <v>0</v>
      </c>
      <c r="K373" s="519">
        <f ca="1">_xlfn.IFNA(IF(VLOOKUP($B373&amp;OFFSET(K$10,$A373*2,0),'Mapping A'!$B$6:$E$1011,4,0)=1,$E373,""),0)</f>
        <v>0</v>
      </c>
      <c r="L373" s="519">
        <f ca="1">_xlfn.IFNA(IF(VLOOKUP($B373&amp;OFFSET(L$10,$A373*2,0),'Mapping A'!$B$6:$E$1011,4,0)=1,$E373,""),0)</f>
        <v>0</v>
      </c>
      <c r="M373" s="519">
        <f ca="1">_xlfn.IFNA(IF(VLOOKUP($B373&amp;OFFSET(M$10,$A373*2,0),'Mapping A'!$B$6:$E$1011,4,0)=1,$E373,""),0)</f>
        <v>0</v>
      </c>
      <c r="N373" s="519">
        <f ca="1">_xlfn.IFNA(IF(VLOOKUP($B373&amp;OFFSET(N$10,$A373*2,0),'Mapping A'!$B$6:$E$1011,4,0)=1,$E373,""),0)</f>
        <v>0</v>
      </c>
      <c r="O373" s="519">
        <f ca="1">_xlfn.IFNA(IF(VLOOKUP($B373&amp;OFFSET(O$10,$A373*2,0),'Mapping A'!$B$6:$E$1011,4,0)=1,$E373,""),0)</f>
        <v>0</v>
      </c>
      <c r="P373" s="519">
        <f ca="1">_xlfn.IFNA(IF(VLOOKUP($B373&amp;OFFSET(P$10,$A373*2,0),'Mapping A'!$B$6:$E$1011,4,0)=1,$E373,""),0)</f>
        <v>0</v>
      </c>
      <c r="Q373" s="519">
        <f ca="1">_xlfn.IFNA(IF(VLOOKUP($B373&amp;OFFSET(Q$10,$A373*2,0),'Mapping A'!$B$6:$E$1011,4,0)=1,$E373,""),0)</f>
        <v>0</v>
      </c>
      <c r="R373" s="519">
        <f ca="1">_xlfn.IFNA(IF(VLOOKUP($B373&amp;OFFSET(R$10,$A373*2,0),'Mapping A'!$B$6:$E$1011,4,0)=1,$E373,""),0)</f>
        <v>0</v>
      </c>
      <c r="S373" s="519">
        <f ca="1">_xlfn.IFNA(IF(VLOOKUP($B373&amp;OFFSET(S$10,$A373*2,0),'Mapping A'!$B$6:$E$1011,4,0)=1,$E373,""),0)</f>
        <v>0</v>
      </c>
      <c r="T373" s="519">
        <f ca="1">_xlfn.IFNA(IF(VLOOKUP($B373&amp;OFFSET(T$10,$A373*2,0),'Mapping A'!$B$6:$E$1011,4,0)=1,$E373,""),0)</f>
        <v>0</v>
      </c>
      <c r="Y373" s="534" t="str">
        <f t="shared" si="255"/>
        <v>MTM0331Powerco</v>
      </c>
      <c r="Z373" s="519" t="str">
        <f t="shared" ref="Z373:AB373" si="360">C139</f>
        <v>Powerco</v>
      </c>
      <c r="AA373" s="519" t="str">
        <f t="shared" si="360"/>
        <v>MTM0331</v>
      </c>
      <c r="AB373" s="519">
        <f t="shared" si="360"/>
        <v>65.438100000000006</v>
      </c>
      <c r="AC373" s="324"/>
      <c r="AE373" s="519">
        <f t="shared" ca="1" si="239"/>
        <v>0</v>
      </c>
      <c r="AF373" s="519">
        <f t="shared" ca="1" si="240"/>
        <v>0</v>
      </c>
      <c r="AG373" s="519">
        <f t="shared" ca="1" si="241"/>
        <v>0</v>
      </c>
      <c r="AH373" s="519">
        <f t="shared" ca="1" si="242"/>
        <v>0</v>
      </c>
      <c r="AI373" s="519">
        <f t="shared" ca="1" si="243"/>
        <v>0</v>
      </c>
      <c r="AJ373" s="519">
        <f t="shared" ca="1" si="244"/>
        <v>0</v>
      </c>
      <c r="AK373" s="519">
        <f t="shared" ca="1" si="245"/>
        <v>0</v>
      </c>
      <c r="AL373" s="519">
        <f t="shared" ca="1" si="246"/>
        <v>0</v>
      </c>
      <c r="AM373" s="519">
        <f t="shared" ca="1" si="247"/>
        <v>0</v>
      </c>
      <c r="AN373" s="519">
        <f t="shared" ca="1" si="248"/>
        <v>0</v>
      </c>
      <c r="AO373" s="519">
        <f t="shared" ca="1" si="249"/>
        <v>0</v>
      </c>
      <c r="AP373" s="519">
        <f t="shared" ca="1" si="250"/>
        <v>0</v>
      </c>
      <c r="AQ373" s="519">
        <f t="shared" ca="1" si="251"/>
        <v>0</v>
      </c>
    </row>
    <row r="374" spans="1:43" x14ac:dyDescent="0.3">
      <c r="A374" s="556">
        <f t="shared" si="252"/>
        <v>2</v>
      </c>
      <c r="B374" s="519" t="str">
        <f t="shared" si="253"/>
        <v>MTN</v>
      </c>
      <c r="C374" s="519" t="str">
        <f t="shared" ref="C374:E374" si="361">C140</f>
        <v>Powerco</v>
      </c>
      <c r="D374" s="519" t="str">
        <f t="shared" si="361"/>
        <v>MTN0331</v>
      </c>
      <c r="E374" s="519">
        <f t="shared" si="361"/>
        <v>16.697099999999999</v>
      </c>
      <c r="H374" s="519">
        <f ca="1">_xlfn.IFNA(IF(VLOOKUP($B374&amp;OFFSET(H$10,$A374*2,0),'Mapping A'!$B$6:$E$1011,4,0)=1,$E374,""),0)</f>
        <v>0</v>
      </c>
      <c r="I374" s="519">
        <f ca="1">_xlfn.IFNA(IF(VLOOKUP($B374&amp;OFFSET(I$10,$A374*2,0),'Mapping A'!$B$6:$E$1011,4,0)=1,$E374,""),0)</f>
        <v>0</v>
      </c>
      <c r="J374" s="519">
        <f ca="1">_xlfn.IFNA(IF(VLOOKUP($B374&amp;OFFSET(J$10,$A374*2,0),'Mapping A'!$B$6:$E$1011,4,0)=1,$E374,""),0)</f>
        <v>0</v>
      </c>
      <c r="K374" s="519">
        <f ca="1">_xlfn.IFNA(IF(VLOOKUP($B374&amp;OFFSET(K$10,$A374*2,0),'Mapping A'!$B$6:$E$1011,4,0)=1,$E374,""),0)</f>
        <v>0</v>
      </c>
      <c r="L374" s="519">
        <f ca="1">_xlfn.IFNA(IF(VLOOKUP($B374&amp;OFFSET(L$10,$A374*2,0),'Mapping A'!$B$6:$E$1011,4,0)=1,$E374,""),0)</f>
        <v>0</v>
      </c>
      <c r="M374" s="519">
        <f ca="1">_xlfn.IFNA(IF(VLOOKUP($B374&amp;OFFSET(M$10,$A374*2,0),'Mapping A'!$B$6:$E$1011,4,0)=1,$E374,""),0)</f>
        <v>0</v>
      </c>
      <c r="N374" s="519">
        <f ca="1">_xlfn.IFNA(IF(VLOOKUP($B374&amp;OFFSET(N$10,$A374*2,0),'Mapping A'!$B$6:$E$1011,4,0)=1,$E374,""),0)</f>
        <v>0</v>
      </c>
      <c r="O374" s="519">
        <f ca="1">_xlfn.IFNA(IF(VLOOKUP($B374&amp;OFFSET(O$10,$A374*2,0),'Mapping A'!$B$6:$E$1011,4,0)=1,$E374,""),0)</f>
        <v>0</v>
      </c>
      <c r="P374" s="519">
        <f ca="1">_xlfn.IFNA(IF(VLOOKUP($B374&amp;OFFSET(P$10,$A374*2,0),'Mapping A'!$B$6:$E$1011,4,0)=1,$E374,""),0)</f>
        <v>0</v>
      </c>
      <c r="Q374" s="519">
        <f ca="1">_xlfn.IFNA(IF(VLOOKUP($B374&amp;OFFSET(Q$10,$A374*2,0),'Mapping A'!$B$6:$E$1011,4,0)=1,$E374,""),0)</f>
        <v>0</v>
      </c>
      <c r="R374" s="519">
        <f ca="1">_xlfn.IFNA(IF(VLOOKUP($B374&amp;OFFSET(R$10,$A374*2,0),'Mapping A'!$B$6:$E$1011,4,0)=1,$E374,""),0)</f>
        <v>0</v>
      </c>
      <c r="S374" s="519">
        <f ca="1">_xlfn.IFNA(IF(VLOOKUP($B374&amp;OFFSET(S$10,$A374*2,0),'Mapping A'!$B$6:$E$1011,4,0)=1,$E374,""),0)</f>
        <v>0</v>
      </c>
      <c r="T374" s="519">
        <f ca="1">_xlfn.IFNA(IF(VLOOKUP($B374&amp;OFFSET(T$10,$A374*2,0),'Mapping A'!$B$6:$E$1011,4,0)=1,$E374,""),0)</f>
        <v>0</v>
      </c>
      <c r="Y374" s="534" t="str">
        <f t="shared" si="255"/>
        <v>MTN0331Powerco</v>
      </c>
      <c r="Z374" s="519" t="str">
        <f t="shared" ref="Z374:AB374" si="362">C140</f>
        <v>Powerco</v>
      </c>
      <c r="AA374" s="519" t="str">
        <f t="shared" si="362"/>
        <v>MTN0331</v>
      </c>
      <c r="AB374" s="519">
        <f t="shared" si="362"/>
        <v>16.697099999999999</v>
      </c>
      <c r="AC374" s="324"/>
      <c r="AE374" s="519">
        <f t="shared" ca="1" si="239"/>
        <v>0</v>
      </c>
      <c r="AF374" s="519">
        <f t="shared" ca="1" si="240"/>
        <v>0</v>
      </c>
      <c r="AG374" s="519">
        <f t="shared" ca="1" si="241"/>
        <v>0</v>
      </c>
      <c r="AH374" s="519">
        <f t="shared" ca="1" si="242"/>
        <v>0</v>
      </c>
      <c r="AI374" s="519">
        <f t="shared" ca="1" si="243"/>
        <v>0</v>
      </c>
      <c r="AJ374" s="519">
        <f t="shared" ca="1" si="244"/>
        <v>0</v>
      </c>
      <c r="AK374" s="519">
        <f t="shared" ca="1" si="245"/>
        <v>0</v>
      </c>
      <c r="AL374" s="519">
        <f t="shared" ca="1" si="246"/>
        <v>0</v>
      </c>
      <c r="AM374" s="519">
        <f t="shared" ca="1" si="247"/>
        <v>0</v>
      </c>
      <c r="AN374" s="519">
        <f t="shared" ca="1" si="248"/>
        <v>0</v>
      </c>
      <c r="AO374" s="519">
        <f t="shared" ca="1" si="249"/>
        <v>0</v>
      </c>
      <c r="AP374" s="519">
        <f t="shared" ca="1" si="250"/>
        <v>0</v>
      </c>
      <c r="AQ374" s="519">
        <f t="shared" ca="1" si="251"/>
        <v>0</v>
      </c>
    </row>
    <row r="375" spans="1:43" x14ac:dyDescent="0.3">
      <c r="A375" s="556">
        <f t="shared" si="252"/>
        <v>2</v>
      </c>
      <c r="B375" s="519" t="str">
        <f t="shared" si="253"/>
        <v>MTO</v>
      </c>
      <c r="C375" s="519" t="str">
        <f t="shared" ref="C375:E375" si="363">C141</f>
        <v>Northpower</v>
      </c>
      <c r="D375" s="519" t="str">
        <f t="shared" si="363"/>
        <v>MTO0331</v>
      </c>
      <c r="E375" s="519">
        <f t="shared" si="363"/>
        <v>17.9298</v>
      </c>
      <c r="H375" s="519">
        <f ca="1">_xlfn.IFNA(IF(VLOOKUP($B375&amp;OFFSET(H$10,$A375*2,0),'Mapping A'!$B$6:$E$1011,4,0)=1,$E375,""),0)</f>
        <v>0</v>
      </c>
      <c r="I375" s="519">
        <f ca="1">_xlfn.IFNA(IF(VLOOKUP($B375&amp;OFFSET(I$10,$A375*2,0),'Mapping A'!$B$6:$E$1011,4,0)=1,$E375,""),0)</f>
        <v>0</v>
      </c>
      <c r="J375" s="519">
        <f ca="1">_xlfn.IFNA(IF(VLOOKUP($B375&amp;OFFSET(J$10,$A375*2,0),'Mapping A'!$B$6:$E$1011,4,0)=1,$E375,""),0)</f>
        <v>0</v>
      </c>
      <c r="K375" s="519">
        <f ca="1">_xlfn.IFNA(IF(VLOOKUP($B375&amp;OFFSET(K$10,$A375*2,0),'Mapping A'!$B$6:$E$1011,4,0)=1,$E375,""),0)</f>
        <v>0</v>
      </c>
      <c r="L375" s="519">
        <f ca="1">_xlfn.IFNA(IF(VLOOKUP($B375&amp;OFFSET(L$10,$A375*2,0),'Mapping A'!$B$6:$E$1011,4,0)=1,$E375,""),0)</f>
        <v>0</v>
      </c>
      <c r="M375" s="519">
        <f ca="1">_xlfn.IFNA(IF(VLOOKUP($B375&amp;OFFSET(M$10,$A375*2,0),'Mapping A'!$B$6:$E$1011,4,0)=1,$E375,""),0)</f>
        <v>0</v>
      </c>
      <c r="N375" s="519">
        <f ca="1">_xlfn.IFNA(IF(VLOOKUP($B375&amp;OFFSET(N$10,$A375*2,0),'Mapping A'!$B$6:$E$1011,4,0)=1,$E375,""),0)</f>
        <v>0</v>
      </c>
      <c r="O375" s="519">
        <f ca="1">_xlfn.IFNA(IF(VLOOKUP($B375&amp;OFFSET(O$10,$A375*2,0),'Mapping A'!$B$6:$E$1011,4,0)=1,$E375,""),0)</f>
        <v>0</v>
      </c>
      <c r="P375" s="519">
        <f ca="1">_xlfn.IFNA(IF(VLOOKUP($B375&amp;OFFSET(P$10,$A375*2,0),'Mapping A'!$B$6:$E$1011,4,0)=1,$E375,""),0)</f>
        <v>0</v>
      </c>
      <c r="Q375" s="519">
        <f ca="1">_xlfn.IFNA(IF(VLOOKUP($B375&amp;OFFSET(Q$10,$A375*2,0),'Mapping A'!$B$6:$E$1011,4,0)=1,$E375,""),0)</f>
        <v>0</v>
      </c>
      <c r="R375" s="519">
        <f ca="1">_xlfn.IFNA(IF(VLOOKUP($B375&amp;OFFSET(R$10,$A375*2,0),'Mapping A'!$B$6:$E$1011,4,0)=1,$E375,""),0)</f>
        <v>0</v>
      </c>
      <c r="S375" s="519">
        <f ca="1">_xlfn.IFNA(IF(VLOOKUP($B375&amp;OFFSET(S$10,$A375*2,0),'Mapping A'!$B$6:$E$1011,4,0)=1,$E375,""),0)</f>
        <v>0</v>
      </c>
      <c r="T375" s="519">
        <f ca="1">_xlfn.IFNA(IF(VLOOKUP($B375&amp;OFFSET(T$10,$A375*2,0),'Mapping A'!$B$6:$E$1011,4,0)=1,$E375,""),0)</f>
        <v>0</v>
      </c>
      <c r="Y375" s="534" t="str">
        <f t="shared" si="255"/>
        <v>MTO0331Northpower</v>
      </c>
      <c r="Z375" s="519" t="str">
        <f t="shared" ref="Z375:AB375" si="364">C141</f>
        <v>Northpower</v>
      </c>
      <c r="AA375" s="519" t="str">
        <f t="shared" si="364"/>
        <v>MTO0331</v>
      </c>
      <c r="AB375" s="519">
        <f t="shared" si="364"/>
        <v>17.9298</v>
      </c>
      <c r="AC375" s="324"/>
      <c r="AE375" s="519">
        <f t="shared" ca="1" si="239"/>
        <v>0</v>
      </c>
      <c r="AF375" s="519">
        <f t="shared" ca="1" si="240"/>
        <v>0</v>
      </c>
      <c r="AG375" s="519">
        <f t="shared" ca="1" si="241"/>
        <v>0</v>
      </c>
      <c r="AH375" s="519">
        <f t="shared" ca="1" si="242"/>
        <v>0</v>
      </c>
      <c r="AI375" s="519">
        <f t="shared" ca="1" si="243"/>
        <v>0</v>
      </c>
      <c r="AJ375" s="519">
        <f t="shared" ca="1" si="244"/>
        <v>0</v>
      </c>
      <c r="AK375" s="519">
        <f t="shared" ca="1" si="245"/>
        <v>0</v>
      </c>
      <c r="AL375" s="519">
        <f t="shared" ca="1" si="246"/>
        <v>0</v>
      </c>
      <c r="AM375" s="519">
        <f t="shared" ca="1" si="247"/>
        <v>0</v>
      </c>
      <c r="AN375" s="519">
        <f t="shared" ca="1" si="248"/>
        <v>0</v>
      </c>
      <c r="AO375" s="519">
        <f t="shared" ca="1" si="249"/>
        <v>0</v>
      </c>
      <c r="AP375" s="519">
        <f t="shared" ca="1" si="250"/>
        <v>0</v>
      </c>
      <c r="AQ375" s="519">
        <f t="shared" ca="1" si="251"/>
        <v>0</v>
      </c>
    </row>
    <row r="376" spans="1:43" x14ac:dyDescent="0.3">
      <c r="A376" s="556">
        <f t="shared" si="252"/>
        <v>2</v>
      </c>
      <c r="B376" s="519" t="str">
        <f t="shared" si="253"/>
        <v>MTR</v>
      </c>
      <c r="C376" s="519" t="str">
        <f t="shared" ref="C376:E376" si="365">C142</f>
        <v>Powerco</v>
      </c>
      <c r="D376" s="519" t="str">
        <f t="shared" si="365"/>
        <v>MTR0331</v>
      </c>
      <c r="E376" s="519">
        <f t="shared" si="365"/>
        <v>7.1169000000000002</v>
      </c>
      <c r="H376" s="519">
        <f ca="1">_xlfn.IFNA(IF(VLOOKUP($B376&amp;OFFSET(H$10,$A376*2,0),'Mapping A'!$B$6:$E$1011,4,0)=1,$E376,""),0)</f>
        <v>0</v>
      </c>
      <c r="I376" s="519">
        <f ca="1">_xlfn.IFNA(IF(VLOOKUP($B376&amp;OFFSET(I$10,$A376*2,0),'Mapping A'!$B$6:$E$1011,4,0)=1,$E376,""),0)</f>
        <v>0</v>
      </c>
      <c r="J376" s="519">
        <f ca="1">_xlfn.IFNA(IF(VLOOKUP($B376&amp;OFFSET(J$10,$A376*2,0),'Mapping A'!$B$6:$E$1011,4,0)=1,$E376,""),0)</f>
        <v>0</v>
      </c>
      <c r="K376" s="519">
        <f ca="1">_xlfn.IFNA(IF(VLOOKUP($B376&amp;OFFSET(K$10,$A376*2,0),'Mapping A'!$B$6:$E$1011,4,0)=1,$E376,""),0)</f>
        <v>0</v>
      </c>
      <c r="L376" s="519">
        <f ca="1">_xlfn.IFNA(IF(VLOOKUP($B376&amp;OFFSET(L$10,$A376*2,0),'Mapping A'!$B$6:$E$1011,4,0)=1,$E376,""),0)</f>
        <v>0</v>
      </c>
      <c r="M376" s="519">
        <f ca="1">_xlfn.IFNA(IF(VLOOKUP($B376&amp;OFFSET(M$10,$A376*2,0),'Mapping A'!$B$6:$E$1011,4,0)=1,$E376,""),0)</f>
        <v>0</v>
      </c>
      <c r="N376" s="519">
        <f ca="1">_xlfn.IFNA(IF(VLOOKUP($B376&amp;OFFSET(N$10,$A376*2,0),'Mapping A'!$B$6:$E$1011,4,0)=1,$E376,""),0)</f>
        <v>0</v>
      </c>
      <c r="O376" s="519">
        <f ca="1">_xlfn.IFNA(IF(VLOOKUP($B376&amp;OFFSET(O$10,$A376*2,0),'Mapping A'!$B$6:$E$1011,4,0)=1,$E376,""),0)</f>
        <v>0</v>
      </c>
      <c r="P376" s="519">
        <f ca="1">_xlfn.IFNA(IF(VLOOKUP($B376&amp;OFFSET(P$10,$A376*2,0),'Mapping A'!$B$6:$E$1011,4,0)=1,$E376,""),0)</f>
        <v>0</v>
      </c>
      <c r="Q376" s="519">
        <f ca="1">_xlfn.IFNA(IF(VLOOKUP($B376&amp;OFFSET(Q$10,$A376*2,0),'Mapping A'!$B$6:$E$1011,4,0)=1,$E376,""),0)</f>
        <v>0</v>
      </c>
      <c r="R376" s="519">
        <f ca="1">_xlfn.IFNA(IF(VLOOKUP($B376&amp;OFFSET(R$10,$A376*2,0),'Mapping A'!$B$6:$E$1011,4,0)=1,$E376,""),0)</f>
        <v>0</v>
      </c>
      <c r="S376" s="519">
        <f ca="1">_xlfn.IFNA(IF(VLOOKUP($B376&amp;OFFSET(S$10,$A376*2,0),'Mapping A'!$B$6:$E$1011,4,0)=1,$E376,""),0)</f>
        <v>0</v>
      </c>
      <c r="T376" s="519">
        <f ca="1">_xlfn.IFNA(IF(VLOOKUP($B376&amp;OFFSET(T$10,$A376*2,0),'Mapping A'!$B$6:$E$1011,4,0)=1,$E376,""),0)</f>
        <v>0</v>
      </c>
      <c r="Y376" s="534" t="str">
        <f t="shared" si="255"/>
        <v>MTR0331Powerco</v>
      </c>
      <c r="Z376" s="519" t="str">
        <f t="shared" ref="Z376:AB376" si="366">C142</f>
        <v>Powerco</v>
      </c>
      <c r="AA376" s="519" t="str">
        <f t="shared" si="366"/>
        <v>MTR0331</v>
      </c>
      <c r="AB376" s="519">
        <f t="shared" si="366"/>
        <v>7.1169000000000002</v>
      </c>
      <c r="AC376" s="324"/>
      <c r="AE376" s="519">
        <f t="shared" ca="1" si="239"/>
        <v>0</v>
      </c>
      <c r="AF376" s="519">
        <f t="shared" ca="1" si="240"/>
        <v>0</v>
      </c>
      <c r="AG376" s="519">
        <f t="shared" ca="1" si="241"/>
        <v>0</v>
      </c>
      <c r="AH376" s="519">
        <f t="shared" ca="1" si="242"/>
        <v>0</v>
      </c>
      <c r="AI376" s="519">
        <f t="shared" ca="1" si="243"/>
        <v>0</v>
      </c>
      <c r="AJ376" s="519">
        <f t="shared" ca="1" si="244"/>
        <v>0</v>
      </c>
      <c r="AK376" s="519">
        <f t="shared" ca="1" si="245"/>
        <v>0</v>
      </c>
      <c r="AL376" s="519">
        <f t="shared" ca="1" si="246"/>
        <v>0</v>
      </c>
      <c r="AM376" s="519">
        <f t="shared" ca="1" si="247"/>
        <v>0</v>
      </c>
      <c r="AN376" s="519">
        <f t="shared" ca="1" si="248"/>
        <v>0</v>
      </c>
      <c r="AO376" s="519">
        <f t="shared" ca="1" si="249"/>
        <v>0</v>
      </c>
      <c r="AP376" s="519">
        <f t="shared" ca="1" si="250"/>
        <v>0</v>
      </c>
      <c r="AQ376" s="519">
        <f t="shared" ca="1" si="251"/>
        <v>0</v>
      </c>
    </row>
    <row r="377" spans="1:43" x14ac:dyDescent="0.3">
      <c r="A377" s="556">
        <f t="shared" si="252"/>
        <v>2</v>
      </c>
      <c r="B377" s="519" t="str">
        <f t="shared" si="253"/>
        <v>NAP</v>
      </c>
      <c r="C377" s="519" t="str">
        <f t="shared" ref="C377:E377" si="367">C143</f>
        <v>Other</v>
      </c>
      <c r="D377" s="519" t="str">
        <f t="shared" si="367"/>
        <v>NAP2201</v>
      </c>
      <c r="E377" s="519">
        <f t="shared" si="367"/>
        <v>0</v>
      </c>
      <c r="H377" s="519">
        <f ca="1">_xlfn.IFNA(IF(VLOOKUP($B377&amp;OFFSET(H$10,$A377*2,0),'Mapping A'!$B$6:$E$1011,4,0)=1,$E377,""),0)</f>
        <v>0</v>
      </c>
      <c r="I377" s="519">
        <f ca="1">_xlfn.IFNA(IF(VLOOKUP($B377&amp;OFFSET(I$10,$A377*2,0),'Mapping A'!$B$6:$E$1011,4,0)=1,$E377,""),0)</f>
        <v>0</v>
      </c>
      <c r="J377" s="519">
        <f ca="1">_xlfn.IFNA(IF(VLOOKUP($B377&amp;OFFSET(J$10,$A377*2,0),'Mapping A'!$B$6:$E$1011,4,0)=1,$E377,""),0)</f>
        <v>0</v>
      </c>
      <c r="K377" s="519">
        <f ca="1">_xlfn.IFNA(IF(VLOOKUP($B377&amp;OFFSET(K$10,$A377*2,0),'Mapping A'!$B$6:$E$1011,4,0)=1,$E377,""),0)</f>
        <v>0</v>
      </c>
      <c r="L377" s="519">
        <f ca="1">_xlfn.IFNA(IF(VLOOKUP($B377&amp;OFFSET(L$10,$A377*2,0),'Mapping A'!$B$6:$E$1011,4,0)=1,$E377,""),0)</f>
        <v>0</v>
      </c>
      <c r="M377" s="519">
        <f ca="1">_xlfn.IFNA(IF(VLOOKUP($B377&amp;OFFSET(M$10,$A377*2,0),'Mapping A'!$B$6:$E$1011,4,0)=1,$E377,""),0)</f>
        <v>0</v>
      </c>
      <c r="N377" s="519">
        <f ca="1">_xlfn.IFNA(IF(VLOOKUP($B377&amp;OFFSET(N$10,$A377*2,0),'Mapping A'!$B$6:$E$1011,4,0)=1,$E377,""),0)</f>
        <v>0</v>
      </c>
      <c r="O377" s="519">
        <f ca="1">_xlfn.IFNA(IF(VLOOKUP($B377&amp;OFFSET(O$10,$A377*2,0),'Mapping A'!$B$6:$E$1011,4,0)=1,$E377,""),0)</f>
        <v>0</v>
      </c>
      <c r="P377" s="519">
        <f ca="1">_xlfn.IFNA(IF(VLOOKUP($B377&amp;OFFSET(P$10,$A377*2,0),'Mapping A'!$B$6:$E$1011,4,0)=1,$E377,""),0)</f>
        <v>0</v>
      </c>
      <c r="Q377" s="519">
        <f ca="1">_xlfn.IFNA(IF(VLOOKUP($B377&amp;OFFSET(Q$10,$A377*2,0),'Mapping A'!$B$6:$E$1011,4,0)=1,$E377,""),0)</f>
        <v>0</v>
      </c>
      <c r="R377" s="519">
        <f ca="1">_xlfn.IFNA(IF(VLOOKUP($B377&amp;OFFSET(R$10,$A377*2,0),'Mapping A'!$B$6:$E$1011,4,0)=1,$E377,""),0)</f>
        <v>0</v>
      </c>
      <c r="S377" s="519">
        <f ca="1">_xlfn.IFNA(IF(VLOOKUP($B377&amp;OFFSET(S$10,$A377*2,0),'Mapping A'!$B$6:$E$1011,4,0)=1,$E377,""),0)</f>
        <v>0</v>
      </c>
      <c r="T377" s="519">
        <f ca="1">_xlfn.IFNA(IF(VLOOKUP($B377&amp;OFFSET(T$10,$A377*2,0),'Mapping A'!$B$6:$E$1011,4,0)=1,$E377,""),0)</f>
        <v>0</v>
      </c>
      <c r="Y377" s="534" t="str">
        <f t="shared" si="255"/>
        <v>NAP2201Other</v>
      </c>
      <c r="Z377" s="519" t="str">
        <f t="shared" ref="Z377:AB377" si="368">C143</f>
        <v>Other</v>
      </c>
      <c r="AA377" s="519" t="str">
        <f t="shared" si="368"/>
        <v>NAP2201</v>
      </c>
      <c r="AB377" s="519">
        <f t="shared" si="368"/>
        <v>0</v>
      </c>
      <c r="AC377" s="324"/>
      <c r="AE377" s="519">
        <f t="shared" ca="1" si="239"/>
        <v>0</v>
      </c>
      <c r="AF377" s="519">
        <f t="shared" ca="1" si="240"/>
        <v>0</v>
      </c>
      <c r="AG377" s="519">
        <f t="shared" ca="1" si="241"/>
        <v>0</v>
      </c>
      <c r="AH377" s="519">
        <f t="shared" ca="1" si="242"/>
        <v>0</v>
      </c>
      <c r="AI377" s="519">
        <f t="shared" ca="1" si="243"/>
        <v>0</v>
      </c>
      <c r="AJ377" s="519">
        <f t="shared" ca="1" si="244"/>
        <v>0</v>
      </c>
      <c r="AK377" s="519">
        <f t="shared" ca="1" si="245"/>
        <v>0</v>
      </c>
      <c r="AL377" s="519">
        <f t="shared" ca="1" si="246"/>
        <v>0</v>
      </c>
      <c r="AM377" s="519">
        <f t="shared" ca="1" si="247"/>
        <v>0</v>
      </c>
      <c r="AN377" s="519">
        <f t="shared" ca="1" si="248"/>
        <v>0</v>
      </c>
      <c r="AO377" s="519">
        <f t="shared" ca="1" si="249"/>
        <v>0</v>
      </c>
      <c r="AP377" s="519">
        <f t="shared" ca="1" si="250"/>
        <v>0</v>
      </c>
      <c r="AQ377" s="519">
        <f t="shared" ca="1" si="251"/>
        <v>0</v>
      </c>
    </row>
    <row r="378" spans="1:43" x14ac:dyDescent="0.3">
      <c r="A378" s="556">
        <f t="shared" si="252"/>
        <v>2</v>
      </c>
      <c r="B378" s="519" t="str">
        <f t="shared" si="253"/>
        <v>NAP</v>
      </c>
      <c r="C378" s="519" t="str">
        <f t="shared" ref="C378:E378" si="369">C144</f>
        <v>MRP</v>
      </c>
      <c r="D378" s="519" t="str">
        <f t="shared" si="369"/>
        <v>NAP2202</v>
      </c>
      <c r="E378" s="519">
        <f t="shared" si="369"/>
        <v>14.4648</v>
      </c>
      <c r="H378" s="519">
        <f ca="1">_xlfn.IFNA(IF(VLOOKUP($B378&amp;OFFSET(H$10,$A378*2,0),'Mapping A'!$B$6:$E$1011,4,0)=1,$E378,""),0)</f>
        <v>0</v>
      </c>
      <c r="I378" s="519">
        <f ca="1">_xlfn.IFNA(IF(VLOOKUP($B378&amp;OFFSET(I$10,$A378*2,0),'Mapping A'!$B$6:$E$1011,4,0)=1,$E378,""),0)</f>
        <v>0</v>
      </c>
      <c r="J378" s="519">
        <f ca="1">_xlfn.IFNA(IF(VLOOKUP($B378&amp;OFFSET(J$10,$A378*2,0),'Mapping A'!$B$6:$E$1011,4,0)=1,$E378,""),0)</f>
        <v>0</v>
      </c>
      <c r="K378" s="519">
        <f ca="1">_xlfn.IFNA(IF(VLOOKUP($B378&amp;OFFSET(K$10,$A378*2,0),'Mapping A'!$B$6:$E$1011,4,0)=1,$E378,""),0)</f>
        <v>0</v>
      </c>
      <c r="L378" s="519">
        <f ca="1">_xlfn.IFNA(IF(VLOOKUP($B378&amp;OFFSET(L$10,$A378*2,0),'Mapping A'!$B$6:$E$1011,4,0)=1,$E378,""),0)</f>
        <v>0</v>
      </c>
      <c r="M378" s="519">
        <f ca="1">_xlfn.IFNA(IF(VLOOKUP($B378&amp;OFFSET(M$10,$A378*2,0),'Mapping A'!$B$6:$E$1011,4,0)=1,$E378,""),0)</f>
        <v>0</v>
      </c>
      <c r="N378" s="519">
        <f ca="1">_xlfn.IFNA(IF(VLOOKUP($B378&amp;OFFSET(N$10,$A378*2,0),'Mapping A'!$B$6:$E$1011,4,0)=1,$E378,""),0)</f>
        <v>0</v>
      </c>
      <c r="O378" s="519">
        <f ca="1">_xlfn.IFNA(IF(VLOOKUP($B378&amp;OFFSET(O$10,$A378*2,0),'Mapping A'!$B$6:$E$1011,4,0)=1,$E378,""),0)</f>
        <v>0</v>
      </c>
      <c r="P378" s="519">
        <f ca="1">_xlfn.IFNA(IF(VLOOKUP($B378&amp;OFFSET(P$10,$A378*2,0),'Mapping A'!$B$6:$E$1011,4,0)=1,$E378,""),0)</f>
        <v>0</v>
      </c>
      <c r="Q378" s="519">
        <f ca="1">_xlfn.IFNA(IF(VLOOKUP($B378&amp;OFFSET(Q$10,$A378*2,0),'Mapping A'!$B$6:$E$1011,4,0)=1,$E378,""),0)</f>
        <v>0</v>
      </c>
      <c r="R378" s="519">
        <f ca="1">_xlfn.IFNA(IF(VLOOKUP($B378&amp;OFFSET(R$10,$A378*2,0),'Mapping A'!$B$6:$E$1011,4,0)=1,$E378,""),0)</f>
        <v>0</v>
      </c>
      <c r="S378" s="519">
        <f ca="1">_xlfn.IFNA(IF(VLOOKUP($B378&amp;OFFSET(S$10,$A378*2,0),'Mapping A'!$B$6:$E$1011,4,0)=1,$E378,""),0)</f>
        <v>0</v>
      </c>
      <c r="T378" s="519">
        <f ca="1">_xlfn.IFNA(IF(VLOOKUP($B378&amp;OFFSET(T$10,$A378*2,0),'Mapping A'!$B$6:$E$1011,4,0)=1,$E378,""),0)</f>
        <v>0</v>
      </c>
      <c r="Y378" s="534" t="str">
        <f t="shared" si="255"/>
        <v>NAP2202MRP</v>
      </c>
      <c r="Z378" s="519" t="str">
        <f t="shared" ref="Z378:AB378" si="370">C144</f>
        <v>MRP</v>
      </c>
      <c r="AA378" s="519" t="str">
        <f t="shared" si="370"/>
        <v>NAP2202</v>
      </c>
      <c r="AB378" s="519">
        <f t="shared" si="370"/>
        <v>14.4648</v>
      </c>
      <c r="AC378" s="324"/>
      <c r="AE378" s="519">
        <f t="shared" ca="1" si="239"/>
        <v>0</v>
      </c>
      <c r="AF378" s="519">
        <f t="shared" ca="1" si="240"/>
        <v>0</v>
      </c>
      <c r="AG378" s="519">
        <f t="shared" ca="1" si="241"/>
        <v>0</v>
      </c>
      <c r="AH378" s="519">
        <f t="shared" ca="1" si="242"/>
        <v>0</v>
      </c>
      <c r="AI378" s="519">
        <f t="shared" ca="1" si="243"/>
        <v>0</v>
      </c>
      <c r="AJ378" s="519">
        <f t="shared" ca="1" si="244"/>
        <v>0</v>
      </c>
      <c r="AK378" s="519">
        <f t="shared" ca="1" si="245"/>
        <v>0</v>
      </c>
      <c r="AL378" s="519">
        <f t="shared" ca="1" si="246"/>
        <v>0</v>
      </c>
      <c r="AM378" s="519">
        <f t="shared" ca="1" si="247"/>
        <v>0</v>
      </c>
      <c r="AN378" s="519">
        <f t="shared" ca="1" si="248"/>
        <v>0</v>
      </c>
      <c r="AO378" s="519">
        <f t="shared" ca="1" si="249"/>
        <v>0</v>
      </c>
      <c r="AP378" s="519">
        <f t="shared" ca="1" si="250"/>
        <v>0</v>
      </c>
      <c r="AQ378" s="519">
        <f t="shared" ca="1" si="251"/>
        <v>0</v>
      </c>
    </row>
    <row r="379" spans="1:43" x14ac:dyDescent="0.3">
      <c r="A379" s="556">
        <f t="shared" si="252"/>
        <v>2</v>
      </c>
      <c r="B379" s="519" t="str">
        <f t="shared" si="253"/>
        <v>NMA</v>
      </c>
      <c r="C379" s="519" t="str">
        <f t="shared" ref="C379:E379" si="371">C145</f>
        <v>The Power Company</v>
      </c>
      <c r="D379" s="519" t="str">
        <f t="shared" si="371"/>
        <v>NMA0331</v>
      </c>
      <c r="E379" s="519">
        <f t="shared" si="371"/>
        <v>60.620699999999999</v>
      </c>
      <c r="H379" s="519">
        <f ca="1">_xlfn.IFNA(IF(VLOOKUP($B379&amp;OFFSET(H$10,$A379*2,0),'Mapping A'!$B$6:$E$1011,4,0)=1,$E379,""),0)</f>
        <v>0</v>
      </c>
      <c r="I379" s="519">
        <f ca="1">_xlfn.IFNA(IF(VLOOKUP($B379&amp;OFFSET(I$10,$A379*2,0),'Mapping A'!$B$6:$E$1011,4,0)=1,$E379,""),0)</f>
        <v>0</v>
      </c>
      <c r="J379" s="519">
        <f ca="1">_xlfn.IFNA(IF(VLOOKUP($B379&amp;OFFSET(J$10,$A379*2,0),'Mapping A'!$B$6:$E$1011,4,0)=1,$E379,""),0)</f>
        <v>60.620699999999999</v>
      </c>
      <c r="K379" s="519">
        <f ca="1">_xlfn.IFNA(IF(VLOOKUP($B379&amp;OFFSET(K$10,$A379*2,0),'Mapping A'!$B$6:$E$1011,4,0)=1,$E379,""),0)</f>
        <v>0</v>
      </c>
      <c r="L379" s="519">
        <f ca="1">_xlfn.IFNA(IF(VLOOKUP($B379&amp;OFFSET(L$10,$A379*2,0),'Mapping A'!$B$6:$E$1011,4,0)=1,$E379,""),0)</f>
        <v>0</v>
      </c>
      <c r="M379" s="519">
        <f ca="1">_xlfn.IFNA(IF(VLOOKUP($B379&amp;OFFSET(M$10,$A379*2,0),'Mapping A'!$B$6:$E$1011,4,0)=1,$E379,""),0)</f>
        <v>0</v>
      </c>
      <c r="N379" s="519">
        <f ca="1">_xlfn.IFNA(IF(VLOOKUP($B379&amp;OFFSET(N$10,$A379*2,0),'Mapping A'!$B$6:$E$1011,4,0)=1,$E379,""),0)</f>
        <v>0</v>
      </c>
      <c r="O379" s="519">
        <f ca="1">_xlfn.IFNA(IF(VLOOKUP($B379&amp;OFFSET(O$10,$A379*2,0),'Mapping A'!$B$6:$E$1011,4,0)=1,$E379,""),0)</f>
        <v>0</v>
      </c>
      <c r="P379" s="519">
        <f ca="1">_xlfn.IFNA(IF(VLOOKUP($B379&amp;OFFSET(P$10,$A379*2,0),'Mapping A'!$B$6:$E$1011,4,0)=1,$E379,""),0)</f>
        <v>0</v>
      </c>
      <c r="Q379" s="519">
        <f ca="1">_xlfn.IFNA(IF(VLOOKUP($B379&amp;OFFSET(Q$10,$A379*2,0),'Mapping A'!$B$6:$E$1011,4,0)=1,$E379,""),0)</f>
        <v>0</v>
      </c>
      <c r="R379" s="519">
        <f ca="1">_xlfn.IFNA(IF(VLOOKUP($B379&amp;OFFSET(R$10,$A379*2,0),'Mapping A'!$B$6:$E$1011,4,0)=1,$E379,""),0)</f>
        <v>0</v>
      </c>
      <c r="S379" s="519">
        <f ca="1">_xlfn.IFNA(IF(VLOOKUP($B379&amp;OFFSET(S$10,$A379*2,0),'Mapping A'!$B$6:$E$1011,4,0)=1,$E379,""),0)</f>
        <v>0</v>
      </c>
      <c r="T379" s="519">
        <f ca="1">_xlfn.IFNA(IF(VLOOKUP($B379&amp;OFFSET(T$10,$A379*2,0),'Mapping A'!$B$6:$E$1011,4,0)=1,$E379,""),0)</f>
        <v>0</v>
      </c>
      <c r="Y379" s="534" t="str">
        <f t="shared" si="255"/>
        <v>NMA0331The Power Company</v>
      </c>
      <c r="Z379" s="519" t="str">
        <f t="shared" ref="Z379:AB379" si="372">C145</f>
        <v>The Power Company</v>
      </c>
      <c r="AA379" s="519" t="str">
        <f t="shared" si="372"/>
        <v>NMA0331</v>
      </c>
      <c r="AB379" s="519">
        <f t="shared" si="372"/>
        <v>60.620699999999999</v>
      </c>
      <c r="AC379" s="324"/>
      <c r="AE379" s="519">
        <f t="shared" ca="1" si="239"/>
        <v>0</v>
      </c>
      <c r="AF379" s="519">
        <f t="shared" ca="1" si="240"/>
        <v>0</v>
      </c>
      <c r="AG379" s="519">
        <f t="shared" ca="1" si="241"/>
        <v>0</v>
      </c>
      <c r="AH379" s="519">
        <f t="shared" ca="1" si="242"/>
        <v>0</v>
      </c>
      <c r="AI379" s="519">
        <f t="shared" ca="1" si="243"/>
        <v>0</v>
      </c>
      <c r="AJ379" s="519">
        <f t="shared" ca="1" si="244"/>
        <v>0</v>
      </c>
      <c r="AK379" s="519">
        <f t="shared" ca="1" si="245"/>
        <v>0</v>
      </c>
      <c r="AL379" s="519">
        <f t="shared" ca="1" si="246"/>
        <v>0</v>
      </c>
      <c r="AM379" s="519">
        <f t="shared" ca="1" si="247"/>
        <v>0</v>
      </c>
      <c r="AN379" s="519">
        <f t="shared" ca="1" si="248"/>
        <v>0</v>
      </c>
      <c r="AO379" s="519">
        <f t="shared" ca="1" si="249"/>
        <v>0</v>
      </c>
      <c r="AP379" s="519">
        <f t="shared" ca="1" si="250"/>
        <v>0</v>
      </c>
      <c r="AQ379" s="519">
        <f t="shared" ca="1" si="251"/>
        <v>0</v>
      </c>
    </row>
    <row r="380" spans="1:43" x14ac:dyDescent="0.3">
      <c r="A380" s="556">
        <f t="shared" si="252"/>
        <v>2</v>
      </c>
      <c r="B380" s="519" t="str">
        <f t="shared" si="253"/>
        <v>NPK</v>
      </c>
      <c r="C380" s="519" t="str">
        <f t="shared" ref="C380:E380" si="373">C146</f>
        <v>The Lines Company</v>
      </c>
      <c r="D380" s="519" t="str">
        <f t="shared" si="373"/>
        <v>NPK0331</v>
      </c>
      <c r="E380" s="519">
        <f t="shared" si="373"/>
        <v>6.7115999999999998</v>
      </c>
      <c r="H380" s="519">
        <f ca="1">_xlfn.IFNA(IF(VLOOKUP($B380&amp;OFFSET(H$10,$A380*2,0),'Mapping A'!$B$6:$E$1011,4,0)=1,$E380,""),0)</f>
        <v>0</v>
      </c>
      <c r="I380" s="519">
        <f ca="1">_xlfn.IFNA(IF(VLOOKUP($B380&amp;OFFSET(I$10,$A380*2,0),'Mapping A'!$B$6:$E$1011,4,0)=1,$E380,""),0)</f>
        <v>0</v>
      </c>
      <c r="J380" s="519">
        <f ca="1">_xlfn.IFNA(IF(VLOOKUP($B380&amp;OFFSET(J$10,$A380*2,0),'Mapping A'!$B$6:$E$1011,4,0)=1,$E380,""),0)</f>
        <v>0</v>
      </c>
      <c r="K380" s="519">
        <f ca="1">_xlfn.IFNA(IF(VLOOKUP($B380&amp;OFFSET(K$10,$A380*2,0),'Mapping A'!$B$6:$E$1011,4,0)=1,$E380,""),0)</f>
        <v>0</v>
      </c>
      <c r="L380" s="519">
        <f ca="1">_xlfn.IFNA(IF(VLOOKUP($B380&amp;OFFSET(L$10,$A380*2,0),'Mapping A'!$B$6:$E$1011,4,0)=1,$E380,""),0)</f>
        <v>0</v>
      </c>
      <c r="M380" s="519">
        <f ca="1">_xlfn.IFNA(IF(VLOOKUP($B380&amp;OFFSET(M$10,$A380*2,0),'Mapping A'!$B$6:$E$1011,4,0)=1,$E380,""),0)</f>
        <v>0</v>
      </c>
      <c r="N380" s="519">
        <f ca="1">_xlfn.IFNA(IF(VLOOKUP($B380&amp;OFFSET(N$10,$A380*2,0),'Mapping A'!$B$6:$E$1011,4,0)=1,$E380,""),0)</f>
        <v>0</v>
      </c>
      <c r="O380" s="519">
        <f ca="1">_xlfn.IFNA(IF(VLOOKUP($B380&amp;OFFSET(O$10,$A380*2,0),'Mapping A'!$B$6:$E$1011,4,0)=1,$E380,""),0)</f>
        <v>0</v>
      </c>
      <c r="P380" s="519">
        <f ca="1">_xlfn.IFNA(IF(VLOOKUP($B380&amp;OFFSET(P$10,$A380*2,0),'Mapping A'!$B$6:$E$1011,4,0)=1,$E380,""),0)</f>
        <v>0</v>
      </c>
      <c r="Q380" s="519">
        <f ca="1">_xlfn.IFNA(IF(VLOOKUP($B380&amp;OFFSET(Q$10,$A380*2,0),'Mapping A'!$B$6:$E$1011,4,0)=1,$E380,""),0)</f>
        <v>0</v>
      </c>
      <c r="R380" s="519">
        <f ca="1">_xlfn.IFNA(IF(VLOOKUP($B380&amp;OFFSET(R$10,$A380*2,0),'Mapping A'!$B$6:$E$1011,4,0)=1,$E380,""),0)</f>
        <v>0</v>
      </c>
      <c r="S380" s="519">
        <f ca="1">_xlfn.IFNA(IF(VLOOKUP($B380&amp;OFFSET(S$10,$A380*2,0),'Mapping A'!$B$6:$E$1011,4,0)=1,$E380,""),0)</f>
        <v>0</v>
      </c>
      <c r="T380" s="519">
        <f ca="1">_xlfn.IFNA(IF(VLOOKUP($B380&amp;OFFSET(T$10,$A380*2,0),'Mapping A'!$B$6:$E$1011,4,0)=1,$E380,""),0)</f>
        <v>0</v>
      </c>
      <c r="Y380" s="534" t="str">
        <f t="shared" si="255"/>
        <v>NPK0331The Lines Company</v>
      </c>
      <c r="Z380" s="519" t="str">
        <f t="shared" ref="Z380:AB380" si="374">C146</f>
        <v>The Lines Company</v>
      </c>
      <c r="AA380" s="519" t="str">
        <f t="shared" si="374"/>
        <v>NPK0331</v>
      </c>
      <c r="AB380" s="519">
        <f t="shared" si="374"/>
        <v>6.7115999999999998</v>
      </c>
      <c r="AC380" s="324"/>
      <c r="AE380" s="519">
        <f t="shared" ca="1" si="239"/>
        <v>0</v>
      </c>
      <c r="AF380" s="519">
        <f t="shared" ca="1" si="240"/>
        <v>0</v>
      </c>
      <c r="AG380" s="519">
        <f t="shared" ca="1" si="241"/>
        <v>0</v>
      </c>
      <c r="AH380" s="519">
        <f t="shared" ca="1" si="242"/>
        <v>0</v>
      </c>
      <c r="AI380" s="519">
        <f t="shared" ca="1" si="243"/>
        <v>0</v>
      </c>
      <c r="AJ380" s="519">
        <f t="shared" ca="1" si="244"/>
        <v>0</v>
      </c>
      <c r="AK380" s="519">
        <f t="shared" ca="1" si="245"/>
        <v>0</v>
      </c>
      <c r="AL380" s="519">
        <f t="shared" ca="1" si="246"/>
        <v>0</v>
      </c>
      <c r="AM380" s="519">
        <f t="shared" ca="1" si="247"/>
        <v>0</v>
      </c>
      <c r="AN380" s="519">
        <f t="shared" ca="1" si="248"/>
        <v>0</v>
      </c>
      <c r="AO380" s="519">
        <f t="shared" ca="1" si="249"/>
        <v>0</v>
      </c>
      <c r="AP380" s="519">
        <f t="shared" ca="1" si="250"/>
        <v>0</v>
      </c>
      <c r="AQ380" s="519">
        <f t="shared" ca="1" si="251"/>
        <v>0</v>
      </c>
    </row>
    <row r="381" spans="1:43" x14ac:dyDescent="0.3">
      <c r="A381" s="556">
        <f t="shared" si="252"/>
        <v>2</v>
      </c>
      <c r="B381" s="519" t="str">
        <f t="shared" si="253"/>
        <v>NPL</v>
      </c>
      <c r="C381" s="519" t="str">
        <f t="shared" ref="C381:E381" si="375">C147</f>
        <v>Other</v>
      </c>
      <c r="D381" s="519" t="str">
        <f t="shared" si="375"/>
        <v>NPL0331</v>
      </c>
      <c r="E381" s="519">
        <f t="shared" si="375"/>
        <v>0</v>
      </c>
      <c r="H381" s="519">
        <f ca="1">_xlfn.IFNA(IF(VLOOKUP($B381&amp;OFFSET(H$10,$A381*2,0),'Mapping A'!$B$6:$E$1011,4,0)=1,$E381,""),0)</f>
        <v>0</v>
      </c>
      <c r="I381" s="519">
        <f ca="1">_xlfn.IFNA(IF(VLOOKUP($B381&amp;OFFSET(I$10,$A381*2,0),'Mapping A'!$B$6:$E$1011,4,0)=1,$E381,""),0)</f>
        <v>0</v>
      </c>
      <c r="J381" s="519">
        <f ca="1">_xlfn.IFNA(IF(VLOOKUP($B381&amp;OFFSET(J$10,$A381*2,0),'Mapping A'!$B$6:$E$1011,4,0)=1,$E381,""),0)</f>
        <v>0</v>
      </c>
      <c r="K381" s="519">
        <f ca="1">_xlfn.IFNA(IF(VLOOKUP($B381&amp;OFFSET(K$10,$A381*2,0),'Mapping A'!$B$6:$E$1011,4,0)=1,$E381,""),0)</f>
        <v>0</v>
      </c>
      <c r="L381" s="519">
        <f ca="1">_xlfn.IFNA(IF(VLOOKUP($B381&amp;OFFSET(L$10,$A381*2,0),'Mapping A'!$B$6:$E$1011,4,0)=1,$E381,""),0)</f>
        <v>0</v>
      </c>
      <c r="M381" s="519">
        <f ca="1">_xlfn.IFNA(IF(VLOOKUP($B381&amp;OFFSET(M$10,$A381*2,0),'Mapping A'!$B$6:$E$1011,4,0)=1,$E381,""),0)</f>
        <v>0</v>
      </c>
      <c r="N381" s="519">
        <f ca="1">_xlfn.IFNA(IF(VLOOKUP($B381&amp;OFFSET(N$10,$A381*2,0),'Mapping A'!$B$6:$E$1011,4,0)=1,$E381,""),0)</f>
        <v>0</v>
      </c>
      <c r="O381" s="519">
        <f ca="1">_xlfn.IFNA(IF(VLOOKUP($B381&amp;OFFSET(O$10,$A381*2,0),'Mapping A'!$B$6:$E$1011,4,0)=1,$E381,""),0)</f>
        <v>0</v>
      </c>
      <c r="P381" s="519">
        <f ca="1">_xlfn.IFNA(IF(VLOOKUP($B381&amp;OFFSET(P$10,$A381*2,0),'Mapping A'!$B$6:$E$1011,4,0)=1,$E381,""),0)</f>
        <v>0</v>
      </c>
      <c r="Q381" s="519">
        <f ca="1">_xlfn.IFNA(IF(VLOOKUP($B381&amp;OFFSET(Q$10,$A381*2,0),'Mapping A'!$B$6:$E$1011,4,0)=1,$E381,""),0)</f>
        <v>0</v>
      </c>
      <c r="R381" s="519">
        <f ca="1">_xlfn.IFNA(IF(VLOOKUP($B381&amp;OFFSET(R$10,$A381*2,0),'Mapping A'!$B$6:$E$1011,4,0)=1,$E381,""),0)</f>
        <v>0</v>
      </c>
      <c r="S381" s="519">
        <f ca="1">_xlfn.IFNA(IF(VLOOKUP($B381&amp;OFFSET(S$10,$A381*2,0),'Mapping A'!$B$6:$E$1011,4,0)=1,$E381,""),0)</f>
        <v>0</v>
      </c>
      <c r="T381" s="519">
        <f ca="1">_xlfn.IFNA(IF(VLOOKUP($B381&amp;OFFSET(T$10,$A381*2,0),'Mapping A'!$B$6:$E$1011,4,0)=1,$E381,""),0)</f>
        <v>0</v>
      </c>
      <c r="Y381" s="534" t="str">
        <f t="shared" si="255"/>
        <v>NPL0331Other</v>
      </c>
      <c r="Z381" s="519" t="str">
        <f t="shared" ref="Z381:AB381" si="376">C147</f>
        <v>Other</v>
      </c>
      <c r="AA381" s="519" t="str">
        <f t="shared" si="376"/>
        <v>NPL0331</v>
      </c>
      <c r="AB381" s="519">
        <f t="shared" si="376"/>
        <v>0</v>
      </c>
      <c r="AC381" s="324"/>
      <c r="AE381" s="519">
        <f t="shared" ca="1" si="239"/>
        <v>0</v>
      </c>
      <c r="AF381" s="519">
        <f t="shared" ca="1" si="240"/>
        <v>0</v>
      </c>
      <c r="AG381" s="519">
        <f t="shared" ca="1" si="241"/>
        <v>0</v>
      </c>
      <c r="AH381" s="519">
        <f t="shared" ca="1" si="242"/>
        <v>0</v>
      </c>
      <c r="AI381" s="519">
        <f t="shared" ca="1" si="243"/>
        <v>0</v>
      </c>
      <c r="AJ381" s="519">
        <f t="shared" ca="1" si="244"/>
        <v>0</v>
      </c>
      <c r="AK381" s="519">
        <f t="shared" ca="1" si="245"/>
        <v>0</v>
      </c>
      <c r="AL381" s="519">
        <f t="shared" ca="1" si="246"/>
        <v>0</v>
      </c>
      <c r="AM381" s="519">
        <f t="shared" ca="1" si="247"/>
        <v>0</v>
      </c>
      <c r="AN381" s="519">
        <f t="shared" ca="1" si="248"/>
        <v>0</v>
      </c>
      <c r="AO381" s="519">
        <f t="shared" ca="1" si="249"/>
        <v>0</v>
      </c>
      <c r="AP381" s="519">
        <f t="shared" ca="1" si="250"/>
        <v>0</v>
      </c>
      <c r="AQ381" s="519">
        <f t="shared" ca="1" si="251"/>
        <v>0</v>
      </c>
    </row>
    <row r="382" spans="1:43" x14ac:dyDescent="0.3">
      <c r="A382" s="556">
        <f t="shared" si="252"/>
        <v>2</v>
      </c>
      <c r="B382" s="519" t="str">
        <f t="shared" si="253"/>
        <v>NPL</v>
      </c>
      <c r="C382" s="519" t="str">
        <f t="shared" ref="C382:E382" si="377">C148</f>
        <v>Powerco</v>
      </c>
      <c r="D382" s="519" t="str">
        <f t="shared" si="377"/>
        <v>NPL0331</v>
      </c>
      <c r="E382" s="519">
        <f t="shared" si="377"/>
        <v>20.411999999999999</v>
      </c>
      <c r="H382" s="519">
        <f ca="1">_xlfn.IFNA(IF(VLOOKUP($B382&amp;OFFSET(H$10,$A382*2,0),'Mapping A'!$B$6:$E$1011,4,0)=1,$E382,""),0)</f>
        <v>0</v>
      </c>
      <c r="I382" s="519">
        <f ca="1">_xlfn.IFNA(IF(VLOOKUP($B382&amp;OFFSET(I$10,$A382*2,0),'Mapping A'!$B$6:$E$1011,4,0)=1,$E382,""),0)</f>
        <v>0</v>
      </c>
      <c r="J382" s="519">
        <f ca="1">_xlfn.IFNA(IF(VLOOKUP($B382&amp;OFFSET(J$10,$A382*2,0),'Mapping A'!$B$6:$E$1011,4,0)=1,$E382,""),0)</f>
        <v>0</v>
      </c>
      <c r="K382" s="519">
        <f ca="1">_xlfn.IFNA(IF(VLOOKUP($B382&amp;OFFSET(K$10,$A382*2,0),'Mapping A'!$B$6:$E$1011,4,0)=1,$E382,""),0)</f>
        <v>0</v>
      </c>
      <c r="L382" s="519">
        <f ca="1">_xlfn.IFNA(IF(VLOOKUP($B382&amp;OFFSET(L$10,$A382*2,0),'Mapping A'!$B$6:$E$1011,4,0)=1,$E382,""),0)</f>
        <v>0</v>
      </c>
      <c r="M382" s="519">
        <f ca="1">_xlfn.IFNA(IF(VLOOKUP($B382&amp;OFFSET(M$10,$A382*2,0),'Mapping A'!$B$6:$E$1011,4,0)=1,$E382,""),0)</f>
        <v>0</v>
      </c>
      <c r="N382" s="519">
        <f ca="1">_xlfn.IFNA(IF(VLOOKUP($B382&amp;OFFSET(N$10,$A382*2,0),'Mapping A'!$B$6:$E$1011,4,0)=1,$E382,""),0)</f>
        <v>0</v>
      </c>
      <c r="O382" s="519">
        <f ca="1">_xlfn.IFNA(IF(VLOOKUP($B382&amp;OFFSET(O$10,$A382*2,0),'Mapping A'!$B$6:$E$1011,4,0)=1,$E382,""),0)</f>
        <v>0</v>
      </c>
      <c r="P382" s="519">
        <f ca="1">_xlfn.IFNA(IF(VLOOKUP($B382&amp;OFFSET(P$10,$A382*2,0),'Mapping A'!$B$6:$E$1011,4,0)=1,$E382,""),0)</f>
        <v>0</v>
      </c>
      <c r="Q382" s="519">
        <f ca="1">_xlfn.IFNA(IF(VLOOKUP($B382&amp;OFFSET(Q$10,$A382*2,0),'Mapping A'!$B$6:$E$1011,4,0)=1,$E382,""),0)</f>
        <v>0</v>
      </c>
      <c r="R382" s="519">
        <f ca="1">_xlfn.IFNA(IF(VLOOKUP($B382&amp;OFFSET(R$10,$A382*2,0),'Mapping A'!$B$6:$E$1011,4,0)=1,$E382,""),0)</f>
        <v>0</v>
      </c>
      <c r="S382" s="519">
        <f ca="1">_xlfn.IFNA(IF(VLOOKUP($B382&amp;OFFSET(S$10,$A382*2,0),'Mapping A'!$B$6:$E$1011,4,0)=1,$E382,""),0)</f>
        <v>0</v>
      </c>
      <c r="T382" s="519">
        <f ca="1">_xlfn.IFNA(IF(VLOOKUP($B382&amp;OFFSET(T$10,$A382*2,0),'Mapping A'!$B$6:$E$1011,4,0)=1,$E382,""),0)</f>
        <v>0</v>
      </c>
      <c r="Y382" s="534" t="str">
        <f t="shared" si="255"/>
        <v>NPL0331Powerco</v>
      </c>
      <c r="Z382" s="519" t="str">
        <f t="shared" ref="Z382:AB382" si="378">C148</f>
        <v>Powerco</v>
      </c>
      <c r="AA382" s="519" t="str">
        <f t="shared" si="378"/>
        <v>NPL0331</v>
      </c>
      <c r="AB382" s="519">
        <f t="shared" si="378"/>
        <v>20.411999999999999</v>
      </c>
      <c r="AC382" s="324"/>
      <c r="AE382" s="519">
        <f t="shared" ca="1" si="239"/>
        <v>0</v>
      </c>
      <c r="AF382" s="519">
        <f t="shared" ca="1" si="240"/>
        <v>0</v>
      </c>
      <c r="AG382" s="519">
        <f t="shared" ca="1" si="241"/>
        <v>0</v>
      </c>
      <c r="AH382" s="519">
        <f t="shared" ca="1" si="242"/>
        <v>0</v>
      </c>
      <c r="AI382" s="519">
        <f t="shared" ca="1" si="243"/>
        <v>0</v>
      </c>
      <c r="AJ382" s="519">
        <f t="shared" ca="1" si="244"/>
        <v>0</v>
      </c>
      <c r="AK382" s="519">
        <f t="shared" ca="1" si="245"/>
        <v>0</v>
      </c>
      <c r="AL382" s="519">
        <f t="shared" ca="1" si="246"/>
        <v>0</v>
      </c>
      <c r="AM382" s="519">
        <f t="shared" ca="1" si="247"/>
        <v>0</v>
      </c>
      <c r="AN382" s="519">
        <f t="shared" ca="1" si="248"/>
        <v>0</v>
      </c>
      <c r="AO382" s="519">
        <f t="shared" ca="1" si="249"/>
        <v>0</v>
      </c>
      <c r="AP382" s="519">
        <f t="shared" ca="1" si="250"/>
        <v>0</v>
      </c>
      <c r="AQ382" s="519">
        <f t="shared" ca="1" si="251"/>
        <v>0</v>
      </c>
    </row>
    <row r="383" spans="1:43" x14ac:dyDescent="0.3">
      <c r="A383" s="556">
        <f t="shared" si="252"/>
        <v>2</v>
      </c>
      <c r="B383" s="519" t="str">
        <f t="shared" si="253"/>
        <v>NSY</v>
      </c>
      <c r="C383" s="519" t="str">
        <f t="shared" ref="C383:E383" si="379">C149</f>
        <v>OtagoNet JV</v>
      </c>
      <c r="D383" s="519" t="str">
        <f t="shared" si="379"/>
        <v>NSY0331</v>
      </c>
      <c r="E383" s="519">
        <f t="shared" si="379"/>
        <v>33.429900000000004</v>
      </c>
      <c r="H383" s="519">
        <f ca="1">_xlfn.IFNA(IF(VLOOKUP($B383&amp;OFFSET(H$10,$A383*2,0),'Mapping A'!$B$6:$E$1011,4,0)=1,$E383,""),0)</f>
        <v>0</v>
      </c>
      <c r="I383" s="519">
        <f ca="1">_xlfn.IFNA(IF(VLOOKUP($B383&amp;OFFSET(I$10,$A383*2,0),'Mapping A'!$B$6:$E$1011,4,0)=1,$E383,""),0)</f>
        <v>0</v>
      </c>
      <c r="J383" s="519">
        <f ca="1">_xlfn.IFNA(IF(VLOOKUP($B383&amp;OFFSET(J$10,$A383*2,0),'Mapping A'!$B$6:$E$1011,4,0)=1,$E383,""),0)</f>
        <v>33.429900000000004</v>
      </c>
      <c r="K383" s="519">
        <f ca="1">_xlfn.IFNA(IF(VLOOKUP($B383&amp;OFFSET(K$10,$A383*2,0),'Mapping A'!$B$6:$E$1011,4,0)=1,$E383,""),0)</f>
        <v>0</v>
      </c>
      <c r="L383" s="519">
        <f ca="1">_xlfn.IFNA(IF(VLOOKUP($B383&amp;OFFSET(L$10,$A383*2,0),'Mapping A'!$B$6:$E$1011,4,0)=1,$E383,""),0)</f>
        <v>0</v>
      </c>
      <c r="M383" s="519">
        <f ca="1">_xlfn.IFNA(IF(VLOOKUP($B383&amp;OFFSET(M$10,$A383*2,0),'Mapping A'!$B$6:$E$1011,4,0)=1,$E383,""),0)</f>
        <v>0</v>
      </c>
      <c r="N383" s="519">
        <f ca="1">_xlfn.IFNA(IF(VLOOKUP($B383&amp;OFFSET(N$10,$A383*2,0),'Mapping A'!$B$6:$E$1011,4,0)=1,$E383,""),0)</f>
        <v>0</v>
      </c>
      <c r="O383" s="519">
        <f ca="1">_xlfn.IFNA(IF(VLOOKUP($B383&amp;OFFSET(O$10,$A383*2,0),'Mapping A'!$B$6:$E$1011,4,0)=1,$E383,""),0)</f>
        <v>0</v>
      </c>
      <c r="P383" s="519">
        <f ca="1">_xlfn.IFNA(IF(VLOOKUP($B383&amp;OFFSET(P$10,$A383*2,0),'Mapping A'!$B$6:$E$1011,4,0)=1,$E383,""),0)</f>
        <v>0</v>
      </c>
      <c r="Q383" s="519">
        <f ca="1">_xlfn.IFNA(IF(VLOOKUP($B383&amp;OFFSET(Q$10,$A383*2,0),'Mapping A'!$B$6:$E$1011,4,0)=1,$E383,""),0)</f>
        <v>0</v>
      </c>
      <c r="R383" s="519">
        <f ca="1">_xlfn.IFNA(IF(VLOOKUP($B383&amp;OFFSET(R$10,$A383*2,0),'Mapping A'!$B$6:$E$1011,4,0)=1,$E383,""),0)</f>
        <v>0</v>
      </c>
      <c r="S383" s="519">
        <f ca="1">_xlfn.IFNA(IF(VLOOKUP($B383&amp;OFFSET(S$10,$A383*2,0),'Mapping A'!$B$6:$E$1011,4,0)=1,$E383,""),0)</f>
        <v>0</v>
      </c>
      <c r="T383" s="519">
        <f ca="1">_xlfn.IFNA(IF(VLOOKUP($B383&amp;OFFSET(T$10,$A383*2,0),'Mapping A'!$B$6:$E$1011,4,0)=1,$E383,""),0)</f>
        <v>0</v>
      </c>
      <c r="Y383" s="534" t="str">
        <f t="shared" si="255"/>
        <v>NSY0331OtagoNet JV</v>
      </c>
      <c r="Z383" s="519" t="str">
        <f t="shared" ref="Z383:AB383" si="380">C149</f>
        <v>OtagoNet JV</v>
      </c>
      <c r="AA383" s="519" t="str">
        <f t="shared" si="380"/>
        <v>NSY0331</v>
      </c>
      <c r="AB383" s="519">
        <f t="shared" si="380"/>
        <v>33.429900000000004</v>
      </c>
      <c r="AC383" s="324"/>
      <c r="AE383" s="519">
        <f t="shared" ca="1" si="239"/>
        <v>0</v>
      </c>
      <c r="AF383" s="519">
        <f t="shared" ca="1" si="240"/>
        <v>0</v>
      </c>
      <c r="AG383" s="519">
        <f t="shared" ca="1" si="241"/>
        <v>0</v>
      </c>
      <c r="AH383" s="519">
        <f t="shared" ca="1" si="242"/>
        <v>0</v>
      </c>
      <c r="AI383" s="519">
        <f t="shared" ca="1" si="243"/>
        <v>0</v>
      </c>
      <c r="AJ383" s="519">
        <f t="shared" ca="1" si="244"/>
        <v>0</v>
      </c>
      <c r="AK383" s="519">
        <f t="shared" ca="1" si="245"/>
        <v>0</v>
      </c>
      <c r="AL383" s="519">
        <f t="shared" ca="1" si="246"/>
        <v>0</v>
      </c>
      <c r="AM383" s="519">
        <f t="shared" ca="1" si="247"/>
        <v>0</v>
      </c>
      <c r="AN383" s="519">
        <f t="shared" ca="1" si="248"/>
        <v>0</v>
      </c>
      <c r="AO383" s="519">
        <f t="shared" ca="1" si="249"/>
        <v>0</v>
      </c>
      <c r="AP383" s="519">
        <f t="shared" ca="1" si="250"/>
        <v>0</v>
      </c>
      <c r="AQ383" s="519">
        <f t="shared" ca="1" si="251"/>
        <v>0</v>
      </c>
    </row>
    <row r="384" spans="1:43" x14ac:dyDescent="0.3">
      <c r="A384" s="556">
        <f t="shared" si="252"/>
        <v>2</v>
      </c>
      <c r="B384" s="519" t="str">
        <f t="shared" si="253"/>
        <v>OAM</v>
      </c>
      <c r="C384" s="519" t="str">
        <f t="shared" ref="C384:E384" si="381">C150</f>
        <v>Network Waitaki</v>
      </c>
      <c r="D384" s="519" t="str">
        <f t="shared" si="381"/>
        <v>OAM0331</v>
      </c>
      <c r="E384" s="519">
        <f t="shared" si="381"/>
        <v>43.243200000000002</v>
      </c>
      <c r="H384" s="519">
        <f ca="1">_xlfn.IFNA(IF(VLOOKUP($B384&amp;OFFSET(H$10,$A384*2,0),'Mapping A'!$B$6:$E$1011,4,0)=1,$E384,""),0)</f>
        <v>0</v>
      </c>
      <c r="I384" s="519">
        <f ca="1">_xlfn.IFNA(IF(VLOOKUP($B384&amp;OFFSET(I$10,$A384*2,0),'Mapping A'!$B$6:$E$1011,4,0)=1,$E384,""),0)</f>
        <v>0</v>
      </c>
      <c r="J384" s="519">
        <f ca="1">_xlfn.IFNA(IF(VLOOKUP($B384&amp;OFFSET(J$10,$A384*2,0),'Mapping A'!$B$6:$E$1011,4,0)=1,$E384,""),0)</f>
        <v>43.243200000000002</v>
      </c>
      <c r="K384" s="519">
        <f ca="1">_xlfn.IFNA(IF(VLOOKUP($B384&amp;OFFSET(K$10,$A384*2,0),'Mapping A'!$B$6:$E$1011,4,0)=1,$E384,""),0)</f>
        <v>0</v>
      </c>
      <c r="L384" s="519">
        <f ca="1">_xlfn.IFNA(IF(VLOOKUP($B384&amp;OFFSET(L$10,$A384*2,0),'Mapping A'!$B$6:$E$1011,4,0)=1,$E384,""),0)</f>
        <v>0</v>
      </c>
      <c r="M384" s="519">
        <f ca="1">_xlfn.IFNA(IF(VLOOKUP($B384&amp;OFFSET(M$10,$A384*2,0),'Mapping A'!$B$6:$E$1011,4,0)=1,$E384,""),0)</f>
        <v>0</v>
      </c>
      <c r="N384" s="519">
        <f ca="1">_xlfn.IFNA(IF(VLOOKUP($B384&amp;OFFSET(N$10,$A384*2,0),'Mapping A'!$B$6:$E$1011,4,0)=1,$E384,""),0)</f>
        <v>0</v>
      </c>
      <c r="O384" s="519">
        <f ca="1">_xlfn.IFNA(IF(VLOOKUP($B384&amp;OFFSET(O$10,$A384*2,0),'Mapping A'!$B$6:$E$1011,4,0)=1,$E384,""),0)</f>
        <v>0</v>
      </c>
      <c r="P384" s="519">
        <f ca="1">_xlfn.IFNA(IF(VLOOKUP($B384&amp;OFFSET(P$10,$A384*2,0),'Mapping A'!$B$6:$E$1011,4,0)=1,$E384,""),0)</f>
        <v>0</v>
      </c>
      <c r="Q384" s="519">
        <f ca="1">_xlfn.IFNA(IF(VLOOKUP($B384&amp;OFFSET(Q$10,$A384*2,0),'Mapping A'!$B$6:$E$1011,4,0)=1,$E384,""),0)</f>
        <v>0</v>
      </c>
      <c r="R384" s="519">
        <f ca="1">_xlfn.IFNA(IF(VLOOKUP($B384&amp;OFFSET(R$10,$A384*2,0),'Mapping A'!$B$6:$E$1011,4,0)=1,$E384,""),0)</f>
        <v>0</v>
      </c>
      <c r="S384" s="519">
        <f ca="1">_xlfn.IFNA(IF(VLOOKUP($B384&amp;OFFSET(S$10,$A384*2,0),'Mapping A'!$B$6:$E$1011,4,0)=1,$E384,""),0)</f>
        <v>0</v>
      </c>
      <c r="T384" s="519">
        <f ca="1">_xlfn.IFNA(IF(VLOOKUP($B384&amp;OFFSET(T$10,$A384*2,0),'Mapping A'!$B$6:$E$1011,4,0)=1,$E384,""),0)</f>
        <v>0</v>
      </c>
      <c r="Y384" s="534" t="str">
        <f t="shared" si="255"/>
        <v>OAM0331Network Waitaki</v>
      </c>
      <c r="Z384" s="519" t="str">
        <f t="shared" ref="Z384:AB384" si="382">C150</f>
        <v>Network Waitaki</v>
      </c>
      <c r="AA384" s="519" t="str">
        <f t="shared" si="382"/>
        <v>OAM0331</v>
      </c>
      <c r="AB384" s="519">
        <f t="shared" si="382"/>
        <v>43.243200000000002</v>
      </c>
      <c r="AC384" s="324"/>
      <c r="AE384" s="519">
        <f t="shared" ref="AE384:AE447" ca="1" si="383">IF(SUMIF($A$22:$A$652,$A384,H$22:H$652)=0,0,OFFSET(H$11,$A384*2,0)*H$7*H384/SUMIF($A$22:$A$652,$A384,H$22:H$652))</f>
        <v>0</v>
      </c>
      <c r="AF384" s="519">
        <f t="shared" ref="AF384:AF447" ca="1" si="384">IF(SUMIF($A$22:$A$652,$A384,I$22:I$652)=0,0,OFFSET(I$11,$A384*2,0)*I$7*I384/SUMIF($A$22:$A$652,$A384,I$22:I$652))</f>
        <v>0</v>
      </c>
      <c r="AG384" s="519">
        <f t="shared" ref="AG384:AG447" ca="1" si="385">IF(SUMIF($A$22:$A$652,$A384,J$22:J$652)=0,0,OFFSET(J$11,$A384*2,0)*J$7*J384/SUMIF($A$22:$A$652,$A384,J$22:J$652))</f>
        <v>0</v>
      </c>
      <c r="AH384" s="519">
        <f t="shared" ref="AH384:AH447" ca="1" si="386">IF(SUMIF($A$22:$A$652,$A384,K$22:K$652)=0,0,OFFSET(K$11,$A384*2,0)*K$7*K384/SUMIF($A$22:$A$652,$A384,K$22:K$652))</f>
        <v>0</v>
      </c>
      <c r="AI384" s="519">
        <f t="shared" ref="AI384:AI447" ca="1" si="387">IF(SUMIF($A$22:$A$652,$A384,L$22:L$652)=0,0,OFFSET(L$11,$A384*2,0)*L$7*L384/SUMIF($A$22:$A$652,$A384,L$22:L$652))</f>
        <v>0</v>
      </c>
      <c r="AJ384" s="519">
        <f t="shared" ref="AJ384:AJ447" ca="1" si="388">IF(SUMIF($A$22:$A$652,$A384,M$22:M$652)=0,0,OFFSET(M$11,$A384*2,0)*M$7*M384/SUMIF($A$22:$A$652,$A384,M$22:M$652))</f>
        <v>0</v>
      </c>
      <c r="AK384" s="519">
        <f t="shared" ref="AK384:AK447" ca="1" si="389">IF(SUMIF($A$22:$A$652,$A384,N$22:N$652)=0,0,OFFSET(N$11,$A384*2,0)*N$7*N384/SUMIF($A$22:$A$652,$A384,N$22:N$652))</f>
        <v>0</v>
      </c>
      <c r="AL384" s="519">
        <f t="shared" ref="AL384:AL447" ca="1" si="390">IF(SUMIF($A$22:$A$652,$A384,O$22:O$652)=0,0,OFFSET(O$11,$A384*2,0)*O$7*O384/SUMIF($A$22:$A$652,$A384,O$22:O$652))</f>
        <v>0</v>
      </c>
      <c r="AM384" s="519">
        <f t="shared" ref="AM384:AM447" ca="1" si="391">IF(SUMIF($A$22:$A$652,$A384,P$22:P$652)=0,0,OFFSET(P$11,$A384*2,0)*P$7*P384/SUMIF($A$22:$A$652,$A384,P$22:P$652))</f>
        <v>0</v>
      </c>
      <c r="AN384" s="519">
        <f t="shared" ref="AN384:AN447" ca="1" si="392">IF(SUMIF($A$22:$A$652,$A384,Q$22:Q$652)=0,0,OFFSET(Q$11,$A384*2,0)*Q$7*Q384/SUMIF($A$22:$A$652,$A384,Q$22:Q$652))</f>
        <v>0</v>
      </c>
      <c r="AO384" s="519">
        <f t="shared" ref="AO384:AO447" ca="1" si="393">IF(SUMIF($A$22:$A$652,$A384,R$22:R$652)=0,0,OFFSET(R$11,$A384*2,0)*R$7*R384/SUMIF($A$22:$A$652,$A384,R$22:R$652))</f>
        <v>0</v>
      </c>
      <c r="AP384" s="519">
        <f t="shared" ref="AP384:AP447" ca="1" si="394">IF(SUMIF($A$22:$A$652,$A384,S$22:S$652)=0,0,OFFSET(S$11,$A384*2,0)*S$7*S384/SUMIF($A$22:$A$652,$A384,S$22:S$652))</f>
        <v>0</v>
      </c>
      <c r="AQ384" s="519">
        <f t="shared" ref="AQ384:AQ447" ca="1" si="395">IF(SUMIF($A$22:$A$652,$A384,T$22:T$652)=0,0,OFFSET(T$11,$A384*2,0)*T$7*T384/SUMIF($A$22:$A$652,$A384,T$22:T$652))</f>
        <v>0</v>
      </c>
    </row>
    <row r="385" spans="1:43" x14ac:dyDescent="0.3">
      <c r="A385" s="556">
        <f t="shared" ref="A385:A448" si="396">A151+1</f>
        <v>2</v>
      </c>
      <c r="B385" s="519" t="str">
        <f t="shared" ref="B385:B448" si="397">LEFT(D385,3)</f>
        <v>OHA</v>
      </c>
      <c r="C385" s="519" t="str">
        <f t="shared" ref="C385:E385" si="398">C151</f>
        <v>Meridian</v>
      </c>
      <c r="D385" s="519" t="str">
        <f t="shared" si="398"/>
        <v>OHA2201</v>
      </c>
      <c r="E385" s="519">
        <f t="shared" si="398"/>
        <v>4.7165999999999997</v>
      </c>
      <c r="H385" s="519">
        <f ca="1">_xlfn.IFNA(IF(VLOOKUP($B385&amp;OFFSET(H$10,$A385*2,0),'Mapping A'!$B$6:$E$1011,4,0)=1,$E385,""),0)</f>
        <v>0</v>
      </c>
      <c r="I385" s="519">
        <f ca="1">_xlfn.IFNA(IF(VLOOKUP($B385&amp;OFFSET(I$10,$A385*2,0),'Mapping A'!$B$6:$E$1011,4,0)=1,$E385,""),0)</f>
        <v>0</v>
      </c>
      <c r="J385" s="519">
        <f ca="1">_xlfn.IFNA(IF(VLOOKUP($B385&amp;OFFSET(J$10,$A385*2,0),'Mapping A'!$B$6:$E$1011,4,0)=1,$E385,""),0)</f>
        <v>0</v>
      </c>
      <c r="K385" s="519">
        <f ca="1">_xlfn.IFNA(IF(VLOOKUP($B385&amp;OFFSET(K$10,$A385*2,0),'Mapping A'!$B$6:$E$1011,4,0)=1,$E385,""),0)</f>
        <v>0</v>
      </c>
      <c r="L385" s="519">
        <f ca="1">_xlfn.IFNA(IF(VLOOKUP($B385&amp;OFFSET(L$10,$A385*2,0),'Mapping A'!$B$6:$E$1011,4,0)=1,$E385,""),0)</f>
        <v>0</v>
      </c>
      <c r="M385" s="519">
        <f ca="1">_xlfn.IFNA(IF(VLOOKUP($B385&amp;OFFSET(M$10,$A385*2,0),'Mapping A'!$B$6:$E$1011,4,0)=1,$E385,""),0)</f>
        <v>0</v>
      </c>
      <c r="N385" s="519">
        <f ca="1">_xlfn.IFNA(IF(VLOOKUP($B385&amp;OFFSET(N$10,$A385*2,0),'Mapping A'!$B$6:$E$1011,4,0)=1,$E385,""),0)</f>
        <v>0</v>
      </c>
      <c r="O385" s="519">
        <f ca="1">_xlfn.IFNA(IF(VLOOKUP($B385&amp;OFFSET(O$10,$A385*2,0),'Mapping A'!$B$6:$E$1011,4,0)=1,$E385,""),0)</f>
        <v>0</v>
      </c>
      <c r="P385" s="519">
        <f ca="1">_xlfn.IFNA(IF(VLOOKUP($B385&amp;OFFSET(P$10,$A385*2,0),'Mapping A'!$B$6:$E$1011,4,0)=1,$E385,""),0)</f>
        <v>0</v>
      </c>
      <c r="Q385" s="519">
        <f ca="1">_xlfn.IFNA(IF(VLOOKUP($B385&amp;OFFSET(Q$10,$A385*2,0),'Mapping A'!$B$6:$E$1011,4,0)=1,$E385,""),0)</f>
        <v>0</v>
      </c>
      <c r="R385" s="519">
        <f ca="1">_xlfn.IFNA(IF(VLOOKUP($B385&amp;OFFSET(R$10,$A385*2,0),'Mapping A'!$B$6:$E$1011,4,0)=1,$E385,""),0)</f>
        <v>0</v>
      </c>
      <c r="S385" s="519">
        <f ca="1">_xlfn.IFNA(IF(VLOOKUP($B385&amp;OFFSET(S$10,$A385*2,0),'Mapping A'!$B$6:$E$1011,4,0)=1,$E385,""),0)</f>
        <v>0</v>
      </c>
      <c r="T385" s="519">
        <f ca="1">_xlfn.IFNA(IF(VLOOKUP($B385&amp;OFFSET(T$10,$A385*2,0),'Mapping A'!$B$6:$E$1011,4,0)=1,$E385,""),0)</f>
        <v>0</v>
      </c>
      <c r="Y385" s="534" t="str">
        <f t="shared" ref="Y385:Y448" si="399">AA385&amp;Z385</f>
        <v>OHA2201Meridian</v>
      </c>
      <c r="Z385" s="519" t="str">
        <f t="shared" ref="Z385:AB385" si="400">C151</f>
        <v>Meridian</v>
      </c>
      <c r="AA385" s="519" t="str">
        <f t="shared" si="400"/>
        <v>OHA2201</v>
      </c>
      <c r="AB385" s="519">
        <f t="shared" si="400"/>
        <v>4.7165999999999997</v>
      </c>
      <c r="AC385" s="324"/>
      <c r="AE385" s="519">
        <f t="shared" ca="1" si="383"/>
        <v>0</v>
      </c>
      <c r="AF385" s="519">
        <f t="shared" ca="1" si="384"/>
        <v>0</v>
      </c>
      <c r="AG385" s="519">
        <f t="shared" ca="1" si="385"/>
        <v>0</v>
      </c>
      <c r="AH385" s="519">
        <f t="shared" ca="1" si="386"/>
        <v>0</v>
      </c>
      <c r="AI385" s="519">
        <f t="shared" ca="1" si="387"/>
        <v>0</v>
      </c>
      <c r="AJ385" s="519">
        <f t="shared" ca="1" si="388"/>
        <v>0</v>
      </c>
      <c r="AK385" s="519">
        <f t="shared" ca="1" si="389"/>
        <v>0</v>
      </c>
      <c r="AL385" s="519">
        <f t="shared" ca="1" si="390"/>
        <v>0</v>
      </c>
      <c r="AM385" s="519">
        <f t="shared" ca="1" si="391"/>
        <v>0</v>
      </c>
      <c r="AN385" s="519">
        <f t="shared" ca="1" si="392"/>
        <v>0</v>
      </c>
      <c r="AO385" s="519">
        <f t="shared" ca="1" si="393"/>
        <v>0</v>
      </c>
      <c r="AP385" s="519">
        <f t="shared" ca="1" si="394"/>
        <v>0</v>
      </c>
      <c r="AQ385" s="519">
        <f t="shared" ca="1" si="395"/>
        <v>0</v>
      </c>
    </row>
    <row r="386" spans="1:43" x14ac:dyDescent="0.3">
      <c r="A386" s="556">
        <f t="shared" si="396"/>
        <v>2</v>
      </c>
      <c r="B386" s="519" t="str">
        <f t="shared" si="397"/>
        <v>OHB</v>
      </c>
      <c r="C386" s="519" t="str">
        <f t="shared" ref="C386:E386" si="401">C152</f>
        <v>Meridian</v>
      </c>
      <c r="D386" s="519" t="str">
        <f t="shared" si="401"/>
        <v>OHB2201</v>
      </c>
      <c r="E386" s="519">
        <f t="shared" si="401"/>
        <v>4.1600999999999999</v>
      </c>
      <c r="H386" s="519">
        <f ca="1">_xlfn.IFNA(IF(VLOOKUP($B386&amp;OFFSET(H$10,$A386*2,0),'Mapping A'!$B$6:$E$1011,4,0)=1,$E386,""),0)</f>
        <v>0</v>
      </c>
      <c r="I386" s="519">
        <f ca="1">_xlfn.IFNA(IF(VLOOKUP($B386&amp;OFFSET(I$10,$A386*2,0),'Mapping A'!$B$6:$E$1011,4,0)=1,$E386,""),0)</f>
        <v>0</v>
      </c>
      <c r="J386" s="519">
        <f ca="1">_xlfn.IFNA(IF(VLOOKUP($B386&amp;OFFSET(J$10,$A386*2,0),'Mapping A'!$B$6:$E$1011,4,0)=1,$E386,""),0)</f>
        <v>0</v>
      </c>
      <c r="K386" s="519">
        <f ca="1">_xlfn.IFNA(IF(VLOOKUP($B386&amp;OFFSET(K$10,$A386*2,0),'Mapping A'!$B$6:$E$1011,4,0)=1,$E386,""),0)</f>
        <v>0</v>
      </c>
      <c r="L386" s="519">
        <f ca="1">_xlfn.IFNA(IF(VLOOKUP($B386&amp;OFFSET(L$10,$A386*2,0),'Mapping A'!$B$6:$E$1011,4,0)=1,$E386,""),0)</f>
        <v>0</v>
      </c>
      <c r="M386" s="519">
        <f ca="1">_xlfn.IFNA(IF(VLOOKUP($B386&amp;OFFSET(M$10,$A386*2,0),'Mapping A'!$B$6:$E$1011,4,0)=1,$E386,""),0)</f>
        <v>0</v>
      </c>
      <c r="N386" s="519">
        <f ca="1">_xlfn.IFNA(IF(VLOOKUP($B386&amp;OFFSET(N$10,$A386*2,0),'Mapping A'!$B$6:$E$1011,4,0)=1,$E386,""),0)</f>
        <v>0</v>
      </c>
      <c r="O386" s="519">
        <f ca="1">_xlfn.IFNA(IF(VLOOKUP($B386&amp;OFFSET(O$10,$A386*2,0),'Mapping A'!$B$6:$E$1011,4,0)=1,$E386,""),0)</f>
        <v>0</v>
      </c>
      <c r="P386" s="519">
        <f ca="1">_xlfn.IFNA(IF(VLOOKUP($B386&amp;OFFSET(P$10,$A386*2,0),'Mapping A'!$B$6:$E$1011,4,0)=1,$E386,""),0)</f>
        <v>0</v>
      </c>
      <c r="Q386" s="519">
        <f ca="1">_xlfn.IFNA(IF(VLOOKUP($B386&amp;OFFSET(Q$10,$A386*2,0),'Mapping A'!$B$6:$E$1011,4,0)=1,$E386,""),0)</f>
        <v>0</v>
      </c>
      <c r="R386" s="519">
        <f ca="1">_xlfn.IFNA(IF(VLOOKUP($B386&amp;OFFSET(R$10,$A386*2,0),'Mapping A'!$B$6:$E$1011,4,0)=1,$E386,""),0)</f>
        <v>0</v>
      </c>
      <c r="S386" s="519">
        <f ca="1">_xlfn.IFNA(IF(VLOOKUP($B386&amp;OFFSET(S$10,$A386*2,0),'Mapping A'!$B$6:$E$1011,4,0)=1,$E386,""),0)</f>
        <v>0</v>
      </c>
      <c r="T386" s="519">
        <f ca="1">_xlfn.IFNA(IF(VLOOKUP($B386&amp;OFFSET(T$10,$A386*2,0),'Mapping A'!$B$6:$E$1011,4,0)=1,$E386,""),0)</f>
        <v>0</v>
      </c>
      <c r="Y386" s="534" t="str">
        <f t="shared" si="399"/>
        <v>OHB2201Meridian</v>
      </c>
      <c r="Z386" s="519" t="str">
        <f t="shared" ref="Z386:AB386" si="402">C152</f>
        <v>Meridian</v>
      </c>
      <c r="AA386" s="519" t="str">
        <f t="shared" si="402"/>
        <v>OHB2201</v>
      </c>
      <c r="AB386" s="519">
        <f t="shared" si="402"/>
        <v>4.1600999999999999</v>
      </c>
      <c r="AC386" s="324"/>
      <c r="AE386" s="519">
        <f t="shared" ca="1" si="383"/>
        <v>0</v>
      </c>
      <c r="AF386" s="519">
        <f t="shared" ca="1" si="384"/>
        <v>0</v>
      </c>
      <c r="AG386" s="519">
        <f t="shared" ca="1" si="385"/>
        <v>0</v>
      </c>
      <c r="AH386" s="519">
        <f t="shared" ca="1" si="386"/>
        <v>0</v>
      </c>
      <c r="AI386" s="519">
        <f t="shared" ca="1" si="387"/>
        <v>0</v>
      </c>
      <c r="AJ386" s="519">
        <f t="shared" ca="1" si="388"/>
        <v>0</v>
      </c>
      <c r="AK386" s="519">
        <f t="shared" ca="1" si="389"/>
        <v>0</v>
      </c>
      <c r="AL386" s="519">
        <f t="shared" ca="1" si="390"/>
        <v>0</v>
      </c>
      <c r="AM386" s="519">
        <f t="shared" ca="1" si="391"/>
        <v>0</v>
      </c>
      <c r="AN386" s="519">
        <f t="shared" ca="1" si="392"/>
        <v>0</v>
      </c>
      <c r="AO386" s="519">
        <f t="shared" ca="1" si="393"/>
        <v>0</v>
      </c>
      <c r="AP386" s="519">
        <f t="shared" ca="1" si="394"/>
        <v>0</v>
      </c>
      <c r="AQ386" s="519">
        <f t="shared" ca="1" si="395"/>
        <v>0</v>
      </c>
    </row>
    <row r="387" spans="1:43" x14ac:dyDescent="0.3">
      <c r="A387" s="556">
        <f t="shared" si="396"/>
        <v>2</v>
      </c>
      <c r="B387" s="519" t="str">
        <f t="shared" si="397"/>
        <v>OHC</v>
      </c>
      <c r="C387" s="519" t="str">
        <f t="shared" ref="C387:E387" si="403">C153</f>
        <v>Meridian</v>
      </c>
      <c r="D387" s="519" t="str">
        <f t="shared" si="403"/>
        <v>OHC2201</v>
      </c>
      <c r="E387" s="519">
        <f t="shared" si="403"/>
        <v>3.9773999999999998</v>
      </c>
      <c r="H387" s="519">
        <f ca="1">_xlfn.IFNA(IF(VLOOKUP($B387&amp;OFFSET(H$10,$A387*2,0),'Mapping A'!$B$6:$E$1011,4,0)=1,$E387,""),0)</f>
        <v>0</v>
      </c>
      <c r="I387" s="519">
        <f ca="1">_xlfn.IFNA(IF(VLOOKUP($B387&amp;OFFSET(I$10,$A387*2,0),'Mapping A'!$B$6:$E$1011,4,0)=1,$E387,""),0)</f>
        <v>0</v>
      </c>
      <c r="J387" s="519">
        <f ca="1">_xlfn.IFNA(IF(VLOOKUP($B387&amp;OFFSET(J$10,$A387*2,0),'Mapping A'!$B$6:$E$1011,4,0)=1,$E387,""),0)</f>
        <v>0</v>
      </c>
      <c r="K387" s="519">
        <f ca="1">_xlfn.IFNA(IF(VLOOKUP($B387&amp;OFFSET(K$10,$A387*2,0),'Mapping A'!$B$6:$E$1011,4,0)=1,$E387,""),0)</f>
        <v>0</v>
      </c>
      <c r="L387" s="519">
        <f ca="1">_xlfn.IFNA(IF(VLOOKUP($B387&amp;OFFSET(L$10,$A387*2,0),'Mapping A'!$B$6:$E$1011,4,0)=1,$E387,""),0)</f>
        <v>0</v>
      </c>
      <c r="M387" s="519">
        <f ca="1">_xlfn.IFNA(IF(VLOOKUP($B387&amp;OFFSET(M$10,$A387*2,0),'Mapping A'!$B$6:$E$1011,4,0)=1,$E387,""),0)</f>
        <v>0</v>
      </c>
      <c r="N387" s="519">
        <f ca="1">_xlfn.IFNA(IF(VLOOKUP($B387&amp;OFFSET(N$10,$A387*2,0),'Mapping A'!$B$6:$E$1011,4,0)=1,$E387,""),0)</f>
        <v>0</v>
      </c>
      <c r="O387" s="519">
        <f ca="1">_xlfn.IFNA(IF(VLOOKUP($B387&amp;OFFSET(O$10,$A387*2,0),'Mapping A'!$B$6:$E$1011,4,0)=1,$E387,""),0)</f>
        <v>0</v>
      </c>
      <c r="P387" s="519">
        <f ca="1">_xlfn.IFNA(IF(VLOOKUP($B387&amp;OFFSET(P$10,$A387*2,0),'Mapping A'!$B$6:$E$1011,4,0)=1,$E387,""),0)</f>
        <v>0</v>
      </c>
      <c r="Q387" s="519">
        <f ca="1">_xlfn.IFNA(IF(VLOOKUP($B387&amp;OFFSET(Q$10,$A387*2,0),'Mapping A'!$B$6:$E$1011,4,0)=1,$E387,""),0)</f>
        <v>0</v>
      </c>
      <c r="R387" s="519">
        <f ca="1">_xlfn.IFNA(IF(VLOOKUP($B387&amp;OFFSET(R$10,$A387*2,0),'Mapping A'!$B$6:$E$1011,4,0)=1,$E387,""),0)</f>
        <v>0</v>
      </c>
      <c r="S387" s="519">
        <f ca="1">_xlfn.IFNA(IF(VLOOKUP($B387&amp;OFFSET(S$10,$A387*2,0),'Mapping A'!$B$6:$E$1011,4,0)=1,$E387,""),0)</f>
        <v>0</v>
      </c>
      <c r="T387" s="519">
        <f ca="1">_xlfn.IFNA(IF(VLOOKUP($B387&amp;OFFSET(T$10,$A387*2,0),'Mapping A'!$B$6:$E$1011,4,0)=1,$E387,""),0)</f>
        <v>0</v>
      </c>
      <c r="Y387" s="534" t="str">
        <f t="shared" si="399"/>
        <v>OHC2201Meridian</v>
      </c>
      <c r="Z387" s="519" t="str">
        <f t="shared" ref="Z387:AB387" si="404">C153</f>
        <v>Meridian</v>
      </c>
      <c r="AA387" s="519" t="str">
        <f t="shared" si="404"/>
        <v>OHC2201</v>
      </c>
      <c r="AB387" s="519">
        <f t="shared" si="404"/>
        <v>3.9773999999999998</v>
      </c>
      <c r="AC387" s="324"/>
      <c r="AE387" s="519">
        <f t="shared" ca="1" si="383"/>
        <v>0</v>
      </c>
      <c r="AF387" s="519">
        <f t="shared" ca="1" si="384"/>
        <v>0</v>
      </c>
      <c r="AG387" s="519">
        <f t="shared" ca="1" si="385"/>
        <v>0</v>
      </c>
      <c r="AH387" s="519">
        <f t="shared" ca="1" si="386"/>
        <v>0</v>
      </c>
      <c r="AI387" s="519">
        <f t="shared" ca="1" si="387"/>
        <v>0</v>
      </c>
      <c r="AJ387" s="519">
        <f t="shared" ca="1" si="388"/>
        <v>0</v>
      </c>
      <c r="AK387" s="519">
        <f t="shared" ca="1" si="389"/>
        <v>0</v>
      </c>
      <c r="AL387" s="519">
        <f t="shared" ca="1" si="390"/>
        <v>0</v>
      </c>
      <c r="AM387" s="519">
        <f t="shared" ca="1" si="391"/>
        <v>0</v>
      </c>
      <c r="AN387" s="519">
        <f t="shared" ca="1" si="392"/>
        <v>0</v>
      </c>
      <c r="AO387" s="519">
        <f t="shared" ca="1" si="393"/>
        <v>0</v>
      </c>
      <c r="AP387" s="519">
        <f t="shared" ca="1" si="394"/>
        <v>0</v>
      </c>
      <c r="AQ387" s="519">
        <f t="shared" ca="1" si="395"/>
        <v>0</v>
      </c>
    </row>
    <row r="388" spans="1:43" x14ac:dyDescent="0.3">
      <c r="A388" s="556">
        <f t="shared" si="396"/>
        <v>2</v>
      </c>
      <c r="B388" s="519" t="str">
        <f t="shared" si="397"/>
        <v>OHK</v>
      </c>
      <c r="C388" s="519" t="str">
        <f t="shared" ref="C388:E388" si="405">C154</f>
        <v>MRP</v>
      </c>
      <c r="D388" s="519" t="str">
        <f t="shared" si="405"/>
        <v>OHK2201</v>
      </c>
      <c r="E388" s="519">
        <f t="shared" si="405"/>
        <v>5.6909999999999998</v>
      </c>
      <c r="H388" s="519">
        <f ca="1">_xlfn.IFNA(IF(VLOOKUP($B388&amp;OFFSET(H$10,$A388*2,0),'Mapping A'!$B$6:$E$1011,4,0)=1,$E388,""),0)</f>
        <v>0</v>
      </c>
      <c r="I388" s="519">
        <f ca="1">_xlfn.IFNA(IF(VLOOKUP($B388&amp;OFFSET(I$10,$A388*2,0),'Mapping A'!$B$6:$E$1011,4,0)=1,$E388,""),0)</f>
        <v>0</v>
      </c>
      <c r="J388" s="519">
        <f ca="1">_xlfn.IFNA(IF(VLOOKUP($B388&amp;OFFSET(J$10,$A388*2,0),'Mapping A'!$B$6:$E$1011,4,0)=1,$E388,""),0)</f>
        <v>0</v>
      </c>
      <c r="K388" s="519">
        <f ca="1">_xlfn.IFNA(IF(VLOOKUP($B388&amp;OFFSET(K$10,$A388*2,0),'Mapping A'!$B$6:$E$1011,4,0)=1,$E388,""),0)</f>
        <v>0</v>
      </c>
      <c r="L388" s="519">
        <f ca="1">_xlfn.IFNA(IF(VLOOKUP($B388&amp;OFFSET(L$10,$A388*2,0),'Mapping A'!$B$6:$E$1011,4,0)=1,$E388,""),0)</f>
        <v>0</v>
      </c>
      <c r="M388" s="519">
        <f ca="1">_xlfn.IFNA(IF(VLOOKUP($B388&amp;OFFSET(M$10,$A388*2,0),'Mapping A'!$B$6:$E$1011,4,0)=1,$E388,""),0)</f>
        <v>0</v>
      </c>
      <c r="N388" s="519">
        <f ca="1">_xlfn.IFNA(IF(VLOOKUP($B388&amp;OFFSET(N$10,$A388*2,0),'Mapping A'!$B$6:$E$1011,4,0)=1,$E388,""),0)</f>
        <v>0</v>
      </c>
      <c r="O388" s="519">
        <f ca="1">_xlfn.IFNA(IF(VLOOKUP($B388&amp;OFFSET(O$10,$A388*2,0),'Mapping A'!$B$6:$E$1011,4,0)=1,$E388,""),0)</f>
        <v>0</v>
      </c>
      <c r="P388" s="519">
        <f ca="1">_xlfn.IFNA(IF(VLOOKUP($B388&amp;OFFSET(P$10,$A388*2,0),'Mapping A'!$B$6:$E$1011,4,0)=1,$E388,""),0)</f>
        <v>0</v>
      </c>
      <c r="Q388" s="519">
        <f ca="1">_xlfn.IFNA(IF(VLOOKUP($B388&amp;OFFSET(Q$10,$A388*2,0),'Mapping A'!$B$6:$E$1011,4,0)=1,$E388,""),0)</f>
        <v>0</v>
      </c>
      <c r="R388" s="519">
        <f ca="1">_xlfn.IFNA(IF(VLOOKUP($B388&amp;OFFSET(R$10,$A388*2,0),'Mapping A'!$B$6:$E$1011,4,0)=1,$E388,""),0)</f>
        <v>0</v>
      </c>
      <c r="S388" s="519">
        <f ca="1">_xlfn.IFNA(IF(VLOOKUP($B388&amp;OFFSET(S$10,$A388*2,0),'Mapping A'!$B$6:$E$1011,4,0)=1,$E388,""),0)</f>
        <v>0</v>
      </c>
      <c r="T388" s="519">
        <f ca="1">_xlfn.IFNA(IF(VLOOKUP($B388&amp;OFFSET(T$10,$A388*2,0),'Mapping A'!$B$6:$E$1011,4,0)=1,$E388,""),0)</f>
        <v>0</v>
      </c>
      <c r="Y388" s="534" t="str">
        <f t="shared" si="399"/>
        <v>OHK2201MRP</v>
      </c>
      <c r="Z388" s="519" t="str">
        <f t="shared" ref="Z388:AB388" si="406">C154</f>
        <v>MRP</v>
      </c>
      <c r="AA388" s="519" t="str">
        <f t="shared" si="406"/>
        <v>OHK2201</v>
      </c>
      <c r="AB388" s="519">
        <f t="shared" si="406"/>
        <v>5.6909999999999998</v>
      </c>
      <c r="AC388" s="324"/>
      <c r="AE388" s="519">
        <f t="shared" ca="1" si="383"/>
        <v>0</v>
      </c>
      <c r="AF388" s="519">
        <f t="shared" ca="1" si="384"/>
        <v>0</v>
      </c>
      <c r="AG388" s="519">
        <f t="shared" ca="1" si="385"/>
        <v>0</v>
      </c>
      <c r="AH388" s="519">
        <f t="shared" ca="1" si="386"/>
        <v>0</v>
      </c>
      <c r="AI388" s="519">
        <f t="shared" ca="1" si="387"/>
        <v>0</v>
      </c>
      <c r="AJ388" s="519">
        <f t="shared" ca="1" si="388"/>
        <v>0</v>
      </c>
      <c r="AK388" s="519">
        <f t="shared" ca="1" si="389"/>
        <v>0</v>
      </c>
      <c r="AL388" s="519">
        <f t="shared" ca="1" si="390"/>
        <v>0</v>
      </c>
      <c r="AM388" s="519">
        <f t="shared" ca="1" si="391"/>
        <v>0</v>
      </c>
      <c r="AN388" s="519">
        <f t="shared" ca="1" si="392"/>
        <v>0</v>
      </c>
      <c r="AO388" s="519">
        <f t="shared" ca="1" si="393"/>
        <v>0</v>
      </c>
      <c r="AP388" s="519">
        <f t="shared" ca="1" si="394"/>
        <v>0</v>
      </c>
      <c r="AQ388" s="519">
        <f t="shared" ca="1" si="395"/>
        <v>0</v>
      </c>
    </row>
    <row r="389" spans="1:43" x14ac:dyDescent="0.3">
      <c r="A389" s="556">
        <f t="shared" si="396"/>
        <v>2</v>
      </c>
      <c r="B389" s="519" t="str">
        <f t="shared" si="397"/>
        <v>OKI</v>
      </c>
      <c r="C389" s="519" t="str">
        <f t="shared" ref="C389:E389" si="407">C155</f>
        <v>Contact</v>
      </c>
      <c r="D389" s="519" t="str">
        <f t="shared" si="407"/>
        <v>OKI2201</v>
      </c>
      <c r="E389" s="519">
        <f t="shared" si="407"/>
        <v>3.9689999999999999</v>
      </c>
      <c r="H389" s="519">
        <f ca="1">_xlfn.IFNA(IF(VLOOKUP($B389&amp;OFFSET(H$10,$A389*2,0),'Mapping A'!$B$6:$E$1011,4,0)=1,$E389,""),0)</f>
        <v>0</v>
      </c>
      <c r="I389" s="519">
        <f ca="1">_xlfn.IFNA(IF(VLOOKUP($B389&amp;OFFSET(I$10,$A389*2,0),'Mapping A'!$B$6:$E$1011,4,0)=1,$E389,""),0)</f>
        <v>0</v>
      </c>
      <c r="J389" s="519">
        <f ca="1">_xlfn.IFNA(IF(VLOOKUP($B389&amp;OFFSET(J$10,$A389*2,0),'Mapping A'!$B$6:$E$1011,4,0)=1,$E389,""),0)</f>
        <v>0</v>
      </c>
      <c r="K389" s="519">
        <f ca="1">_xlfn.IFNA(IF(VLOOKUP($B389&amp;OFFSET(K$10,$A389*2,0),'Mapping A'!$B$6:$E$1011,4,0)=1,$E389,""),0)</f>
        <v>0</v>
      </c>
      <c r="L389" s="519">
        <f ca="1">_xlfn.IFNA(IF(VLOOKUP($B389&amp;OFFSET(L$10,$A389*2,0),'Mapping A'!$B$6:$E$1011,4,0)=1,$E389,""),0)</f>
        <v>0</v>
      </c>
      <c r="M389" s="519">
        <f ca="1">_xlfn.IFNA(IF(VLOOKUP($B389&amp;OFFSET(M$10,$A389*2,0),'Mapping A'!$B$6:$E$1011,4,0)=1,$E389,""),0)</f>
        <v>0</v>
      </c>
      <c r="N389" s="519">
        <f ca="1">_xlfn.IFNA(IF(VLOOKUP($B389&amp;OFFSET(N$10,$A389*2,0),'Mapping A'!$B$6:$E$1011,4,0)=1,$E389,""),0)</f>
        <v>0</v>
      </c>
      <c r="O389" s="519">
        <f ca="1">_xlfn.IFNA(IF(VLOOKUP($B389&amp;OFFSET(O$10,$A389*2,0),'Mapping A'!$B$6:$E$1011,4,0)=1,$E389,""),0)</f>
        <v>0</v>
      </c>
      <c r="P389" s="519">
        <f ca="1">_xlfn.IFNA(IF(VLOOKUP($B389&amp;OFFSET(P$10,$A389*2,0),'Mapping A'!$B$6:$E$1011,4,0)=1,$E389,""),0)</f>
        <v>0</v>
      </c>
      <c r="Q389" s="519">
        <f ca="1">_xlfn.IFNA(IF(VLOOKUP($B389&amp;OFFSET(Q$10,$A389*2,0),'Mapping A'!$B$6:$E$1011,4,0)=1,$E389,""),0)</f>
        <v>0</v>
      </c>
      <c r="R389" s="519">
        <f ca="1">_xlfn.IFNA(IF(VLOOKUP($B389&amp;OFFSET(R$10,$A389*2,0),'Mapping A'!$B$6:$E$1011,4,0)=1,$E389,""),0)</f>
        <v>0</v>
      </c>
      <c r="S389" s="519">
        <f ca="1">_xlfn.IFNA(IF(VLOOKUP($B389&amp;OFFSET(S$10,$A389*2,0),'Mapping A'!$B$6:$E$1011,4,0)=1,$E389,""),0)</f>
        <v>0</v>
      </c>
      <c r="T389" s="519">
        <f ca="1">_xlfn.IFNA(IF(VLOOKUP($B389&amp;OFFSET(T$10,$A389*2,0),'Mapping A'!$B$6:$E$1011,4,0)=1,$E389,""),0)</f>
        <v>0</v>
      </c>
      <c r="Y389" s="534" t="str">
        <f t="shared" si="399"/>
        <v>OKI2201Contact</v>
      </c>
      <c r="Z389" s="519" t="str">
        <f t="shared" ref="Z389:AB389" si="408">C155</f>
        <v>Contact</v>
      </c>
      <c r="AA389" s="519" t="str">
        <f t="shared" si="408"/>
        <v>OKI2201</v>
      </c>
      <c r="AB389" s="519">
        <f t="shared" si="408"/>
        <v>3.9689999999999999</v>
      </c>
      <c r="AC389" s="324"/>
      <c r="AE389" s="519">
        <f t="shared" ca="1" si="383"/>
        <v>0</v>
      </c>
      <c r="AF389" s="519">
        <f t="shared" ca="1" si="384"/>
        <v>0</v>
      </c>
      <c r="AG389" s="519">
        <f t="shared" ca="1" si="385"/>
        <v>0</v>
      </c>
      <c r="AH389" s="519">
        <f t="shared" ca="1" si="386"/>
        <v>0</v>
      </c>
      <c r="AI389" s="519">
        <f t="shared" ca="1" si="387"/>
        <v>0</v>
      </c>
      <c r="AJ389" s="519">
        <f t="shared" ca="1" si="388"/>
        <v>0</v>
      </c>
      <c r="AK389" s="519">
        <f t="shared" ca="1" si="389"/>
        <v>0</v>
      </c>
      <c r="AL389" s="519">
        <f t="shared" ca="1" si="390"/>
        <v>0</v>
      </c>
      <c r="AM389" s="519">
        <f t="shared" ca="1" si="391"/>
        <v>0</v>
      </c>
      <c r="AN389" s="519">
        <f t="shared" ca="1" si="392"/>
        <v>0</v>
      </c>
      <c r="AO389" s="519">
        <f t="shared" ca="1" si="393"/>
        <v>0</v>
      </c>
      <c r="AP389" s="519">
        <f t="shared" ca="1" si="394"/>
        <v>0</v>
      </c>
      <c r="AQ389" s="519">
        <f t="shared" ca="1" si="395"/>
        <v>0</v>
      </c>
    </row>
    <row r="390" spans="1:43" x14ac:dyDescent="0.3">
      <c r="A390" s="556">
        <f t="shared" si="396"/>
        <v>2</v>
      </c>
      <c r="B390" s="519" t="str">
        <f t="shared" si="397"/>
        <v>OKN</v>
      </c>
      <c r="C390" s="519" t="str">
        <f t="shared" ref="C390:E390" si="409">C156</f>
        <v>Powerco</v>
      </c>
      <c r="D390" s="519" t="str">
        <f t="shared" si="409"/>
        <v>OKN0111</v>
      </c>
      <c r="E390" s="519">
        <f t="shared" si="409"/>
        <v>2.3456999999999999</v>
      </c>
      <c r="H390" s="519">
        <f ca="1">_xlfn.IFNA(IF(VLOOKUP($B390&amp;OFFSET(H$10,$A390*2,0),'Mapping A'!$B$6:$E$1011,4,0)=1,$E390,""),0)</f>
        <v>0</v>
      </c>
      <c r="I390" s="519">
        <f ca="1">_xlfn.IFNA(IF(VLOOKUP($B390&amp;OFFSET(I$10,$A390*2,0),'Mapping A'!$B$6:$E$1011,4,0)=1,$E390,""),0)</f>
        <v>0</v>
      </c>
      <c r="J390" s="519">
        <f ca="1">_xlfn.IFNA(IF(VLOOKUP($B390&amp;OFFSET(J$10,$A390*2,0),'Mapping A'!$B$6:$E$1011,4,0)=1,$E390,""),0)</f>
        <v>0</v>
      </c>
      <c r="K390" s="519">
        <f ca="1">_xlfn.IFNA(IF(VLOOKUP($B390&amp;OFFSET(K$10,$A390*2,0),'Mapping A'!$B$6:$E$1011,4,0)=1,$E390,""),0)</f>
        <v>0</v>
      </c>
      <c r="L390" s="519">
        <f ca="1">_xlfn.IFNA(IF(VLOOKUP($B390&amp;OFFSET(L$10,$A390*2,0),'Mapping A'!$B$6:$E$1011,4,0)=1,$E390,""),0)</f>
        <v>0</v>
      </c>
      <c r="M390" s="519">
        <f ca="1">_xlfn.IFNA(IF(VLOOKUP($B390&amp;OFFSET(M$10,$A390*2,0),'Mapping A'!$B$6:$E$1011,4,0)=1,$E390,""),0)</f>
        <v>0</v>
      </c>
      <c r="N390" s="519">
        <f ca="1">_xlfn.IFNA(IF(VLOOKUP($B390&amp;OFFSET(N$10,$A390*2,0),'Mapping A'!$B$6:$E$1011,4,0)=1,$E390,""),0)</f>
        <v>0</v>
      </c>
      <c r="O390" s="519">
        <f ca="1">_xlfn.IFNA(IF(VLOOKUP($B390&amp;OFFSET(O$10,$A390*2,0),'Mapping A'!$B$6:$E$1011,4,0)=1,$E390,""),0)</f>
        <v>0</v>
      </c>
      <c r="P390" s="519">
        <f ca="1">_xlfn.IFNA(IF(VLOOKUP($B390&amp;OFFSET(P$10,$A390*2,0),'Mapping A'!$B$6:$E$1011,4,0)=1,$E390,""),0)</f>
        <v>0</v>
      </c>
      <c r="Q390" s="519">
        <f ca="1">_xlfn.IFNA(IF(VLOOKUP($B390&amp;OFFSET(Q$10,$A390*2,0),'Mapping A'!$B$6:$E$1011,4,0)=1,$E390,""),0)</f>
        <v>0</v>
      </c>
      <c r="R390" s="519">
        <f ca="1">_xlfn.IFNA(IF(VLOOKUP($B390&amp;OFFSET(R$10,$A390*2,0),'Mapping A'!$B$6:$E$1011,4,0)=1,$E390,""),0)</f>
        <v>0</v>
      </c>
      <c r="S390" s="519">
        <f ca="1">_xlfn.IFNA(IF(VLOOKUP($B390&amp;OFFSET(S$10,$A390*2,0),'Mapping A'!$B$6:$E$1011,4,0)=1,$E390,""),0)</f>
        <v>0</v>
      </c>
      <c r="T390" s="519">
        <f ca="1">_xlfn.IFNA(IF(VLOOKUP($B390&amp;OFFSET(T$10,$A390*2,0),'Mapping A'!$B$6:$E$1011,4,0)=1,$E390,""),0)</f>
        <v>0</v>
      </c>
      <c r="Y390" s="534" t="str">
        <f t="shared" si="399"/>
        <v>OKN0111Powerco</v>
      </c>
      <c r="Z390" s="519" t="str">
        <f t="shared" ref="Z390:AB390" si="410">C156</f>
        <v>Powerco</v>
      </c>
      <c r="AA390" s="519" t="str">
        <f t="shared" si="410"/>
        <v>OKN0111</v>
      </c>
      <c r="AB390" s="519">
        <f t="shared" si="410"/>
        <v>2.3456999999999999</v>
      </c>
      <c r="AC390" s="324"/>
      <c r="AE390" s="519">
        <f t="shared" ca="1" si="383"/>
        <v>0</v>
      </c>
      <c r="AF390" s="519">
        <f t="shared" ca="1" si="384"/>
        <v>0</v>
      </c>
      <c r="AG390" s="519">
        <f t="shared" ca="1" si="385"/>
        <v>0</v>
      </c>
      <c r="AH390" s="519">
        <f t="shared" ca="1" si="386"/>
        <v>0</v>
      </c>
      <c r="AI390" s="519">
        <f t="shared" ca="1" si="387"/>
        <v>0</v>
      </c>
      <c r="AJ390" s="519">
        <f t="shared" ca="1" si="388"/>
        <v>0</v>
      </c>
      <c r="AK390" s="519">
        <f t="shared" ca="1" si="389"/>
        <v>0</v>
      </c>
      <c r="AL390" s="519">
        <f t="shared" ca="1" si="390"/>
        <v>0</v>
      </c>
      <c r="AM390" s="519">
        <f t="shared" ca="1" si="391"/>
        <v>0</v>
      </c>
      <c r="AN390" s="519">
        <f t="shared" ca="1" si="392"/>
        <v>0</v>
      </c>
      <c r="AO390" s="519">
        <f t="shared" ca="1" si="393"/>
        <v>0</v>
      </c>
      <c r="AP390" s="519">
        <f t="shared" ca="1" si="394"/>
        <v>0</v>
      </c>
      <c r="AQ390" s="519">
        <f t="shared" ca="1" si="395"/>
        <v>0</v>
      </c>
    </row>
    <row r="391" spans="1:43" x14ac:dyDescent="0.3">
      <c r="A391" s="556">
        <f t="shared" si="396"/>
        <v>2</v>
      </c>
      <c r="B391" s="519" t="str">
        <f t="shared" si="397"/>
        <v>OKN</v>
      </c>
      <c r="C391" s="519" t="str">
        <f t="shared" ref="C391:E391" si="411">C157</f>
        <v>The Lines Company</v>
      </c>
      <c r="D391" s="519" t="str">
        <f t="shared" si="411"/>
        <v>OKN0111</v>
      </c>
      <c r="E391" s="519">
        <f t="shared" si="411"/>
        <v>7.5347999999999997</v>
      </c>
      <c r="H391" s="519">
        <f ca="1">_xlfn.IFNA(IF(VLOOKUP($B391&amp;OFFSET(H$10,$A391*2,0),'Mapping A'!$B$6:$E$1011,4,0)=1,$E391,""),0)</f>
        <v>0</v>
      </c>
      <c r="I391" s="519">
        <f ca="1">_xlfn.IFNA(IF(VLOOKUP($B391&amp;OFFSET(I$10,$A391*2,0),'Mapping A'!$B$6:$E$1011,4,0)=1,$E391,""),0)</f>
        <v>0</v>
      </c>
      <c r="J391" s="519">
        <f ca="1">_xlfn.IFNA(IF(VLOOKUP($B391&amp;OFFSET(J$10,$A391*2,0),'Mapping A'!$B$6:$E$1011,4,0)=1,$E391,""),0)</f>
        <v>0</v>
      </c>
      <c r="K391" s="519">
        <f ca="1">_xlfn.IFNA(IF(VLOOKUP($B391&amp;OFFSET(K$10,$A391*2,0),'Mapping A'!$B$6:$E$1011,4,0)=1,$E391,""),0)</f>
        <v>0</v>
      </c>
      <c r="L391" s="519">
        <f ca="1">_xlfn.IFNA(IF(VLOOKUP($B391&amp;OFFSET(L$10,$A391*2,0),'Mapping A'!$B$6:$E$1011,4,0)=1,$E391,""),0)</f>
        <v>0</v>
      </c>
      <c r="M391" s="519">
        <f ca="1">_xlfn.IFNA(IF(VLOOKUP($B391&amp;OFFSET(M$10,$A391*2,0),'Mapping A'!$B$6:$E$1011,4,0)=1,$E391,""),0)</f>
        <v>0</v>
      </c>
      <c r="N391" s="519">
        <f ca="1">_xlfn.IFNA(IF(VLOOKUP($B391&amp;OFFSET(N$10,$A391*2,0),'Mapping A'!$B$6:$E$1011,4,0)=1,$E391,""),0)</f>
        <v>0</v>
      </c>
      <c r="O391" s="519">
        <f ca="1">_xlfn.IFNA(IF(VLOOKUP($B391&amp;OFFSET(O$10,$A391*2,0),'Mapping A'!$B$6:$E$1011,4,0)=1,$E391,""),0)</f>
        <v>0</v>
      </c>
      <c r="P391" s="519">
        <f ca="1">_xlfn.IFNA(IF(VLOOKUP($B391&amp;OFFSET(P$10,$A391*2,0),'Mapping A'!$B$6:$E$1011,4,0)=1,$E391,""),0)</f>
        <v>0</v>
      </c>
      <c r="Q391" s="519">
        <f ca="1">_xlfn.IFNA(IF(VLOOKUP($B391&amp;OFFSET(Q$10,$A391*2,0),'Mapping A'!$B$6:$E$1011,4,0)=1,$E391,""),0)</f>
        <v>0</v>
      </c>
      <c r="R391" s="519">
        <f ca="1">_xlfn.IFNA(IF(VLOOKUP($B391&amp;OFFSET(R$10,$A391*2,0),'Mapping A'!$B$6:$E$1011,4,0)=1,$E391,""),0)</f>
        <v>0</v>
      </c>
      <c r="S391" s="519">
        <f ca="1">_xlfn.IFNA(IF(VLOOKUP($B391&amp;OFFSET(S$10,$A391*2,0),'Mapping A'!$B$6:$E$1011,4,0)=1,$E391,""),0)</f>
        <v>0</v>
      </c>
      <c r="T391" s="519">
        <f ca="1">_xlfn.IFNA(IF(VLOOKUP($B391&amp;OFFSET(T$10,$A391*2,0),'Mapping A'!$B$6:$E$1011,4,0)=1,$E391,""),0)</f>
        <v>0</v>
      </c>
      <c r="Y391" s="534" t="str">
        <f t="shared" si="399"/>
        <v>OKN0111The Lines Company</v>
      </c>
      <c r="Z391" s="519" t="str">
        <f t="shared" ref="Z391:AB391" si="412">C157</f>
        <v>The Lines Company</v>
      </c>
      <c r="AA391" s="519" t="str">
        <f t="shared" si="412"/>
        <v>OKN0111</v>
      </c>
      <c r="AB391" s="519">
        <f t="shared" si="412"/>
        <v>7.5347999999999997</v>
      </c>
      <c r="AC391" s="324"/>
      <c r="AE391" s="519">
        <f t="shared" ca="1" si="383"/>
        <v>0</v>
      </c>
      <c r="AF391" s="519">
        <f t="shared" ca="1" si="384"/>
        <v>0</v>
      </c>
      <c r="AG391" s="519">
        <f t="shared" ca="1" si="385"/>
        <v>0</v>
      </c>
      <c r="AH391" s="519">
        <f t="shared" ca="1" si="386"/>
        <v>0</v>
      </c>
      <c r="AI391" s="519">
        <f t="shared" ca="1" si="387"/>
        <v>0</v>
      </c>
      <c r="AJ391" s="519">
        <f t="shared" ca="1" si="388"/>
        <v>0</v>
      </c>
      <c r="AK391" s="519">
        <f t="shared" ca="1" si="389"/>
        <v>0</v>
      </c>
      <c r="AL391" s="519">
        <f t="shared" ca="1" si="390"/>
        <v>0</v>
      </c>
      <c r="AM391" s="519">
        <f t="shared" ca="1" si="391"/>
        <v>0</v>
      </c>
      <c r="AN391" s="519">
        <f t="shared" ca="1" si="392"/>
        <v>0</v>
      </c>
      <c r="AO391" s="519">
        <f t="shared" ca="1" si="393"/>
        <v>0</v>
      </c>
      <c r="AP391" s="519">
        <f t="shared" ca="1" si="394"/>
        <v>0</v>
      </c>
      <c r="AQ391" s="519">
        <f t="shared" ca="1" si="395"/>
        <v>0</v>
      </c>
    </row>
    <row r="392" spans="1:43" x14ac:dyDescent="0.3">
      <c r="A392" s="556">
        <f t="shared" si="396"/>
        <v>2</v>
      </c>
      <c r="B392" s="519" t="str">
        <f t="shared" si="397"/>
        <v>ONG</v>
      </c>
      <c r="C392" s="519" t="str">
        <f t="shared" ref="C392:E392" si="413">C158</f>
        <v>The Lines Company</v>
      </c>
      <c r="D392" s="519" t="str">
        <f t="shared" si="413"/>
        <v>ONG0331</v>
      </c>
      <c r="E392" s="519">
        <f t="shared" si="413"/>
        <v>14.450100000000001</v>
      </c>
      <c r="H392" s="519">
        <f ca="1">_xlfn.IFNA(IF(VLOOKUP($B392&amp;OFFSET(H$10,$A392*2,0),'Mapping A'!$B$6:$E$1011,4,0)=1,$E392,""),0)</f>
        <v>0</v>
      </c>
      <c r="I392" s="519">
        <f ca="1">_xlfn.IFNA(IF(VLOOKUP($B392&amp;OFFSET(I$10,$A392*2,0),'Mapping A'!$B$6:$E$1011,4,0)=1,$E392,""),0)</f>
        <v>0</v>
      </c>
      <c r="J392" s="519">
        <f ca="1">_xlfn.IFNA(IF(VLOOKUP($B392&amp;OFFSET(J$10,$A392*2,0),'Mapping A'!$B$6:$E$1011,4,0)=1,$E392,""),0)</f>
        <v>0</v>
      </c>
      <c r="K392" s="519">
        <f ca="1">_xlfn.IFNA(IF(VLOOKUP($B392&amp;OFFSET(K$10,$A392*2,0),'Mapping A'!$B$6:$E$1011,4,0)=1,$E392,""),0)</f>
        <v>0</v>
      </c>
      <c r="L392" s="519">
        <f ca="1">_xlfn.IFNA(IF(VLOOKUP($B392&amp;OFFSET(L$10,$A392*2,0),'Mapping A'!$B$6:$E$1011,4,0)=1,$E392,""),0)</f>
        <v>0</v>
      </c>
      <c r="M392" s="519">
        <f ca="1">_xlfn.IFNA(IF(VLOOKUP($B392&amp;OFFSET(M$10,$A392*2,0),'Mapping A'!$B$6:$E$1011,4,0)=1,$E392,""),0)</f>
        <v>0</v>
      </c>
      <c r="N392" s="519">
        <f ca="1">_xlfn.IFNA(IF(VLOOKUP($B392&amp;OFFSET(N$10,$A392*2,0),'Mapping A'!$B$6:$E$1011,4,0)=1,$E392,""),0)</f>
        <v>0</v>
      </c>
      <c r="O392" s="519">
        <f ca="1">_xlfn.IFNA(IF(VLOOKUP($B392&amp;OFFSET(O$10,$A392*2,0),'Mapping A'!$B$6:$E$1011,4,0)=1,$E392,""),0)</f>
        <v>0</v>
      </c>
      <c r="P392" s="519">
        <f ca="1">_xlfn.IFNA(IF(VLOOKUP($B392&amp;OFFSET(P$10,$A392*2,0),'Mapping A'!$B$6:$E$1011,4,0)=1,$E392,""),0)</f>
        <v>0</v>
      </c>
      <c r="Q392" s="519">
        <f ca="1">_xlfn.IFNA(IF(VLOOKUP($B392&amp;OFFSET(Q$10,$A392*2,0),'Mapping A'!$B$6:$E$1011,4,0)=1,$E392,""),0)</f>
        <v>0</v>
      </c>
      <c r="R392" s="519">
        <f ca="1">_xlfn.IFNA(IF(VLOOKUP($B392&amp;OFFSET(R$10,$A392*2,0),'Mapping A'!$B$6:$E$1011,4,0)=1,$E392,""),0)</f>
        <v>0</v>
      </c>
      <c r="S392" s="519">
        <f ca="1">_xlfn.IFNA(IF(VLOOKUP($B392&amp;OFFSET(S$10,$A392*2,0),'Mapping A'!$B$6:$E$1011,4,0)=1,$E392,""),0)</f>
        <v>0</v>
      </c>
      <c r="T392" s="519">
        <f ca="1">_xlfn.IFNA(IF(VLOOKUP($B392&amp;OFFSET(T$10,$A392*2,0),'Mapping A'!$B$6:$E$1011,4,0)=1,$E392,""),0)</f>
        <v>0</v>
      </c>
      <c r="Y392" s="534" t="str">
        <f t="shared" si="399"/>
        <v>ONG0331The Lines Company</v>
      </c>
      <c r="Z392" s="519" t="str">
        <f t="shared" ref="Z392:AB392" si="414">C158</f>
        <v>The Lines Company</v>
      </c>
      <c r="AA392" s="519" t="str">
        <f t="shared" si="414"/>
        <v>ONG0331</v>
      </c>
      <c r="AB392" s="519">
        <f t="shared" si="414"/>
        <v>14.450100000000001</v>
      </c>
      <c r="AC392" s="324"/>
      <c r="AE392" s="519">
        <f t="shared" ca="1" si="383"/>
        <v>0</v>
      </c>
      <c r="AF392" s="519">
        <f t="shared" ca="1" si="384"/>
        <v>0</v>
      </c>
      <c r="AG392" s="519">
        <f t="shared" ca="1" si="385"/>
        <v>0</v>
      </c>
      <c r="AH392" s="519">
        <f t="shared" ca="1" si="386"/>
        <v>0</v>
      </c>
      <c r="AI392" s="519">
        <f t="shared" ca="1" si="387"/>
        <v>0</v>
      </c>
      <c r="AJ392" s="519">
        <f t="shared" ca="1" si="388"/>
        <v>0</v>
      </c>
      <c r="AK392" s="519">
        <f t="shared" ca="1" si="389"/>
        <v>0</v>
      </c>
      <c r="AL392" s="519">
        <f t="shared" ca="1" si="390"/>
        <v>0</v>
      </c>
      <c r="AM392" s="519">
        <f t="shared" ca="1" si="391"/>
        <v>0</v>
      </c>
      <c r="AN392" s="519">
        <f t="shared" ca="1" si="392"/>
        <v>0</v>
      </c>
      <c r="AO392" s="519">
        <f t="shared" ca="1" si="393"/>
        <v>0</v>
      </c>
      <c r="AP392" s="519">
        <f t="shared" ca="1" si="394"/>
        <v>0</v>
      </c>
      <c r="AQ392" s="519">
        <f t="shared" ca="1" si="395"/>
        <v>0</v>
      </c>
    </row>
    <row r="393" spans="1:43" x14ac:dyDescent="0.3">
      <c r="A393" s="556">
        <f t="shared" si="396"/>
        <v>2</v>
      </c>
      <c r="B393" s="519" t="str">
        <f t="shared" si="397"/>
        <v>OPK</v>
      </c>
      <c r="C393" s="519" t="str">
        <f t="shared" ref="C393:E393" si="415">C159</f>
        <v>Powerco</v>
      </c>
      <c r="D393" s="519" t="str">
        <f t="shared" si="415"/>
        <v>OPK0331</v>
      </c>
      <c r="E393" s="519">
        <f t="shared" si="415"/>
        <v>12.0687</v>
      </c>
      <c r="H393" s="519">
        <f ca="1">_xlfn.IFNA(IF(VLOOKUP($B393&amp;OFFSET(H$10,$A393*2,0),'Mapping A'!$B$6:$E$1011,4,0)=1,$E393,""),0)</f>
        <v>0</v>
      </c>
      <c r="I393" s="519">
        <f ca="1">_xlfn.IFNA(IF(VLOOKUP($B393&amp;OFFSET(I$10,$A393*2,0),'Mapping A'!$B$6:$E$1011,4,0)=1,$E393,""),0)</f>
        <v>0</v>
      </c>
      <c r="J393" s="519">
        <f ca="1">_xlfn.IFNA(IF(VLOOKUP($B393&amp;OFFSET(J$10,$A393*2,0),'Mapping A'!$B$6:$E$1011,4,0)=1,$E393,""),0)</f>
        <v>0</v>
      </c>
      <c r="K393" s="519">
        <f ca="1">_xlfn.IFNA(IF(VLOOKUP($B393&amp;OFFSET(K$10,$A393*2,0),'Mapping A'!$B$6:$E$1011,4,0)=1,$E393,""),0)</f>
        <v>0</v>
      </c>
      <c r="L393" s="519">
        <f ca="1">_xlfn.IFNA(IF(VLOOKUP($B393&amp;OFFSET(L$10,$A393*2,0),'Mapping A'!$B$6:$E$1011,4,0)=1,$E393,""),0)</f>
        <v>0</v>
      </c>
      <c r="M393" s="519">
        <f ca="1">_xlfn.IFNA(IF(VLOOKUP($B393&amp;OFFSET(M$10,$A393*2,0),'Mapping A'!$B$6:$E$1011,4,0)=1,$E393,""),0)</f>
        <v>0</v>
      </c>
      <c r="N393" s="519">
        <f ca="1">_xlfn.IFNA(IF(VLOOKUP($B393&amp;OFFSET(N$10,$A393*2,0),'Mapping A'!$B$6:$E$1011,4,0)=1,$E393,""),0)</f>
        <v>0</v>
      </c>
      <c r="O393" s="519">
        <f ca="1">_xlfn.IFNA(IF(VLOOKUP($B393&amp;OFFSET(O$10,$A393*2,0),'Mapping A'!$B$6:$E$1011,4,0)=1,$E393,""),0)</f>
        <v>0</v>
      </c>
      <c r="P393" s="519">
        <f ca="1">_xlfn.IFNA(IF(VLOOKUP($B393&amp;OFFSET(P$10,$A393*2,0),'Mapping A'!$B$6:$E$1011,4,0)=1,$E393,""),0)</f>
        <v>0</v>
      </c>
      <c r="Q393" s="519">
        <f ca="1">_xlfn.IFNA(IF(VLOOKUP($B393&amp;OFFSET(Q$10,$A393*2,0),'Mapping A'!$B$6:$E$1011,4,0)=1,$E393,""),0)</f>
        <v>0</v>
      </c>
      <c r="R393" s="519">
        <f ca="1">_xlfn.IFNA(IF(VLOOKUP($B393&amp;OFFSET(R$10,$A393*2,0),'Mapping A'!$B$6:$E$1011,4,0)=1,$E393,""),0)</f>
        <v>0</v>
      </c>
      <c r="S393" s="519">
        <f ca="1">_xlfn.IFNA(IF(VLOOKUP($B393&amp;OFFSET(S$10,$A393*2,0),'Mapping A'!$B$6:$E$1011,4,0)=1,$E393,""),0)</f>
        <v>0</v>
      </c>
      <c r="T393" s="519">
        <f ca="1">_xlfn.IFNA(IF(VLOOKUP($B393&amp;OFFSET(T$10,$A393*2,0),'Mapping A'!$B$6:$E$1011,4,0)=1,$E393,""),0)</f>
        <v>0</v>
      </c>
      <c r="Y393" s="534" t="str">
        <f t="shared" si="399"/>
        <v>OPK0331Powerco</v>
      </c>
      <c r="Z393" s="519" t="str">
        <f t="shared" ref="Z393:AB393" si="416">C159</f>
        <v>Powerco</v>
      </c>
      <c r="AA393" s="519" t="str">
        <f t="shared" si="416"/>
        <v>OPK0331</v>
      </c>
      <c r="AB393" s="519">
        <f t="shared" si="416"/>
        <v>12.0687</v>
      </c>
      <c r="AC393" s="324"/>
      <c r="AE393" s="519">
        <f t="shared" ca="1" si="383"/>
        <v>0</v>
      </c>
      <c r="AF393" s="519">
        <f t="shared" ca="1" si="384"/>
        <v>0</v>
      </c>
      <c r="AG393" s="519">
        <f t="shared" ca="1" si="385"/>
        <v>0</v>
      </c>
      <c r="AH393" s="519">
        <f t="shared" ca="1" si="386"/>
        <v>0</v>
      </c>
      <c r="AI393" s="519">
        <f t="shared" ca="1" si="387"/>
        <v>0</v>
      </c>
      <c r="AJ393" s="519">
        <f t="shared" ca="1" si="388"/>
        <v>0</v>
      </c>
      <c r="AK393" s="519">
        <f t="shared" ca="1" si="389"/>
        <v>0</v>
      </c>
      <c r="AL393" s="519">
        <f t="shared" ca="1" si="390"/>
        <v>0</v>
      </c>
      <c r="AM393" s="519">
        <f t="shared" ca="1" si="391"/>
        <v>0</v>
      </c>
      <c r="AN393" s="519">
        <f t="shared" ca="1" si="392"/>
        <v>0</v>
      </c>
      <c r="AO393" s="519">
        <f t="shared" ca="1" si="393"/>
        <v>0</v>
      </c>
      <c r="AP393" s="519">
        <f t="shared" ca="1" si="394"/>
        <v>0</v>
      </c>
      <c r="AQ393" s="519">
        <f t="shared" ca="1" si="395"/>
        <v>0</v>
      </c>
    </row>
    <row r="394" spans="1:43" x14ac:dyDescent="0.3">
      <c r="A394" s="556">
        <f t="shared" si="396"/>
        <v>2</v>
      </c>
      <c r="B394" s="519" t="str">
        <f t="shared" si="397"/>
        <v>ORO</v>
      </c>
      <c r="C394" s="519" t="str">
        <f t="shared" ref="C394:E394" si="417">C160</f>
        <v>Buller Electricity</v>
      </c>
      <c r="D394" s="519" t="str">
        <f t="shared" si="417"/>
        <v>ORO110</v>
      </c>
      <c r="E394" s="519">
        <f t="shared" si="417"/>
        <v>10.838099999999899</v>
      </c>
      <c r="H394" s="519">
        <f ca="1">_xlfn.IFNA(IF(VLOOKUP($B394&amp;OFFSET(H$10,$A394*2,0),'Mapping A'!$B$6:$E$1011,4,0)=1,$E394,""),0)</f>
        <v>0</v>
      </c>
      <c r="I394" s="519">
        <f ca="1">_xlfn.IFNA(IF(VLOOKUP($B394&amp;OFFSET(I$10,$A394*2,0),'Mapping A'!$B$6:$E$1011,4,0)=1,$E394,""),0)</f>
        <v>0</v>
      </c>
      <c r="J394" s="519">
        <f ca="1">_xlfn.IFNA(IF(VLOOKUP($B394&amp;OFFSET(J$10,$A394*2,0),'Mapping A'!$B$6:$E$1011,4,0)=1,$E394,""),0)</f>
        <v>10.838099999999899</v>
      </c>
      <c r="K394" s="519">
        <f ca="1">_xlfn.IFNA(IF(VLOOKUP($B394&amp;OFFSET(K$10,$A394*2,0),'Mapping A'!$B$6:$E$1011,4,0)=1,$E394,""),0)</f>
        <v>0</v>
      </c>
      <c r="L394" s="519">
        <f ca="1">_xlfn.IFNA(IF(VLOOKUP($B394&amp;OFFSET(L$10,$A394*2,0),'Mapping A'!$B$6:$E$1011,4,0)=1,$E394,""),0)</f>
        <v>0</v>
      </c>
      <c r="M394" s="519">
        <f ca="1">_xlfn.IFNA(IF(VLOOKUP($B394&amp;OFFSET(M$10,$A394*2,0),'Mapping A'!$B$6:$E$1011,4,0)=1,$E394,""),0)</f>
        <v>0</v>
      </c>
      <c r="N394" s="519">
        <f ca="1">_xlfn.IFNA(IF(VLOOKUP($B394&amp;OFFSET(N$10,$A394*2,0),'Mapping A'!$B$6:$E$1011,4,0)=1,$E394,""),0)</f>
        <v>0</v>
      </c>
      <c r="O394" s="519">
        <f ca="1">_xlfn.IFNA(IF(VLOOKUP($B394&amp;OFFSET(O$10,$A394*2,0),'Mapping A'!$B$6:$E$1011,4,0)=1,$E394,""),0)</f>
        <v>0</v>
      </c>
      <c r="P394" s="519">
        <f ca="1">_xlfn.IFNA(IF(VLOOKUP($B394&amp;OFFSET(P$10,$A394*2,0),'Mapping A'!$B$6:$E$1011,4,0)=1,$E394,""),0)</f>
        <v>0</v>
      </c>
      <c r="Q394" s="519">
        <f ca="1">_xlfn.IFNA(IF(VLOOKUP($B394&amp;OFFSET(Q$10,$A394*2,0),'Mapping A'!$B$6:$E$1011,4,0)=1,$E394,""),0)</f>
        <v>0</v>
      </c>
      <c r="R394" s="519">
        <f ca="1">_xlfn.IFNA(IF(VLOOKUP($B394&amp;OFFSET(R$10,$A394*2,0),'Mapping A'!$B$6:$E$1011,4,0)=1,$E394,""),0)</f>
        <v>0</v>
      </c>
      <c r="S394" s="519">
        <f ca="1">_xlfn.IFNA(IF(VLOOKUP($B394&amp;OFFSET(S$10,$A394*2,0),'Mapping A'!$B$6:$E$1011,4,0)=1,$E394,""),0)</f>
        <v>0</v>
      </c>
      <c r="T394" s="519">
        <f ca="1">_xlfn.IFNA(IF(VLOOKUP($B394&amp;OFFSET(T$10,$A394*2,0),'Mapping A'!$B$6:$E$1011,4,0)=1,$E394,""),0)</f>
        <v>0</v>
      </c>
      <c r="Y394" s="534" t="str">
        <f t="shared" si="399"/>
        <v>ORO110Buller Electricity</v>
      </c>
      <c r="Z394" s="519" t="str">
        <f t="shared" ref="Z394:AB394" si="418">C160</f>
        <v>Buller Electricity</v>
      </c>
      <c r="AA394" s="519" t="str">
        <f t="shared" si="418"/>
        <v>ORO110</v>
      </c>
      <c r="AB394" s="519">
        <f t="shared" si="418"/>
        <v>10.838099999999899</v>
      </c>
      <c r="AC394" s="324"/>
      <c r="AE394" s="519">
        <f t="shared" ca="1" si="383"/>
        <v>0</v>
      </c>
      <c r="AF394" s="519">
        <f t="shared" ca="1" si="384"/>
        <v>0</v>
      </c>
      <c r="AG394" s="519">
        <f t="shared" ca="1" si="385"/>
        <v>0</v>
      </c>
      <c r="AH394" s="519">
        <f t="shared" ca="1" si="386"/>
        <v>0</v>
      </c>
      <c r="AI394" s="519">
        <f t="shared" ca="1" si="387"/>
        <v>0</v>
      </c>
      <c r="AJ394" s="519">
        <f t="shared" ca="1" si="388"/>
        <v>0</v>
      </c>
      <c r="AK394" s="519">
        <f t="shared" ca="1" si="389"/>
        <v>0</v>
      </c>
      <c r="AL394" s="519">
        <f t="shared" ca="1" si="390"/>
        <v>0</v>
      </c>
      <c r="AM394" s="519">
        <f t="shared" ca="1" si="391"/>
        <v>0</v>
      </c>
      <c r="AN394" s="519">
        <f t="shared" ca="1" si="392"/>
        <v>0</v>
      </c>
      <c r="AO394" s="519">
        <f t="shared" ca="1" si="393"/>
        <v>0</v>
      </c>
      <c r="AP394" s="519">
        <f t="shared" ca="1" si="394"/>
        <v>0</v>
      </c>
      <c r="AQ394" s="519">
        <f t="shared" ca="1" si="395"/>
        <v>0</v>
      </c>
    </row>
    <row r="395" spans="1:43" x14ac:dyDescent="0.3">
      <c r="A395" s="556">
        <f t="shared" si="396"/>
        <v>2</v>
      </c>
      <c r="B395" s="519" t="str">
        <f t="shared" si="397"/>
        <v>OTA</v>
      </c>
      <c r="C395" s="519" t="str">
        <f t="shared" ref="C395:E395" si="419">C161</f>
        <v>Contact</v>
      </c>
      <c r="D395" s="519" t="str">
        <f t="shared" si="419"/>
        <v>OTA0221</v>
      </c>
      <c r="E395" s="519">
        <f t="shared" si="419"/>
        <v>6.0522</v>
      </c>
      <c r="H395" s="519">
        <f ca="1">_xlfn.IFNA(IF(VLOOKUP($B395&amp;OFFSET(H$10,$A395*2,0),'Mapping A'!$B$6:$E$1011,4,0)=1,$E395,""),0)</f>
        <v>0</v>
      </c>
      <c r="I395" s="519">
        <f ca="1">_xlfn.IFNA(IF(VLOOKUP($B395&amp;OFFSET(I$10,$A395*2,0),'Mapping A'!$B$6:$E$1011,4,0)=1,$E395,""),0)</f>
        <v>0</v>
      </c>
      <c r="J395" s="519">
        <f ca="1">_xlfn.IFNA(IF(VLOOKUP($B395&amp;OFFSET(J$10,$A395*2,0),'Mapping A'!$B$6:$E$1011,4,0)=1,$E395,""),0)</f>
        <v>0</v>
      </c>
      <c r="K395" s="519">
        <f ca="1">_xlfn.IFNA(IF(VLOOKUP($B395&amp;OFFSET(K$10,$A395*2,0),'Mapping A'!$B$6:$E$1011,4,0)=1,$E395,""),0)</f>
        <v>0</v>
      </c>
      <c r="L395" s="519">
        <f ca="1">_xlfn.IFNA(IF(VLOOKUP($B395&amp;OFFSET(L$10,$A395*2,0),'Mapping A'!$B$6:$E$1011,4,0)=1,$E395,""),0)</f>
        <v>0</v>
      </c>
      <c r="M395" s="519">
        <f ca="1">_xlfn.IFNA(IF(VLOOKUP($B395&amp;OFFSET(M$10,$A395*2,0),'Mapping A'!$B$6:$E$1011,4,0)=1,$E395,""),0)</f>
        <v>0</v>
      </c>
      <c r="N395" s="519">
        <f ca="1">_xlfn.IFNA(IF(VLOOKUP($B395&amp;OFFSET(N$10,$A395*2,0),'Mapping A'!$B$6:$E$1011,4,0)=1,$E395,""),0)</f>
        <v>0</v>
      </c>
      <c r="O395" s="519">
        <f ca="1">_xlfn.IFNA(IF(VLOOKUP($B395&amp;OFFSET(O$10,$A395*2,0),'Mapping A'!$B$6:$E$1011,4,0)=1,$E395,""),0)</f>
        <v>0</v>
      </c>
      <c r="P395" s="519">
        <f ca="1">_xlfn.IFNA(IF(VLOOKUP($B395&amp;OFFSET(P$10,$A395*2,0),'Mapping A'!$B$6:$E$1011,4,0)=1,$E395,""),0)</f>
        <v>0</v>
      </c>
      <c r="Q395" s="519">
        <f ca="1">_xlfn.IFNA(IF(VLOOKUP($B395&amp;OFFSET(Q$10,$A395*2,0),'Mapping A'!$B$6:$E$1011,4,0)=1,$E395,""),0)</f>
        <v>0</v>
      </c>
      <c r="R395" s="519">
        <f ca="1">_xlfn.IFNA(IF(VLOOKUP($B395&amp;OFFSET(R$10,$A395*2,0),'Mapping A'!$B$6:$E$1011,4,0)=1,$E395,""),0)</f>
        <v>0</v>
      </c>
      <c r="S395" s="519">
        <f ca="1">_xlfn.IFNA(IF(VLOOKUP($B395&amp;OFFSET(S$10,$A395*2,0),'Mapping A'!$B$6:$E$1011,4,0)=1,$E395,""),0)</f>
        <v>0</v>
      </c>
      <c r="T395" s="519">
        <f ca="1">_xlfn.IFNA(IF(VLOOKUP($B395&amp;OFFSET(T$10,$A395*2,0),'Mapping A'!$B$6:$E$1011,4,0)=1,$E395,""),0)</f>
        <v>0</v>
      </c>
      <c r="Y395" s="534" t="str">
        <f t="shared" si="399"/>
        <v>OTA0221Contact</v>
      </c>
      <c r="Z395" s="519" t="str">
        <f t="shared" ref="Z395:AB395" si="420">C161</f>
        <v>Contact</v>
      </c>
      <c r="AA395" s="519" t="str">
        <f t="shared" si="420"/>
        <v>OTA0221</v>
      </c>
      <c r="AB395" s="519">
        <f t="shared" si="420"/>
        <v>6.0522</v>
      </c>
      <c r="AC395" s="324"/>
      <c r="AE395" s="519">
        <f t="shared" ca="1" si="383"/>
        <v>0</v>
      </c>
      <c r="AF395" s="519">
        <f t="shared" ca="1" si="384"/>
        <v>0</v>
      </c>
      <c r="AG395" s="519">
        <f t="shared" ca="1" si="385"/>
        <v>0</v>
      </c>
      <c r="AH395" s="519">
        <f t="shared" ca="1" si="386"/>
        <v>0</v>
      </c>
      <c r="AI395" s="519">
        <f t="shared" ca="1" si="387"/>
        <v>0</v>
      </c>
      <c r="AJ395" s="519">
        <f t="shared" ca="1" si="388"/>
        <v>0</v>
      </c>
      <c r="AK395" s="519">
        <f t="shared" ca="1" si="389"/>
        <v>0</v>
      </c>
      <c r="AL395" s="519">
        <f t="shared" ca="1" si="390"/>
        <v>0</v>
      </c>
      <c r="AM395" s="519">
        <f t="shared" ca="1" si="391"/>
        <v>0</v>
      </c>
      <c r="AN395" s="519">
        <f t="shared" ca="1" si="392"/>
        <v>0</v>
      </c>
      <c r="AO395" s="519">
        <f t="shared" ca="1" si="393"/>
        <v>0</v>
      </c>
      <c r="AP395" s="519">
        <f t="shared" ca="1" si="394"/>
        <v>0</v>
      </c>
      <c r="AQ395" s="519">
        <f t="shared" ca="1" si="395"/>
        <v>0</v>
      </c>
    </row>
    <row r="396" spans="1:43" x14ac:dyDescent="0.3">
      <c r="A396" s="556">
        <f t="shared" si="396"/>
        <v>2</v>
      </c>
      <c r="B396" s="519" t="str">
        <f t="shared" si="397"/>
        <v>OTA</v>
      </c>
      <c r="C396" s="519" t="str">
        <f t="shared" ref="C396:E396" si="421">C162</f>
        <v>Vector</v>
      </c>
      <c r="D396" s="519" t="str">
        <f t="shared" si="421"/>
        <v>OTA0221</v>
      </c>
      <c r="E396" s="519">
        <f t="shared" si="421"/>
        <v>63.088200000000001</v>
      </c>
      <c r="H396" s="519">
        <f ca="1">_xlfn.IFNA(IF(VLOOKUP($B396&amp;OFFSET(H$10,$A396*2,0),'Mapping A'!$B$6:$E$1011,4,0)=1,$E396,""),0)</f>
        <v>0</v>
      </c>
      <c r="I396" s="519">
        <f ca="1">_xlfn.IFNA(IF(VLOOKUP($B396&amp;OFFSET(I$10,$A396*2,0),'Mapping A'!$B$6:$E$1011,4,0)=1,$E396,""),0)</f>
        <v>0</v>
      </c>
      <c r="J396" s="519">
        <f ca="1">_xlfn.IFNA(IF(VLOOKUP($B396&amp;OFFSET(J$10,$A396*2,0),'Mapping A'!$B$6:$E$1011,4,0)=1,$E396,""),0)</f>
        <v>0</v>
      </c>
      <c r="K396" s="519">
        <f ca="1">_xlfn.IFNA(IF(VLOOKUP($B396&amp;OFFSET(K$10,$A396*2,0),'Mapping A'!$B$6:$E$1011,4,0)=1,$E396,""),0)</f>
        <v>0</v>
      </c>
      <c r="L396" s="519">
        <f ca="1">_xlfn.IFNA(IF(VLOOKUP($B396&amp;OFFSET(L$10,$A396*2,0),'Mapping A'!$B$6:$E$1011,4,0)=1,$E396,""),0)</f>
        <v>0</v>
      </c>
      <c r="M396" s="519">
        <f ca="1">_xlfn.IFNA(IF(VLOOKUP($B396&amp;OFFSET(M$10,$A396*2,0),'Mapping A'!$B$6:$E$1011,4,0)=1,$E396,""),0)</f>
        <v>0</v>
      </c>
      <c r="N396" s="519">
        <f ca="1">_xlfn.IFNA(IF(VLOOKUP($B396&amp;OFFSET(N$10,$A396*2,0),'Mapping A'!$B$6:$E$1011,4,0)=1,$E396,""),0)</f>
        <v>0</v>
      </c>
      <c r="O396" s="519">
        <f ca="1">_xlfn.IFNA(IF(VLOOKUP($B396&amp;OFFSET(O$10,$A396*2,0),'Mapping A'!$B$6:$E$1011,4,0)=1,$E396,""),0)</f>
        <v>0</v>
      </c>
      <c r="P396" s="519">
        <f ca="1">_xlfn.IFNA(IF(VLOOKUP($B396&amp;OFFSET(P$10,$A396*2,0),'Mapping A'!$B$6:$E$1011,4,0)=1,$E396,""),0)</f>
        <v>0</v>
      </c>
      <c r="Q396" s="519">
        <f ca="1">_xlfn.IFNA(IF(VLOOKUP($B396&amp;OFFSET(Q$10,$A396*2,0),'Mapping A'!$B$6:$E$1011,4,0)=1,$E396,""),0)</f>
        <v>0</v>
      </c>
      <c r="R396" s="519">
        <f ca="1">_xlfn.IFNA(IF(VLOOKUP($B396&amp;OFFSET(R$10,$A396*2,0),'Mapping A'!$B$6:$E$1011,4,0)=1,$E396,""),0)</f>
        <v>0</v>
      </c>
      <c r="S396" s="519">
        <f ca="1">_xlfn.IFNA(IF(VLOOKUP($B396&amp;OFFSET(S$10,$A396*2,0),'Mapping A'!$B$6:$E$1011,4,0)=1,$E396,""),0)</f>
        <v>0</v>
      </c>
      <c r="T396" s="519">
        <f ca="1">_xlfn.IFNA(IF(VLOOKUP($B396&amp;OFFSET(T$10,$A396*2,0),'Mapping A'!$B$6:$E$1011,4,0)=1,$E396,""),0)</f>
        <v>0</v>
      </c>
      <c r="Y396" s="534" t="str">
        <f t="shared" si="399"/>
        <v>OTA0221Vector</v>
      </c>
      <c r="Z396" s="519" t="str">
        <f t="shared" ref="Z396:AB396" si="422">C162</f>
        <v>Vector</v>
      </c>
      <c r="AA396" s="519" t="str">
        <f t="shared" si="422"/>
        <v>OTA0221</v>
      </c>
      <c r="AB396" s="519">
        <f t="shared" si="422"/>
        <v>63.088200000000001</v>
      </c>
      <c r="AC396" s="324"/>
      <c r="AE396" s="519">
        <f t="shared" ca="1" si="383"/>
        <v>0</v>
      </c>
      <c r="AF396" s="519">
        <f t="shared" ca="1" si="384"/>
        <v>0</v>
      </c>
      <c r="AG396" s="519">
        <f t="shared" ca="1" si="385"/>
        <v>0</v>
      </c>
      <c r="AH396" s="519">
        <f t="shared" ca="1" si="386"/>
        <v>0</v>
      </c>
      <c r="AI396" s="519">
        <f t="shared" ca="1" si="387"/>
        <v>0</v>
      </c>
      <c r="AJ396" s="519">
        <f t="shared" ca="1" si="388"/>
        <v>0</v>
      </c>
      <c r="AK396" s="519">
        <f t="shared" ca="1" si="389"/>
        <v>0</v>
      </c>
      <c r="AL396" s="519">
        <f t="shared" ca="1" si="390"/>
        <v>0</v>
      </c>
      <c r="AM396" s="519">
        <f t="shared" ca="1" si="391"/>
        <v>0</v>
      </c>
      <c r="AN396" s="519">
        <f t="shared" ca="1" si="392"/>
        <v>0</v>
      </c>
      <c r="AO396" s="519">
        <f t="shared" ca="1" si="393"/>
        <v>0</v>
      </c>
      <c r="AP396" s="519">
        <f t="shared" ca="1" si="394"/>
        <v>0</v>
      </c>
      <c r="AQ396" s="519">
        <f t="shared" ca="1" si="395"/>
        <v>0</v>
      </c>
    </row>
    <row r="397" spans="1:43" x14ac:dyDescent="0.3">
      <c r="A397" s="556">
        <f t="shared" si="396"/>
        <v>2</v>
      </c>
      <c r="B397" s="519" t="str">
        <f t="shared" si="397"/>
        <v>OTI</v>
      </c>
      <c r="C397" s="519" t="str">
        <f t="shared" ref="C397:E397" si="423">C163</f>
        <v>Westpower</v>
      </c>
      <c r="D397" s="519" t="str">
        <f t="shared" si="423"/>
        <v>OTI0111</v>
      </c>
      <c r="E397" s="519">
        <f t="shared" si="423"/>
        <v>0.61949999999999905</v>
      </c>
      <c r="H397" s="519">
        <f ca="1">_xlfn.IFNA(IF(VLOOKUP($B397&amp;OFFSET(H$10,$A397*2,0),'Mapping A'!$B$6:$E$1011,4,0)=1,$E397,""),0)</f>
        <v>0</v>
      </c>
      <c r="I397" s="519">
        <f ca="1">_xlfn.IFNA(IF(VLOOKUP($B397&amp;OFFSET(I$10,$A397*2,0),'Mapping A'!$B$6:$E$1011,4,0)=1,$E397,""),0)</f>
        <v>0</v>
      </c>
      <c r="J397" s="519">
        <f ca="1">_xlfn.IFNA(IF(VLOOKUP($B397&amp;OFFSET(J$10,$A397*2,0),'Mapping A'!$B$6:$E$1011,4,0)=1,$E397,""),0)</f>
        <v>0.61949999999999905</v>
      </c>
      <c r="K397" s="519">
        <f ca="1">_xlfn.IFNA(IF(VLOOKUP($B397&amp;OFFSET(K$10,$A397*2,0),'Mapping A'!$B$6:$E$1011,4,0)=1,$E397,""),0)</f>
        <v>0</v>
      </c>
      <c r="L397" s="519">
        <f ca="1">_xlfn.IFNA(IF(VLOOKUP($B397&amp;OFFSET(L$10,$A397*2,0),'Mapping A'!$B$6:$E$1011,4,0)=1,$E397,""),0)</f>
        <v>0</v>
      </c>
      <c r="M397" s="519">
        <f ca="1">_xlfn.IFNA(IF(VLOOKUP($B397&amp;OFFSET(M$10,$A397*2,0),'Mapping A'!$B$6:$E$1011,4,0)=1,$E397,""),0)</f>
        <v>0</v>
      </c>
      <c r="N397" s="519">
        <f ca="1">_xlfn.IFNA(IF(VLOOKUP($B397&amp;OFFSET(N$10,$A397*2,0),'Mapping A'!$B$6:$E$1011,4,0)=1,$E397,""),0)</f>
        <v>0</v>
      </c>
      <c r="O397" s="519">
        <f ca="1">_xlfn.IFNA(IF(VLOOKUP($B397&amp;OFFSET(O$10,$A397*2,0),'Mapping A'!$B$6:$E$1011,4,0)=1,$E397,""),0)</f>
        <v>0</v>
      </c>
      <c r="P397" s="519">
        <f ca="1">_xlfn.IFNA(IF(VLOOKUP($B397&amp;OFFSET(P$10,$A397*2,0),'Mapping A'!$B$6:$E$1011,4,0)=1,$E397,""),0)</f>
        <v>0</v>
      </c>
      <c r="Q397" s="519">
        <f ca="1">_xlfn.IFNA(IF(VLOOKUP($B397&amp;OFFSET(Q$10,$A397*2,0),'Mapping A'!$B$6:$E$1011,4,0)=1,$E397,""),0)</f>
        <v>0</v>
      </c>
      <c r="R397" s="519">
        <f ca="1">_xlfn.IFNA(IF(VLOOKUP($B397&amp;OFFSET(R$10,$A397*2,0),'Mapping A'!$B$6:$E$1011,4,0)=1,$E397,""),0)</f>
        <v>0</v>
      </c>
      <c r="S397" s="519">
        <f ca="1">_xlfn.IFNA(IF(VLOOKUP($B397&amp;OFFSET(S$10,$A397*2,0),'Mapping A'!$B$6:$E$1011,4,0)=1,$E397,""),0)</f>
        <v>0</v>
      </c>
      <c r="T397" s="519">
        <f ca="1">_xlfn.IFNA(IF(VLOOKUP($B397&amp;OFFSET(T$10,$A397*2,0),'Mapping A'!$B$6:$E$1011,4,0)=1,$E397,""),0)</f>
        <v>0</v>
      </c>
      <c r="Y397" s="534" t="str">
        <f t="shared" si="399"/>
        <v>OTI0111Westpower</v>
      </c>
      <c r="Z397" s="519" t="str">
        <f t="shared" ref="Z397:AB397" si="424">C163</f>
        <v>Westpower</v>
      </c>
      <c r="AA397" s="519" t="str">
        <f t="shared" si="424"/>
        <v>OTI0111</v>
      </c>
      <c r="AB397" s="519">
        <f t="shared" si="424"/>
        <v>0.61949999999999905</v>
      </c>
      <c r="AC397" s="324"/>
      <c r="AE397" s="519">
        <f t="shared" ca="1" si="383"/>
        <v>0</v>
      </c>
      <c r="AF397" s="519">
        <f t="shared" ca="1" si="384"/>
        <v>0</v>
      </c>
      <c r="AG397" s="519">
        <f t="shared" ca="1" si="385"/>
        <v>0</v>
      </c>
      <c r="AH397" s="519">
        <f t="shared" ca="1" si="386"/>
        <v>0</v>
      </c>
      <c r="AI397" s="519">
        <f t="shared" ca="1" si="387"/>
        <v>0</v>
      </c>
      <c r="AJ397" s="519">
        <f t="shared" ca="1" si="388"/>
        <v>0</v>
      </c>
      <c r="AK397" s="519">
        <f t="shared" ca="1" si="389"/>
        <v>0</v>
      </c>
      <c r="AL397" s="519">
        <f t="shared" ca="1" si="390"/>
        <v>0</v>
      </c>
      <c r="AM397" s="519">
        <f t="shared" ca="1" si="391"/>
        <v>0</v>
      </c>
      <c r="AN397" s="519">
        <f t="shared" ca="1" si="392"/>
        <v>0</v>
      </c>
      <c r="AO397" s="519">
        <f t="shared" ca="1" si="393"/>
        <v>0</v>
      </c>
      <c r="AP397" s="519">
        <f t="shared" ca="1" si="394"/>
        <v>0</v>
      </c>
      <c r="AQ397" s="519">
        <f t="shared" ca="1" si="395"/>
        <v>0</v>
      </c>
    </row>
    <row r="398" spans="1:43" x14ac:dyDescent="0.3">
      <c r="A398" s="556">
        <f t="shared" si="396"/>
        <v>2</v>
      </c>
      <c r="B398" s="519" t="str">
        <f t="shared" si="397"/>
        <v>OWH</v>
      </c>
      <c r="C398" s="519" t="str">
        <f t="shared" ref="C398:E398" si="425">C164</f>
        <v>Unison</v>
      </c>
      <c r="D398" s="519" t="str">
        <f t="shared" si="425"/>
        <v>OWH0111</v>
      </c>
      <c r="E398" s="519">
        <f t="shared" si="425"/>
        <v>13.490399999999999</v>
      </c>
      <c r="H398" s="519">
        <f ca="1">_xlfn.IFNA(IF(VLOOKUP($B398&amp;OFFSET(H$10,$A398*2,0),'Mapping A'!$B$6:$E$1011,4,0)=1,$E398,""),0)</f>
        <v>0</v>
      </c>
      <c r="I398" s="519">
        <f ca="1">_xlfn.IFNA(IF(VLOOKUP($B398&amp;OFFSET(I$10,$A398*2,0),'Mapping A'!$B$6:$E$1011,4,0)=1,$E398,""),0)</f>
        <v>0</v>
      </c>
      <c r="J398" s="519">
        <f ca="1">_xlfn.IFNA(IF(VLOOKUP($B398&amp;OFFSET(J$10,$A398*2,0),'Mapping A'!$B$6:$E$1011,4,0)=1,$E398,""),0)</f>
        <v>0</v>
      </c>
      <c r="K398" s="519">
        <f ca="1">_xlfn.IFNA(IF(VLOOKUP($B398&amp;OFFSET(K$10,$A398*2,0),'Mapping A'!$B$6:$E$1011,4,0)=1,$E398,""),0)</f>
        <v>0</v>
      </c>
      <c r="L398" s="519">
        <f ca="1">_xlfn.IFNA(IF(VLOOKUP($B398&amp;OFFSET(L$10,$A398*2,0),'Mapping A'!$B$6:$E$1011,4,0)=1,$E398,""),0)</f>
        <v>0</v>
      </c>
      <c r="M398" s="519">
        <f ca="1">_xlfn.IFNA(IF(VLOOKUP($B398&amp;OFFSET(M$10,$A398*2,0),'Mapping A'!$B$6:$E$1011,4,0)=1,$E398,""),0)</f>
        <v>0</v>
      </c>
      <c r="N398" s="519">
        <f ca="1">_xlfn.IFNA(IF(VLOOKUP($B398&amp;OFFSET(N$10,$A398*2,0),'Mapping A'!$B$6:$E$1011,4,0)=1,$E398,""),0)</f>
        <v>0</v>
      </c>
      <c r="O398" s="519">
        <f ca="1">_xlfn.IFNA(IF(VLOOKUP($B398&amp;OFFSET(O$10,$A398*2,0),'Mapping A'!$B$6:$E$1011,4,0)=1,$E398,""),0)</f>
        <v>0</v>
      </c>
      <c r="P398" s="519">
        <f ca="1">_xlfn.IFNA(IF(VLOOKUP($B398&amp;OFFSET(P$10,$A398*2,0),'Mapping A'!$B$6:$E$1011,4,0)=1,$E398,""),0)</f>
        <v>0</v>
      </c>
      <c r="Q398" s="519">
        <f ca="1">_xlfn.IFNA(IF(VLOOKUP($B398&amp;OFFSET(Q$10,$A398*2,0),'Mapping A'!$B$6:$E$1011,4,0)=1,$E398,""),0)</f>
        <v>0</v>
      </c>
      <c r="R398" s="519">
        <f ca="1">_xlfn.IFNA(IF(VLOOKUP($B398&amp;OFFSET(R$10,$A398*2,0),'Mapping A'!$B$6:$E$1011,4,0)=1,$E398,""),0)</f>
        <v>0</v>
      </c>
      <c r="S398" s="519">
        <f ca="1">_xlfn.IFNA(IF(VLOOKUP($B398&amp;OFFSET(S$10,$A398*2,0),'Mapping A'!$B$6:$E$1011,4,0)=1,$E398,""),0)</f>
        <v>0</v>
      </c>
      <c r="T398" s="519">
        <f ca="1">_xlfn.IFNA(IF(VLOOKUP($B398&amp;OFFSET(T$10,$A398*2,0),'Mapping A'!$B$6:$E$1011,4,0)=1,$E398,""),0)</f>
        <v>0</v>
      </c>
      <c r="Y398" s="534" t="str">
        <f t="shared" si="399"/>
        <v>OWH0111Unison</v>
      </c>
      <c r="Z398" s="519" t="str">
        <f t="shared" ref="Z398:AB398" si="426">C164</f>
        <v>Unison</v>
      </c>
      <c r="AA398" s="519" t="str">
        <f t="shared" si="426"/>
        <v>OWH0111</v>
      </c>
      <c r="AB398" s="519">
        <f t="shared" si="426"/>
        <v>13.490399999999999</v>
      </c>
      <c r="AC398" s="324"/>
      <c r="AE398" s="519">
        <f t="shared" ca="1" si="383"/>
        <v>0</v>
      </c>
      <c r="AF398" s="519">
        <f t="shared" ca="1" si="384"/>
        <v>0</v>
      </c>
      <c r="AG398" s="519">
        <f t="shared" ca="1" si="385"/>
        <v>0</v>
      </c>
      <c r="AH398" s="519">
        <f t="shared" ca="1" si="386"/>
        <v>0</v>
      </c>
      <c r="AI398" s="519">
        <f t="shared" ca="1" si="387"/>
        <v>0</v>
      </c>
      <c r="AJ398" s="519">
        <f t="shared" ca="1" si="388"/>
        <v>0</v>
      </c>
      <c r="AK398" s="519">
        <f t="shared" ca="1" si="389"/>
        <v>0</v>
      </c>
      <c r="AL398" s="519">
        <f t="shared" ca="1" si="390"/>
        <v>0</v>
      </c>
      <c r="AM398" s="519">
        <f t="shared" ca="1" si="391"/>
        <v>0</v>
      </c>
      <c r="AN398" s="519">
        <f t="shared" ca="1" si="392"/>
        <v>0</v>
      </c>
      <c r="AO398" s="519">
        <f t="shared" ca="1" si="393"/>
        <v>0</v>
      </c>
      <c r="AP398" s="519">
        <f t="shared" ca="1" si="394"/>
        <v>0</v>
      </c>
      <c r="AQ398" s="519">
        <f t="shared" ca="1" si="395"/>
        <v>0</v>
      </c>
    </row>
    <row r="399" spans="1:43" x14ac:dyDescent="0.3">
      <c r="A399" s="556">
        <f t="shared" si="396"/>
        <v>2</v>
      </c>
      <c r="B399" s="519" t="str">
        <f t="shared" si="397"/>
        <v>PAK</v>
      </c>
      <c r="C399" s="519" t="str">
        <f t="shared" ref="C399:E399" si="427">C165</f>
        <v>Vector</v>
      </c>
      <c r="D399" s="519" t="str">
        <f t="shared" si="427"/>
        <v>PAK0331</v>
      </c>
      <c r="E399" s="519">
        <f t="shared" si="427"/>
        <v>138.15479999999999</v>
      </c>
      <c r="H399" s="519">
        <f ca="1">_xlfn.IFNA(IF(VLOOKUP($B399&amp;OFFSET(H$10,$A399*2,0),'Mapping A'!$B$6:$E$1011,4,0)=1,$E399,""),0)</f>
        <v>0</v>
      </c>
      <c r="I399" s="519">
        <f ca="1">_xlfn.IFNA(IF(VLOOKUP($B399&amp;OFFSET(I$10,$A399*2,0),'Mapping A'!$B$6:$E$1011,4,0)=1,$E399,""),0)</f>
        <v>0</v>
      </c>
      <c r="J399" s="519">
        <f ca="1">_xlfn.IFNA(IF(VLOOKUP($B399&amp;OFFSET(J$10,$A399*2,0),'Mapping A'!$B$6:$E$1011,4,0)=1,$E399,""),0)</f>
        <v>0</v>
      </c>
      <c r="K399" s="519">
        <f ca="1">_xlfn.IFNA(IF(VLOOKUP($B399&amp;OFFSET(K$10,$A399*2,0),'Mapping A'!$B$6:$E$1011,4,0)=1,$E399,""),0)</f>
        <v>0</v>
      </c>
      <c r="L399" s="519">
        <f ca="1">_xlfn.IFNA(IF(VLOOKUP($B399&amp;OFFSET(L$10,$A399*2,0),'Mapping A'!$B$6:$E$1011,4,0)=1,$E399,""),0)</f>
        <v>0</v>
      </c>
      <c r="M399" s="519">
        <f ca="1">_xlfn.IFNA(IF(VLOOKUP($B399&amp;OFFSET(M$10,$A399*2,0),'Mapping A'!$B$6:$E$1011,4,0)=1,$E399,""),0)</f>
        <v>0</v>
      </c>
      <c r="N399" s="519">
        <f ca="1">_xlfn.IFNA(IF(VLOOKUP($B399&amp;OFFSET(N$10,$A399*2,0),'Mapping A'!$B$6:$E$1011,4,0)=1,$E399,""),0)</f>
        <v>0</v>
      </c>
      <c r="O399" s="519">
        <f ca="1">_xlfn.IFNA(IF(VLOOKUP($B399&amp;OFFSET(O$10,$A399*2,0),'Mapping A'!$B$6:$E$1011,4,0)=1,$E399,""),0)</f>
        <v>0</v>
      </c>
      <c r="P399" s="519">
        <f ca="1">_xlfn.IFNA(IF(VLOOKUP($B399&amp;OFFSET(P$10,$A399*2,0),'Mapping A'!$B$6:$E$1011,4,0)=1,$E399,""),0)</f>
        <v>0</v>
      </c>
      <c r="Q399" s="519">
        <f ca="1">_xlfn.IFNA(IF(VLOOKUP($B399&amp;OFFSET(Q$10,$A399*2,0),'Mapping A'!$B$6:$E$1011,4,0)=1,$E399,""),0)</f>
        <v>0</v>
      </c>
      <c r="R399" s="519">
        <f ca="1">_xlfn.IFNA(IF(VLOOKUP($B399&amp;OFFSET(R$10,$A399*2,0),'Mapping A'!$B$6:$E$1011,4,0)=1,$E399,""),0)</f>
        <v>0</v>
      </c>
      <c r="S399" s="519">
        <f ca="1">_xlfn.IFNA(IF(VLOOKUP($B399&amp;OFFSET(S$10,$A399*2,0),'Mapping A'!$B$6:$E$1011,4,0)=1,$E399,""),0)</f>
        <v>0</v>
      </c>
      <c r="T399" s="519">
        <f ca="1">_xlfn.IFNA(IF(VLOOKUP($B399&amp;OFFSET(T$10,$A399*2,0),'Mapping A'!$B$6:$E$1011,4,0)=1,$E399,""),0)</f>
        <v>0</v>
      </c>
      <c r="Y399" s="534" t="str">
        <f t="shared" si="399"/>
        <v>PAK0331Vector</v>
      </c>
      <c r="Z399" s="519" t="str">
        <f t="shared" ref="Z399:AB399" si="428">C165</f>
        <v>Vector</v>
      </c>
      <c r="AA399" s="519" t="str">
        <f t="shared" si="428"/>
        <v>PAK0331</v>
      </c>
      <c r="AB399" s="519">
        <f t="shared" si="428"/>
        <v>138.15479999999999</v>
      </c>
      <c r="AC399" s="324"/>
      <c r="AE399" s="519">
        <f t="shared" ca="1" si="383"/>
        <v>0</v>
      </c>
      <c r="AF399" s="519">
        <f t="shared" ca="1" si="384"/>
        <v>0</v>
      </c>
      <c r="AG399" s="519">
        <f t="shared" ca="1" si="385"/>
        <v>0</v>
      </c>
      <c r="AH399" s="519">
        <f t="shared" ca="1" si="386"/>
        <v>0</v>
      </c>
      <c r="AI399" s="519">
        <f t="shared" ca="1" si="387"/>
        <v>0</v>
      </c>
      <c r="AJ399" s="519">
        <f t="shared" ca="1" si="388"/>
        <v>0</v>
      </c>
      <c r="AK399" s="519">
        <f t="shared" ca="1" si="389"/>
        <v>0</v>
      </c>
      <c r="AL399" s="519">
        <f t="shared" ca="1" si="390"/>
        <v>0</v>
      </c>
      <c r="AM399" s="519">
        <f t="shared" ca="1" si="391"/>
        <v>0</v>
      </c>
      <c r="AN399" s="519">
        <f t="shared" ca="1" si="392"/>
        <v>0</v>
      </c>
      <c r="AO399" s="519">
        <f t="shared" ca="1" si="393"/>
        <v>0</v>
      </c>
      <c r="AP399" s="519">
        <f t="shared" ca="1" si="394"/>
        <v>0</v>
      </c>
      <c r="AQ399" s="519">
        <f t="shared" ca="1" si="395"/>
        <v>0</v>
      </c>
    </row>
    <row r="400" spans="1:43" x14ac:dyDescent="0.3">
      <c r="A400" s="556">
        <f t="shared" si="396"/>
        <v>2</v>
      </c>
      <c r="B400" s="519" t="str">
        <f t="shared" si="397"/>
        <v>PAO</v>
      </c>
      <c r="C400" s="519" t="str">
        <f t="shared" ref="C400:E400" si="429">C166</f>
        <v>Powerco</v>
      </c>
      <c r="D400" s="519" t="str">
        <f t="shared" si="429"/>
        <v>PAO1101</v>
      </c>
      <c r="E400" s="519">
        <f t="shared" si="429"/>
        <v>33.198900000000002</v>
      </c>
      <c r="H400" s="519">
        <f ca="1">_xlfn.IFNA(IF(VLOOKUP($B400&amp;OFFSET(H$10,$A400*2,0),'Mapping A'!$B$6:$E$1011,4,0)=1,$E400,""),0)</f>
        <v>0</v>
      </c>
      <c r="I400" s="519">
        <f ca="1">_xlfn.IFNA(IF(VLOOKUP($B400&amp;OFFSET(I$10,$A400*2,0),'Mapping A'!$B$6:$E$1011,4,0)=1,$E400,""),0)</f>
        <v>0</v>
      </c>
      <c r="J400" s="519">
        <f ca="1">_xlfn.IFNA(IF(VLOOKUP($B400&amp;OFFSET(J$10,$A400*2,0),'Mapping A'!$B$6:$E$1011,4,0)=1,$E400,""),0)</f>
        <v>0</v>
      </c>
      <c r="K400" s="519">
        <f ca="1">_xlfn.IFNA(IF(VLOOKUP($B400&amp;OFFSET(K$10,$A400*2,0),'Mapping A'!$B$6:$E$1011,4,0)=1,$E400,""),0)</f>
        <v>0</v>
      </c>
      <c r="L400" s="519">
        <f ca="1">_xlfn.IFNA(IF(VLOOKUP($B400&amp;OFFSET(L$10,$A400*2,0),'Mapping A'!$B$6:$E$1011,4,0)=1,$E400,""),0)</f>
        <v>0</v>
      </c>
      <c r="M400" s="519">
        <f ca="1">_xlfn.IFNA(IF(VLOOKUP($B400&amp;OFFSET(M$10,$A400*2,0),'Mapping A'!$B$6:$E$1011,4,0)=1,$E400,""),0)</f>
        <v>0</v>
      </c>
      <c r="N400" s="519">
        <f ca="1">_xlfn.IFNA(IF(VLOOKUP($B400&amp;OFFSET(N$10,$A400*2,0),'Mapping A'!$B$6:$E$1011,4,0)=1,$E400,""),0)</f>
        <v>0</v>
      </c>
      <c r="O400" s="519">
        <f ca="1">_xlfn.IFNA(IF(VLOOKUP($B400&amp;OFFSET(O$10,$A400*2,0),'Mapping A'!$B$6:$E$1011,4,0)=1,$E400,""),0)</f>
        <v>0</v>
      </c>
      <c r="P400" s="519">
        <f ca="1">_xlfn.IFNA(IF(VLOOKUP($B400&amp;OFFSET(P$10,$A400*2,0),'Mapping A'!$B$6:$E$1011,4,0)=1,$E400,""),0)</f>
        <v>0</v>
      </c>
      <c r="Q400" s="519">
        <f ca="1">_xlfn.IFNA(IF(VLOOKUP($B400&amp;OFFSET(Q$10,$A400*2,0),'Mapping A'!$B$6:$E$1011,4,0)=1,$E400,""),0)</f>
        <v>0</v>
      </c>
      <c r="R400" s="519">
        <f ca="1">_xlfn.IFNA(IF(VLOOKUP($B400&amp;OFFSET(R$10,$A400*2,0),'Mapping A'!$B$6:$E$1011,4,0)=1,$E400,""),0)</f>
        <v>0</v>
      </c>
      <c r="S400" s="519">
        <f ca="1">_xlfn.IFNA(IF(VLOOKUP($B400&amp;OFFSET(S$10,$A400*2,0),'Mapping A'!$B$6:$E$1011,4,0)=1,$E400,""),0)</f>
        <v>0</v>
      </c>
      <c r="T400" s="519">
        <f ca="1">_xlfn.IFNA(IF(VLOOKUP($B400&amp;OFFSET(T$10,$A400*2,0),'Mapping A'!$B$6:$E$1011,4,0)=1,$E400,""),0)</f>
        <v>0</v>
      </c>
      <c r="Y400" s="534" t="str">
        <f t="shared" si="399"/>
        <v>PAO1101Powerco</v>
      </c>
      <c r="Z400" s="519" t="str">
        <f t="shared" ref="Z400:AB400" si="430">C166</f>
        <v>Powerco</v>
      </c>
      <c r="AA400" s="519" t="str">
        <f t="shared" si="430"/>
        <v>PAO1101</v>
      </c>
      <c r="AB400" s="519">
        <f t="shared" si="430"/>
        <v>33.198900000000002</v>
      </c>
      <c r="AC400" s="324"/>
      <c r="AE400" s="519">
        <f t="shared" ca="1" si="383"/>
        <v>0</v>
      </c>
      <c r="AF400" s="519">
        <f t="shared" ca="1" si="384"/>
        <v>0</v>
      </c>
      <c r="AG400" s="519">
        <f t="shared" ca="1" si="385"/>
        <v>0</v>
      </c>
      <c r="AH400" s="519">
        <f t="shared" ca="1" si="386"/>
        <v>0</v>
      </c>
      <c r="AI400" s="519">
        <f t="shared" ca="1" si="387"/>
        <v>0</v>
      </c>
      <c r="AJ400" s="519">
        <f t="shared" ca="1" si="388"/>
        <v>0</v>
      </c>
      <c r="AK400" s="519">
        <f t="shared" ca="1" si="389"/>
        <v>0</v>
      </c>
      <c r="AL400" s="519">
        <f t="shared" ca="1" si="390"/>
        <v>0</v>
      </c>
      <c r="AM400" s="519">
        <f t="shared" ca="1" si="391"/>
        <v>0</v>
      </c>
      <c r="AN400" s="519">
        <f t="shared" ca="1" si="392"/>
        <v>0</v>
      </c>
      <c r="AO400" s="519">
        <f t="shared" ca="1" si="393"/>
        <v>0</v>
      </c>
      <c r="AP400" s="519">
        <f t="shared" ca="1" si="394"/>
        <v>0</v>
      </c>
      <c r="AQ400" s="519">
        <f t="shared" ca="1" si="395"/>
        <v>0</v>
      </c>
    </row>
    <row r="401" spans="1:43" x14ac:dyDescent="0.3">
      <c r="A401" s="556">
        <f t="shared" si="396"/>
        <v>2</v>
      </c>
      <c r="B401" s="519" t="str">
        <f t="shared" si="397"/>
        <v>PEN</v>
      </c>
      <c r="C401" s="519" t="str">
        <f t="shared" ref="C401:E401" si="431">C167</f>
        <v>Vector</v>
      </c>
      <c r="D401" s="519" t="str">
        <f t="shared" si="431"/>
        <v>PEN0221</v>
      </c>
      <c r="E401" s="519">
        <f t="shared" si="431"/>
        <v>55.412700000000001</v>
      </c>
      <c r="H401" s="519">
        <f ca="1">_xlfn.IFNA(IF(VLOOKUP($B401&amp;OFFSET(H$10,$A401*2,0),'Mapping A'!$B$6:$E$1011,4,0)=1,$E401,""),0)</f>
        <v>0</v>
      </c>
      <c r="I401" s="519">
        <f ca="1">_xlfn.IFNA(IF(VLOOKUP($B401&amp;OFFSET(I$10,$A401*2,0),'Mapping A'!$B$6:$E$1011,4,0)=1,$E401,""),0)</f>
        <v>0</v>
      </c>
      <c r="J401" s="519">
        <f ca="1">_xlfn.IFNA(IF(VLOOKUP($B401&amp;OFFSET(J$10,$A401*2,0),'Mapping A'!$B$6:$E$1011,4,0)=1,$E401,""),0)</f>
        <v>0</v>
      </c>
      <c r="K401" s="519">
        <f ca="1">_xlfn.IFNA(IF(VLOOKUP($B401&amp;OFFSET(K$10,$A401*2,0),'Mapping A'!$B$6:$E$1011,4,0)=1,$E401,""),0)</f>
        <v>0</v>
      </c>
      <c r="L401" s="519">
        <f ca="1">_xlfn.IFNA(IF(VLOOKUP($B401&amp;OFFSET(L$10,$A401*2,0),'Mapping A'!$B$6:$E$1011,4,0)=1,$E401,""),0)</f>
        <v>0</v>
      </c>
      <c r="M401" s="519">
        <f ca="1">_xlfn.IFNA(IF(VLOOKUP($B401&amp;OFFSET(M$10,$A401*2,0),'Mapping A'!$B$6:$E$1011,4,0)=1,$E401,""),0)</f>
        <v>0</v>
      </c>
      <c r="N401" s="519">
        <f ca="1">_xlfn.IFNA(IF(VLOOKUP($B401&amp;OFFSET(N$10,$A401*2,0),'Mapping A'!$B$6:$E$1011,4,0)=1,$E401,""),0)</f>
        <v>0</v>
      </c>
      <c r="O401" s="519">
        <f ca="1">_xlfn.IFNA(IF(VLOOKUP($B401&amp;OFFSET(O$10,$A401*2,0),'Mapping A'!$B$6:$E$1011,4,0)=1,$E401,""),0)</f>
        <v>0</v>
      </c>
      <c r="P401" s="519">
        <f ca="1">_xlfn.IFNA(IF(VLOOKUP($B401&amp;OFFSET(P$10,$A401*2,0),'Mapping A'!$B$6:$E$1011,4,0)=1,$E401,""),0)</f>
        <v>0</v>
      </c>
      <c r="Q401" s="519">
        <f ca="1">_xlfn.IFNA(IF(VLOOKUP($B401&amp;OFFSET(Q$10,$A401*2,0),'Mapping A'!$B$6:$E$1011,4,0)=1,$E401,""),0)</f>
        <v>0</v>
      </c>
      <c r="R401" s="519">
        <f ca="1">_xlfn.IFNA(IF(VLOOKUP($B401&amp;OFFSET(R$10,$A401*2,0),'Mapping A'!$B$6:$E$1011,4,0)=1,$E401,""),0)</f>
        <v>0</v>
      </c>
      <c r="S401" s="519">
        <f ca="1">_xlfn.IFNA(IF(VLOOKUP($B401&amp;OFFSET(S$10,$A401*2,0),'Mapping A'!$B$6:$E$1011,4,0)=1,$E401,""),0)</f>
        <v>0</v>
      </c>
      <c r="T401" s="519">
        <f ca="1">_xlfn.IFNA(IF(VLOOKUP($B401&amp;OFFSET(T$10,$A401*2,0),'Mapping A'!$B$6:$E$1011,4,0)=1,$E401,""),0)</f>
        <v>0</v>
      </c>
      <c r="Y401" s="534" t="str">
        <f t="shared" si="399"/>
        <v>PEN0221Vector</v>
      </c>
      <c r="Z401" s="519" t="str">
        <f t="shared" ref="Z401:AB401" si="432">C167</f>
        <v>Vector</v>
      </c>
      <c r="AA401" s="519" t="str">
        <f t="shared" si="432"/>
        <v>PEN0221</v>
      </c>
      <c r="AB401" s="519">
        <f t="shared" si="432"/>
        <v>55.412700000000001</v>
      </c>
      <c r="AC401" s="324"/>
      <c r="AE401" s="519">
        <f t="shared" ca="1" si="383"/>
        <v>0</v>
      </c>
      <c r="AF401" s="519">
        <f t="shared" ca="1" si="384"/>
        <v>0</v>
      </c>
      <c r="AG401" s="519">
        <f t="shared" ca="1" si="385"/>
        <v>0</v>
      </c>
      <c r="AH401" s="519">
        <f t="shared" ca="1" si="386"/>
        <v>0</v>
      </c>
      <c r="AI401" s="519">
        <f t="shared" ca="1" si="387"/>
        <v>0</v>
      </c>
      <c r="AJ401" s="519">
        <f t="shared" ca="1" si="388"/>
        <v>0</v>
      </c>
      <c r="AK401" s="519">
        <f t="shared" ca="1" si="389"/>
        <v>0</v>
      </c>
      <c r="AL401" s="519">
        <f t="shared" ca="1" si="390"/>
        <v>0</v>
      </c>
      <c r="AM401" s="519">
        <f t="shared" ca="1" si="391"/>
        <v>0</v>
      </c>
      <c r="AN401" s="519">
        <f t="shared" ca="1" si="392"/>
        <v>0</v>
      </c>
      <c r="AO401" s="519">
        <f t="shared" ca="1" si="393"/>
        <v>0</v>
      </c>
      <c r="AP401" s="519">
        <f t="shared" ca="1" si="394"/>
        <v>0</v>
      </c>
      <c r="AQ401" s="519">
        <f t="shared" ca="1" si="395"/>
        <v>0</v>
      </c>
    </row>
    <row r="402" spans="1:43" x14ac:dyDescent="0.3">
      <c r="A402" s="556">
        <f t="shared" si="396"/>
        <v>2</v>
      </c>
      <c r="B402" s="519" t="str">
        <f t="shared" si="397"/>
        <v>PEN</v>
      </c>
      <c r="C402" s="519" t="str">
        <f t="shared" ref="C402:E402" si="433">C168</f>
        <v>Kiwirail</v>
      </c>
      <c r="D402" s="519" t="str">
        <f t="shared" si="433"/>
        <v>PEN0251</v>
      </c>
      <c r="E402" s="519">
        <f t="shared" si="433"/>
        <v>1.5266999999999999</v>
      </c>
      <c r="H402" s="519">
        <f ca="1">_xlfn.IFNA(IF(VLOOKUP($B402&amp;OFFSET(H$10,$A402*2,0),'Mapping A'!$B$6:$E$1011,4,0)=1,$E402,""),0)</f>
        <v>0</v>
      </c>
      <c r="I402" s="519">
        <f ca="1">_xlfn.IFNA(IF(VLOOKUP($B402&amp;OFFSET(I$10,$A402*2,0),'Mapping A'!$B$6:$E$1011,4,0)=1,$E402,""),0)</f>
        <v>0</v>
      </c>
      <c r="J402" s="519">
        <f ca="1">_xlfn.IFNA(IF(VLOOKUP($B402&amp;OFFSET(J$10,$A402*2,0),'Mapping A'!$B$6:$E$1011,4,0)=1,$E402,""),0)</f>
        <v>0</v>
      </c>
      <c r="K402" s="519">
        <f ca="1">_xlfn.IFNA(IF(VLOOKUP($B402&amp;OFFSET(K$10,$A402*2,0),'Mapping A'!$B$6:$E$1011,4,0)=1,$E402,""),0)</f>
        <v>0</v>
      </c>
      <c r="L402" s="519">
        <f ca="1">_xlfn.IFNA(IF(VLOOKUP($B402&amp;OFFSET(L$10,$A402*2,0),'Mapping A'!$B$6:$E$1011,4,0)=1,$E402,""),0)</f>
        <v>0</v>
      </c>
      <c r="M402" s="519">
        <f ca="1">_xlfn.IFNA(IF(VLOOKUP($B402&amp;OFFSET(M$10,$A402*2,0),'Mapping A'!$B$6:$E$1011,4,0)=1,$E402,""),0)</f>
        <v>0</v>
      </c>
      <c r="N402" s="519">
        <f ca="1">_xlfn.IFNA(IF(VLOOKUP($B402&amp;OFFSET(N$10,$A402*2,0),'Mapping A'!$B$6:$E$1011,4,0)=1,$E402,""),0)</f>
        <v>0</v>
      </c>
      <c r="O402" s="519">
        <f ca="1">_xlfn.IFNA(IF(VLOOKUP($B402&amp;OFFSET(O$10,$A402*2,0),'Mapping A'!$B$6:$E$1011,4,0)=1,$E402,""),0)</f>
        <v>0</v>
      </c>
      <c r="P402" s="519">
        <f ca="1">_xlfn.IFNA(IF(VLOOKUP($B402&amp;OFFSET(P$10,$A402*2,0),'Mapping A'!$B$6:$E$1011,4,0)=1,$E402,""),0)</f>
        <v>0</v>
      </c>
      <c r="Q402" s="519">
        <f ca="1">_xlfn.IFNA(IF(VLOOKUP($B402&amp;OFFSET(Q$10,$A402*2,0),'Mapping A'!$B$6:$E$1011,4,0)=1,$E402,""),0)</f>
        <v>0</v>
      </c>
      <c r="R402" s="519">
        <f ca="1">_xlfn.IFNA(IF(VLOOKUP($B402&amp;OFFSET(R$10,$A402*2,0),'Mapping A'!$B$6:$E$1011,4,0)=1,$E402,""),0)</f>
        <v>0</v>
      </c>
      <c r="S402" s="519">
        <f ca="1">_xlfn.IFNA(IF(VLOOKUP($B402&amp;OFFSET(S$10,$A402*2,0),'Mapping A'!$B$6:$E$1011,4,0)=1,$E402,""),0)</f>
        <v>0</v>
      </c>
      <c r="T402" s="519">
        <f ca="1">_xlfn.IFNA(IF(VLOOKUP($B402&amp;OFFSET(T$10,$A402*2,0),'Mapping A'!$B$6:$E$1011,4,0)=1,$E402,""),0)</f>
        <v>0</v>
      </c>
      <c r="Y402" s="534" t="str">
        <f t="shared" si="399"/>
        <v>PEN0251Kiwirail</v>
      </c>
      <c r="Z402" s="519" t="str">
        <f t="shared" ref="Z402:AB402" si="434">C168</f>
        <v>Kiwirail</v>
      </c>
      <c r="AA402" s="519" t="str">
        <f t="shared" si="434"/>
        <v>PEN0251</v>
      </c>
      <c r="AB402" s="519">
        <f t="shared" si="434"/>
        <v>1.5266999999999999</v>
      </c>
      <c r="AC402" s="324"/>
      <c r="AE402" s="519">
        <f t="shared" ca="1" si="383"/>
        <v>0</v>
      </c>
      <c r="AF402" s="519">
        <f t="shared" ca="1" si="384"/>
        <v>0</v>
      </c>
      <c r="AG402" s="519">
        <f t="shared" ca="1" si="385"/>
        <v>0</v>
      </c>
      <c r="AH402" s="519">
        <f t="shared" ca="1" si="386"/>
        <v>0</v>
      </c>
      <c r="AI402" s="519">
        <f t="shared" ca="1" si="387"/>
        <v>0</v>
      </c>
      <c r="AJ402" s="519">
        <f t="shared" ca="1" si="388"/>
        <v>0</v>
      </c>
      <c r="AK402" s="519">
        <f t="shared" ca="1" si="389"/>
        <v>0</v>
      </c>
      <c r="AL402" s="519">
        <f t="shared" ca="1" si="390"/>
        <v>0</v>
      </c>
      <c r="AM402" s="519">
        <f t="shared" ca="1" si="391"/>
        <v>0</v>
      </c>
      <c r="AN402" s="519">
        <f t="shared" ca="1" si="392"/>
        <v>0</v>
      </c>
      <c r="AO402" s="519">
        <f t="shared" ca="1" si="393"/>
        <v>0</v>
      </c>
      <c r="AP402" s="519">
        <f t="shared" ca="1" si="394"/>
        <v>0</v>
      </c>
      <c r="AQ402" s="519">
        <f t="shared" ca="1" si="395"/>
        <v>0</v>
      </c>
    </row>
    <row r="403" spans="1:43" x14ac:dyDescent="0.3">
      <c r="A403" s="556">
        <f t="shared" si="396"/>
        <v>2</v>
      </c>
      <c r="B403" s="519" t="str">
        <f t="shared" si="397"/>
        <v>PEN</v>
      </c>
      <c r="C403" s="519" t="str">
        <f t="shared" ref="C403:E403" si="435">C169</f>
        <v>Other</v>
      </c>
      <c r="D403" s="519" t="str">
        <f t="shared" si="435"/>
        <v>PEN0331</v>
      </c>
      <c r="E403" s="519">
        <f t="shared" si="435"/>
        <v>0</v>
      </c>
      <c r="H403" s="519">
        <f ca="1">_xlfn.IFNA(IF(VLOOKUP($B403&amp;OFFSET(H$10,$A403*2,0),'Mapping A'!$B$6:$E$1011,4,0)=1,$E403,""),0)</f>
        <v>0</v>
      </c>
      <c r="I403" s="519">
        <f ca="1">_xlfn.IFNA(IF(VLOOKUP($B403&amp;OFFSET(I$10,$A403*2,0),'Mapping A'!$B$6:$E$1011,4,0)=1,$E403,""),0)</f>
        <v>0</v>
      </c>
      <c r="J403" s="519">
        <f ca="1">_xlfn.IFNA(IF(VLOOKUP($B403&amp;OFFSET(J$10,$A403*2,0),'Mapping A'!$B$6:$E$1011,4,0)=1,$E403,""),0)</f>
        <v>0</v>
      </c>
      <c r="K403" s="519">
        <f ca="1">_xlfn.IFNA(IF(VLOOKUP($B403&amp;OFFSET(K$10,$A403*2,0),'Mapping A'!$B$6:$E$1011,4,0)=1,$E403,""),0)</f>
        <v>0</v>
      </c>
      <c r="L403" s="519">
        <f ca="1">_xlfn.IFNA(IF(VLOOKUP($B403&amp;OFFSET(L$10,$A403*2,0),'Mapping A'!$B$6:$E$1011,4,0)=1,$E403,""),0)</f>
        <v>0</v>
      </c>
      <c r="M403" s="519">
        <f ca="1">_xlfn.IFNA(IF(VLOOKUP($B403&amp;OFFSET(M$10,$A403*2,0),'Mapping A'!$B$6:$E$1011,4,0)=1,$E403,""),0)</f>
        <v>0</v>
      </c>
      <c r="N403" s="519">
        <f ca="1">_xlfn.IFNA(IF(VLOOKUP($B403&amp;OFFSET(N$10,$A403*2,0),'Mapping A'!$B$6:$E$1011,4,0)=1,$E403,""),0)</f>
        <v>0</v>
      </c>
      <c r="O403" s="519">
        <f ca="1">_xlfn.IFNA(IF(VLOOKUP($B403&amp;OFFSET(O$10,$A403*2,0),'Mapping A'!$B$6:$E$1011,4,0)=1,$E403,""),0)</f>
        <v>0</v>
      </c>
      <c r="P403" s="519">
        <f ca="1">_xlfn.IFNA(IF(VLOOKUP($B403&amp;OFFSET(P$10,$A403*2,0),'Mapping A'!$B$6:$E$1011,4,0)=1,$E403,""),0)</f>
        <v>0</v>
      </c>
      <c r="Q403" s="519">
        <f ca="1">_xlfn.IFNA(IF(VLOOKUP($B403&amp;OFFSET(Q$10,$A403*2,0),'Mapping A'!$B$6:$E$1011,4,0)=1,$E403,""),0)</f>
        <v>0</v>
      </c>
      <c r="R403" s="519">
        <f ca="1">_xlfn.IFNA(IF(VLOOKUP($B403&amp;OFFSET(R$10,$A403*2,0),'Mapping A'!$B$6:$E$1011,4,0)=1,$E403,""),0)</f>
        <v>0</v>
      </c>
      <c r="S403" s="519">
        <f ca="1">_xlfn.IFNA(IF(VLOOKUP($B403&amp;OFFSET(S$10,$A403*2,0),'Mapping A'!$B$6:$E$1011,4,0)=1,$E403,""),0)</f>
        <v>0</v>
      </c>
      <c r="T403" s="519">
        <f ca="1">_xlfn.IFNA(IF(VLOOKUP($B403&amp;OFFSET(T$10,$A403*2,0),'Mapping A'!$B$6:$E$1011,4,0)=1,$E403,""),0)</f>
        <v>0</v>
      </c>
      <c r="Y403" s="534" t="str">
        <f t="shared" si="399"/>
        <v>PEN0331Other</v>
      </c>
      <c r="Z403" s="519" t="str">
        <f t="shared" ref="Z403:AB403" si="436">C169</f>
        <v>Other</v>
      </c>
      <c r="AA403" s="519" t="str">
        <f t="shared" si="436"/>
        <v>PEN0331</v>
      </c>
      <c r="AB403" s="519">
        <f t="shared" si="436"/>
        <v>0</v>
      </c>
      <c r="AC403" s="324"/>
      <c r="AE403" s="519">
        <f t="shared" ca="1" si="383"/>
        <v>0</v>
      </c>
      <c r="AF403" s="519">
        <f t="shared" ca="1" si="384"/>
        <v>0</v>
      </c>
      <c r="AG403" s="519">
        <f t="shared" ca="1" si="385"/>
        <v>0</v>
      </c>
      <c r="AH403" s="519">
        <f t="shared" ca="1" si="386"/>
        <v>0</v>
      </c>
      <c r="AI403" s="519">
        <f t="shared" ca="1" si="387"/>
        <v>0</v>
      </c>
      <c r="AJ403" s="519">
        <f t="shared" ca="1" si="388"/>
        <v>0</v>
      </c>
      <c r="AK403" s="519">
        <f t="shared" ca="1" si="389"/>
        <v>0</v>
      </c>
      <c r="AL403" s="519">
        <f t="shared" ca="1" si="390"/>
        <v>0</v>
      </c>
      <c r="AM403" s="519">
        <f t="shared" ca="1" si="391"/>
        <v>0</v>
      </c>
      <c r="AN403" s="519">
        <f t="shared" ca="1" si="392"/>
        <v>0</v>
      </c>
      <c r="AO403" s="519">
        <f t="shared" ca="1" si="393"/>
        <v>0</v>
      </c>
      <c r="AP403" s="519">
        <f t="shared" ca="1" si="394"/>
        <v>0</v>
      </c>
      <c r="AQ403" s="519">
        <f t="shared" ca="1" si="395"/>
        <v>0</v>
      </c>
    </row>
    <row r="404" spans="1:43" x14ac:dyDescent="0.3">
      <c r="A404" s="556">
        <f t="shared" si="396"/>
        <v>2</v>
      </c>
      <c r="B404" s="519" t="str">
        <f t="shared" si="397"/>
        <v>PEN</v>
      </c>
      <c r="C404" s="519" t="str">
        <f t="shared" ref="C404:E404" si="437">C170</f>
        <v>Vector</v>
      </c>
      <c r="D404" s="519" t="str">
        <f t="shared" si="437"/>
        <v>PEN0331</v>
      </c>
      <c r="E404" s="519">
        <f t="shared" si="437"/>
        <v>267.10739999999998</v>
      </c>
      <c r="H404" s="519">
        <f ca="1">_xlfn.IFNA(IF(VLOOKUP($B404&amp;OFFSET(H$10,$A404*2,0),'Mapping A'!$B$6:$E$1011,4,0)=1,$E404,""),0)</f>
        <v>0</v>
      </c>
      <c r="I404" s="519">
        <f ca="1">_xlfn.IFNA(IF(VLOOKUP($B404&amp;OFFSET(I$10,$A404*2,0),'Mapping A'!$B$6:$E$1011,4,0)=1,$E404,""),0)</f>
        <v>0</v>
      </c>
      <c r="J404" s="519">
        <f ca="1">_xlfn.IFNA(IF(VLOOKUP($B404&amp;OFFSET(J$10,$A404*2,0),'Mapping A'!$B$6:$E$1011,4,0)=1,$E404,""),0)</f>
        <v>0</v>
      </c>
      <c r="K404" s="519">
        <f ca="1">_xlfn.IFNA(IF(VLOOKUP($B404&amp;OFFSET(K$10,$A404*2,0),'Mapping A'!$B$6:$E$1011,4,0)=1,$E404,""),0)</f>
        <v>0</v>
      </c>
      <c r="L404" s="519">
        <f ca="1">_xlfn.IFNA(IF(VLOOKUP($B404&amp;OFFSET(L$10,$A404*2,0),'Mapping A'!$B$6:$E$1011,4,0)=1,$E404,""),0)</f>
        <v>0</v>
      </c>
      <c r="M404" s="519">
        <f ca="1">_xlfn.IFNA(IF(VLOOKUP($B404&amp;OFFSET(M$10,$A404*2,0),'Mapping A'!$B$6:$E$1011,4,0)=1,$E404,""),0)</f>
        <v>0</v>
      </c>
      <c r="N404" s="519">
        <f ca="1">_xlfn.IFNA(IF(VLOOKUP($B404&amp;OFFSET(N$10,$A404*2,0),'Mapping A'!$B$6:$E$1011,4,0)=1,$E404,""),0)</f>
        <v>0</v>
      </c>
      <c r="O404" s="519">
        <f ca="1">_xlfn.IFNA(IF(VLOOKUP($B404&amp;OFFSET(O$10,$A404*2,0),'Mapping A'!$B$6:$E$1011,4,0)=1,$E404,""),0)</f>
        <v>0</v>
      </c>
      <c r="P404" s="519">
        <f ca="1">_xlfn.IFNA(IF(VLOOKUP($B404&amp;OFFSET(P$10,$A404*2,0),'Mapping A'!$B$6:$E$1011,4,0)=1,$E404,""),0)</f>
        <v>0</v>
      </c>
      <c r="Q404" s="519">
        <f ca="1">_xlfn.IFNA(IF(VLOOKUP($B404&amp;OFFSET(Q$10,$A404*2,0),'Mapping A'!$B$6:$E$1011,4,0)=1,$E404,""),0)</f>
        <v>0</v>
      </c>
      <c r="R404" s="519">
        <f ca="1">_xlfn.IFNA(IF(VLOOKUP($B404&amp;OFFSET(R$10,$A404*2,0),'Mapping A'!$B$6:$E$1011,4,0)=1,$E404,""),0)</f>
        <v>0</v>
      </c>
      <c r="S404" s="519">
        <f ca="1">_xlfn.IFNA(IF(VLOOKUP($B404&amp;OFFSET(S$10,$A404*2,0),'Mapping A'!$B$6:$E$1011,4,0)=1,$E404,""),0)</f>
        <v>0</v>
      </c>
      <c r="T404" s="519">
        <f ca="1">_xlfn.IFNA(IF(VLOOKUP($B404&amp;OFFSET(T$10,$A404*2,0),'Mapping A'!$B$6:$E$1011,4,0)=1,$E404,""),0)</f>
        <v>0</v>
      </c>
      <c r="Y404" s="534" t="str">
        <f t="shared" si="399"/>
        <v>PEN0331Vector</v>
      </c>
      <c r="Z404" s="519" t="str">
        <f t="shared" ref="Z404:AB404" si="438">C170</f>
        <v>Vector</v>
      </c>
      <c r="AA404" s="519" t="str">
        <f t="shared" si="438"/>
        <v>PEN0331</v>
      </c>
      <c r="AB404" s="519">
        <f t="shared" si="438"/>
        <v>267.10739999999998</v>
      </c>
      <c r="AC404" s="324"/>
      <c r="AE404" s="519">
        <f t="shared" ca="1" si="383"/>
        <v>0</v>
      </c>
      <c r="AF404" s="519">
        <f t="shared" ca="1" si="384"/>
        <v>0</v>
      </c>
      <c r="AG404" s="519">
        <f t="shared" ca="1" si="385"/>
        <v>0</v>
      </c>
      <c r="AH404" s="519">
        <f t="shared" ca="1" si="386"/>
        <v>0</v>
      </c>
      <c r="AI404" s="519">
        <f t="shared" ca="1" si="387"/>
        <v>0</v>
      </c>
      <c r="AJ404" s="519">
        <f t="shared" ca="1" si="388"/>
        <v>0</v>
      </c>
      <c r="AK404" s="519">
        <f t="shared" ca="1" si="389"/>
        <v>0</v>
      </c>
      <c r="AL404" s="519">
        <f t="shared" ca="1" si="390"/>
        <v>0</v>
      </c>
      <c r="AM404" s="519">
        <f t="shared" ca="1" si="391"/>
        <v>0</v>
      </c>
      <c r="AN404" s="519">
        <f t="shared" ca="1" si="392"/>
        <v>0</v>
      </c>
      <c r="AO404" s="519">
        <f t="shared" ca="1" si="393"/>
        <v>0</v>
      </c>
      <c r="AP404" s="519">
        <f t="shared" ca="1" si="394"/>
        <v>0</v>
      </c>
      <c r="AQ404" s="519">
        <f t="shared" ca="1" si="395"/>
        <v>0</v>
      </c>
    </row>
    <row r="405" spans="1:43" x14ac:dyDescent="0.3">
      <c r="A405" s="556">
        <f t="shared" si="396"/>
        <v>2</v>
      </c>
      <c r="B405" s="519" t="str">
        <f t="shared" si="397"/>
        <v>PEN</v>
      </c>
      <c r="C405" s="519" t="str">
        <f t="shared" ref="C405:E405" si="439">C171</f>
        <v>Vector</v>
      </c>
      <c r="D405" s="519" t="str">
        <f t="shared" si="439"/>
        <v>PEN1101</v>
      </c>
      <c r="E405" s="519">
        <f t="shared" si="439"/>
        <v>200.09010000000001</v>
      </c>
      <c r="H405" s="519">
        <f ca="1">_xlfn.IFNA(IF(VLOOKUP($B405&amp;OFFSET(H$10,$A405*2,0),'Mapping A'!$B$6:$E$1011,4,0)=1,$E405,""),0)</f>
        <v>0</v>
      </c>
      <c r="I405" s="519">
        <f ca="1">_xlfn.IFNA(IF(VLOOKUP($B405&amp;OFFSET(I$10,$A405*2,0),'Mapping A'!$B$6:$E$1011,4,0)=1,$E405,""),0)</f>
        <v>0</v>
      </c>
      <c r="J405" s="519">
        <f ca="1">_xlfn.IFNA(IF(VLOOKUP($B405&amp;OFFSET(J$10,$A405*2,0),'Mapping A'!$B$6:$E$1011,4,0)=1,$E405,""),0)</f>
        <v>0</v>
      </c>
      <c r="K405" s="519">
        <f ca="1">_xlfn.IFNA(IF(VLOOKUP($B405&amp;OFFSET(K$10,$A405*2,0),'Mapping A'!$B$6:$E$1011,4,0)=1,$E405,""),0)</f>
        <v>0</v>
      </c>
      <c r="L405" s="519">
        <f ca="1">_xlfn.IFNA(IF(VLOOKUP($B405&amp;OFFSET(L$10,$A405*2,0),'Mapping A'!$B$6:$E$1011,4,0)=1,$E405,""),0)</f>
        <v>0</v>
      </c>
      <c r="M405" s="519">
        <f ca="1">_xlfn.IFNA(IF(VLOOKUP($B405&amp;OFFSET(M$10,$A405*2,0),'Mapping A'!$B$6:$E$1011,4,0)=1,$E405,""),0)</f>
        <v>0</v>
      </c>
      <c r="N405" s="519">
        <f ca="1">_xlfn.IFNA(IF(VLOOKUP($B405&amp;OFFSET(N$10,$A405*2,0),'Mapping A'!$B$6:$E$1011,4,0)=1,$E405,""),0)</f>
        <v>0</v>
      </c>
      <c r="O405" s="519">
        <f ca="1">_xlfn.IFNA(IF(VLOOKUP($B405&amp;OFFSET(O$10,$A405*2,0),'Mapping A'!$B$6:$E$1011,4,0)=1,$E405,""),0)</f>
        <v>0</v>
      </c>
      <c r="P405" s="519">
        <f ca="1">_xlfn.IFNA(IF(VLOOKUP($B405&amp;OFFSET(P$10,$A405*2,0),'Mapping A'!$B$6:$E$1011,4,0)=1,$E405,""),0)</f>
        <v>0</v>
      </c>
      <c r="Q405" s="519">
        <f ca="1">_xlfn.IFNA(IF(VLOOKUP($B405&amp;OFFSET(Q$10,$A405*2,0),'Mapping A'!$B$6:$E$1011,4,0)=1,$E405,""),0)</f>
        <v>0</v>
      </c>
      <c r="R405" s="519">
        <f ca="1">_xlfn.IFNA(IF(VLOOKUP($B405&amp;OFFSET(R$10,$A405*2,0),'Mapping A'!$B$6:$E$1011,4,0)=1,$E405,""),0)</f>
        <v>0</v>
      </c>
      <c r="S405" s="519">
        <f ca="1">_xlfn.IFNA(IF(VLOOKUP($B405&amp;OFFSET(S$10,$A405*2,0),'Mapping A'!$B$6:$E$1011,4,0)=1,$E405,""),0)</f>
        <v>0</v>
      </c>
      <c r="T405" s="519">
        <f ca="1">_xlfn.IFNA(IF(VLOOKUP($B405&amp;OFFSET(T$10,$A405*2,0),'Mapping A'!$B$6:$E$1011,4,0)=1,$E405,""),0)</f>
        <v>0</v>
      </c>
      <c r="Y405" s="534" t="str">
        <f t="shared" si="399"/>
        <v>PEN1101Vector</v>
      </c>
      <c r="Z405" s="519" t="str">
        <f t="shared" ref="Z405:AB405" si="440">C171</f>
        <v>Vector</v>
      </c>
      <c r="AA405" s="519" t="str">
        <f t="shared" si="440"/>
        <v>PEN1101</v>
      </c>
      <c r="AB405" s="519">
        <f t="shared" si="440"/>
        <v>200.09010000000001</v>
      </c>
      <c r="AC405" s="324"/>
      <c r="AE405" s="519">
        <f t="shared" ca="1" si="383"/>
        <v>0</v>
      </c>
      <c r="AF405" s="519">
        <f t="shared" ca="1" si="384"/>
        <v>0</v>
      </c>
      <c r="AG405" s="519">
        <f t="shared" ca="1" si="385"/>
        <v>0</v>
      </c>
      <c r="AH405" s="519">
        <f t="shared" ca="1" si="386"/>
        <v>0</v>
      </c>
      <c r="AI405" s="519">
        <f t="shared" ca="1" si="387"/>
        <v>0</v>
      </c>
      <c r="AJ405" s="519">
        <f t="shared" ca="1" si="388"/>
        <v>0</v>
      </c>
      <c r="AK405" s="519">
        <f t="shared" ca="1" si="389"/>
        <v>0</v>
      </c>
      <c r="AL405" s="519">
        <f t="shared" ca="1" si="390"/>
        <v>0</v>
      </c>
      <c r="AM405" s="519">
        <f t="shared" ca="1" si="391"/>
        <v>0</v>
      </c>
      <c r="AN405" s="519">
        <f t="shared" ca="1" si="392"/>
        <v>0</v>
      </c>
      <c r="AO405" s="519">
        <f t="shared" ca="1" si="393"/>
        <v>0</v>
      </c>
      <c r="AP405" s="519">
        <f t="shared" ca="1" si="394"/>
        <v>0</v>
      </c>
      <c r="AQ405" s="519">
        <f t="shared" ca="1" si="395"/>
        <v>0</v>
      </c>
    </row>
    <row r="406" spans="1:43" x14ac:dyDescent="0.3">
      <c r="A406" s="556">
        <f t="shared" si="396"/>
        <v>2</v>
      </c>
      <c r="B406" s="519" t="str">
        <f t="shared" si="397"/>
        <v>PNI</v>
      </c>
      <c r="C406" s="519" t="str">
        <f t="shared" ref="C406:E406" si="441">C172</f>
        <v>Wellington Electricity</v>
      </c>
      <c r="D406" s="519" t="str">
        <f t="shared" si="441"/>
        <v>PNI0331</v>
      </c>
      <c r="E406" s="519">
        <f t="shared" si="441"/>
        <v>20.357399999999998</v>
      </c>
      <c r="H406" s="519">
        <f ca="1">_xlfn.IFNA(IF(VLOOKUP($B406&amp;OFFSET(H$10,$A406*2,0),'Mapping A'!$B$6:$E$1011,4,0)=1,$E406,""),0)</f>
        <v>0</v>
      </c>
      <c r="I406" s="519">
        <f ca="1">_xlfn.IFNA(IF(VLOOKUP($B406&amp;OFFSET(I$10,$A406*2,0),'Mapping A'!$B$6:$E$1011,4,0)=1,$E406,""),0)</f>
        <v>0</v>
      </c>
      <c r="J406" s="519">
        <f ca="1">_xlfn.IFNA(IF(VLOOKUP($B406&amp;OFFSET(J$10,$A406*2,0),'Mapping A'!$B$6:$E$1011,4,0)=1,$E406,""),0)</f>
        <v>0</v>
      </c>
      <c r="K406" s="519">
        <f ca="1">_xlfn.IFNA(IF(VLOOKUP($B406&amp;OFFSET(K$10,$A406*2,0),'Mapping A'!$B$6:$E$1011,4,0)=1,$E406,""),0)</f>
        <v>0</v>
      </c>
      <c r="L406" s="519">
        <f ca="1">_xlfn.IFNA(IF(VLOOKUP($B406&amp;OFFSET(L$10,$A406*2,0),'Mapping A'!$B$6:$E$1011,4,0)=1,$E406,""),0)</f>
        <v>0</v>
      </c>
      <c r="M406" s="519">
        <f ca="1">_xlfn.IFNA(IF(VLOOKUP($B406&amp;OFFSET(M$10,$A406*2,0),'Mapping A'!$B$6:$E$1011,4,0)=1,$E406,""),0)</f>
        <v>0</v>
      </c>
      <c r="N406" s="519">
        <f ca="1">_xlfn.IFNA(IF(VLOOKUP($B406&amp;OFFSET(N$10,$A406*2,0),'Mapping A'!$B$6:$E$1011,4,0)=1,$E406,""),0)</f>
        <v>0</v>
      </c>
      <c r="O406" s="519">
        <f ca="1">_xlfn.IFNA(IF(VLOOKUP($B406&amp;OFFSET(O$10,$A406*2,0),'Mapping A'!$B$6:$E$1011,4,0)=1,$E406,""),0)</f>
        <v>0</v>
      </c>
      <c r="P406" s="519">
        <f ca="1">_xlfn.IFNA(IF(VLOOKUP($B406&amp;OFFSET(P$10,$A406*2,0),'Mapping A'!$B$6:$E$1011,4,0)=1,$E406,""),0)</f>
        <v>0</v>
      </c>
      <c r="Q406" s="519">
        <f ca="1">_xlfn.IFNA(IF(VLOOKUP($B406&amp;OFFSET(Q$10,$A406*2,0),'Mapping A'!$B$6:$E$1011,4,0)=1,$E406,""),0)</f>
        <v>0</v>
      </c>
      <c r="R406" s="519">
        <f ca="1">_xlfn.IFNA(IF(VLOOKUP($B406&amp;OFFSET(R$10,$A406*2,0),'Mapping A'!$B$6:$E$1011,4,0)=1,$E406,""),0)</f>
        <v>0</v>
      </c>
      <c r="S406" s="519">
        <f ca="1">_xlfn.IFNA(IF(VLOOKUP($B406&amp;OFFSET(S$10,$A406*2,0),'Mapping A'!$B$6:$E$1011,4,0)=1,$E406,""),0)</f>
        <v>0</v>
      </c>
      <c r="T406" s="519">
        <f ca="1">_xlfn.IFNA(IF(VLOOKUP($B406&amp;OFFSET(T$10,$A406*2,0),'Mapping A'!$B$6:$E$1011,4,0)=1,$E406,""),0)</f>
        <v>0</v>
      </c>
      <c r="Y406" s="534" t="str">
        <f t="shared" si="399"/>
        <v>PNI0331Wellington Electricity</v>
      </c>
      <c r="Z406" s="519" t="str">
        <f t="shared" ref="Z406:AB406" si="442">C172</f>
        <v>Wellington Electricity</v>
      </c>
      <c r="AA406" s="519" t="str">
        <f t="shared" si="442"/>
        <v>PNI0331</v>
      </c>
      <c r="AB406" s="519">
        <f t="shared" si="442"/>
        <v>20.357399999999998</v>
      </c>
      <c r="AC406" s="324"/>
      <c r="AE406" s="519">
        <f t="shared" ca="1" si="383"/>
        <v>0</v>
      </c>
      <c r="AF406" s="519">
        <f t="shared" ca="1" si="384"/>
        <v>0</v>
      </c>
      <c r="AG406" s="519">
        <f t="shared" ca="1" si="385"/>
        <v>0</v>
      </c>
      <c r="AH406" s="519">
        <f t="shared" ca="1" si="386"/>
        <v>0</v>
      </c>
      <c r="AI406" s="519">
        <f t="shared" ca="1" si="387"/>
        <v>0</v>
      </c>
      <c r="AJ406" s="519">
        <f t="shared" ca="1" si="388"/>
        <v>0</v>
      </c>
      <c r="AK406" s="519">
        <f t="shared" ca="1" si="389"/>
        <v>0</v>
      </c>
      <c r="AL406" s="519">
        <f t="shared" ca="1" si="390"/>
        <v>0</v>
      </c>
      <c r="AM406" s="519">
        <f t="shared" ca="1" si="391"/>
        <v>0</v>
      </c>
      <c r="AN406" s="519">
        <f t="shared" ca="1" si="392"/>
        <v>0</v>
      </c>
      <c r="AO406" s="519">
        <f t="shared" ca="1" si="393"/>
        <v>0</v>
      </c>
      <c r="AP406" s="519">
        <f t="shared" ca="1" si="394"/>
        <v>0</v>
      </c>
      <c r="AQ406" s="519">
        <f t="shared" ca="1" si="395"/>
        <v>0</v>
      </c>
    </row>
    <row r="407" spans="1:43" x14ac:dyDescent="0.3">
      <c r="A407" s="556">
        <f t="shared" si="396"/>
        <v>2</v>
      </c>
      <c r="B407" s="519" t="str">
        <f t="shared" si="397"/>
        <v>PPI</v>
      </c>
      <c r="C407" s="519" t="str">
        <f t="shared" ref="C407:E407" si="443">C173</f>
        <v>Contact</v>
      </c>
      <c r="D407" s="519" t="str">
        <f t="shared" si="443"/>
        <v>PPI2201</v>
      </c>
      <c r="E407" s="519">
        <f t="shared" si="443"/>
        <v>2.8140000000000001</v>
      </c>
      <c r="H407" s="519">
        <f ca="1">_xlfn.IFNA(IF(VLOOKUP($B407&amp;OFFSET(H$10,$A407*2,0),'Mapping A'!$B$6:$E$1011,4,0)=1,$E407,""),0)</f>
        <v>0</v>
      </c>
      <c r="I407" s="519">
        <f ca="1">_xlfn.IFNA(IF(VLOOKUP($B407&amp;OFFSET(I$10,$A407*2,0),'Mapping A'!$B$6:$E$1011,4,0)=1,$E407,""),0)</f>
        <v>0</v>
      </c>
      <c r="J407" s="519">
        <f ca="1">_xlfn.IFNA(IF(VLOOKUP($B407&amp;OFFSET(J$10,$A407*2,0),'Mapping A'!$B$6:$E$1011,4,0)=1,$E407,""),0)</f>
        <v>0</v>
      </c>
      <c r="K407" s="519">
        <f ca="1">_xlfn.IFNA(IF(VLOOKUP($B407&amp;OFFSET(K$10,$A407*2,0),'Mapping A'!$B$6:$E$1011,4,0)=1,$E407,""),0)</f>
        <v>0</v>
      </c>
      <c r="L407" s="519">
        <f ca="1">_xlfn.IFNA(IF(VLOOKUP($B407&amp;OFFSET(L$10,$A407*2,0),'Mapping A'!$B$6:$E$1011,4,0)=1,$E407,""),0)</f>
        <v>0</v>
      </c>
      <c r="M407" s="519">
        <f ca="1">_xlfn.IFNA(IF(VLOOKUP($B407&amp;OFFSET(M$10,$A407*2,0),'Mapping A'!$B$6:$E$1011,4,0)=1,$E407,""),0)</f>
        <v>0</v>
      </c>
      <c r="N407" s="519">
        <f ca="1">_xlfn.IFNA(IF(VLOOKUP($B407&amp;OFFSET(N$10,$A407*2,0),'Mapping A'!$B$6:$E$1011,4,0)=1,$E407,""),0)</f>
        <v>0</v>
      </c>
      <c r="O407" s="519">
        <f ca="1">_xlfn.IFNA(IF(VLOOKUP($B407&amp;OFFSET(O$10,$A407*2,0),'Mapping A'!$B$6:$E$1011,4,0)=1,$E407,""),0)</f>
        <v>0</v>
      </c>
      <c r="P407" s="519">
        <f ca="1">_xlfn.IFNA(IF(VLOOKUP($B407&amp;OFFSET(P$10,$A407*2,0),'Mapping A'!$B$6:$E$1011,4,0)=1,$E407,""),0)</f>
        <v>0</v>
      </c>
      <c r="Q407" s="519">
        <f ca="1">_xlfn.IFNA(IF(VLOOKUP($B407&amp;OFFSET(Q$10,$A407*2,0),'Mapping A'!$B$6:$E$1011,4,0)=1,$E407,""),0)</f>
        <v>0</v>
      </c>
      <c r="R407" s="519">
        <f ca="1">_xlfn.IFNA(IF(VLOOKUP($B407&amp;OFFSET(R$10,$A407*2,0),'Mapping A'!$B$6:$E$1011,4,0)=1,$E407,""),0)</f>
        <v>0</v>
      </c>
      <c r="S407" s="519">
        <f ca="1">_xlfn.IFNA(IF(VLOOKUP($B407&amp;OFFSET(S$10,$A407*2,0),'Mapping A'!$B$6:$E$1011,4,0)=1,$E407,""),0)</f>
        <v>0</v>
      </c>
      <c r="T407" s="519">
        <f ca="1">_xlfn.IFNA(IF(VLOOKUP($B407&amp;OFFSET(T$10,$A407*2,0),'Mapping A'!$B$6:$E$1011,4,0)=1,$E407,""),0)</f>
        <v>0</v>
      </c>
      <c r="Y407" s="534" t="str">
        <f t="shared" si="399"/>
        <v>PPI2201Contact</v>
      </c>
      <c r="Z407" s="519" t="str">
        <f t="shared" ref="Z407:AB407" si="444">C173</f>
        <v>Contact</v>
      </c>
      <c r="AA407" s="519" t="str">
        <f t="shared" si="444"/>
        <v>PPI2201</v>
      </c>
      <c r="AB407" s="519">
        <f t="shared" si="444"/>
        <v>2.8140000000000001</v>
      </c>
      <c r="AC407" s="324"/>
      <c r="AE407" s="519">
        <f t="shared" ca="1" si="383"/>
        <v>0</v>
      </c>
      <c r="AF407" s="519">
        <f t="shared" ca="1" si="384"/>
        <v>0</v>
      </c>
      <c r="AG407" s="519">
        <f t="shared" ca="1" si="385"/>
        <v>0</v>
      </c>
      <c r="AH407" s="519">
        <f t="shared" ca="1" si="386"/>
        <v>0</v>
      </c>
      <c r="AI407" s="519">
        <f t="shared" ca="1" si="387"/>
        <v>0</v>
      </c>
      <c r="AJ407" s="519">
        <f t="shared" ca="1" si="388"/>
        <v>0</v>
      </c>
      <c r="AK407" s="519">
        <f t="shared" ca="1" si="389"/>
        <v>0</v>
      </c>
      <c r="AL407" s="519">
        <f t="shared" ca="1" si="390"/>
        <v>0</v>
      </c>
      <c r="AM407" s="519">
        <f t="shared" ca="1" si="391"/>
        <v>0</v>
      </c>
      <c r="AN407" s="519">
        <f t="shared" ca="1" si="392"/>
        <v>0</v>
      </c>
      <c r="AO407" s="519">
        <f t="shared" ca="1" si="393"/>
        <v>0</v>
      </c>
      <c r="AP407" s="519">
        <f t="shared" ca="1" si="394"/>
        <v>0</v>
      </c>
      <c r="AQ407" s="519">
        <f t="shared" ca="1" si="395"/>
        <v>0</v>
      </c>
    </row>
    <row r="408" spans="1:43" x14ac:dyDescent="0.3">
      <c r="A408" s="556">
        <f t="shared" si="396"/>
        <v>2</v>
      </c>
      <c r="B408" s="519" t="str">
        <f t="shared" si="397"/>
        <v>PRM</v>
      </c>
      <c r="C408" s="519" t="str">
        <f t="shared" ref="C408:E408" si="445">C174</f>
        <v>Electra</v>
      </c>
      <c r="D408" s="519" t="str">
        <f t="shared" si="445"/>
        <v>PRM0331</v>
      </c>
      <c r="E408" s="519">
        <f t="shared" si="445"/>
        <v>59.570700000000002</v>
      </c>
      <c r="H408" s="519">
        <f ca="1">_xlfn.IFNA(IF(VLOOKUP($B408&amp;OFFSET(H$10,$A408*2,0),'Mapping A'!$B$6:$E$1011,4,0)=1,$E408,""),0)</f>
        <v>0</v>
      </c>
      <c r="I408" s="519">
        <f ca="1">_xlfn.IFNA(IF(VLOOKUP($B408&amp;OFFSET(I$10,$A408*2,0),'Mapping A'!$B$6:$E$1011,4,0)=1,$E408,""),0)</f>
        <v>0</v>
      </c>
      <c r="J408" s="519">
        <f ca="1">_xlfn.IFNA(IF(VLOOKUP($B408&amp;OFFSET(J$10,$A408*2,0),'Mapping A'!$B$6:$E$1011,4,0)=1,$E408,""),0)</f>
        <v>0</v>
      </c>
      <c r="K408" s="519">
        <f ca="1">_xlfn.IFNA(IF(VLOOKUP($B408&amp;OFFSET(K$10,$A408*2,0),'Mapping A'!$B$6:$E$1011,4,0)=1,$E408,""),0)</f>
        <v>0</v>
      </c>
      <c r="L408" s="519">
        <f ca="1">_xlfn.IFNA(IF(VLOOKUP($B408&amp;OFFSET(L$10,$A408*2,0),'Mapping A'!$B$6:$E$1011,4,0)=1,$E408,""),0)</f>
        <v>0</v>
      </c>
      <c r="M408" s="519">
        <f ca="1">_xlfn.IFNA(IF(VLOOKUP($B408&amp;OFFSET(M$10,$A408*2,0),'Mapping A'!$B$6:$E$1011,4,0)=1,$E408,""),0)</f>
        <v>0</v>
      </c>
      <c r="N408" s="519">
        <f ca="1">_xlfn.IFNA(IF(VLOOKUP($B408&amp;OFFSET(N$10,$A408*2,0),'Mapping A'!$B$6:$E$1011,4,0)=1,$E408,""),0)</f>
        <v>0</v>
      </c>
      <c r="O408" s="519">
        <f ca="1">_xlfn.IFNA(IF(VLOOKUP($B408&amp;OFFSET(O$10,$A408*2,0),'Mapping A'!$B$6:$E$1011,4,0)=1,$E408,""),0)</f>
        <v>0</v>
      </c>
      <c r="P408" s="519">
        <f ca="1">_xlfn.IFNA(IF(VLOOKUP($B408&amp;OFFSET(P$10,$A408*2,0),'Mapping A'!$B$6:$E$1011,4,0)=1,$E408,""),0)</f>
        <v>0</v>
      </c>
      <c r="Q408" s="519">
        <f ca="1">_xlfn.IFNA(IF(VLOOKUP($B408&amp;OFFSET(Q$10,$A408*2,0),'Mapping A'!$B$6:$E$1011,4,0)=1,$E408,""),0)</f>
        <v>0</v>
      </c>
      <c r="R408" s="519">
        <f ca="1">_xlfn.IFNA(IF(VLOOKUP($B408&amp;OFFSET(R$10,$A408*2,0),'Mapping A'!$B$6:$E$1011,4,0)=1,$E408,""),0)</f>
        <v>0</v>
      </c>
      <c r="S408" s="519">
        <f ca="1">_xlfn.IFNA(IF(VLOOKUP($B408&amp;OFFSET(S$10,$A408*2,0),'Mapping A'!$B$6:$E$1011,4,0)=1,$E408,""),0)</f>
        <v>0</v>
      </c>
      <c r="T408" s="519">
        <f ca="1">_xlfn.IFNA(IF(VLOOKUP($B408&amp;OFFSET(T$10,$A408*2,0),'Mapping A'!$B$6:$E$1011,4,0)=1,$E408,""),0)</f>
        <v>0</v>
      </c>
      <c r="Y408" s="534" t="str">
        <f t="shared" si="399"/>
        <v>PRM0331Electra</v>
      </c>
      <c r="Z408" s="519" t="str">
        <f t="shared" ref="Z408:AB408" si="446">C174</f>
        <v>Electra</v>
      </c>
      <c r="AA408" s="519" t="str">
        <f t="shared" si="446"/>
        <v>PRM0331</v>
      </c>
      <c r="AB408" s="519">
        <f t="shared" si="446"/>
        <v>59.570700000000002</v>
      </c>
      <c r="AC408" s="324"/>
      <c r="AE408" s="519">
        <f t="shared" ca="1" si="383"/>
        <v>0</v>
      </c>
      <c r="AF408" s="519">
        <f t="shared" ca="1" si="384"/>
        <v>0</v>
      </c>
      <c r="AG408" s="519">
        <f t="shared" ca="1" si="385"/>
        <v>0</v>
      </c>
      <c r="AH408" s="519">
        <f t="shared" ca="1" si="386"/>
        <v>0</v>
      </c>
      <c r="AI408" s="519">
        <f t="shared" ca="1" si="387"/>
        <v>0</v>
      </c>
      <c r="AJ408" s="519">
        <f t="shared" ca="1" si="388"/>
        <v>0</v>
      </c>
      <c r="AK408" s="519">
        <f t="shared" ca="1" si="389"/>
        <v>0</v>
      </c>
      <c r="AL408" s="519">
        <f t="shared" ca="1" si="390"/>
        <v>0</v>
      </c>
      <c r="AM408" s="519">
        <f t="shared" ca="1" si="391"/>
        <v>0</v>
      </c>
      <c r="AN408" s="519">
        <f t="shared" ca="1" si="392"/>
        <v>0</v>
      </c>
      <c r="AO408" s="519">
        <f t="shared" ca="1" si="393"/>
        <v>0</v>
      </c>
      <c r="AP408" s="519">
        <f t="shared" ca="1" si="394"/>
        <v>0</v>
      </c>
      <c r="AQ408" s="519">
        <f t="shared" ca="1" si="395"/>
        <v>0</v>
      </c>
    </row>
    <row r="409" spans="1:43" x14ac:dyDescent="0.3">
      <c r="A409" s="556">
        <f t="shared" si="396"/>
        <v>2</v>
      </c>
      <c r="B409" s="519" t="str">
        <f t="shared" si="397"/>
        <v>RDF</v>
      </c>
      <c r="C409" s="519" t="str">
        <f t="shared" ref="C409:E409" si="447">C175</f>
        <v>Unison</v>
      </c>
      <c r="D409" s="519" t="str">
        <f t="shared" si="447"/>
        <v>RDF0331</v>
      </c>
      <c r="E409" s="519">
        <f t="shared" si="447"/>
        <v>64.010099999999994</v>
      </c>
      <c r="H409" s="519">
        <f ca="1">_xlfn.IFNA(IF(VLOOKUP($B409&amp;OFFSET(H$10,$A409*2,0),'Mapping A'!$B$6:$E$1011,4,0)=1,$E409,""),0)</f>
        <v>0</v>
      </c>
      <c r="I409" s="519">
        <f ca="1">_xlfn.IFNA(IF(VLOOKUP($B409&amp;OFFSET(I$10,$A409*2,0),'Mapping A'!$B$6:$E$1011,4,0)=1,$E409,""),0)</f>
        <v>0</v>
      </c>
      <c r="J409" s="519">
        <f ca="1">_xlfn.IFNA(IF(VLOOKUP($B409&amp;OFFSET(J$10,$A409*2,0),'Mapping A'!$B$6:$E$1011,4,0)=1,$E409,""),0)</f>
        <v>0</v>
      </c>
      <c r="K409" s="519">
        <f ca="1">_xlfn.IFNA(IF(VLOOKUP($B409&amp;OFFSET(K$10,$A409*2,0),'Mapping A'!$B$6:$E$1011,4,0)=1,$E409,""),0)</f>
        <v>0</v>
      </c>
      <c r="L409" s="519">
        <f ca="1">_xlfn.IFNA(IF(VLOOKUP($B409&amp;OFFSET(L$10,$A409*2,0),'Mapping A'!$B$6:$E$1011,4,0)=1,$E409,""),0)</f>
        <v>0</v>
      </c>
      <c r="M409" s="519">
        <f ca="1">_xlfn.IFNA(IF(VLOOKUP($B409&amp;OFFSET(M$10,$A409*2,0),'Mapping A'!$B$6:$E$1011,4,0)=1,$E409,""),0)</f>
        <v>0</v>
      </c>
      <c r="N409" s="519">
        <f ca="1">_xlfn.IFNA(IF(VLOOKUP($B409&amp;OFFSET(N$10,$A409*2,0),'Mapping A'!$B$6:$E$1011,4,0)=1,$E409,""),0)</f>
        <v>0</v>
      </c>
      <c r="O409" s="519">
        <f ca="1">_xlfn.IFNA(IF(VLOOKUP($B409&amp;OFFSET(O$10,$A409*2,0),'Mapping A'!$B$6:$E$1011,4,0)=1,$E409,""),0)</f>
        <v>0</v>
      </c>
      <c r="P409" s="519">
        <f ca="1">_xlfn.IFNA(IF(VLOOKUP($B409&amp;OFFSET(P$10,$A409*2,0),'Mapping A'!$B$6:$E$1011,4,0)=1,$E409,""),0)</f>
        <v>0</v>
      </c>
      <c r="Q409" s="519">
        <f ca="1">_xlfn.IFNA(IF(VLOOKUP($B409&amp;OFFSET(Q$10,$A409*2,0),'Mapping A'!$B$6:$E$1011,4,0)=1,$E409,""),0)</f>
        <v>0</v>
      </c>
      <c r="R409" s="519">
        <f ca="1">_xlfn.IFNA(IF(VLOOKUP($B409&amp;OFFSET(R$10,$A409*2,0),'Mapping A'!$B$6:$E$1011,4,0)=1,$E409,""),0)</f>
        <v>0</v>
      </c>
      <c r="S409" s="519">
        <f ca="1">_xlfn.IFNA(IF(VLOOKUP($B409&amp;OFFSET(S$10,$A409*2,0),'Mapping A'!$B$6:$E$1011,4,0)=1,$E409,""),0)</f>
        <v>0</v>
      </c>
      <c r="T409" s="519">
        <f ca="1">_xlfn.IFNA(IF(VLOOKUP($B409&amp;OFFSET(T$10,$A409*2,0),'Mapping A'!$B$6:$E$1011,4,0)=1,$E409,""),0)</f>
        <v>0</v>
      </c>
      <c r="Y409" s="534" t="str">
        <f t="shared" si="399"/>
        <v>RDF0331Unison</v>
      </c>
      <c r="Z409" s="519" t="str">
        <f t="shared" ref="Z409:AB409" si="448">C175</f>
        <v>Unison</v>
      </c>
      <c r="AA409" s="519" t="str">
        <f t="shared" si="448"/>
        <v>RDF0331</v>
      </c>
      <c r="AB409" s="519">
        <f t="shared" si="448"/>
        <v>64.010099999999994</v>
      </c>
      <c r="AC409" s="324"/>
      <c r="AE409" s="519">
        <f t="shared" ca="1" si="383"/>
        <v>0</v>
      </c>
      <c r="AF409" s="519">
        <f t="shared" ca="1" si="384"/>
        <v>0</v>
      </c>
      <c r="AG409" s="519">
        <f t="shared" ca="1" si="385"/>
        <v>0</v>
      </c>
      <c r="AH409" s="519">
        <f t="shared" ca="1" si="386"/>
        <v>0</v>
      </c>
      <c r="AI409" s="519">
        <f t="shared" ca="1" si="387"/>
        <v>0</v>
      </c>
      <c r="AJ409" s="519">
        <f t="shared" ca="1" si="388"/>
        <v>0</v>
      </c>
      <c r="AK409" s="519">
        <f t="shared" ca="1" si="389"/>
        <v>0</v>
      </c>
      <c r="AL409" s="519">
        <f t="shared" ca="1" si="390"/>
        <v>0</v>
      </c>
      <c r="AM409" s="519">
        <f t="shared" ca="1" si="391"/>
        <v>0</v>
      </c>
      <c r="AN409" s="519">
        <f t="shared" ca="1" si="392"/>
        <v>0</v>
      </c>
      <c r="AO409" s="519">
        <f t="shared" ca="1" si="393"/>
        <v>0</v>
      </c>
      <c r="AP409" s="519">
        <f t="shared" ca="1" si="394"/>
        <v>0</v>
      </c>
      <c r="AQ409" s="519">
        <f t="shared" ca="1" si="395"/>
        <v>0</v>
      </c>
    </row>
    <row r="410" spans="1:43" x14ac:dyDescent="0.3">
      <c r="A410" s="556">
        <f t="shared" si="396"/>
        <v>2</v>
      </c>
      <c r="B410" s="519" t="str">
        <f t="shared" si="397"/>
        <v>RFN</v>
      </c>
      <c r="C410" s="519" t="str">
        <f t="shared" ref="C410:E410" si="449">C176</f>
        <v>Westpower</v>
      </c>
      <c r="D410" s="519" t="str">
        <f t="shared" si="449"/>
        <v>RFN110</v>
      </c>
      <c r="E410" s="519">
        <f t="shared" si="449"/>
        <v>6.35</v>
      </c>
      <c r="H410" s="519">
        <f ca="1">_xlfn.IFNA(IF(VLOOKUP($B410&amp;OFFSET(H$10,$A410*2,0),'Mapping A'!$B$6:$E$1011,4,0)=1,$E410,""),0)</f>
        <v>0</v>
      </c>
      <c r="I410" s="519">
        <f ca="1">_xlfn.IFNA(IF(VLOOKUP($B410&amp;OFFSET(I$10,$A410*2,0),'Mapping A'!$B$6:$E$1011,4,0)=1,$E410,""),0)</f>
        <v>0</v>
      </c>
      <c r="J410" s="519">
        <f ca="1">_xlfn.IFNA(IF(VLOOKUP($B410&amp;OFFSET(J$10,$A410*2,0),'Mapping A'!$B$6:$E$1011,4,0)=1,$E410,""),0)</f>
        <v>6.35</v>
      </c>
      <c r="K410" s="519">
        <f ca="1">_xlfn.IFNA(IF(VLOOKUP($B410&amp;OFFSET(K$10,$A410*2,0),'Mapping A'!$B$6:$E$1011,4,0)=1,$E410,""),0)</f>
        <v>0</v>
      </c>
      <c r="L410" s="519">
        <f ca="1">_xlfn.IFNA(IF(VLOOKUP($B410&amp;OFFSET(L$10,$A410*2,0),'Mapping A'!$B$6:$E$1011,4,0)=1,$E410,""),0)</f>
        <v>0</v>
      </c>
      <c r="M410" s="519">
        <f ca="1">_xlfn.IFNA(IF(VLOOKUP($B410&amp;OFFSET(M$10,$A410*2,0),'Mapping A'!$B$6:$E$1011,4,0)=1,$E410,""),0)</f>
        <v>0</v>
      </c>
      <c r="N410" s="519">
        <f ca="1">_xlfn.IFNA(IF(VLOOKUP($B410&amp;OFFSET(N$10,$A410*2,0),'Mapping A'!$B$6:$E$1011,4,0)=1,$E410,""),0)</f>
        <v>0</v>
      </c>
      <c r="O410" s="519">
        <f ca="1">_xlfn.IFNA(IF(VLOOKUP($B410&amp;OFFSET(O$10,$A410*2,0),'Mapping A'!$B$6:$E$1011,4,0)=1,$E410,""),0)</f>
        <v>0</v>
      </c>
      <c r="P410" s="519">
        <f ca="1">_xlfn.IFNA(IF(VLOOKUP($B410&amp;OFFSET(P$10,$A410*2,0),'Mapping A'!$B$6:$E$1011,4,0)=1,$E410,""),0)</f>
        <v>0</v>
      </c>
      <c r="Q410" s="519">
        <f ca="1">_xlfn.IFNA(IF(VLOOKUP($B410&amp;OFFSET(Q$10,$A410*2,0),'Mapping A'!$B$6:$E$1011,4,0)=1,$E410,""),0)</f>
        <v>0</v>
      </c>
      <c r="R410" s="519">
        <f ca="1">_xlfn.IFNA(IF(VLOOKUP($B410&amp;OFFSET(R$10,$A410*2,0),'Mapping A'!$B$6:$E$1011,4,0)=1,$E410,""),0)</f>
        <v>0</v>
      </c>
      <c r="S410" s="519">
        <f ca="1">_xlfn.IFNA(IF(VLOOKUP($B410&amp;OFFSET(S$10,$A410*2,0),'Mapping A'!$B$6:$E$1011,4,0)=1,$E410,""),0)</f>
        <v>0</v>
      </c>
      <c r="T410" s="519">
        <f ca="1">_xlfn.IFNA(IF(VLOOKUP($B410&amp;OFFSET(T$10,$A410*2,0),'Mapping A'!$B$6:$E$1011,4,0)=1,$E410,""),0)</f>
        <v>0</v>
      </c>
      <c r="Y410" s="534" t="str">
        <f t="shared" si="399"/>
        <v>RFN110Westpower</v>
      </c>
      <c r="Z410" s="519" t="str">
        <f t="shared" ref="Z410:AB410" si="450">C176</f>
        <v>Westpower</v>
      </c>
      <c r="AA410" s="519" t="str">
        <f t="shared" si="450"/>
        <v>RFN110</v>
      </c>
      <c r="AB410" s="519">
        <f t="shared" si="450"/>
        <v>6.35</v>
      </c>
      <c r="AC410" s="324"/>
      <c r="AE410" s="519">
        <f t="shared" ca="1" si="383"/>
        <v>0</v>
      </c>
      <c r="AF410" s="519">
        <f t="shared" ca="1" si="384"/>
        <v>0</v>
      </c>
      <c r="AG410" s="519">
        <f t="shared" ca="1" si="385"/>
        <v>0</v>
      </c>
      <c r="AH410" s="519">
        <f t="shared" ca="1" si="386"/>
        <v>0</v>
      </c>
      <c r="AI410" s="519">
        <f t="shared" ca="1" si="387"/>
        <v>0</v>
      </c>
      <c r="AJ410" s="519">
        <f t="shared" ca="1" si="388"/>
        <v>0</v>
      </c>
      <c r="AK410" s="519">
        <f t="shared" ca="1" si="389"/>
        <v>0</v>
      </c>
      <c r="AL410" s="519">
        <f t="shared" ca="1" si="390"/>
        <v>0</v>
      </c>
      <c r="AM410" s="519">
        <f t="shared" ca="1" si="391"/>
        <v>0</v>
      </c>
      <c r="AN410" s="519">
        <f t="shared" ca="1" si="392"/>
        <v>0</v>
      </c>
      <c r="AO410" s="519">
        <f t="shared" ca="1" si="393"/>
        <v>0</v>
      </c>
      <c r="AP410" s="519">
        <f t="shared" ca="1" si="394"/>
        <v>0</v>
      </c>
      <c r="AQ410" s="519">
        <f t="shared" ca="1" si="395"/>
        <v>0</v>
      </c>
    </row>
    <row r="411" spans="1:43" x14ac:dyDescent="0.3">
      <c r="A411" s="556">
        <f t="shared" si="396"/>
        <v>2</v>
      </c>
      <c r="B411" s="519" t="str">
        <f t="shared" si="397"/>
        <v>ROS</v>
      </c>
      <c r="C411" s="519" t="str">
        <f t="shared" ref="C411:E411" si="451">C177</f>
        <v>Vector</v>
      </c>
      <c r="D411" s="519" t="str">
        <f t="shared" si="451"/>
        <v>ROS0221</v>
      </c>
      <c r="E411" s="519">
        <f t="shared" si="451"/>
        <v>127.68210000000001</v>
      </c>
      <c r="H411" s="519">
        <f ca="1">_xlfn.IFNA(IF(VLOOKUP($B411&amp;OFFSET(H$10,$A411*2,0),'Mapping A'!$B$6:$E$1011,4,0)=1,$E411,""),0)</f>
        <v>0</v>
      </c>
      <c r="I411" s="519">
        <f ca="1">_xlfn.IFNA(IF(VLOOKUP($B411&amp;OFFSET(I$10,$A411*2,0),'Mapping A'!$B$6:$E$1011,4,0)=1,$E411,""),0)</f>
        <v>0</v>
      </c>
      <c r="J411" s="519">
        <f ca="1">_xlfn.IFNA(IF(VLOOKUP($B411&amp;OFFSET(J$10,$A411*2,0),'Mapping A'!$B$6:$E$1011,4,0)=1,$E411,""),0)</f>
        <v>0</v>
      </c>
      <c r="K411" s="519">
        <f ca="1">_xlfn.IFNA(IF(VLOOKUP($B411&amp;OFFSET(K$10,$A411*2,0),'Mapping A'!$B$6:$E$1011,4,0)=1,$E411,""),0)</f>
        <v>0</v>
      </c>
      <c r="L411" s="519">
        <f ca="1">_xlfn.IFNA(IF(VLOOKUP($B411&amp;OFFSET(L$10,$A411*2,0),'Mapping A'!$B$6:$E$1011,4,0)=1,$E411,""),0)</f>
        <v>0</v>
      </c>
      <c r="M411" s="519">
        <f ca="1">_xlfn.IFNA(IF(VLOOKUP($B411&amp;OFFSET(M$10,$A411*2,0),'Mapping A'!$B$6:$E$1011,4,0)=1,$E411,""),0)</f>
        <v>0</v>
      </c>
      <c r="N411" s="519">
        <f ca="1">_xlfn.IFNA(IF(VLOOKUP($B411&amp;OFFSET(N$10,$A411*2,0),'Mapping A'!$B$6:$E$1011,4,0)=1,$E411,""),0)</f>
        <v>0</v>
      </c>
      <c r="O411" s="519">
        <f ca="1">_xlfn.IFNA(IF(VLOOKUP($B411&amp;OFFSET(O$10,$A411*2,0),'Mapping A'!$B$6:$E$1011,4,0)=1,$E411,""),0)</f>
        <v>0</v>
      </c>
      <c r="P411" s="519">
        <f ca="1">_xlfn.IFNA(IF(VLOOKUP($B411&amp;OFFSET(P$10,$A411*2,0),'Mapping A'!$B$6:$E$1011,4,0)=1,$E411,""),0)</f>
        <v>0</v>
      </c>
      <c r="Q411" s="519">
        <f ca="1">_xlfn.IFNA(IF(VLOOKUP($B411&amp;OFFSET(Q$10,$A411*2,0),'Mapping A'!$B$6:$E$1011,4,0)=1,$E411,""),0)</f>
        <v>0</v>
      </c>
      <c r="R411" s="519">
        <f ca="1">_xlfn.IFNA(IF(VLOOKUP($B411&amp;OFFSET(R$10,$A411*2,0),'Mapping A'!$B$6:$E$1011,4,0)=1,$E411,""),0)</f>
        <v>0</v>
      </c>
      <c r="S411" s="519">
        <f ca="1">_xlfn.IFNA(IF(VLOOKUP($B411&amp;OFFSET(S$10,$A411*2,0),'Mapping A'!$B$6:$E$1011,4,0)=1,$E411,""),0)</f>
        <v>0</v>
      </c>
      <c r="T411" s="519">
        <f ca="1">_xlfn.IFNA(IF(VLOOKUP($B411&amp;OFFSET(T$10,$A411*2,0),'Mapping A'!$B$6:$E$1011,4,0)=1,$E411,""),0)</f>
        <v>0</v>
      </c>
      <c r="Y411" s="534" t="str">
        <f t="shared" si="399"/>
        <v>ROS0221Vector</v>
      </c>
      <c r="Z411" s="519" t="str">
        <f t="shared" ref="Z411:AB411" si="452">C177</f>
        <v>Vector</v>
      </c>
      <c r="AA411" s="519" t="str">
        <f t="shared" si="452"/>
        <v>ROS0221</v>
      </c>
      <c r="AB411" s="519">
        <f t="shared" si="452"/>
        <v>127.68210000000001</v>
      </c>
      <c r="AC411" s="324"/>
      <c r="AE411" s="519">
        <f t="shared" ca="1" si="383"/>
        <v>0</v>
      </c>
      <c r="AF411" s="519">
        <f t="shared" ca="1" si="384"/>
        <v>0</v>
      </c>
      <c r="AG411" s="519">
        <f t="shared" ca="1" si="385"/>
        <v>0</v>
      </c>
      <c r="AH411" s="519">
        <f t="shared" ca="1" si="386"/>
        <v>0</v>
      </c>
      <c r="AI411" s="519">
        <f t="shared" ca="1" si="387"/>
        <v>0</v>
      </c>
      <c r="AJ411" s="519">
        <f t="shared" ca="1" si="388"/>
        <v>0</v>
      </c>
      <c r="AK411" s="519">
        <f t="shared" ca="1" si="389"/>
        <v>0</v>
      </c>
      <c r="AL411" s="519">
        <f t="shared" ca="1" si="390"/>
        <v>0</v>
      </c>
      <c r="AM411" s="519">
        <f t="shared" ca="1" si="391"/>
        <v>0</v>
      </c>
      <c r="AN411" s="519">
        <f t="shared" ca="1" si="392"/>
        <v>0</v>
      </c>
      <c r="AO411" s="519">
        <f t="shared" ca="1" si="393"/>
        <v>0</v>
      </c>
      <c r="AP411" s="519">
        <f t="shared" ca="1" si="394"/>
        <v>0</v>
      </c>
      <c r="AQ411" s="519">
        <f t="shared" ca="1" si="395"/>
        <v>0</v>
      </c>
    </row>
    <row r="412" spans="1:43" x14ac:dyDescent="0.3">
      <c r="A412" s="556">
        <f t="shared" si="396"/>
        <v>2</v>
      </c>
      <c r="B412" s="519" t="str">
        <f t="shared" si="397"/>
        <v>ROS</v>
      </c>
      <c r="C412" s="519" t="str">
        <f t="shared" ref="C412:E412" si="453">C178</f>
        <v>Vector</v>
      </c>
      <c r="D412" s="519" t="str">
        <f t="shared" si="453"/>
        <v>ROS1101</v>
      </c>
      <c r="E412" s="519">
        <f t="shared" si="453"/>
        <v>149.40449999999899</v>
      </c>
      <c r="H412" s="519">
        <f ca="1">_xlfn.IFNA(IF(VLOOKUP($B412&amp;OFFSET(H$10,$A412*2,0),'Mapping A'!$B$6:$E$1011,4,0)=1,$E412,""),0)</f>
        <v>0</v>
      </c>
      <c r="I412" s="519">
        <f ca="1">_xlfn.IFNA(IF(VLOOKUP($B412&amp;OFFSET(I$10,$A412*2,0),'Mapping A'!$B$6:$E$1011,4,0)=1,$E412,""),0)</f>
        <v>0</v>
      </c>
      <c r="J412" s="519">
        <f ca="1">_xlfn.IFNA(IF(VLOOKUP($B412&amp;OFFSET(J$10,$A412*2,0),'Mapping A'!$B$6:$E$1011,4,0)=1,$E412,""),0)</f>
        <v>0</v>
      </c>
      <c r="K412" s="519">
        <f ca="1">_xlfn.IFNA(IF(VLOOKUP($B412&amp;OFFSET(K$10,$A412*2,0),'Mapping A'!$B$6:$E$1011,4,0)=1,$E412,""),0)</f>
        <v>0</v>
      </c>
      <c r="L412" s="519">
        <f ca="1">_xlfn.IFNA(IF(VLOOKUP($B412&amp;OFFSET(L$10,$A412*2,0),'Mapping A'!$B$6:$E$1011,4,0)=1,$E412,""),0)</f>
        <v>0</v>
      </c>
      <c r="M412" s="519">
        <f ca="1">_xlfn.IFNA(IF(VLOOKUP($B412&amp;OFFSET(M$10,$A412*2,0),'Mapping A'!$B$6:$E$1011,4,0)=1,$E412,""),0)</f>
        <v>0</v>
      </c>
      <c r="N412" s="519">
        <f ca="1">_xlfn.IFNA(IF(VLOOKUP($B412&amp;OFFSET(N$10,$A412*2,0),'Mapping A'!$B$6:$E$1011,4,0)=1,$E412,""),0)</f>
        <v>0</v>
      </c>
      <c r="O412" s="519">
        <f ca="1">_xlfn.IFNA(IF(VLOOKUP($B412&amp;OFFSET(O$10,$A412*2,0),'Mapping A'!$B$6:$E$1011,4,0)=1,$E412,""),0)</f>
        <v>0</v>
      </c>
      <c r="P412" s="519">
        <f ca="1">_xlfn.IFNA(IF(VLOOKUP($B412&amp;OFFSET(P$10,$A412*2,0),'Mapping A'!$B$6:$E$1011,4,0)=1,$E412,""),0)</f>
        <v>0</v>
      </c>
      <c r="Q412" s="519">
        <f ca="1">_xlfn.IFNA(IF(VLOOKUP($B412&amp;OFFSET(Q$10,$A412*2,0),'Mapping A'!$B$6:$E$1011,4,0)=1,$E412,""),0)</f>
        <v>0</v>
      </c>
      <c r="R412" s="519">
        <f ca="1">_xlfn.IFNA(IF(VLOOKUP($B412&amp;OFFSET(R$10,$A412*2,0),'Mapping A'!$B$6:$E$1011,4,0)=1,$E412,""),0)</f>
        <v>0</v>
      </c>
      <c r="S412" s="519">
        <f ca="1">_xlfn.IFNA(IF(VLOOKUP($B412&amp;OFFSET(S$10,$A412*2,0),'Mapping A'!$B$6:$E$1011,4,0)=1,$E412,""),0)</f>
        <v>0</v>
      </c>
      <c r="T412" s="519">
        <f ca="1">_xlfn.IFNA(IF(VLOOKUP($B412&amp;OFFSET(T$10,$A412*2,0),'Mapping A'!$B$6:$E$1011,4,0)=1,$E412,""),0)</f>
        <v>0</v>
      </c>
      <c r="Y412" s="534" t="str">
        <f t="shared" si="399"/>
        <v>ROS1101Vector</v>
      </c>
      <c r="Z412" s="519" t="str">
        <f t="shared" ref="Z412:AB412" si="454">C178</f>
        <v>Vector</v>
      </c>
      <c r="AA412" s="519" t="str">
        <f t="shared" si="454"/>
        <v>ROS1101</v>
      </c>
      <c r="AB412" s="519">
        <f t="shared" si="454"/>
        <v>149.40449999999899</v>
      </c>
      <c r="AC412" s="324"/>
      <c r="AE412" s="519">
        <f t="shared" ca="1" si="383"/>
        <v>0</v>
      </c>
      <c r="AF412" s="519">
        <f t="shared" ca="1" si="384"/>
        <v>0</v>
      </c>
      <c r="AG412" s="519">
        <f t="shared" ca="1" si="385"/>
        <v>0</v>
      </c>
      <c r="AH412" s="519">
        <f t="shared" ca="1" si="386"/>
        <v>0</v>
      </c>
      <c r="AI412" s="519">
        <f t="shared" ca="1" si="387"/>
        <v>0</v>
      </c>
      <c r="AJ412" s="519">
        <f t="shared" ca="1" si="388"/>
        <v>0</v>
      </c>
      <c r="AK412" s="519">
        <f t="shared" ca="1" si="389"/>
        <v>0</v>
      </c>
      <c r="AL412" s="519">
        <f t="shared" ca="1" si="390"/>
        <v>0</v>
      </c>
      <c r="AM412" s="519">
        <f t="shared" ca="1" si="391"/>
        <v>0</v>
      </c>
      <c r="AN412" s="519">
        <f t="shared" ca="1" si="392"/>
        <v>0</v>
      </c>
      <c r="AO412" s="519">
        <f t="shared" ca="1" si="393"/>
        <v>0</v>
      </c>
      <c r="AP412" s="519">
        <f t="shared" ca="1" si="394"/>
        <v>0</v>
      </c>
      <c r="AQ412" s="519">
        <f t="shared" ca="1" si="395"/>
        <v>0</v>
      </c>
    </row>
    <row r="413" spans="1:43" x14ac:dyDescent="0.3">
      <c r="A413" s="556">
        <f t="shared" si="396"/>
        <v>2</v>
      </c>
      <c r="B413" s="519" t="str">
        <f t="shared" si="397"/>
        <v>ROT</v>
      </c>
      <c r="C413" s="519" t="str">
        <f t="shared" ref="C413:E413" si="455">C179</f>
        <v>Unison</v>
      </c>
      <c r="D413" s="519" t="str">
        <f t="shared" si="455"/>
        <v>ROT0111</v>
      </c>
      <c r="E413" s="519">
        <f t="shared" si="455"/>
        <v>29.420999999999999</v>
      </c>
      <c r="H413" s="519">
        <f ca="1">_xlfn.IFNA(IF(VLOOKUP($B413&amp;OFFSET(H$10,$A413*2,0),'Mapping A'!$B$6:$E$1011,4,0)=1,$E413,""),0)</f>
        <v>0</v>
      </c>
      <c r="I413" s="519">
        <f ca="1">_xlfn.IFNA(IF(VLOOKUP($B413&amp;OFFSET(I$10,$A413*2,0),'Mapping A'!$B$6:$E$1011,4,0)=1,$E413,""),0)</f>
        <v>0</v>
      </c>
      <c r="J413" s="519">
        <f ca="1">_xlfn.IFNA(IF(VLOOKUP($B413&amp;OFFSET(J$10,$A413*2,0),'Mapping A'!$B$6:$E$1011,4,0)=1,$E413,""),0)</f>
        <v>0</v>
      </c>
      <c r="K413" s="519">
        <f ca="1">_xlfn.IFNA(IF(VLOOKUP($B413&amp;OFFSET(K$10,$A413*2,0),'Mapping A'!$B$6:$E$1011,4,0)=1,$E413,""),0)</f>
        <v>0</v>
      </c>
      <c r="L413" s="519">
        <f ca="1">_xlfn.IFNA(IF(VLOOKUP($B413&amp;OFFSET(L$10,$A413*2,0),'Mapping A'!$B$6:$E$1011,4,0)=1,$E413,""),0)</f>
        <v>0</v>
      </c>
      <c r="M413" s="519">
        <f ca="1">_xlfn.IFNA(IF(VLOOKUP($B413&amp;OFFSET(M$10,$A413*2,0),'Mapping A'!$B$6:$E$1011,4,0)=1,$E413,""),0)</f>
        <v>0</v>
      </c>
      <c r="N413" s="519">
        <f ca="1">_xlfn.IFNA(IF(VLOOKUP($B413&amp;OFFSET(N$10,$A413*2,0),'Mapping A'!$B$6:$E$1011,4,0)=1,$E413,""),0)</f>
        <v>0</v>
      </c>
      <c r="O413" s="519">
        <f ca="1">_xlfn.IFNA(IF(VLOOKUP($B413&amp;OFFSET(O$10,$A413*2,0),'Mapping A'!$B$6:$E$1011,4,0)=1,$E413,""),0)</f>
        <v>0</v>
      </c>
      <c r="P413" s="519">
        <f ca="1">_xlfn.IFNA(IF(VLOOKUP($B413&amp;OFFSET(P$10,$A413*2,0),'Mapping A'!$B$6:$E$1011,4,0)=1,$E413,""),0)</f>
        <v>0</v>
      </c>
      <c r="Q413" s="519">
        <f ca="1">_xlfn.IFNA(IF(VLOOKUP($B413&amp;OFFSET(Q$10,$A413*2,0),'Mapping A'!$B$6:$E$1011,4,0)=1,$E413,""),0)</f>
        <v>0</v>
      </c>
      <c r="R413" s="519">
        <f ca="1">_xlfn.IFNA(IF(VLOOKUP($B413&amp;OFFSET(R$10,$A413*2,0),'Mapping A'!$B$6:$E$1011,4,0)=1,$E413,""),0)</f>
        <v>0</v>
      </c>
      <c r="S413" s="519">
        <f ca="1">_xlfn.IFNA(IF(VLOOKUP($B413&amp;OFFSET(S$10,$A413*2,0),'Mapping A'!$B$6:$E$1011,4,0)=1,$E413,""),0)</f>
        <v>0</v>
      </c>
      <c r="T413" s="519">
        <f ca="1">_xlfn.IFNA(IF(VLOOKUP($B413&amp;OFFSET(T$10,$A413*2,0),'Mapping A'!$B$6:$E$1011,4,0)=1,$E413,""),0)</f>
        <v>0</v>
      </c>
      <c r="Y413" s="534" t="str">
        <f t="shared" si="399"/>
        <v>ROT0111Unison</v>
      </c>
      <c r="Z413" s="519" t="str">
        <f t="shared" ref="Z413:AB413" si="456">C179</f>
        <v>Unison</v>
      </c>
      <c r="AA413" s="519" t="str">
        <f t="shared" si="456"/>
        <v>ROT0111</v>
      </c>
      <c r="AB413" s="519">
        <f t="shared" si="456"/>
        <v>29.420999999999999</v>
      </c>
      <c r="AC413" s="324"/>
      <c r="AE413" s="519">
        <f t="shared" ca="1" si="383"/>
        <v>0</v>
      </c>
      <c r="AF413" s="519">
        <f t="shared" ca="1" si="384"/>
        <v>0</v>
      </c>
      <c r="AG413" s="519">
        <f t="shared" ca="1" si="385"/>
        <v>0</v>
      </c>
      <c r="AH413" s="519">
        <f t="shared" ca="1" si="386"/>
        <v>0</v>
      </c>
      <c r="AI413" s="519">
        <f t="shared" ca="1" si="387"/>
        <v>0</v>
      </c>
      <c r="AJ413" s="519">
        <f t="shared" ca="1" si="388"/>
        <v>0</v>
      </c>
      <c r="AK413" s="519">
        <f t="shared" ca="1" si="389"/>
        <v>0</v>
      </c>
      <c r="AL413" s="519">
        <f t="shared" ca="1" si="390"/>
        <v>0</v>
      </c>
      <c r="AM413" s="519">
        <f t="shared" ca="1" si="391"/>
        <v>0</v>
      </c>
      <c r="AN413" s="519">
        <f t="shared" ca="1" si="392"/>
        <v>0</v>
      </c>
      <c r="AO413" s="519">
        <f t="shared" ca="1" si="393"/>
        <v>0</v>
      </c>
      <c r="AP413" s="519">
        <f t="shared" ca="1" si="394"/>
        <v>0</v>
      </c>
      <c r="AQ413" s="519">
        <f t="shared" ca="1" si="395"/>
        <v>0</v>
      </c>
    </row>
    <row r="414" spans="1:43" x14ac:dyDescent="0.3">
      <c r="A414" s="556">
        <f t="shared" si="396"/>
        <v>2</v>
      </c>
      <c r="B414" s="519" t="str">
        <f t="shared" si="397"/>
        <v>ROT</v>
      </c>
      <c r="C414" s="519" t="str">
        <f t="shared" ref="C414:E414" si="457">C180</f>
        <v>Unison</v>
      </c>
      <c r="D414" s="519" t="str">
        <f t="shared" si="457"/>
        <v>ROT0331</v>
      </c>
      <c r="E414" s="519">
        <f t="shared" si="457"/>
        <v>44.011800000000001</v>
      </c>
      <c r="H414" s="519">
        <f ca="1">_xlfn.IFNA(IF(VLOOKUP($B414&amp;OFFSET(H$10,$A414*2,0),'Mapping A'!$B$6:$E$1011,4,0)=1,$E414,""),0)</f>
        <v>0</v>
      </c>
      <c r="I414" s="519">
        <f ca="1">_xlfn.IFNA(IF(VLOOKUP($B414&amp;OFFSET(I$10,$A414*2,0),'Mapping A'!$B$6:$E$1011,4,0)=1,$E414,""),0)</f>
        <v>0</v>
      </c>
      <c r="J414" s="519">
        <f ca="1">_xlfn.IFNA(IF(VLOOKUP($B414&amp;OFFSET(J$10,$A414*2,0),'Mapping A'!$B$6:$E$1011,4,0)=1,$E414,""),0)</f>
        <v>0</v>
      </c>
      <c r="K414" s="519">
        <f ca="1">_xlfn.IFNA(IF(VLOOKUP($B414&amp;OFFSET(K$10,$A414*2,0),'Mapping A'!$B$6:$E$1011,4,0)=1,$E414,""),0)</f>
        <v>0</v>
      </c>
      <c r="L414" s="519">
        <f ca="1">_xlfn.IFNA(IF(VLOOKUP($B414&amp;OFFSET(L$10,$A414*2,0),'Mapping A'!$B$6:$E$1011,4,0)=1,$E414,""),0)</f>
        <v>0</v>
      </c>
      <c r="M414" s="519">
        <f ca="1">_xlfn.IFNA(IF(VLOOKUP($B414&amp;OFFSET(M$10,$A414*2,0),'Mapping A'!$B$6:$E$1011,4,0)=1,$E414,""),0)</f>
        <v>0</v>
      </c>
      <c r="N414" s="519">
        <f ca="1">_xlfn.IFNA(IF(VLOOKUP($B414&amp;OFFSET(N$10,$A414*2,0),'Mapping A'!$B$6:$E$1011,4,0)=1,$E414,""),0)</f>
        <v>0</v>
      </c>
      <c r="O414" s="519">
        <f ca="1">_xlfn.IFNA(IF(VLOOKUP($B414&amp;OFFSET(O$10,$A414*2,0),'Mapping A'!$B$6:$E$1011,4,0)=1,$E414,""),0)</f>
        <v>0</v>
      </c>
      <c r="P414" s="519">
        <f ca="1">_xlfn.IFNA(IF(VLOOKUP($B414&amp;OFFSET(P$10,$A414*2,0),'Mapping A'!$B$6:$E$1011,4,0)=1,$E414,""),0)</f>
        <v>0</v>
      </c>
      <c r="Q414" s="519">
        <f ca="1">_xlfn.IFNA(IF(VLOOKUP($B414&amp;OFFSET(Q$10,$A414*2,0),'Mapping A'!$B$6:$E$1011,4,0)=1,$E414,""),0)</f>
        <v>0</v>
      </c>
      <c r="R414" s="519">
        <f ca="1">_xlfn.IFNA(IF(VLOOKUP($B414&amp;OFFSET(R$10,$A414*2,0),'Mapping A'!$B$6:$E$1011,4,0)=1,$E414,""),0)</f>
        <v>0</v>
      </c>
      <c r="S414" s="519">
        <f ca="1">_xlfn.IFNA(IF(VLOOKUP($B414&amp;OFFSET(S$10,$A414*2,0),'Mapping A'!$B$6:$E$1011,4,0)=1,$E414,""),0)</f>
        <v>0</v>
      </c>
      <c r="T414" s="519">
        <f ca="1">_xlfn.IFNA(IF(VLOOKUP($B414&amp;OFFSET(T$10,$A414*2,0),'Mapping A'!$B$6:$E$1011,4,0)=1,$E414,""),0)</f>
        <v>0</v>
      </c>
      <c r="Y414" s="534" t="str">
        <f t="shared" si="399"/>
        <v>ROT0331Unison</v>
      </c>
      <c r="Z414" s="519" t="str">
        <f t="shared" ref="Z414:AB414" si="458">C180</f>
        <v>Unison</v>
      </c>
      <c r="AA414" s="519" t="str">
        <f t="shared" si="458"/>
        <v>ROT0331</v>
      </c>
      <c r="AB414" s="519">
        <f t="shared" si="458"/>
        <v>44.011800000000001</v>
      </c>
      <c r="AC414" s="324"/>
      <c r="AE414" s="519">
        <f t="shared" ca="1" si="383"/>
        <v>0</v>
      </c>
      <c r="AF414" s="519">
        <f t="shared" ca="1" si="384"/>
        <v>0</v>
      </c>
      <c r="AG414" s="519">
        <f t="shared" ca="1" si="385"/>
        <v>0</v>
      </c>
      <c r="AH414" s="519">
        <f t="shared" ca="1" si="386"/>
        <v>0</v>
      </c>
      <c r="AI414" s="519">
        <f t="shared" ca="1" si="387"/>
        <v>0</v>
      </c>
      <c r="AJ414" s="519">
        <f t="shared" ca="1" si="388"/>
        <v>0</v>
      </c>
      <c r="AK414" s="519">
        <f t="shared" ca="1" si="389"/>
        <v>0</v>
      </c>
      <c r="AL414" s="519">
        <f t="shared" ca="1" si="390"/>
        <v>0</v>
      </c>
      <c r="AM414" s="519">
        <f t="shared" ca="1" si="391"/>
        <v>0</v>
      </c>
      <c r="AN414" s="519">
        <f t="shared" ca="1" si="392"/>
        <v>0</v>
      </c>
      <c r="AO414" s="519">
        <f t="shared" ca="1" si="393"/>
        <v>0</v>
      </c>
      <c r="AP414" s="519">
        <f t="shared" ca="1" si="394"/>
        <v>0</v>
      </c>
      <c r="AQ414" s="519">
        <f t="shared" ca="1" si="395"/>
        <v>0</v>
      </c>
    </row>
    <row r="415" spans="1:43" x14ac:dyDescent="0.3">
      <c r="A415" s="556">
        <f t="shared" si="396"/>
        <v>2</v>
      </c>
      <c r="B415" s="519" t="str">
        <f t="shared" si="397"/>
        <v>ROT</v>
      </c>
      <c r="C415" s="519" t="str">
        <f t="shared" ref="C415:E415" si="459">C181</f>
        <v>TrustPower</v>
      </c>
      <c r="D415" s="519" t="str">
        <f t="shared" si="459"/>
        <v>ROT1101</v>
      </c>
      <c r="E415" s="519">
        <f t="shared" si="459"/>
        <v>7.3499999999999996E-2</v>
      </c>
      <c r="H415" s="519">
        <f ca="1">_xlfn.IFNA(IF(VLOOKUP($B415&amp;OFFSET(H$10,$A415*2,0),'Mapping A'!$B$6:$E$1011,4,0)=1,$E415,""),0)</f>
        <v>0</v>
      </c>
      <c r="I415" s="519">
        <f ca="1">_xlfn.IFNA(IF(VLOOKUP($B415&amp;OFFSET(I$10,$A415*2,0),'Mapping A'!$B$6:$E$1011,4,0)=1,$E415,""),0)</f>
        <v>0</v>
      </c>
      <c r="J415" s="519">
        <f ca="1">_xlfn.IFNA(IF(VLOOKUP($B415&amp;OFFSET(J$10,$A415*2,0),'Mapping A'!$B$6:$E$1011,4,0)=1,$E415,""),0)</f>
        <v>0</v>
      </c>
      <c r="K415" s="519">
        <f ca="1">_xlfn.IFNA(IF(VLOOKUP($B415&amp;OFFSET(K$10,$A415*2,0),'Mapping A'!$B$6:$E$1011,4,0)=1,$E415,""),0)</f>
        <v>0</v>
      </c>
      <c r="L415" s="519">
        <f ca="1">_xlfn.IFNA(IF(VLOOKUP($B415&amp;OFFSET(L$10,$A415*2,0),'Mapping A'!$B$6:$E$1011,4,0)=1,$E415,""),0)</f>
        <v>0</v>
      </c>
      <c r="M415" s="519">
        <f ca="1">_xlfn.IFNA(IF(VLOOKUP($B415&amp;OFFSET(M$10,$A415*2,0),'Mapping A'!$B$6:$E$1011,4,0)=1,$E415,""),0)</f>
        <v>0</v>
      </c>
      <c r="N415" s="519">
        <f ca="1">_xlfn.IFNA(IF(VLOOKUP($B415&amp;OFFSET(N$10,$A415*2,0),'Mapping A'!$B$6:$E$1011,4,0)=1,$E415,""),0)</f>
        <v>0</v>
      </c>
      <c r="O415" s="519">
        <f ca="1">_xlfn.IFNA(IF(VLOOKUP($B415&amp;OFFSET(O$10,$A415*2,0),'Mapping A'!$B$6:$E$1011,4,0)=1,$E415,""),0)</f>
        <v>0</v>
      </c>
      <c r="P415" s="519">
        <f ca="1">_xlfn.IFNA(IF(VLOOKUP($B415&amp;OFFSET(P$10,$A415*2,0),'Mapping A'!$B$6:$E$1011,4,0)=1,$E415,""),0)</f>
        <v>0</v>
      </c>
      <c r="Q415" s="519">
        <f ca="1">_xlfn.IFNA(IF(VLOOKUP($B415&amp;OFFSET(Q$10,$A415*2,0),'Mapping A'!$B$6:$E$1011,4,0)=1,$E415,""),0)</f>
        <v>0</v>
      </c>
      <c r="R415" s="519">
        <f ca="1">_xlfn.IFNA(IF(VLOOKUP($B415&amp;OFFSET(R$10,$A415*2,0),'Mapping A'!$B$6:$E$1011,4,0)=1,$E415,""),0)</f>
        <v>0</v>
      </c>
      <c r="S415" s="519">
        <f ca="1">_xlfn.IFNA(IF(VLOOKUP($B415&amp;OFFSET(S$10,$A415*2,0),'Mapping A'!$B$6:$E$1011,4,0)=1,$E415,""),0)</f>
        <v>0</v>
      </c>
      <c r="T415" s="519">
        <f ca="1">_xlfn.IFNA(IF(VLOOKUP($B415&amp;OFFSET(T$10,$A415*2,0),'Mapping A'!$B$6:$E$1011,4,0)=1,$E415,""),0)</f>
        <v>0</v>
      </c>
      <c r="Y415" s="534" t="str">
        <f t="shared" si="399"/>
        <v>ROT1101TrustPower</v>
      </c>
      <c r="Z415" s="519" t="str">
        <f t="shared" ref="Z415:AB415" si="460">C181</f>
        <v>TrustPower</v>
      </c>
      <c r="AA415" s="519" t="str">
        <f t="shared" si="460"/>
        <v>ROT1101</v>
      </c>
      <c r="AB415" s="519">
        <f t="shared" si="460"/>
        <v>7.3499999999999996E-2</v>
      </c>
      <c r="AC415" s="324"/>
      <c r="AE415" s="519">
        <f t="shared" ca="1" si="383"/>
        <v>0</v>
      </c>
      <c r="AF415" s="519">
        <f t="shared" ca="1" si="384"/>
        <v>0</v>
      </c>
      <c r="AG415" s="519">
        <f t="shared" ca="1" si="385"/>
        <v>0</v>
      </c>
      <c r="AH415" s="519">
        <f t="shared" ca="1" si="386"/>
        <v>0</v>
      </c>
      <c r="AI415" s="519">
        <f t="shared" ca="1" si="387"/>
        <v>0</v>
      </c>
      <c r="AJ415" s="519">
        <f t="shared" ca="1" si="388"/>
        <v>0</v>
      </c>
      <c r="AK415" s="519">
        <f t="shared" ca="1" si="389"/>
        <v>0</v>
      </c>
      <c r="AL415" s="519">
        <f t="shared" ca="1" si="390"/>
        <v>0</v>
      </c>
      <c r="AM415" s="519">
        <f t="shared" ca="1" si="391"/>
        <v>0</v>
      </c>
      <c r="AN415" s="519">
        <f t="shared" ca="1" si="392"/>
        <v>0</v>
      </c>
      <c r="AO415" s="519">
        <f t="shared" ca="1" si="393"/>
        <v>0</v>
      </c>
      <c r="AP415" s="519">
        <f t="shared" ca="1" si="394"/>
        <v>0</v>
      </c>
      <c r="AQ415" s="519">
        <f t="shared" ca="1" si="395"/>
        <v>0</v>
      </c>
    </row>
    <row r="416" spans="1:43" x14ac:dyDescent="0.3">
      <c r="A416" s="556">
        <f t="shared" si="396"/>
        <v>2</v>
      </c>
      <c r="B416" s="519" t="str">
        <f t="shared" si="397"/>
        <v>SBK</v>
      </c>
      <c r="C416" s="519" t="str">
        <f t="shared" ref="C416:E416" si="461">C182</f>
        <v>Mainpower</v>
      </c>
      <c r="D416" s="519" t="str">
        <f t="shared" si="461"/>
        <v>SBK0331</v>
      </c>
      <c r="E416" s="519">
        <f t="shared" si="461"/>
        <v>43.917299999999997</v>
      </c>
      <c r="H416" s="519">
        <f ca="1">_xlfn.IFNA(IF(VLOOKUP($B416&amp;OFFSET(H$10,$A416*2,0),'Mapping A'!$B$6:$E$1011,4,0)=1,$E416,""),0)</f>
        <v>0</v>
      </c>
      <c r="I416" s="519">
        <f ca="1">_xlfn.IFNA(IF(VLOOKUP($B416&amp;OFFSET(I$10,$A416*2,0),'Mapping A'!$B$6:$E$1011,4,0)=1,$E416,""),0)</f>
        <v>0</v>
      </c>
      <c r="J416" s="519">
        <f ca="1">_xlfn.IFNA(IF(VLOOKUP($B416&amp;OFFSET(J$10,$A416*2,0),'Mapping A'!$B$6:$E$1011,4,0)=1,$E416,""),0)</f>
        <v>43.917299999999997</v>
      </c>
      <c r="K416" s="519">
        <f ca="1">_xlfn.IFNA(IF(VLOOKUP($B416&amp;OFFSET(K$10,$A416*2,0),'Mapping A'!$B$6:$E$1011,4,0)=1,$E416,""),0)</f>
        <v>0</v>
      </c>
      <c r="L416" s="519">
        <f ca="1">_xlfn.IFNA(IF(VLOOKUP($B416&amp;OFFSET(L$10,$A416*2,0),'Mapping A'!$B$6:$E$1011,4,0)=1,$E416,""),0)</f>
        <v>0</v>
      </c>
      <c r="M416" s="519">
        <f ca="1">_xlfn.IFNA(IF(VLOOKUP($B416&amp;OFFSET(M$10,$A416*2,0),'Mapping A'!$B$6:$E$1011,4,0)=1,$E416,""),0)</f>
        <v>0</v>
      </c>
      <c r="N416" s="519">
        <f ca="1">_xlfn.IFNA(IF(VLOOKUP($B416&amp;OFFSET(N$10,$A416*2,0),'Mapping A'!$B$6:$E$1011,4,0)=1,$E416,""),0)</f>
        <v>0</v>
      </c>
      <c r="O416" s="519">
        <f ca="1">_xlfn.IFNA(IF(VLOOKUP($B416&amp;OFFSET(O$10,$A416*2,0),'Mapping A'!$B$6:$E$1011,4,0)=1,$E416,""),0)</f>
        <v>0</v>
      </c>
      <c r="P416" s="519">
        <f ca="1">_xlfn.IFNA(IF(VLOOKUP($B416&amp;OFFSET(P$10,$A416*2,0),'Mapping A'!$B$6:$E$1011,4,0)=1,$E416,""),0)</f>
        <v>0</v>
      </c>
      <c r="Q416" s="519">
        <f ca="1">_xlfn.IFNA(IF(VLOOKUP($B416&amp;OFFSET(Q$10,$A416*2,0),'Mapping A'!$B$6:$E$1011,4,0)=1,$E416,""),0)</f>
        <v>0</v>
      </c>
      <c r="R416" s="519">
        <f ca="1">_xlfn.IFNA(IF(VLOOKUP($B416&amp;OFFSET(R$10,$A416*2,0),'Mapping A'!$B$6:$E$1011,4,0)=1,$E416,""),0)</f>
        <v>0</v>
      </c>
      <c r="S416" s="519">
        <f ca="1">_xlfn.IFNA(IF(VLOOKUP($B416&amp;OFFSET(S$10,$A416*2,0),'Mapping A'!$B$6:$E$1011,4,0)=1,$E416,""),0)</f>
        <v>0</v>
      </c>
      <c r="T416" s="519">
        <f ca="1">_xlfn.IFNA(IF(VLOOKUP($B416&amp;OFFSET(T$10,$A416*2,0),'Mapping A'!$B$6:$E$1011,4,0)=1,$E416,""),0)</f>
        <v>0</v>
      </c>
      <c r="Y416" s="534" t="str">
        <f t="shared" si="399"/>
        <v>SBK0331Mainpower</v>
      </c>
      <c r="Z416" s="519" t="str">
        <f t="shared" ref="Z416:AB416" si="462">C182</f>
        <v>Mainpower</v>
      </c>
      <c r="AA416" s="519" t="str">
        <f t="shared" si="462"/>
        <v>SBK0331</v>
      </c>
      <c r="AB416" s="519">
        <f t="shared" si="462"/>
        <v>43.917299999999997</v>
      </c>
      <c r="AC416" s="324"/>
      <c r="AE416" s="519">
        <f t="shared" ca="1" si="383"/>
        <v>0</v>
      </c>
      <c r="AF416" s="519">
        <f t="shared" ca="1" si="384"/>
        <v>0</v>
      </c>
      <c r="AG416" s="519">
        <f t="shared" ca="1" si="385"/>
        <v>0</v>
      </c>
      <c r="AH416" s="519">
        <f t="shared" ca="1" si="386"/>
        <v>0</v>
      </c>
      <c r="AI416" s="519">
        <f t="shared" ca="1" si="387"/>
        <v>0</v>
      </c>
      <c r="AJ416" s="519">
        <f t="shared" ca="1" si="388"/>
        <v>0</v>
      </c>
      <c r="AK416" s="519">
        <f t="shared" ca="1" si="389"/>
        <v>0</v>
      </c>
      <c r="AL416" s="519">
        <f t="shared" ca="1" si="390"/>
        <v>0</v>
      </c>
      <c r="AM416" s="519">
        <f t="shared" ca="1" si="391"/>
        <v>0</v>
      </c>
      <c r="AN416" s="519">
        <f t="shared" ca="1" si="392"/>
        <v>0</v>
      </c>
      <c r="AO416" s="519">
        <f t="shared" ca="1" si="393"/>
        <v>0</v>
      </c>
      <c r="AP416" s="519">
        <f t="shared" ca="1" si="394"/>
        <v>0</v>
      </c>
      <c r="AQ416" s="519">
        <f t="shared" ca="1" si="395"/>
        <v>0</v>
      </c>
    </row>
    <row r="417" spans="1:43" x14ac:dyDescent="0.3">
      <c r="A417" s="556">
        <f t="shared" si="396"/>
        <v>2</v>
      </c>
      <c r="B417" s="519" t="str">
        <f t="shared" si="397"/>
        <v>SDN</v>
      </c>
      <c r="C417" s="519" t="str">
        <f t="shared" ref="C417:E417" si="463">C183</f>
        <v>Aurora Energy</v>
      </c>
      <c r="D417" s="519" t="str">
        <f t="shared" si="463"/>
        <v>SDN0331</v>
      </c>
      <c r="E417" s="519">
        <f t="shared" si="463"/>
        <v>73.109399999999994</v>
      </c>
      <c r="H417" s="519">
        <f ca="1">_xlfn.IFNA(IF(VLOOKUP($B417&amp;OFFSET(H$10,$A417*2,0),'Mapping A'!$B$6:$E$1011,4,0)=1,$E417,""),0)</f>
        <v>0</v>
      </c>
      <c r="I417" s="519">
        <f ca="1">_xlfn.IFNA(IF(VLOOKUP($B417&amp;OFFSET(I$10,$A417*2,0),'Mapping A'!$B$6:$E$1011,4,0)=1,$E417,""),0)</f>
        <v>0</v>
      </c>
      <c r="J417" s="519">
        <f ca="1">_xlfn.IFNA(IF(VLOOKUP($B417&amp;OFFSET(J$10,$A417*2,0),'Mapping A'!$B$6:$E$1011,4,0)=1,$E417,""),0)</f>
        <v>73.109399999999994</v>
      </c>
      <c r="K417" s="519">
        <f ca="1">_xlfn.IFNA(IF(VLOOKUP($B417&amp;OFFSET(K$10,$A417*2,0),'Mapping A'!$B$6:$E$1011,4,0)=1,$E417,""),0)</f>
        <v>0</v>
      </c>
      <c r="L417" s="519">
        <f ca="1">_xlfn.IFNA(IF(VLOOKUP($B417&amp;OFFSET(L$10,$A417*2,0),'Mapping A'!$B$6:$E$1011,4,0)=1,$E417,""),0)</f>
        <v>0</v>
      </c>
      <c r="M417" s="519">
        <f ca="1">_xlfn.IFNA(IF(VLOOKUP($B417&amp;OFFSET(M$10,$A417*2,0),'Mapping A'!$B$6:$E$1011,4,0)=1,$E417,""),0)</f>
        <v>0</v>
      </c>
      <c r="N417" s="519">
        <f ca="1">_xlfn.IFNA(IF(VLOOKUP($B417&amp;OFFSET(N$10,$A417*2,0),'Mapping A'!$B$6:$E$1011,4,0)=1,$E417,""),0)</f>
        <v>0</v>
      </c>
      <c r="O417" s="519">
        <f ca="1">_xlfn.IFNA(IF(VLOOKUP($B417&amp;OFFSET(O$10,$A417*2,0),'Mapping A'!$B$6:$E$1011,4,0)=1,$E417,""),0)</f>
        <v>0</v>
      </c>
      <c r="P417" s="519">
        <f ca="1">_xlfn.IFNA(IF(VLOOKUP($B417&amp;OFFSET(P$10,$A417*2,0),'Mapping A'!$B$6:$E$1011,4,0)=1,$E417,""),0)</f>
        <v>0</v>
      </c>
      <c r="Q417" s="519">
        <f ca="1">_xlfn.IFNA(IF(VLOOKUP($B417&amp;OFFSET(Q$10,$A417*2,0),'Mapping A'!$B$6:$E$1011,4,0)=1,$E417,""),0)</f>
        <v>0</v>
      </c>
      <c r="R417" s="519">
        <f ca="1">_xlfn.IFNA(IF(VLOOKUP($B417&amp;OFFSET(R$10,$A417*2,0),'Mapping A'!$B$6:$E$1011,4,0)=1,$E417,""),0)</f>
        <v>0</v>
      </c>
      <c r="S417" s="519">
        <f ca="1">_xlfn.IFNA(IF(VLOOKUP($B417&amp;OFFSET(S$10,$A417*2,0),'Mapping A'!$B$6:$E$1011,4,0)=1,$E417,""),0)</f>
        <v>0</v>
      </c>
      <c r="T417" s="519">
        <f ca="1">_xlfn.IFNA(IF(VLOOKUP($B417&amp;OFFSET(T$10,$A417*2,0),'Mapping A'!$B$6:$E$1011,4,0)=1,$E417,""),0)</f>
        <v>0</v>
      </c>
      <c r="Y417" s="534" t="str">
        <f t="shared" si="399"/>
        <v>SDN0331Aurora Energy</v>
      </c>
      <c r="Z417" s="519" t="str">
        <f t="shared" ref="Z417:AB417" si="464">C183</f>
        <v>Aurora Energy</v>
      </c>
      <c r="AA417" s="519" t="str">
        <f t="shared" si="464"/>
        <v>SDN0331</v>
      </c>
      <c r="AB417" s="519">
        <f t="shared" si="464"/>
        <v>73.109399999999994</v>
      </c>
      <c r="AC417" s="324"/>
      <c r="AE417" s="519">
        <f t="shared" ca="1" si="383"/>
        <v>0</v>
      </c>
      <c r="AF417" s="519">
        <f t="shared" ca="1" si="384"/>
        <v>0</v>
      </c>
      <c r="AG417" s="519">
        <f t="shared" ca="1" si="385"/>
        <v>0</v>
      </c>
      <c r="AH417" s="519">
        <f t="shared" ca="1" si="386"/>
        <v>0</v>
      </c>
      <c r="AI417" s="519">
        <f t="shared" ca="1" si="387"/>
        <v>0</v>
      </c>
      <c r="AJ417" s="519">
        <f t="shared" ca="1" si="388"/>
        <v>0</v>
      </c>
      <c r="AK417" s="519">
        <f t="shared" ca="1" si="389"/>
        <v>0</v>
      </c>
      <c r="AL417" s="519">
        <f t="shared" ca="1" si="390"/>
        <v>0</v>
      </c>
      <c r="AM417" s="519">
        <f t="shared" ca="1" si="391"/>
        <v>0</v>
      </c>
      <c r="AN417" s="519">
        <f t="shared" ca="1" si="392"/>
        <v>0</v>
      </c>
      <c r="AO417" s="519">
        <f t="shared" ca="1" si="393"/>
        <v>0</v>
      </c>
      <c r="AP417" s="519">
        <f t="shared" ca="1" si="394"/>
        <v>0</v>
      </c>
      <c r="AQ417" s="519">
        <f t="shared" ca="1" si="395"/>
        <v>0</v>
      </c>
    </row>
    <row r="418" spans="1:43" x14ac:dyDescent="0.3">
      <c r="A418" s="556">
        <f t="shared" si="396"/>
        <v>2</v>
      </c>
      <c r="B418" s="519" t="str">
        <f t="shared" si="397"/>
        <v>SFD</v>
      </c>
      <c r="C418" s="519" t="str">
        <f t="shared" ref="C418:E418" si="465">C184</f>
        <v>Powerco</v>
      </c>
      <c r="D418" s="519" t="str">
        <f t="shared" si="465"/>
        <v>SFD0331</v>
      </c>
      <c r="E418" s="519">
        <f t="shared" si="465"/>
        <v>35.160299999999999</v>
      </c>
      <c r="H418" s="519">
        <f ca="1">_xlfn.IFNA(IF(VLOOKUP($B418&amp;OFFSET(H$10,$A418*2,0),'Mapping A'!$B$6:$E$1011,4,0)=1,$E418,""),0)</f>
        <v>0</v>
      </c>
      <c r="I418" s="519">
        <f ca="1">_xlfn.IFNA(IF(VLOOKUP($B418&amp;OFFSET(I$10,$A418*2,0),'Mapping A'!$B$6:$E$1011,4,0)=1,$E418,""),0)</f>
        <v>0</v>
      </c>
      <c r="J418" s="519">
        <f ca="1">_xlfn.IFNA(IF(VLOOKUP($B418&amp;OFFSET(J$10,$A418*2,0),'Mapping A'!$B$6:$E$1011,4,0)=1,$E418,""),0)</f>
        <v>0</v>
      </c>
      <c r="K418" s="519">
        <f ca="1">_xlfn.IFNA(IF(VLOOKUP($B418&amp;OFFSET(K$10,$A418*2,0),'Mapping A'!$B$6:$E$1011,4,0)=1,$E418,""),0)</f>
        <v>0</v>
      </c>
      <c r="L418" s="519">
        <f ca="1">_xlfn.IFNA(IF(VLOOKUP($B418&amp;OFFSET(L$10,$A418*2,0),'Mapping A'!$B$6:$E$1011,4,0)=1,$E418,""),0)</f>
        <v>0</v>
      </c>
      <c r="M418" s="519">
        <f ca="1">_xlfn.IFNA(IF(VLOOKUP($B418&amp;OFFSET(M$10,$A418*2,0),'Mapping A'!$B$6:$E$1011,4,0)=1,$E418,""),0)</f>
        <v>0</v>
      </c>
      <c r="N418" s="519">
        <f ca="1">_xlfn.IFNA(IF(VLOOKUP($B418&amp;OFFSET(N$10,$A418*2,0),'Mapping A'!$B$6:$E$1011,4,0)=1,$E418,""),0)</f>
        <v>0</v>
      </c>
      <c r="O418" s="519">
        <f ca="1">_xlfn.IFNA(IF(VLOOKUP($B418&amp;OFFSET(O$10,$A418*2,0),'Mapping A'!$B$6:$E$1011,4,0)=1,$E418,""),0)</f>
        <v>0</v>
      </c>
      <c r="P418" s="519">
        <f ca="1">_xlfn.IFNA(IF(VLOOKUP($B418&amp;OFFSET(P$10,$A418*2,0),'Mapping A'!$B$6:$E$1011,4,0)=1,$E418,""),0)</f>
        <v>0</v>
      </c>
      <c r="Q418" s="519">
        <f ca="1">_xlfn.IFNA(IF(VLOOKUP($B418&amp;OFFSET(Q$10,$A418*2,0),'Mapping A'!$B$6:$E$1011,4,0)=1,$E418,""),0)</f>
        <v>0</v>
      </c>
      <c r="R418" s="519">
        <f ca="1">_xlfn.IFNA(IF(VLOOKUP($B418&amp;OFFSET(R$10,$A418*2,0),'Mapping A'!$B$6:$E$1011,4,0)=1,$E418,""),0)</f>
        <v>0</v>
      </c>
      <c r="S418" s="519">
        <f ca="1">_xlfn.IFNA(IF(VLOOKUP($B418&amp;OFFSET(S$10,$A418*2,0),'Mapping A'!$B$6:$E$1011,4,0)=1,$E418,""),0)</f>
        <v>0</v>
      </c>
      <c r="T418" s="519">
        <f ca="1">_xlfn.IFNA(IF(VLOOKUP($B418&amp;OFFSET(T$10,$A418*2,0),'Mapping A'!$B$6:$E$1011,4,0)=1,$E418,""),0)</f>
        <v>0</v>
      </c>
      <c r="Y418" s="534" t="str">
        <f t="shared" si="399"/>
        <v>SFD0331Powerco</v>
      </c>
      <c r="Z418" s="519" t="str">
        <f t="shared" ref="Z418:AB418" si="466">C184</f>
        <v>Powerco</v>
      </c>
      <c r="AA418" s="519" t="str">
        <f t="shared" si="466"/>
        <v>SFD0331</v>
      </c>
      <c r="AB418" s="519">
        <f t="shared" si="466"/>
        <v>35.160299999999999</v>
      </c>
      <c r="AC418" s="324"/>
      <c r="AE418" s="519">
        <f t="shared" ca="1" si="383"/>
        <v>0</v>
      </c>
      <c r="AF418" s="519">
        <f t="shared" ca="1" si="384"/>
        <v>0</v>
      </c>
      <c r="AG418" s="519">
        <f t="shared" ca="1" si="385"/>
        <v>0</v>
      </c>
      <c r="AH418" s="519">
        <f t="shared" ca="1" si="386"/>
        <v>0</v>
      </c>
      <c r="AI418" s="519">
        <f t="shared" ca="1" si="387"/>
        <v>0</v>
      </c>
      <c r="AJ418" s="519">
        <f t="shared" ca="1" si="388"/>
        <v>0</v>
      </c>
      <c r="AK418" s="519">
        <f t="shared" ca="1" si="389"/>
        <v>0</v>
      </c>
      <c r="AL418" s="519">
        <f t="shared" ca="1" si="390"/>
        <v>0</v>
      </c>
      <c r="AM418" s="519">
        <f t="shared" ca="1" si="391"/>
        <v>0</v>
      </c>
      <c r="AN418" s="519">
        <f t="shared" ca="1" si="392"/>
        <v>0</v>
      </c>
      <c r="AO418" s="519">
        <f t="shared" ca="1" si="393"/>
        <v>0</v>
      </c>
      <c r="AP418" s="519">
        <f t="shared" ca="1" si="394"/>
        <v>0</v>
      </c>
      <c r="AQ418" s="519">
        <f t="shared" ca="1" si="395"/>
        <v>0</v>
      </c>
    </row>
    <row r="419" spans="1:43" x14ac:dyDescent="0.3">
      <c r="A419" s="556">
        <f t="shared" si="396"/>
        <v>2</v>
      </c>
      <c r="B419" s="519" t="str">
        <f t="shared" si="397"/>
        <v>SFD</v>
      </c>
      <c r="C419" s="519" t="str">
        <f t="shared" ref="C419:E419" si="467">C185</f>
        <v>Contact</v>
      </c>
      <c r="D419" s="519" t="str">
        <f t="shared" si="467"/>
        <v>SFD2201</v>
      </c>
      <c r="E419" s="519">
        <f t="shared" si="467"/>
        <v>9.1980000000000004</v>
      </c>
      <c r="H419" s="519">
        <f ca="1">_xlfn.IFNA(IF(VLOOKUP($B419&amp;OFFSET(H$10,$A419*2,0),'Mapping A'!$B$6:$E$1011,4,0)=1,$E419,""),0)</f>
        <v>0</v>
      </c>
      <c r="I419" s="519">
        <f ca="1">_xlfn.IFNA(IF(VLOOKUP($B419&amp;OFFSET(I$10,$A419*2,0),'Mapping A'!$B$6:$E$1011,4,0)=1,$E419,""),0)</f>
        <v>0</v>
      </c>
      <c r="J419" s="519">
        <f ca="1">_xlfn.IFNA(IF(VLOOKUP($B419&amp;OFFSET(J$10,$A419*2,0),'Mapping A'!$B$6:$E$1011,4,0)=1,$E419,""),0)</f>
        <v>0</v>
      </c>
      <c r="K419" s="519">
        <f ca="1">_xlfn.IFNA(IF(VLOOKUP($B419&amp;OFFSET(K$10,$A419*2,0),'Mapping A'!$B$6:$E$1011,4,0)=1,$E419,""),0)</f>
        <v>0</v>
      </c>
      <c r="L419" s="519">
        <f ca="1">_xlfn.IFNA(IF(VLOOKUP($B419&amp;OFFSET(L$10,$A419*2,0),'Mapping A'!$B$6:$E$1011,4,0)=1,$E419,""),0)</f>
        <v>0</v>
      </c>
      <c r="M419" s="519">
        <f ca="1">_xlfn.IFNA(IF(VLOOKUP($B419&amp;OFFSET(M$10,$A419*2,0),'Mapping A'!$B$6:$E$1011,4,0)=1,$E419,""),0)</f>
        <v>0</v>
      </c>
      <c r="N419" s="519">
        <f ca="1">_xlfn.IFNA(IF(VLOOKUP($B419&amp;OFFSET(N$10,$A419*2,0),'Mapping A'!$B$6:$E$1011,4,0)=1,$E419,""),0)</f>
        <v>0</v>
      </c>
      <c r="O419" s="519">
        <f ca="1">_xlfn.IFNA(IF(VLOOKUP($B419&amp;OFFSET(O$10,$A419*2,0),'Mapping A'!$B$6:$E$1011,4,0)=1,$E419,""),0)</f>
        <v>0</v>
      </c>
      <c r="P419" s="519">
        <f ca="1">_xlfn.IFNA(IF(VLOOKUP($B419&amp;OFFSET(P$10,$A419*2,0),'Mapping A'!$B$6:$E$1011,4,0)=1,$E419,""),0)</f>
        <v>0</v>
      </c>
      <c r="Q419" s="519">
        <f ca="1">_xlfn.IFNA(IF(VLOOKUP($B419&amp;OFFSET(Q$10,$A419*2,0),'Mapping A'!$B$6:$E$1011,4,0)=1,$E419,""),0)</f>
        <v>0</v>
      </c>
      <c r="R419" s="519">
        <f ca="1">_xlfn.IFNA(IF(VLOOKUP($B419&amp;OFFSET(R$10,$A419*2,0),'Mapping A'!$B$6:$E$1011,4,0)=1,$E419,""),0)</f>
        <v>0</v>
      </c>
      <c r="S419" s="519">
        <f ca="1">_xlfn.IFNA(IF(VLOOKUP($B419&amp;OFFSET(S$10,$A419*2,0),'Mapping A'!$B$6:$E$1011,4,0)=1,$E419,""),0)</f>
        <v>0</v>
      </c>
      <c r="T419" s="519">
        <f ca="1">_xlfn.IFNA(IF(VLOOKUP($B419&amp;OFFSET(T$10,$A419*2,0),'Mapping A'!$B$6:$E$1011,4,0)=1,$E419,""),0)</f>
        <v>0</v>
      </c>
      <c r="Y419" s="534" t="str">
        <f t="shared" si="399"/>
        <v>SFD2201Contact</v>
      </c>
      <c r="Z419" s="519" t="str">
        <f t="shared" ref="Z419:AB419" si="468">C185</f>
        <v>Contact</v>
      </c>
      <c r="AA419" s="519" t="str">
        <f t="shared" si="468"/>
        <v>SFD2201</v>
      </c>
      <c r="AB419" s="519">
        <f t="shared" si="468"/>
        <v>9.1980000000000004</v>
      </c>
      <c r="AC419" s="324"/>
      <c r="AE419" s="519">
        <f t="shared" ca="1" si="383"/>
        <v>0</v>
      </c>
      <c r="AF419" s="519">
        <f t="shared" ca="1" si="384"/>
        <v>0</v>
      </c>
      <c r="AG419" s="519">
        <f t="shared" ca="1" si="385"/>
        <v>0</v>
      </c>
      <c r="AH419" s="519">
        <f t="shared" ca="1" si="386"/>
        <v>0</v>
      </c>
      <c r="AI419" s="519">
        <f t="shared" ca="1" si="387"/>
        <v>0</v>
      </c>
      <c r="AJ419" s="519">
        <f t="shared" ca="1" si="388"/>
        <v>0</v>
      </c>
      <c r="AK419" s="519">
        <f t="shared" ca="1" si="389"/>
        <v>0</v>
      </c>
      <c r="AL419" s="519">
        <f t="shared" ca="1" si="390"/>
        <v>0</v>
      </c>
      <c r="AM419" s="519">
        <f t="shared" ca="1" si="391"/>
        <v>0</v>
      </c>
      <c r="AN419" s="519">
        <f t="shared" ca="1" si="392"/>
        <v>0</v>
      </c>
      <c r="AO419" s="519">
        <f t="shared" ca="1" si="393"/>
        <v>0</v>
      </c>
      <c r="AP419" s="519">
        <f t="shared" ca="1" si="394"/>
        <v>0</v>
      </c>
      <c r="AQ419" s="519">
        <f t="shared" ca="1" si="395"/>
        <v>0</v>
      </c>
    </row>
    <row r="420" spans="1:43" x14ac:dyDescent="0.3">
      <c r="A420" s="556">
        <f t="shared" si="396"/>
        <v>2</v>
      </c>
      <c r="B420" s="519" t="str">
        <f t="shared" si="397"/>
        <v>STK</v>
      </c>
      <c r="C420" s="519" t="str">
        <f t="shared" ref="C420:E420" si="469">C186</f>
        <v>Network Tasman</v>
      </c>
      <c r="D420" s="519" t="str">
        <f t="shared" si="469"/>
        <v>STK0331</v>
      </c>
      <c r="E420" s="519">
        <f t="shared" si="469"/>
        <v>154.61670000000001</v>
      </c>
      <c r="H420" s="519">
        <f ca="1">_xlfn.IFNA(IF(VLOOKUP($B420&amp;OFFSET(H$10,$A420*2,0),'Mapping A'!$B$6:$E$1011,4,0)=1,$E420,""),0)</f>
        <v>0</v>
      </c>
      <c r="I420" s="519">
        <f ca="1">_xlfn.IFNA(IF(VLOOKUP($B420&amp;OFFSET(I$10,$A420*2,0),'Mapping A'!$B$6:$E$1011,4,0)=1,$E420,""),0)</f>
        <v>0</v>
      </c>
      <c r="J420" s="519">
        <f ca="1">_xlfn.IFNA(IF(VLOOKUP($B420&amp;OFFSET(J$10,$A420*2,0),'Mapping A'!$B$6:$E$1011,4,0)=1,$E420,""),0)</f>
        <v>154.61670000000001</v>
      </c>
      <c r="K420" s="519">
        <f ca="1">_xlfn.IFNA(IF(VLOOKUP($B420&amp;OFFSET(K$10,$A420*2,0),'Mapping A'!$B$6:$E$1011,4,0)=1,$E420,""),0)</f>
        <v>0</v>
      </c>
      <c r="L420" s="519">
        <f ca="1">_xlfn.IFNA(IF(VLOOKUP($B420&amp;OFFSET(L$10,$A420*2,0),'Mapping A'!$B$6:$E$1011,4,0)=1,$E420,""),0)</f>
        <v>0</v>
      </c>
      <c r="M420" s="519">
        <f ca="1">_xlfn.IFNA(IF(VLOOKUP($B420&amp;OFFSET(M$10,$A420*2,0),'Mapping A'!$B$6:$E$1011,4,0)=1,$E420,""),0)</f>
        <v>0</v>
      </c>
      <c r="N420" s="519">
        <f ca="1">_xlfn.IFNA(IF(VLOOKUP($B420&amp;OFFSET(N$10,$A420*2,0),'Mapping A'!$B$6:$E$1011,4,0)=1,$E420,""),0)</f>
        <v>0</v>
      </c>
      <c r="O420" s="519">
        <f ca="1">_xlfn.IFNA(IF(VLOOKUP($B420&amp;OFFSET(O$10,$A420*2,0),'Mapping A'!$B$6:$E$1011,4,0)=1,$E420,""),0)</f>
        <v>0</v>
      </c>
      <c r="P420" s="519">
        <f ca="1">_xlfn.IFNA(IF(VLOOKUP($B420&amp;OFFSET(P$10,$A420*2,0),'Mapping A'!$B$6:$E$1011,4,0)=1,$E420,""),0)</f>
        <v>0</v>
      </c>
      <c r="Q420" s="519">
        <f ca="1">_xlfn.IFNA(IF(VLOOKUP($B420&amp;OFFSET(Q$10,$A420*2,0),'Mapping A'!$B$6:$E$1011,4,0)=1,$E420,""),0)</f>
        <v>0</v>
      </c>
      <c r="R420" s="519">
        <f ca="1">_xlfn.IFNA(IF(VLOOKUP($B420&amp;OFFSET(R$10,$A420*2,0),'Mapping A'!$B$6:$E$1011,4,0)=1,$E420,""),0)</f>
        <v>0</v>
      </c>
      <c r="S420" s="519">
        <f ca="1">_xlfn.IFNA(IF(VLOOKUP($B420&amp;OFFSET(S$10,$A420*2,0),'Mapping A'!$B$6:$E$1011,4,0)=1,$E420,""),0)</f>
        <v>0</v>
      </c>
      <c r="T420" s="519">
        <f ca="1">_xlfn.IFNA(IF(VLOOKUP($B420&amp;OFFSET(T$10,$A420*2,0),'Mapping A'!$B$6:$E$1011,4,0)=1,$E420,""),0)</f>
        <v>0</v>
      </c>
      <c r="Y420" s="534" t="str">
        <f t="shared" si="399"/>
        <v>STK0331Network Tasman</v>
      </c>
      <c r="Z420" s="519" t="str">
        <f t="shared" ref="Z420:AB420" si="470">C186</f>
        <v>Network Tasman</v>
      </c>
      <c r="AA420" s="519" t="str">
        <f t="shared" si="470"/>
        <v>STK0331</v>
      </c>
      <c r="AB420" s="519">
        <f t="shared" si="470"/>
        <v>154.61670000000001</v>
      </c>
      <c r="AC420" s="324"/>
      <c r="AE420" s="519">
        <f t="shared" ca="1" si="383"/>
        <v>0</v>
      </c>
      <c r="AF420" s="519">
        <f t="shared" ca="1" si="384"/>
        <v>0</v>
      </c>
      <c r="AG420" s="519">
        <f t="shared" ca="1" si="385"/>
        <v>0</v>
      </c>
      <c r="AH420" s="519">
        <f t="shared" ca="1" si="386"/>
        <v>0</v>
      </c>
      <c r="AI420" s="519">
        <f t="shared" ca="1" si="387"/>
        <v>0</v>
      </c>
      <c r="AJ420" s="519">
        <f t="shared" ca="1" si="388"/>
        <v>0</v>
      </c>
      <c r="AK420" s="519">
        <f t="shared" ca="1" si="389"/>
        <v>0</v>
      </c>
      <c r="AL420" s="519">
        <f t="shared" ca="1" si="390"/>
        <v>0</v>
      </c>
      <c r="AM420" s="519">
        <f t="shared" ca="1" si="391"/>
        <v>0</v>
      </c>
      <c r="AN420" s="519">
        <f t="shared" ca="1" si="392"/>
        <v>0</v>
      </c>
      <c r="AO420" s="519">
        <f t="shared" ca="1" si="393"/>
        <v>0</v>
      </c>
      <c r="AP420" s="519">
        <f t="shared" ca="1" si="394"/>
        <v>0</v>
      </c>
      <c r="AQ420" s="519">
        <f t="shared" ca="1" si="395"/>
        <v>0</v>
      </c>
    </row>
    <row r="421" spans="1:43" x14ac:dyDescent="0.3">
      <c r="A421" s="556">
        <f t="shared" si="396"/>
        <v>2</v>
      </c>
      <c r="B421" s="519" t="str">
        <f t="shared" si="397"/>
        <v>STU</v>
      </c>
      <c r="C421" s="519" t="str">
        <f t="shared" ref="C421:E421" si="471">C187</f>
        <v>Alpine Energy</v>
      </c>
      <c r="D421" s="519" t="str">
        <f t="shared" si="471"/>
        <v>STU0111</v>
      </c>
      <c r="E421" s="519">
        <f t="shared" si="471"/>
        <v>13.7319</v>
      </c>
      <c r="H421" s="519">
        <f ca="1">_xlfn.IFNA(IF(VLOOKUP($B421&amp;OFFSET(H$10,$A421*2,0),'Mapping A'!$B$6:$E$1011,4,0)=1,$E421,""),0)</f>
        <v>0</v>
      </c>
      <c r="I421" s="519">
        <f ca="1">_xlfn.IFNA(IF(VLOOKUP($B421&amp;OFFSET(I$10,$A421*2,0),'Mapping A'!$B$6:$E$1011,4,0)=1,$E421,""),0)</f>
        <v>0</v>
      </c>
      <c r="J421" s="519">
        <f ca="1">_xlfn.IFNA(IF(VLOOKUP($B421&amp;OFFSET(J$10,$A421*2,0),'Mapping A'!$B$6:$E$1011,4,0)=1,$E421,""),0)</f>
        <v>13.7319</v>
      </c>
      <c r="K421" s="519">
        <f ca="1">_xlfn.IFNA(IF(VLOOKUP($B421&amp;OFFSET(K$10,$A421*2,0),'Mapping A'!$B$6:$E$1011,4,0)=1,$E421,""),0)</f>
        <v>0</v>
      </c>
      <c r="L421" s="519">
        <f ca="1">_xlfn.IFNA(IF(VLOOKUP($B421&amp;OFFSET(L$10,$A421*2,0),'Mapping A'!$B$6:$E$1011,4,0)=1,$E421,""),0)</f>
        <v>0</v>
      </c>
      <c r="M421" s="519">
        <f ca="1">_xlfn.IFNA(IF(VLOOKUP($B421&amp;OFFSET(M$10,$A421*2,0),'Mapping A'!$B$6:$E$1011,4,0)=1,$E421,""),0)</f>
        <v>0</v>
      </c>
      <c r="N421" s="519">
        <f ca="1">_xlfn.IFNA(IF(VLOOKUP($B421&amp;OFFSET(N$10,$A421*2,0),'Mapping A'!$B$6:$E$1011,4,0)=1,$E421,""),0)</f>
        <v>0</v>
      </c>
      <c r="O421" s="519">
        <f ca="1">_xlfn.IFNA(IF(VLOOKUP($B421&amp;OFFSET(O$10,$A421*2,0),'Mapping A'!$B$6:$E$1011,4,0)=1,$E421,""),0)</f>
        <v>0</v>
      </c>
      <c r="P421" s="519">
        <f ca="1">_xlfn.IFNA(IF(VLOOKUP($B421&amp;OFFSET(P$10,$A421*2,0),'Mapping A'!$B$6:$E$1011,4,0)=1,$E421,""),0)</f>
        <v>0</v>
      </c>
      <c r="Q421" s="519">
        <f ca="1">_xlfn.IFNA(IF(VLOOKUP($B421&amp;OFFSET(Q$10,$A421*2,0),'Mapping A'!$B$6:$E$1011,4,0)=1,$E421,""),0)</f>
        <v>0</v>
      </c>
      <c r="R421" s="519">
        <f ca="1">_xlfn.IFNA(IF(VLOOKUP($B421&amp;OFFSET(R$10,$A421*2,0),'Mapping A'!$B$6:$E$1011,4,0)=1,$E421,""),0)</f>
        <v>0</v>
      </c>
      <c r="S421" s="519">
        <f ca="1">_xlfn.IFNA(IF(VLOOKUP($B421&amp;OFFSET(S$10,$A421*2,0),'Mapping A'!$B$6:$E$1011,4,0)=1,$E421,""),0)</f>
        <v>0</v>
      </c>
      <c r="T421" s="519">
        <f ca="1">_xlfn.IFNA(IF(VLOOKUP($B421&amp;OFFSET(T$10,$A421*2,0),'Mapping A'!$B$6:$E$1011,4,0)=1,$E421,""),0)</f>
        <v>0</v>
      </c>
      <c r="Y421" s="534" t="str">
        <f t="shared" si="399"/>
        <v>STU0111Alpine Energy</v>
      </c>
      <c r="Z421" s="519" t="str">
        <f t="shared" ref="Z421:AB421" si="472">C187</f>
        <v>Alpine Energy</v>
      </c>
      <c r="AA421" s="519" t="str">
        <f t="shared" si="472"/>
        <v>STU0111</v>
      </c>
      <c r="AB421" s="519">
        <f t="shared" si="472"/>
        <v>13.7319</v>
      </c>
      <c r="AC421" s="324"/>
      <c r="AE421" s="519">
        <f t="shared" ca="1" si="383"/>
        <v>0</v>
      </c>
      <c r="AF421" s="519">
        <f t="shared" ca="1" si="384"/>
        <v>0</v>
      </c>
      <c r="AG421" s="519">
        <f t="shared" ca="1" si="385"/>
        <v>0</v>
      </c>
      <c r="AH421" s="519">
        <f t="shared" ca="1" si="386"/>
        <v>0</v>
      </c>
      <c r="AI421" s="519">
        <f t="shared" ca="1" si="387"/>
        <v>0</v>
      </c>
      <c r="AJ421" s="519">
        <f t="shared" ca="1" si="388"/>
        <v>0</v>
      </c>
      <c r="AK421" s="519">
        <f t="shared" ca="1" si="389"/>
        <v>0</v>
      </c>
      <c r="AL421" s="519">
        <f t="shared" ca="1" si="390"/>
        <v>0</v>
      </c>
      <c r="AM421" s="519">
        <f t="shared" ca="1" si="391"/>
        <v>0</v>
      </c>
      <c r="AN421" s="519">
        <f t="shared" ca="1" si="392"/>
        <v>0</v>
      </c>
      <c r="AO421" s="519">
        <f t="shared" ca="1" si="393"/>
        <v>0</v>
      </c>
      <c r="AP421" s="519">
        <f t="shared" ca="1" si="394"/>
        <v>0</v>
      </c>
      <c r="AQ421" s="519">
        <f t="shared" ca="1" si="395"/>
        <v>0</v>
      </c>
    </row>
    <row r="422" spans="1:43" x14ac:dyDescent="0.3">
      <c r="A422" s="556">
        <f t="shared" si="396"/>
        <v>2</v>
      </c>
      <c r="B422" s="519" t="str">
        <f t="shared" si="397"/>
        <v>SVL</v>
      </c>
      <c r="C422" s="519" t="str">
        <f t="shared" ref="C422:E422" si="473">C188</f>
        <v>Vector</v>
      </c>
      <c r="D422" s="519" t="str">
        <f t="shared" si="473"/>
        <v>SVL0331</v>
      </c>
      <c r="E422" s="519">
        <f t="shared" si="473"/>
        <v>92.301299999999998</v>
      </c>
      <c r="H422" s="519">
        <f ca="1">_xlfn.IFNA(IF(VLOOKUP($B422&amp;OFFSET(H$10,$A422*2,0),'Mapping A'!$B$6:$E$1011,4,0)=1,$E422,""),0)</f>
        <v>0</v>
      </c>
      <c r="I422" s="519">
        <f ca="1">_xlfn.IFNA(IF(VLOOKUP($B422&amp;OFFSET(I$10,$A422*2,0),'Mapping A'!$B$6:$E$1011,4,0)=1,$E422,""),0)</f>
        <v>0</v>
      </c>
      <c r="J422" s="519">
        <f ca="1">_xlfn.IFNA(IF(VLOOKUP($B422&amp;OFFSET(J$10,$A422*2,0),'Mapping A'!$B$6:$E$1011,4,0)=1,$E422,""),0)</f>
        <v>0</v>
      </c>
      <c r="K422" s="519">
        <f ca="1">_xlfn.IFNA(IF(VLOOKUP($B422&amp;OFFSET(K$10,$A422*2,0),'Mapping A'!$B$6:$E$1011,4,0)=1,$E422,""),0)</f>
        <v>0</v>
      </c>
      <c r="L422" s="519">
        <f ca="1">_xlfn.IFNA(IF(VLOOKUP($B422&amp;OFFSET(L$10,$A422*2,0),'Mapping A'!$B$6:$E$1011,4,0)=1,$E422,""),0)</f>
        <v>0</v>
      </c>
      <c r="M422" s="519">
        <f ca="1">_xlfn.IFNA(IF(VLOOKUP($B422&amp;OFFSET(M$10,$A422*2,0),'Mapping A'!$B$6:$E$1011,4,0)=1,$E422,""),0)</f>
        <v>0</v>
      </c>
      <c r="N422" s="519">
        <f ca="1">_xlfn.IFNA(IF(VLOOKUP($B422&amp;OFFSET(N$10,$A422*2,0),'Mapping A'!$B$6:$E$1011,4,0)=1,$E422,""),0)</f>
        <v>0</v>
      </c>
      <c r="O422" s="519">
        <f ca="1">_xlfn.IFNA(IF(VLOOKUP($B422&amp;OFFSET(O$10,$A422*2,0),'Mapping A'!$B$6:$E$1011,4,0)=1,$E422,""),0)</f>
        <v>0</v>
      </c>
      <c r="P422" s="519">
        <f ca="1">_xlfn.IFNA(IF(VLOOKUP($B422&amp;OFFSET(P$10,$A422*2,0),'Mapping A'!$B$6:$E$1011,4,0)=1,$E422,""),0)</f>
        <v>0</v>
      </c>
      <c r="Q422" s="519">
        <f ca="1">_xlfn.IFNA(IF(VLOOKUP($B422&amp;OFFSET(Q$10,$A422*2,0),'Mapping A'!$B$6:$E$1011,4,0)=1,$E422,""),0)</f>
        <v>0</v>
      </c>
      <c r="R422" s="519">
        <f ca="1">_xlfn.IFNA(IF(VLOOKUP($B422&amp;OFFSET(R$10,$A422*2,0),'Mapping A'!$B$6:$E$1011,4,0)=1,$E422,""),0)</f>
        <v>0</v>
      </c>
      <c r="S422" s="519">
        <f ca="1">_xlfn.IFNA(IF(VLOOKUP($B422&amp;OFFSET(S$10,$A422*2,0),'Mapping A'!$B$6:$E$1011,4,0)=1,$E422,""),0)</f>
        <v>0</v>
      </c>
      <c r="T422" s="519">
        <f ca="1">_xlfn.IFNA(IF(VLOOKUP($B422&amp;OFFSET(T$10,$A422*2,0),'Mapping A'!$B$6:$E$1011,4,0)=1,$E422,""),0)</f>
        <v>0</v>
      </c>
      <c r="Y422" s="534" t="str">
        <f t="shared" si="399"/>
        <v>SVL0331Vector</v>
      </c>
      <c r="Z422" s="519" t="str">
        <f t="shared" ref="Z422:AB422" si="474">C188</f>
        <v>Vector</v>
      </c>
      <c r="AA422" s="519" t="str">
        <f t="shared" si="474"/>
        <v>SVL0331</v>
      </c>
      <c r="AB422" s="519">
        <f t="shared" si="474"/>
        <v>92.301299999999998</v>
      </c>
      <c r="AC422" s="324"/>
      <c r="AE422" s="519">
        <f t="shared" ca="1" si="383"/>
        <v>0</v>
      </c>
      <c r="AF422" s="519">
        <f t="shared" ca="1" si="384"/>
        <v>0</v>
      </c>
      <c r="AG422" s="519">
        <f t="shared" ca="1" si="385"/>
        <v>0</v>
      </c>
      <c r="AH422" s="519">
        <f t="shared" ca="1" si="386"/>
        <v>0</v>
      </c>
      <c r="AI422" s="519">
        <f t="shared" ca="1" si="387"/>
        <v>0</v>
      </c>
      <c r="AJ422" s="519">
        <f t="shared" ca="1" si="388"/>
        <v>0</v>
      </c>
      <c r="AK422" s="519">
        <f t="shared" ca="1" si="389"/>
        <v>0</v>
      </c>
      <c r="AL422" s="519">
        <f t="shared" ca="1" si="390"/>
        <v>0</v>
      </c>
      <c r="AM422" s="519">
        <f t="shared" ca="1" si="391"/>
        <v>0</v>
      </c>
      <c r="AN422" s="519">
        <f t="shared" ca="1" si="392"/>
        <v>0</v>
      </c>
      <c r="AO422" s="519">
        <f t="shared" ca="1" si="393"/>
        <v>0</v>
      </c>
      <c r="AP422" s="519">
        <f t="shared" ca="1" si="394"/>
        <v>0</v>
      </c>
      <c r="AQ422" s="519">
        <f t="shared" ca="1" si="395"/>
        <v>0</v>
      </c>
    </row>
    <row r="423" spans="1:43" x14ac:dyDescent="0.3">
      <c r="A423" s="556">
        <f t="shared" si="396"/>
        <v>2</v>
      </c>
      <c r="B423" s="519" t="str">
        <f t="shared" si="397"/>
        <v>SWN</v>
      </c>
      <c r="C423" s="519" t="str">
        <f t="shared" ref="C423:E423" si="475">C189</f>
        <v>Kiwirail</v>
      </c>
      <c r="D423" s="519" t="str">
        <f t="shared" si="475"/>
        <v>SWN0251</v>
      </c>
      <c r="E423" s="519">
        <f t="shared" si="475"/>
        <v>3.1604999999999999</v>
      </c>
      <c r="H423" s="519">
        <f ca="1">_xlfn.IFNA(IF(VLOOKUP($B423&amp;OFFSET(H$10,$A423*2,0),'Mapping A'!$B$6:$E$1011,4,0)=1,$E423,""),0)</f>
        <v>0</v>
      </c>
      <c r="I423" s="519">
        <f ca="1">_xlfn.IFNA(IF(VLOOKUP($B423&amp;OFFSET(I$10,$A423*2,0),'Mapping A'!$B$6:$E$1011,4,0)=1,$E423,""),0)</f>
        <v>0</v>
      </c>
      <c r="J423" s="519">
        <f ca="1">_xlfn.IFNA(IF(VLOOKUP($B423&amp;OFFSET(J$10,$A423*2,0),'Mapping A'!$B$6:$E$1011,4,0)=1,$E423,""),0)</f>
        <v>0</v>
      </c>
      <c r="K423" s="519">
        <f ca="1">_xlfn.IFNA(IF(VLOOKUP($B423&amp;OFFSET(K$10,$A423*2,0),'Mapping A'!$B$6:$E$1011,4,0)=1,$E423,""),0)</f>
        <v>0</v>
      </c>
      <c r="L423" s="519">
        <f ca="1">_xlfn.IFNA(IF(VLOOKUP($B423&amp;OFFSET(L$10,$A423*2,0),'Mapping A'!$B$6:$E$1011,4,0)=1,$E423,""),0)</f>
        <v>0</v>
      </c>
      <c r="M423" s="519">
        <f ca="1">_xlfn.IFNA(IF(VLOOKUP($B423&amp;OFFSET(M$10,$A423*2,0),'Mapping A'!$B$6:$E$1011,4,0)=1,$E423,""),0)</f>
        <v>0</v>
      </c>
      <c r="N423" s="519">
        <f ca="1">_xlfn.IFNA(IF(VLOOKUP($B423&amp;OFFSET(N$10,$A423*2,0),'Mapping A'!$B$6:$E$1011,4,0)=1,$E423,""),0)</f>
        <v>0</v>
      </c>
      <c r="O423" s="519">
        <f ca="1">_xlfn.IFNA(IF(VLOOKUP($B423&amp;OFFSET(O$10,$A423*2,0),'Mapping A'!$B$6:$E$1011,4,0)=1,$E423,""),0)</f>
        <v>0</v>
      </c>
      <c r="P423" s="519">
        <f ca="1">_xlfn.IFNA(IF(VLOOKUP($B423&amp;OFFSET(P$10,$A423*2,0),'Mapping A'!$B$6:$E$1011,4,0)=1,$E423,""),0)</f>
        <v>0</v>
      </c>
      <c r="Q423" s="519">
        <f ca="1">_xlfn.IFNA(IF(VLOOKUP($B423&amp;OFFSET(Q$10,$A423*2,0),'Mapping A'!$B$6:$E$1011,4,0)=1,$E423,""),0)</f>
        <v>0</v>
      </c>
      <c r="R423" s="519">
        <f ca="1">_xlfn.IFNA(IF(VLOOKUP($B423&amp;OFFSET(R$10,$A423*2,0),'Mapping A'!$B$6:$E$1011,4,0)=1,$E423,""),0)</f>
        <v>0</v>
      </c>
      <c r="S423" s="519">
        <f ca="1">_xlfn.IFNA(IF(VLOOKUP($B423&amp;OFFSET(S$10,$A423*2,0),'Mapping A'!$B$6:$E$1011,4,0)=1,$E423,""),0)</f>
        <v>0</v>
      </c>
      <c r="T423" s="519">
        <f ca="1">_xlfn.IFNA(IF(VLOOKUP($B423&amp;OFFSET(T$10,$A423*2,0),'Mapping A'!$B$6:$E$1011,4,0)=1,$E423,""),0)</f>
        <v>0</v>
      </c>
      <c r="Y423" s="534" t="str">
        <f t="shared" si="399"/>
        <v>SWN0251Kiwirail</v>
      </c>
      <c r="Z423" s="519" t="str">
        <f t="shared" ref="Z423:AB423" si="476">C189</f>
        <v>Kiwirail</v>
      </c>
      <c r="AA423" s="519" t="str">
        <f t="shared" si="476"/>
        <v>SWN0251</v>
      </c>
      <c r="AB423" s="519">
        <f t="shared" si="476"/>
        <v>3.1604999999999999</v>
      </c>
      <c r="AC423" s="324"/>
      <c r="AE423" s="519">
        <f t="shared" ca="1" si="383"/>
        <v>0</v>
      </c>
      <c r="AF423" s="519">
        <f t="shared" ca="1" si="384"/>
        <v>0</v>
      </c>
      <c r="AG423" s="519">
        <f t="shared" ca="1" si="385"/>
        <v>0</v>
      </c>
      <c r="AH423" s="519">
        <f t="shared" ca="1" si="386"/>
        <v>0</v>
      </c>
      <c r="AI423" s="519">
        <f t="shared" ca="1" si="387"/>
        <v>0</v>
      </c>
      <c r="AJ423" s="519">
        <f t="shared" ca="1" si="388"/>
        <v>0</v>
      </c>
      <c r="AK423" s="519">
        <f t="shared" ca="1" si="389"/>
        <v>0</v>
      </c>
      <c r="AL423" s="519">
        <f t="shared" ca="1" si="390"/>
        <v>0</v>
      </c>
      <c r="AM423" s="519">
        <f t="shared" ca="1" si="391"/>
        <v>0</v>
      </c>
      <c r="AN423" s="519">
        <f t="shared" ca="1" si="392"/>
        <v>0</v>
      </c>
      <c r="AO423" s="519">
        <f t="shared" ca="1" si="393"/>
        <v>0</v>
      </c>
      <c r="AP423" s="519">
        <f t="shared" ca="1" si="394"/>
        <v>0</v>
      </c>
      <c r="AQ423" s="519">
        <f t="shared" ca="1" si="395"/>
        <v>0</v>
      </c>
    </row>
    <row r="424" spans="1:43" x14ac:dyDescent="0.3">
      <c r="A424" s="556">
        <f t="shared" si="396"/>
        <v>2</v>
      </c>
      <c r="B424" s="519" t="str">
        <f t="shared" si="397"/>
        <v>SWN</v>
      </c>
      <c r="C424" s="519" t="str">
        <f t="shared" ref="C424:E424" si="477">C190</f>
        <v>MRP</v>
      </c>
      <c r="D424" s="519" t="str">
        <f t="shared" si="477"/>
        <v>SWN2201</v>
      </c>
      <c r="E424" s="519">
        <f t="shared" si="477"/>
        <v>3.738</v>
      </c>
      <c r="H424" s="519">
        <f ca="1">_xlfn.IFNA(IF(VLOOKUP($B424&amp;OFFSET(H$10,$A424*2,0),'Mapping A'!$B$6:$E$1011,4,0)=1,$E424,""),0)</f>
        <v>0</v>
      </c>
      <c r="I424" s="519">
        <f ca="1">_xlfn.IFNA(IF(VLOOKUP($B424&amp;OFFSET(I$10,$A424*2,0),'Mapping A'!$B$6:$E$1011,4,0)=1,$E424,""),0)</f>
        <v>0</v>
      </c>
      <c r="J424" s="519">
        <f ca="1">_xlfn.IFNA(IF(VLOOKUP($B424&amp;OFFSET(J$10,$A424*2,0),'Mapping A'!$B$6:$E$1011,4,0)=1,$E424,""),0)</f>
        <v>0</v>
      </c>
      <c r="K424" s="519">
        <f ca="1">_xlfn.IFNA(IF(VLOOKUP($B424&amp;OFFSET(K$10,$A424*2,0),'Mapping A'!$B$6:$E$1011,4,0)=1,$E424,""),0)</f>
        <v>0</v>
      </c>
      <c r="L424" s="519">
        <f ca="1">_xlfn.IFNA(IF(VLOOKUP($B424&amp;OFFSET(L$10,$A424*2,0),'Mapping A'!$B$6:$E$1011,4,0)=1,$E424,""),0)</f>
        <v>0</v>
      </c>
      <c r="M424" s="519">
        <f ca="1">_xlfn.IFNA(IF(VLOOKUP($B424&amp;OFFSET(M$10,$A424*2,0),'Mapping A'!$B$6:$E$1011,4,0)=1,$E424,""),0)</f>
        <v>0</v>
      </c>
      <c r="N424" s="519">
        <f ca="1">_xlfn.IFNA(IF(VLOOKUP($B424&amp;OFFSET(N$10,$A424*2,0),'Mapping A'!$B$6:$E$1011,4,0)=1,$E424,""),0)</f>
        <v>0</v>
      </c>
      <c r="O424" s="519">
        <f ca="1">_xlfn.IFNA(IF(VLOOKUP($B424&amp;OFFSET(O$10,$A424*2,0),'Mapping A'!$B$6:$E$1011,4,0)=1,$E424,""),0)</f>
        <v>0</v>
      </c>
      <c r="P424" s="519">
        <f ca="1">_xlfn.IFNA(IF(VLOOKUP($B424&amp;OFFSET(P$10,$A424*2,0),'Mapping A'!$B$6:$E$1011,4,0)=1,$E424,""),0)</f>
        <v>0</v>
      </c>
      <c r="Q424" s="519">
        <f ca="1">_xlfn.IFNA(IF(VLOOKUP($B424&amp;OFFSET(Q$10,$A424*2,0),'Mapping A'!$B$6:$E$1011,4,0)=1,$E424,""),0)</f>
        <v>0</v>
      </c>
      <c r="R424" s="519">
        <f ca="1">_xlfn.IFNA(IF(VLOOKUP($B424&amp;OFFSET(R$10,$A424*2,0),'Mapping A'!$B$6:$E$1011,4,0)=1,$E424,""),0)</f>
        <v>0</v>
      </c>
      <c r="S424" s="519">
        <f ca="1">_xlfn.IFNA(IF(VLOOKUP($B424&amp;OFFSET(S$10,$A424*2,0),'Mapping A'!$B$6:$E$1011,4,0)=1,$E424,""),0)</f>
        <v>0</v>
      </c>
      <c r="T424" s="519">
        <f ca="1">_xlfn.IFNA(IF(VLOOKUP($B424&amp;OFFSET(T$10,$A424*2,0),'Mapping A'!$B$6:$E$1011,4,0)=1,$E424,""),0)</f>
        <v>0</v>
      </c>
      <c r="Y424" s="534" t="str">
        <f t="shared" si="399"/>
        <v>SWN2201MRP</v>
      </c>
      <c r="Z424" s="519" t="str">
        <f t="shared" ref="Z424:AB424" si="478">C190</f>
        <v>MRP</v>
      </c>
      <c r="AA424" s="519" t="str">
        <f t="shared" si="478"/>
        <v>SWN2201</v>
      </c>
      <c r="AB424" s="519">
        <f t="shared" si="478"/>
        <v>3.738</v>
      </c>
      <c r="AC424" s="324"/>
      <c r="AE424" s="519">
        <f t="shared" ca="1" si="383"/>
        <v>0</v>
      </c>
      <c r="AF424" s="519">
        <f t="shared" ca="1" si="384"/>
        <v>0</v>
      </c>
      <c r="AG424" s="519">
        <f t="shared" ca="1" si="385"/>
        <v>0</v>
      </c>
      <c r="AH424" s="519">
        <f t="shared" ca="1" si="386"/>
        <v>0</v>
      </c>
      <c r="AI424" s="519">
        <f t="shared" ca="1" si="387"/>
        <v>0</v>
      </c>
      <c r="AJ424" s="519">
        <f t="shared" ca="1" si="388"/>
        <v>0</v>
      </c>
      <c r="AK424" s="519">
        <f t="shared" ca="1" si="389"/>
        <v>0</v>
      </c>
      <c r="AL424" s="519">
        <f t="shared" ca="1" si="390"/>
        <v>0</v>
      </c>
      <c r="AM424" s="519">
        <f t="shared" ca="1" si="391"/>
        <v>0</v>
      </c>
      <c r="AN424" s="519">
        <f t="shared" ca="1" si="392"/>
        <v>0</v>
      </c>
      <c r="AO424" s="519">
        <f t="shared" ca="1" si="393"/>
        <v>0</v>
      </c>
      <c r="AP424" s="519">
        <f t="shared" ca="1" si="394"/>
        <v>0</v>
      </c>
      <c r="AQ424" s="519">
        <f t="shared" ca="1" si="395"/>
        <v>0</v>
      </c>
    </row>
    <row r="425" spans="1:43" x14ac:dyDescent="0.3">
      <c r="A425" s="556">
        <f t="shared" si="396"/>
        <v>2</v>
      </c>
      <c r="B425" s="519" t="str">
        <f t="shared" si="397"/>
        <v>TAK</v>
      </c>
      <c r="C425" s="519" t="str">
        <f t="shared" ref="C425:E425" si="479">C191</f>
        <v>Vector</v>
      </c>
      <c r="D425" s="519" t="str">
        <f t="shared" si="479"/>
        <v>TAK0331</v>
      </c>
      <c r="E425" s="519">
        <f t="shared" si="479"/>
        <v>119.8008</v>
      </c>
      <c r="H425" s="519">
        <f ca="1">_xlfn.IFNA(IF(VLOOKUP($B425&amp;OFFSET(H$10,$A425*2,0),'Mapping A'!$B$6:$E$1011,4,0)=1,$E425,""),0)</f>
        <v>0</v>
      </c>
      <c r="I425" s="519">
        <f ca="1">_xlfn.IFNA(IF(VLOOKUP($B425&amp;OFFSET(I$10,$A425*2,0),'Mapping A'!$B$6:$E$1011,4,0)=1,$E425,""),0)</f>
        <v>0</v>
      </c>
      <c r="J425" s="519">
        <f ca="1">_xlfn.IFNA(IF(VLOOKUP($B425&amp;OFFSET(J$10,$A425*2,0),'Mapping A'!$B$6:$E$1011,4,0)=1,$E425,""),0)</f>
        <v>0</v>
      </c>
      <c r="K425" s="519">
        <f ca="1">_xlfn.IFNA(IF(VLOOKUP($B425&amp;OFFSET(K$10,$A425*2,0),'Mapping A'!$B$6:$E$1011,4,0)=1,$E425,""),0)</f>
        <v>0</v>
      </c>
      <c r="L425" s="519">
        <f ca="1">_xlfn.IFNA(IF(VLOOKUP($B425&amp;OFFSET(L$10,$A425*2,0),'Mapping A'!$B$6:$E$1011,4,0)=1,$E425,""),0)</f>
        <v>0</v>
      </c>
      <c r="M425" s="519">
        <f ca="1">_xlfn.IFNA(IF(VLOOKUP($B425&amp;OFFSET(M$10,$A425*2,0),'Mapping A'!$B$6:$E$1011,4,0)=1,$E425,""),0)</f>
        <v>0</v>
      </c>
      <c r="N425" s="519">
        <f ca="1">_xlfn.IFNA(IF(VLOOKUP($B425&amp;OFFSET(N$10,$A425*2,0),'Mapping A'!$B$6:$E$1011,4,0)=1,$E425,""),0)</f>
        <v>0</v>
      </c>
      <c r="O425" s="519">
        <f ca="1">_xlfn.IFNA(IF(VLOOKUP($B425&amp;OFFSET(O$10,$A425*2,0),'Mapping A'!$B$6:$E$1011,4,0)=1,$E425,""),0)</f>
        <v>0</v>
      </c>
      <c r="P425" s="519">
        <f ca="1">_xlfn.IFNA(IF(VLOOKUP($B425&amp;OFFSET(P$10,$A425*2,0),'Mapping A'!$B$6:$E$1011,4,0)=1,$E425,""),0)</f>
        <v>0</v>
      </c>
      <c r="Q425" s="519">
        <f ca="1">_xlfn.IFNA(IF(VLOOKUP($B425&amp;OFFSET(Q$10,$A425*2,0),'Mapping A'!$B$6:$E$1011,4,0)=1,$E425,""),0)</f>
        <v>0</v>
      </c>
      <c r="R425" s="519">
        <f ca="1">_xlfn.IFNA(IF(VLOOKUP($B425&amp;OFFSET(R$10,$A425*2,0),'Mapping A'!$B$6:$E$1011,4,0)=1,$E425,""),0)</f>
        <v>0</v>
      </c>
      <c r="S425" s="519">
        <f ca="1">_xlfn.IFNA(IF(VLOOKUP($B425&amp;OFFSET(S$10,$A425*2,0),'Mapping A'!$B$6:$E$1011,4,0)=1,$E425,""),0)</f>
        <v>0</v>
      </c>
      <c r="T425" s="519">
        <f ca="1">_xlfn.IFNA(IF(VLOOKUP($B425&amp;OFFSET(T$10,$A425*2,0),'Mapping A'!$B$6:$E$1011,4,0)=1,$E425,""),0)</f>
        <v>0</v>
      </c>
      <c r="Y425" s="534" t="str">
        <f t="shared" si="399"/>
        <v>TAK0331Vector</v>
      </c>
      <c r="Z425" s="519" t="str">
        <f t="shared" ref="Z425:AB425" si="480">C191</f>
        <v>Vector</v>
      </c>
      <c r="AA425" s="519" t="str">
        <f t="shared" si="480"/>
        <v>TAK0331</v>
      </c>
      <c r="AB425" s="519">
        <f t="shared" si="480"/>
        <v>119.8008</v>
      </c>
      <c r="AC425" s="324"/>
      <c r="AE425" s="519">
        <f t="shared" ca="1" si="383"/>
        <v>0</v>
      </c>
      <c r="AF425" s="519">
        <f t="shared" ca="1" si="384"/>
        <v>0</v>
      </c>
      <c r="AG425" s="519">
        <f t="shared" ca="1" si="385"/>
        <v>0</v>
      </c>
      <c r="AH425" s="519">
        <f t="shared" ca="1" si="386"/>
        <v>0</v>
      </c>
      <c r="AI425" s="519">
        <f t="shared" ca="1" si="387"/>
        <v>0</v>
      </c>
      <c r="AJ425" s="519">
        <f t="shared" ca="1" si="388"/>
        <v>0</v>
      </c>
      <c r="AK425" s="519">
        <f t="shared" ca="1" si="389"/>
        <v>0</v>
      </c>
      <c r="AL425" s="519">
        <f t="shared" ca="1" si="390"/>
        <v>0</v>
      </c>
      <c r="AM425" s="519">
        <f t="shared" ca="1" si="391"/>
        <v>0</v>
      </c>
      <c r="AN425" s="519">
        <f t="shared" ca="1" si="392"/>
        <v>0</v>
      </c>
      <c r="AO425" s="519">
        <f t="shared" ca="1" si="393"/>
        <v>0</v>
      </c>
      <c r="AP425" s="519">
        <f t="shared" ca="1" si="394"/>
        <v>0</v>
      </c>
      <c r="AQ425" s="519">
        <f t="shared" ca="1" si="395"/>
        <v>0</v>
      </c>
    </row>
    <row r="426" spans="1:43" x14ac:dyDescent="0.3">
      <c r="A426" s="556">
        <f t="shared" si="396"/>
        <v>2</v>
      </c>
      <c r="B426" s="519" t="str">
        <f t="shared" si="397"/>
        <v>TGA</v>
      </c>
      <c r="C426" s="519" t="str">
        <f t="shared" ref="C426:E426" si="481">C192</f>
        <v>Powerco</v>
      </c>
      <c r="D426" s="519" t="str">
        <f t="shared" si="481"/>
        <v>TGA0111</v>
      </c>
      <c r="E426" s="519">
        <f t="shared" si="481"/>
        <v>28.242899999999999</v>
      </c>
      <c r="H426" s="519">
        <f ca="1">_xlfn.IFNA(IF(VLOOKUP($B426&amp;OFFSET(H$10,$A426*2,0),'Mapping A'!$B$6:$E$1011,4,0)=1,$E426,""),0)</f>
        <v>0</v>
      </c>
      <c r="I426" s="519">
        <f ca="1">_xlfn.IFNA(IF(VLOOKUP($B426&amp;OFFSET(I$10,$A426*2,0),'Mapping A'!$B$6:$E$1011,4,0)=1,$E426,""),0)</f>
        <v>0</v>
      </c>
      <c r="J426" s="519">
        <f ca="1">_xlfn.IFNA(IF(VLOOKUP($B426&amp;OFFSET(J$10,$A426*2,0),'Mapping A'!$B$6:$E$1011,4,0)=1,$E426,""),0)</f>
        <v>0</v>
      </c>
      <c r="K426" s="519">
        <f ca="1">_xlfn.IFNA(IF(VLOOKUP($B426&amp;OFFSET(K$10,$A426*2,0),'Mapping A'!$B$6:$E$1011,4,0)=1,$E426,""),0)</f>
        <v>0</v>
      </c>
      <c r="L426" s="519">
        <f ca="1">_xlfn.IFNA(IF(VLOOKUP($B426&amp;OFFSET(L$10,$A426*2,0),'Mapping A'!$B$6:$E$1011,4,0)=1,$E426,""),0)</f>
        <v>0</v>
      </c>
      <c r="M426" s="519">
        <f ca="1">_xlfn.IFNA(IF(VLOOKUP($B426&amp;OFFSET(M$10,$A426*2,0),'Mapping A'!$B$6:$E$1011,4,0)=1,$E426,""),0)</f>
        <v>0</v>
      </c>
      <c r="N426" s="519">
        <f ca="1">_xlfn.IFNA(IF(VLOOKUP($B426&amp;OFFSET(N$10,$A426*2,0),'Mapping A'!$B$6:$E$1011,4,0)=1,$E426,""),0)</f>
        <v>0</v>
      </c>
      <c r="O426" s="519">
        <f ca="1">_xlfn.IFNA(IF(VLOOKUP($B426&amp;OFFSET(O$10,$A426*2,0),'Mapping A'!$B$6:$E$1011,4,0)=1,$E426,""),0)</f>
        <v>0</v>
      </c>
      <c r="P426" s="519">
        <f ca="1">_xlfn.IFNA(IF(VLOOKUP($B426&amp;OFFSET(P$10,$A426*2,0),'Mapping A'!$B$6:$E$1011,4,0)=1,$E426,""),0)</f>
        <v>0</v>
      </c>
      <c r="Q426" s="519">
        <f ca="1">_xlfn.IFNA(IF(VLOOKUP($B426&amp;OFFSET(Q$10,$A426*2,0),'Mapping A'!$B$6:$E$1011,4,0)=1,$E426,""),0)</f>
        <v>0</v>
      </c>
      <c r="R426" s="519">
        <f ca="1">_xlfn.IFNA(IF(VLOOKUP($B426&amp;OFFSET(R$10,$A426*2,0),'Mapping A'!$B$6:$E$1011,4,0)=1,$E426,""),0)</f>
        <v>0</v>
      </c>
      <c r="S426" s="519">
        <f ca="1">_xlfn.IFNA(IF(VLOOKUP($B426&amp;OFFSET(S$10,$A426*2,0),'Mapping A'!$B$6:$E$1011,4,0)=1,$E426,""),0)</f>
        <v>0</v>
      </c>
      <c r="T426" s="519">
        <f ca="1">_xlfn.IFNA(IF(VLOOKUP($B426&amp;OFFSET(T$10,$A426*2,0),'Mapping A'!$B$6:$E$1011,4,0)=1,$E426,""),0)</f>
        <v>0</v>
      </c>
      <c r="Y426" s="534" t="str">
        <f t="shared" si="399"/>
        <v>TGA0111Powerco</v>
      </c>
      <c r="Z426" s="519" t="str">
        <f t="shared" ref="Z426:AB426" si="482">C192</f>
        <v>Powerco</v>
      </c>
      <c r="AA426" s="519" t="str">
        <f t="shared" si="482"/>
        <v>TGA0111</v>
      </c>
      <c r="AB426" s="519">
        <f t="shared" si="482"/>
        <v>28.242899999999999</v>
      </c>
      <c r="AC426" s="324"/>
      <c r="AE426" s="519">
        <f t="shared" ca="1" si="383"/>
        <v>0</v>
      </c>
      <c r="AF426" s="519">
        <f t="shared" ca="1" si="384"/>
        <v>0</v>
      </c>
      <c r="AG426" s="519">
        <f t="shared" ca="1" si="385"/>
        <v>0</v>
      </c>
      <c r="AH426" s="519">
        <f t="shared" ca="1" si="386"/>
        <v>0</v>
      </c>
      <c r="AI426" s="519">
        <f t="shared" ca="1" si="387"/>
        <v>0</v>
      </c>
      <c r="AJ426" s="519">
        <f t="shared" ca="1" si="388"/>
        <v>0</v>
      </c>
      <c r="AK426" s="519">
        <f t="shared" ca="1" si="389"/>
        <v>0</v>
      </c>
      <c r="AL426" s="519">
        <f t="shared" ca="1" si="390"/>
        <v>0</v>
      </c>
      <c r="AM426" s="519">
        <f t="shared" ca="1" si="391"/>
        <v>0</v>
      </c>
      <c r="AN426" s="519">
        <f t="shared" ca="1" si="392"/>
        <v>0</v>
      </c>
      <c r="AO426" s="519">
        <f t="shared" ca="1" si="393"/>
        <v>0</v>
      </c>
      <c r="AP426" s="519">
        <f t="shared" ca="1" si="394"/>
        <v>0</v>
      </c>
      <c r="AQ426" s="519">
        <f t="shared" ca="1" si="395"/>
        <v>0</v>
      </c>
    </row>
    <row r="427" spans="1:43" x14ac:dyDescent="0.3">
      <c r="A427" s="556">
        <f t="shared" si="396"/>
        <v>2</v>
      </c>
      <c r="B427" s="519" t="str">
        <f t="shared" si="397"/>
        <v>TGA</v>
      </c>
      <c r="C427" s="519" t="str">
        <f t="shared" ref="C427:E427" si="483">C193</f>
        <v>Powerco</v>
      </c>
      <c r="D427" s="519" t="str">
        <f t="shared" si="483"/>
        <v>TGA0331</v>
      </c>
      <c r="E427" s="519">
        <f t="shared" si="483"/>
        <v>81.511499999999998</v>
      </c>
      <c r="H427" s="519">
        <f ca="1">_xlfn.IFNA(IF(VLOOKUP($B427&amp;OFFSET(H$10,$A427*2,0),'Mapping A'!$B$6:$E$1011,4,0)=1,$E427,""),0)</f>
        <v>0</v>
      </c>
      <c r="I427" s="519">
        <f ca="1">_xlfn.IFNA(IF(VLOOKUP($B427&amp;OFFSET(I$10,$A427*2,0),'Mapping A'!$B$6:$E$1011,4,0)=1,$E427,""),0)</f>
        <v>0</v>
      </c>
      <c r="J427" s="519">
        <f ca="1">_xlfn.IFNA(IF(VLOOKUP($B427&amp;OFFSET(J$10,$A427*2,0),'Mapping A'!$B$6:$E$1011,4,0)=1,$E427,""),0)</f>
        <v>0</v>
      </c>
      <c r="K427" s="519">
        <f ca="1">_xlfn.IFNA(IF(VLOOKUP($B427&amp;OFFSET(K$10,$A427*2,0),'Mapping A'!$B$6:$E$1011,4,0)=1,$E427,""),0)</f>
        <v>0</v>
      </c>
      <c r="L427" s="519">
        <f ca="1">_xlfn.IFNA(IF(VLOOKUP($B427&amp;OFFSET(L$10,$A427*2,0),'Mapping A'!$B$6:$E$1011,4,0)=1,$E427,""),0)</f>
        <v>0</v>
      </c>
      <c r="M427" s="519">
        <f ca="1">_xlfn.IFNA(IF(VLOOKUP($B427&amp;OFFSET(M$10,$A427*2,0),'Mapping A'!$B$6:$E$1011,4,0)=1,$E427,""),0)</f>
        <v>0</v>
      </c>
      <c r="N427" s="519">
        <f ca="1">_xlfn.IFNA(IF(VLOOKUP($B427&amp;OFFSET(N$10,$A427*2,0),'Mapping A'!$B$6:$E$1011,4,0)=1,$E427,""),0)</f>
        <v>0</v>
      </c>
      <c r="O427" s="519">
        <f ca="1">_xlfn.IFNA(IF(VLOOKUP($B427&amp;OFFSET(O$10,$A427*2,0),'Mapping A'!$B$6:$E$1011,4,0)=1,$E427,""),0)</f>
        <v>0</v>
      </c>
      <c r="P427" s="519">
        <f ca="1">_xlfn.IFNA(IF(VLOOKUP($B427&amp;OFFSET(P$10,$A427*2,0),'Mapping A'!$B$6:$E$1011,4,0)=1,$E427,""),0)</f>
        <v>0</v>
      </c>
      <c r="Q427" s="519">
        <f ca="1">_xlfn.IFNA(IF(VLOOKUP($B427&amp;OFFSET(Q$10,$A427*2,0),'Mapping A'!$B$6:$E$1011,4,0)=1,$E427,""),0)</f>
        <v>0</v>
      </c>
      <c r="R427" s="519">
        <f ca="1">_xlfn.IFNA(IF(VLOOKUP($B427&amp;OFFSET(R$10,$A427*2,0),'Mapping A'!$B$6:$E$1011,4,0)=1,$E427,""),0)</f>
        <v>0</v>
      </c>
      <c r="S427" s="519">
        <f ca="1">_xlfn.IFNA(IF(VLOOKUP($B427&amp;OFFSET(S$10,$A427*2,0),'Mapping A'!$B$6:$E$1011,4,0)=1,$E427,""),0)</f>
        <v>0</v>
      </c>
      <c r="T427" s="519">
        <f ca="1">_xlfn.IFNA(IF(VLOOKUP($B427&amp;OFFSET(T$10,$A427*2,0),'Mapping A'!$B$6:$E$1011,4,0)=1,$E427,""),0)</f>
        <v>0</v>
      </c>
      <c r="Y427" s="534" t="str">
        <f t="shared" si="399"/>
        <v>TGA0331Powerco</v>
      </c>
      <c r="Z427" s="519" t="str">
        <f t="shared" ref="Z427:AB427" si="484">C193</f>
        <v>Powerco</v>
      </c>
      <c r="AA427" s="519" t="str">
        <f t="shared" si="484"/>
        <v>TGA0331</v>
      </c>
      <c r="AB427" s="519">
        <f t="shared" si="484"/>
        <v>81.511499999999998</v>
      </c>
      <c r="AC427" s="324"/>
      <c r="AE427" s="519">
        <f t="shared" ca="1" si="383"/>
        <v>0</v>
      </c>
      <c r="AF427" s="519">
        <f t="shared" ca="1" si="384"/>
        <v>0</v>
      </c>
      <c r="AG427" s="519">
        <f t="shared" ca="1" si="385"/>
        <v>0</v>
      </c>
      <c r="AH427" s="519">
        <f t="shared" ca="1" si="386"/>
        <v>0</v>
      </c>
      <c r="AI427" s="519">
        <f t="shared" ca="1" si="387"/>
        <v>0</v>
      </c>
      <c r="AJ427" s="519">
        <f t="shared" ca="1" si="388"/>
        <v>0</v>
      </c>
      <c r="AK427" s="519">
        <f t="shared" ca="1" si="389"/>
        <v>0</v>
      </c>
      <c r="AL427" s="519">
        <f t="shared" ca="1" si="390"/>
        <v>0</v>
      </c>
      <c r="AM427" s="519">
        <f t="shared" ca="1" si="391"/>
        <v>0</v>
      </c>
      <c r="AN427" s="519">
        <f t="shared" ca="1" si="392"/>
        <v>0</v>
      </c>
      <c r="AO427" s="519">
        <f t="shared" ca="1" si="393"/>
        <v>0</v>
      </c>
      <c r="AP427" s="519">
        <f t="shared" ca="1" si="394"/>
        <v>0</v>
      </c>
      <c r="AQ427" s="519">
        <f t="shared" ca="1" si="395"/>
        <v>0</v>
      </c>
    </row>
    <row r="428" spans="1:43" x14ac:dyDescent="0.3">
      <c r="A428" s="556">
        <f t="shared" si="396"/>
        <v>2</v>
      </c>
      <c r="B428" s="519" t="str">
        <f t="shared" si="397"/>
        <v>THI</v>
      </c>
      <c r="C428" s="519" t="str">
        <f t="shared" ref="C428:E428" si="485">C194</f>
        <v>Contact</v>
      </c>
      <c r="D428" s="519" t="str">
        <f t="shared" si="485"/>
        <v>THI2201</v>
      </c>
      <c r="E428" s="519">
        <f t="shared" si="485"/>
        <v>9.0299999999999994</v>
      </c>
      <c r="H428" s="519">
        <f ca="1">_xlfn.IFNA(IF(VLOOKUP($B428&amp;OFFSET(H$10,$A428*2,0),'Mapping A'!$B$6:$E$1011,4,0)=1,$E428,""),0)</f>
        <v>0</v>
      </c>
      <c r="I428" s="519">
        <f ca="1">_xlfn.IFNA(IF(VLOOKUP($B428&amp;OFFSET(I$10,$A428*2,0),'Mapping A'!$B$6:$E$1011,4,0)=1,$E428,""),0)</f>
        <v>0</v>
      </c>
      <c r="J428" s="519">
        <f ca="1">_xlfn.IFNA(IF(VLOOKUP($B428&amp;OFFSET(J$10,$A428*2,0),'Mapping A'!$B$6:$E$1011,4,0)=1,$E428,""),0)</f>
        <v>0</v>
      </c>
      <c r="K428" s="519">
        <f ca="1">_xlfn.IFNA(IF(VLOOKUP($B428&amp;OFFSET(K$10,$A428*2,0),'Mapping A'!$B$6:$E$1011,4,0)=1,$E428,""),0)</f>
        <v>0</v>
      </c>
      <c r="L428" s="519">
        <f ca="1">_xlfn.IFNA(IF(VLOOKUP($B428&amp;OFFSET(L$10,$A428*2,0),'Mapping A'!$B$6:$E$1011,4,0)=1,$E428,""),0)</f>
        <v>0</v>
      </c>
      <c r="M428" s="519">
        <f ca="1">_xlfn.IFNA(IF(VLOOKUP($B428&amp;OFFSET(M$10,$A428*2,0),'Mapping A'!$B$6:$E$1011,4,0)=1,$E428,""),0)</f>
        <v>0</v>
      </c>
      <c r="N428" s="519">
        <f ca="1">_xlfn.IFNA(IF(VLOOKUP($B428&amp;OFFSET(N$10,$A428*2,0),'Mapping A'!$B$6:$E$1011,4,0)=1,$E428,""),0)</f>
        <v>0</v>
      </c>
      <c r="O428" s="519">
        <f ca="1">_xlfn.IFNA(IF(VLOOKUP($B428&amp;OFFSET(O$10,$A428*2,0),'Mapping A'!$B$6:$E$1011,4,0)=1,$E428,""),0)</f>
        <v>0</v>
      </c>
      <c r="P428" s="519">
        <f ca="1">_xlfn.IFNA(IF(VLOOKUP($B428&amp;OFFSET(P$10,$A428*2,0),'Mapping A'!$B$6:$E$1011,4,0)=1,$E428,""),0)</f>
        <v>0</v>
      </c>
      <c r="Q428" s="519">
        <f ca="1">_xlfn.IFNA(IF(VLOOKUP($B428&amp;OFFSET(Q$10,$A428*2,0),'Mapping A'!$B$6:$E$1011,4,0)=1,$E428,""),0)</f>
        <v>0</v>
      </c>
      <c r="R428" s="519">
        <f ca="1">_xlfn.IFNA(IF(VLOOKUP($B428&amp;OFFSET(R$10,$A428*2,0),'Mapping A'!$B$6:$E$1011,4,0)=1,$E428,""),0)</f>
        <v>0</v>
      </c>
      <c r="S428" s="519">
        <f ca="1">_xlfn.IFNA(IF(VLOOKUP($B428&amp;OFFSET(S$10,$A428*2,0),'Mapping A'!$B$6:$E$1011,4,0)=1,$E428,""),0)</f>
        <v>0</v>
      </c>
      <c r="T428" s="519">
        <f ca="1">_xlfn.IFNA(IF(VLOOKUP($B428&amp;OFFSET(T$10,$A428*2,0),'Mapping A'!$B$6:$E$1011,4,0)=1,$E428,""),0)</f>
        <v>0</v>
      </c>
      <c r="Y428" s="534" t="str">
        <f t="shared" si="399"/>
        <v>THI2201Contact</v>
      </c>
      <c r="Z428" s="519" t="str">
        <f t="shared" ref="Z428:AB428" si="486">C194</f>
        <v>Contact</v>
      </c>
      <c r="AA428" s="519" t="str">
        <f t="shared" si="486"/>
        <v>THI2201</v>
      </c>
      <c r="AB428" s="519">
        <f t="shared" si="486"/>
        <v>9.0299999999999994</v>
      </c>
      <c r="AC428" s="324"/>
      <c r="AE428" s="519">
        <f t="shared" ca="1" si="383"/>
        <v>0</v>
      </c>
      <c r="AF428" s="519">
        <f t="shared" ca="1" si="384"/>
        <v>0</v>
      </c>
      <c r="AG428" s="519">
        <f t="shared" ca="1" si="385"/>
        <v>0</v>
      </c>
      <c r="AH428" s="519">
        <f t="shared" ca="1" si="386"/>
        <v>0</v>
      </c>
      <c r="AI428" s="519">
        <f t="shared" ca="1" si="387"/>
        <v>0</v>
      </c>
      <c r="AJ428" s="519">
        <f t="shared" ca="1" si="388"/>
        <v>0</v>
      </c>
      <c r="AK428" s="519">
        <f t="shared" ca="1" si="389"/>
        <v>0</v>
      </c>
      <c r="AL428" s="519">
        <f t="shared" ca="1" si="390"/>
        <v>0</v>
      </c>
      <c r="AM428" s="519">
        <f t="shared" ca="1" si="391"/>
        <v>0</v>
      </c>
      <c r="AN428" s="519">
        <f t="shared" ca="1" si="392"/>
        <v>0</v>
      </c>
      <c r="AO428" s="519">
        <f t="shared" ca="1" si="393"/>
        <v>0</v>
      </c>
      <c r="AP428" s="519">
        <f t="shared" ca="1" si="394"/>
        <v>0</v>
      </c>
      <c r="AQ428" s="519">
        <f t="shared" ca="1" si="395"/>
        <v>0</v>
      </c>
    </row>
    <row r="429" spans="1:43" x14ac:dyDescent="0.3">
      <c r="A429" s="556">
        <f t="shared" si="396"/>
        <v>2</v>
      </c>
      <c r="B429" s="519" t="str">
        <f t="shared" si="397"/>
        <v>TIM</v>
      </c>
      <c r="C429" s="519" t="str">
        <f t="shared" ref="C429:E429" si="487">C195</f>
        <v>Alpine Energy</v>
      </c>
      <c r="D429" s="519" t="str">
        <f t="shared" si="487"/>
        <v>TIM0111</v>
      </c>
      <c r="E429" s="519">
        <f t="shared" si="487"/>
        <v>65.599800000000002</v>
      </c>
      <c r="H429" s="519">
        <f ca="1">_xlfn.IFNA(IF(VLOOKUP($B429&amp;OFFSET(H$10,$A429*2,0),'Mapping A'!$B$6:$E$1011,4,0)=1,$E429,""),0)</f>
        <v>0</v>
      </c>
      <c r="I429" s="519">
        <f ca="1">_xlfn.IFNA(IF(VLOOKUP($B429&amp;OFFSET(I$10,$A429*2,0),'Mapping A'!$B$6:$E$1011,4,0)=1,$E429,""),0)</f>
        <v>0</v>
      </c>
      <c r="J429" s="519">
        <f ca="1">_xlfn.IFNA(IF(VLOOKUP($B429&amp;OFFSET(J$10,$A429*2,0),'Mapping A'!$B$6:$E$1011,4,0)=1,$E429,""),0)</f>
        <v>65.599800000000002</v>
      </c>
      <c r="K429" s="519">
        <f ca="1">_xlfn.IFNA(IF(VLOOKUP($B429&amp;OFFSET(K$10,$A429*2,0),'Mapping A'!$B$6:$E$1011,4,0)=1,$E429,""),0)</f>
        <v>0</v>
      </c>
      <c r="L429" s="519">
        <f ca="1">_xlfn.IFNA(IF(VLOOKUP($B429&amp;OFFSET(L$10,$A429*2,0),'Mapping A'!$B$6:$E$1011,4,0)=1,$E429,""),0)</f>
        <v>0</v>
      </c>
      <c r="M429" s="519">
        <f ca="1">_xlfn.IFNA(IF(VLOOKUP($B429&amp;OFFSET(M$10,$A429*2,0),'Mapping A'!$B$6:$E$1011,4,0)=1,$E429,""),0)</f>
        <v>0</v>
      </c>
      <c r="N429" s="519">
        <f ca="1">_xlfn.IFNA(IF(VLOOKUP($B429&amp;OFFSET(N$10,$A429*2,0),'Mapping A'!$B$6:$E$1011,4,0)=1,$E429,""),0)</f>
        <v>0</v>
      </c>
      <c r="O429" s="519">
        <f ca="1">_xlfn.IFNA(IF(VLOOKUP($B429&amp;OFFSET(O$10,$A429*2,0),'Mapping A'!$B$6:$E$1011,4,0)=1,$E429,""),0)</f>
        <v>0</v>
      </c>
      <c r="P429" s="519">
        <f ca="1">_xlfn.IFNA(IF(VLOOKUP($B429&amp;OFFSET(P$10,$A429*2,0),'Mapping A'!$B$6:$E$1011,4,0)=1,$E429,""),0)</f>
        <v>0</v>
      </c>
      <c r="Q429" s="519">
        <f ca="1">_xlfn.IFNA(IF(VLOOKUP($B429&amp;OFFSET(Q$10,$A429*2,0),'Mapping A'!$B$6:$E$1011,4,0)=1,$E429,""),0)</f>
        <v>0</v>
      </c>
      <c r="R429" s="519">
        <f ca="1">_xlfn.IFNA(IF(VLOOKUP($B429&amp;OFFSET(R$10,$A429*2,0),'Mapping A'!$B$6:$E$1011,4,0)=1,$E429,""),0)</f>
        <v>0</v>
      </c>
      <c r="S429" s="519">
        <f ca="1">_xlfn.IFNA(IF(VLOOKUP($B429&amp;OFFSET(S$10,$A429*2,0),'Mapping A'!$B$6:$E$1011,4,0)=1,$E429,""),0)</f>
        <v>0</v>
      </c>
      <c r="T429" s="519">
        <f ca="1">_xlfn.IFNA(IF(VLOOKUP($B429&amp;OFFSET(T$10,$A429*2,0),'Mapping A'!$B$6:$E$1011,4,0)=1,$E429,""),0)</f>
        <v>0</v>
      </c>
      <c r="Y429" s="534" t="str">
        <f t="shared" si="399"/>
        <v>TIM0111Alpine Energy</v>
      </c>
      <c r="Z429" s="519" t="str">
        <f t="shared" ref="Z429:AB429" si="488">C195</f>
        <v>Alpine Energy</v>
      </c>
      <c r="AA429" s="519" t="str">
        <f t="shared" si="488"/>
        <v>TIM0111</v>
      </c>
      <c r="AB429" s="519">
        <f t="shared" si="488"/>
        <v>65.599800000000002</v>
      </c>
      <c r="AC429" s="324"/>
      <c r="AE429" s="519">
        <f t="shared" ca="1" si="383"/>
        <v>0</v>
      </c>
      <c r="AF429" s="519">
        <f t="shared" ca="1" si="384"/>
        <v>0</v>
      </c>
      <c r="AG429" s="519">
        <f t="shared" ca="1" si="385"/>
        <v>0</v>
      </c>
      <c r="AH429" s="519">
        <f t="shared" ca="1" si="386"/>
        <v>0</v>
      </c>
      <c r="AI429" s="519">
        <f t="shared" ca="1" si="387"/>
        <v>0</v>
      </c>
      <c r="AJ429" s="519">
        <f t="shared" ca="1" si="388"/>
        <v>0</v>
      </c>
      <c r="AK429" s="519">
        <f t="shared" ca="1" si="389"/>
        <v>0</v>
      </c>
      <c r="AL429" s="519">
        <f t="shared" ca="1" si="390"/>
        <v>0</v>
      </c>
      <c r="AM429" s="519">
        <f t="shared" ca="1" si="391"/>
        <v>0</v>
      </c>
      <c r="AN429" s="519">
        <f t="shared" ca="1" si="392"/>
        <v>0</v>
      </c>
      <c r="AO429" s="519">
        <f t="shared" ca="1" si="393"/>
        <v>0</v>
      </c>
      <c r="AP429" s="519">
        <f t="shared" ca="1" si="394"/>
        <v>0</v>
      </c>
      <c r="AQ429" s="519">
        <f t="shared" ca="1" si="395"/>
        <v>0</v>
      </c>
    </row>
    <row r="430" spans="1:43" x14ac:dyDescent="0.3">
      <c r="A430" s="556">
        <f t="shared" si="396"/>
        <v>2</v>
      </c>
      <c r="B430" s="519" t="str">
        <f t="shared" si="397"/>
        <v>TKA</v>
      </c>
      <c r="C430" s="519" t="str">
        <f t="shared" ref="C430:E430" si="489">C196</f>
        <v>Genesis</v>
      </c>
      <c r="D430" s="519" t="str">
        <f t="shared" si="489"/>
        <v>TKA0111</v>
      </c>
      <c r="E430" s="519">
        <f t="shared" si="489"/>
        <v>0.17849999999999999</v>
      </c>
      <c r="H430" s="519">
        <f ca="1">_xlfn.IFNA(IF(VLOOKUP($B430&amp;OFFSET(H$10,$A430*2,0),'Mapping A'!$B$6:$E$1011,4,0)=1,$E430,""),0)</f>
        <v>0</v>
      </c>
      <c r="I430" s="519">
        <f ca="1">_xlfn.IFNA(IF(VLOOKUP($B430&amp;OFFSET(I$10,$A430*2,0),'Mapping A'!$B$6:$E$1011,4,0)=1,$E430,""),0)</f>
        <v>0</v>
      </c>
      <c r="J430" s="519">
        <f ca="1">_xlfn.IFNA(IF(VLOOKUP($B430&amp;OFFSET(J$10,$A430*2,0),'Mapping A'!$B$6:$E$1011,4,0)=1,$E430,""),0)</f>
        <v>0.17849999999999999</v>
      </c>
      <c r="K430" s="519">
        <f ca="1">_xlfn.IFNA(IF(VLOOKUP($B430&amp;OFFSET(K$10,$A430*2,0),'Mapping A'!$B$6:$E$1011,4,0)=1,$E430,""),0)</f>
        <v>0</v>
      </c>
      <c r="L430" s="519">
        <f ca="1">_xlfn.IFNA(IF(VLOOKUP($B430&amp;OFFSET(L$10,$A430*2,0),'Mapping A'!$B$6:$E$1011,4,0)=1,$E430,""),0)</f>
        <v>0</v>
      </c>
      <c r="M430" s="519">
        <f ca="1">_xlfn.IFNA(IF(VLOOKUP($B430&amp;OFFSET(M$10,$A430*2,0),'Mapping A'!$B$6:$E$1011,4,0)=1,$E430,""),0)</f>
        <v>0</v>
      </c>
      <c r="N430" s="519">
        <f ca="1">_xlfn.IFNA(IF(VLOOKUP($B430&amp;OFFSET(N$10,$A430*2,0),'Mapping A'!$B$6:$E$1011,4,0)=1,$E430,""),0)</f>
        <v>0</v>
      </c>
      <c r="O430" s="519">
        <f ca="1">_xlfn.IFNA(IF(VLOOKUP($B430&amp;OFFSET(O$10,$A430*2,0),'Mapping A'!$B$6:$E$1011,4,0)=1,$E430,""),0)</f>
        <v>0</v>
      </c>
      <c r="P430" s="519">
        <f ca="1">_xlfn.IFNA(IF(VLOOKUP($B430&amp;OFFSET(P$10,$A430*2,0),'Mapping A'!$B$6:$E$1011,4,0)=1,$E430,""),0)</f>
        <v>0</v>
      </c>
      <c r="Q430" s="519">
        <f ca="1">_xlfn.IFNA(IF(VLOOKUP($B430&amp;OFFSET(Q$10,$A430*2,0),'Mapping A'!$B$6:$E$1011,4,0)=1,$E430,""),0)</f>
        <v>0</v>
      </c>
      <c r="R430" s="519">
        <f ca="1">_xlfn.IFNA(IF(VLOOKUP($B430&amp;OFFSET(R$10,$A430*2,0),'Mapping A'!$B$6:$E$1011,4,0)=1,$E430,""),0)</f>
        <v>0</v>
      </c>
      <c r="S430" s="519">
        <f ca="1">_xlfn.IFNA(IF(VLOOKUP($B430&amp;OFFSET(S$10,$A430*2,0),'Mapping A'!$B$6:$E$1011,4,0)=1,$E430,""),0)</f>
        <v>0</v>
      </c>
      <c r="T430" s="519">
        <f ca="1">_xlfn.IFNA(IF(VLOOKUP($B430&amp;OFFSET(T$10,$A430*2,0),'Mapping A'!$B$6:$E$1011,4,0)=1,$E430,""),0)</f>
        <v>0</v>
      </c>
      <c r="Y430" s="534" t="str">
        <f t="shared" si="399"/>
        <v>TKA0111Genesis</v>
      </c>
      <c r="Z430" s="519" t="str">
        <f t="shared" ref="Z430:AB430" si="490">C196</f>
        <v>Genesis</v>
      </c>
      <c r="AA430" s="519" t="str">
        <f t="shared" si="490"/>
        <v>TKA0111</v>
      </c>
      <c r="AB430" s="519">
        <f t="shared" si="490"/>
        <v>0.17849999999999999</v>
      </c>
      <c r="AC430" s="324"/>
      <c r="AE430" s="519">
        <f t="shared" ca="1" si="383"/>
        <v>0</v>
      </c>
      <c r="AF430" s="519">
        <f t="shared" ca="1" si="384"/>
        <v>0</v>
      </c>
      <c r="AG430" s="519">
        <f t="shared" ca="1" si="385"/>
        <v>0</v>
      </c>
      <c r="AH430" s="519">
        <f t="shared" ca="1" si="386"/>
        <v>0</v>
      </c>
      <c r="AI430" s="519">
        <f t="shared" ca="1" si="387"/>
        <v>0</v>
      </c>
      <c r="AJ430" s="519">
        <f t="shared" ca="1" si="388"/>
        <v>0</v>
      </c>
      <c r="AK430" s="519">
        <f t="shared" ca="1" si="389"/>
        <v>0</v>
      </c>
      <c r="AL430" s="519">
        <f t="shared" ca="1" si="390"/>
        <v>0</v>
      </c>
      <c r="AM430" s="519">
        <f t="shared" ca="1" si="391"/>
        <v>0</v>
      </c>
      <c r="AN430" s="519">
        <f t="shared" ca="1" si="392"/>
        <v>0</v>
      </c>
      <c r="AO430" s="519">
        <f t="shared" ca="1" si="393"/>
        <v>0</v>
      </c>
      <c r="AP430" s="519">
        <f t="shared" ca="1" si="394"/>
        <v>0</v>
      </c>
      <c r="AQ430" s="519">
        <f t="shared" ca="1" si="395"/>
        <v>0</v>
      </c>
    </row>
    <row r="431" spans="1:43" x14ac:dyDescent="0.3">
      <c r="A431" s="556">
        <f t="shared" si="396"/>
        <v>2</v>
      </c>
      <c r="B431" s="519" t="str">
        <f t="shared" si="397"/>
        <v>TKA</v>
      </c>
      <c r="C431" s="519" t="str">
        <f t="shared" ref="C431:E431" si="491">C197</f>
        <v>Alpine Energy</v>
      </c>
      <c r="D431" s="519" t="str">
        <f t="shared" si="491"/>
        <v>TKA0331</v>
      </c>
      <c r="E431" s="519">
        <f t="shared" si="491"/>
        <v>3.9375</v>
      </c>
      <c r="H431" s="519">
        <f ca="1">_xlfn.IFNA(IF(VLOOKUP($B431&amp;OFFSET(H$10,$A431*2,0),'Mapping A'!$B$6:$E$1011,4,0)=1,$E431,""),0)</f>
        <v>0</v>
      </c>
      <c r="I431" s="519">
        <f ca="1">_xlfn.IFNA(IF(VLOOKUP($B431&amp;OFFSET(I$10,$A431*2,0),'Mapping A'!$B$6:$E$1011,4,0)=1,$E431,""),0)</f>
        <v>0</v>
      </c>
      <c r="J431" s="519">
        <f ca="1">_xlfn.IFNA(IF(VLOOKUP($B431&amp;OFFSET(J$10,$A431*2,0),'Mapping A'!$B$6:$E$1011,4,0)=1,$E431,""),0)</f>
        <v>3.9375</v>
      </c>
      <c r="K431" s="519">
        <f ca="1">_xlfn.IFNA(IF(VLOOKUP($B431&amp;OFFSET(K$10,$A431*2,0),'Mapping A'!$B$6:$E$1011,4,0)=1,$E431,""),0)</f>
        <v>0</v>
      </c>
      <c r="L431" s="519">
        <f ca="1">_xlfn.IFNA(IF(VLOOKUP($B431&amp;OFFSET(L$10,$A431*2,0),'Mapping A'!$B$6:$E$1011,4,0)=1,$E431,""),0)</f>
        <v>0</v>
      </c>
      <c r="M431" s="519">
        <f ca="1">_xlfn.IFNA(IF(VLOOKUP($B431&amp;OFFSET(M$10,$A431*2,0),'Mapping A'!$B$6:$E$1011,4,0)=1,$E431,""),0)</f>
        <v>0</v>
      </c>
      <c r="N431" s="519">
        <f ca="1">_xlfn.IFNA(IF(VLOOKUP($B431&amp;OFFSET(N$10,$A431*2,0),'Mapping A'!$B$6:$E$1011,4,0)=1,$E431,""),0)</f>
        <v>0</v>
      </c>
      <c r="O431" s="519">
        <f ca="1">_xlfn.IFNA(IF(VLOOKUP($B431&amp;OFFSET(O$10,$A431*2,0),'Mapping A'!$B$6:$E$1011,4,0)=1,$E431,""),0)</f>
        <v>0</v>
      </c>
      <c r="P431" s="519">
        <f ca="1">_xlfn.IFNA(IF(VLOOKUP($B431&amp;OFFSET(P$10,$A431*2,0),'Mapping A'!$B$6:$E$1011,4,0)=1,$E431,""),0)</f>
        <v>0</v>
      </c>
      <c r="Q431" s="519">
        <f ca="1">_xlfn.IFNA(IF(VLOOKUP($B431&amp;OFFSET(Q$10,$A431*2,0),'Mapping A'!$B$6:$E$1011,4,0)=1,$E431,""),0)</f>
        <v>0</v>
      </c>
      <c r="R431" s="519">
        <f ca="1">_xlfn.IFNA(IF(VLOOKUP($B431&amp;OFFSET(R$10,$A431*2,0),'Mapping A'!$B$6:$E$1011,4,0)=1,$E431,""),0)</f>
        <v>0</v>
      </c>
      <c r="S431" s="519">
        <f ca="1">_xlfn.IFNA(IF(VLOOKUP($B431&amp;OFFSET(S$10,$A431*2,0),'Mapping A'!$B$6:$E$1011,4,0)=1,$E431,""),0)</f>
        <v>0</v>
      </c>
      <c r="T431" s="519">
        <f ca="1">_xlfn.IFNA(IF(VLOOKUP($B431&amp;OFFSET(T$10,$A431*2,0),'Mapping A'!$B$6:$E$1011,4,0)=1,$E431,""),0)</f>
        <v>0</v>
      </c>
      <c r="Y431" s="534" t="str">
        <f t="shared" si="399"/>
        <v>TKA0331Alpine Energy</v>
      </c>
      <c r="Z431" s="519" t="str">
        <f t="shared" ref="Z431:AB431" si="492">C197</f>
        <v>Alpine Energy</v>
      </c>
      <c r="AA431" s="519" t="str">
        <f t="shared" si="492"/>
        <v>TKA0331</v>
      </c>
      <c r="AB431" s="519">
        <f t="shared" si="492"/>
        <v>3.9375</v>
      </c>
      <c r="AC431" s="324"/>
      <c r="AE431" s="519">
        <f t="shared" ca="1" si="383"/>
        <v>0</v>
      </c>
      <c r="AF431" s="519">
        <f t="shared" ca="1" si="384"/>
        <v>0</v>
      </c>
      <c r="AG431" s="519">
        <f t="shared" ca="1" si="385"/>
        <v>0</v>
      </c>
      <c r="AH431" s="519">
        <f t="shared" ca="1" si="386"/>
        <v>0</v>
      </c>
      <c r="AI431" s="519">
        <f t="shared" ca="1" si="387"/>
        <v>0</v>
      </c>
      <c r="AJ431" s="519">
        <f t="shared" ca="1" si="388"/>
        <v>0</v>
      </c>
      <c r="AK431" s="519">
        <f t="shared" ca="1" si="389"/>
        <v>0</v>
      </c>
      <c r="AL431" s="519">
        <f t="shared" ca="1" si="390"/>
        <v>0</v>
      </c>
      <c r="AM431" s="519">
        <f t="shared" ca="1" si="391"/>
        <v>0</v>
      </c>
      <c r="AN431" s="519">
        <f t="shared" ca="1" si="392"/>
        <v>0</v>
      </c>
      <c r="AO431" s="519">
        <f t="shared" ca="1" si="393"/>
        <v>0</v>
      </c>
      <c r="AP431" s="519">
        <f t="shared" ca="1" si="394"/>
        <v>0</v>
      </c>
      <c r="AQ431" s="519">
        <f t="shared" ca="1" si="395"/>
        <v>0</v>
      </c>
    </row>
    <row r="432" spans="1:43" x14ac:dyDescent="0.3">
      <c r="A432" s="556">
        <f t="shared" si="396"/>
        <v>2</v>
      </c>
      <c r="B432" s="519" t="str">
        <f t="shared" si="397"/>
        <v>TKB</v>
      </c>
      <c r="C432" s="519" t="str">
        <f t="shared" ref="C432:E432" si="493">C198</f>
        <v>Genesis</v>
      </c>
      <c r="D432" s="519" t="str">
        <f t="shared" si="493"/>
        <v>TKB2201</v>
      </c>
      <c r="E432" s="519">
        <f t="shared" si="493"/>
        <v>1.0500000000000001E-2</v>
      </c>
      <c r="H432" s="519">
        <f ca="1">_xlfn.IFNA(IF(VLOOKUP($B432&amp;OFFSET(H$10,$A432*2,0),'Mapping A'!$B$6:$E$1011,4,0)=1,$E432,""),0)</f>
        <v>0</v>
      </c>
      <c r="I432" s="519">
        <f ca="1">_xlfn.IFNA(IF(VLOOKUP($B432&amp;OFFSET(I$10,$A432*2,0),'Mapping A'!$B$6:$E$1011,4,0)=1,$E432,""),0)</f>
        <v>0</v>
      </c>
      <c r="J432" s="519">
        <f ca="1">_xlfn.IFNA(IF(VLOOKUP($B432&amp;OFFSET(J$10,$A432*2,0),'Mapping A'!$B$6:$E$1011,4,0)=1,$E432,""),0)</f>
        <v>0</v>
      </c>
      <c r="K432" s="519">
        <f ca="1">_xlfn.IFNA(IF(VLOOKUP($B432&amp;OFFSET(K$10,$A432*2,0),'Mapping A'!$B$6:$E$1011,4,0)=1,$E432,""),0)</f>
        <v>0</v>
      </c>
      <c r="L432" s="519">
        <f ca="1">_xlfn.IFNA(IF(VLOOKUP($B432&amp;OFFSET(L$10,$A432*2,0),'Mapping A'!$B$6:$E$1011,4,0)=1,$E432,""),0)</f>
        <v>0</v>
      </c>
      <c r="M432" s="519">
        <f ca="1">_xlfn.IFNA(IF(VLOOKUP($B432&amp;OFFSET(M$10,$A432*2,0),'Mapping A'!$B$6:$E$1011,4,0)=1,$E432,""),0)</f>
        <v>0</v>
      </c>
      <c r="N432" s="519">
        <f ca="1">_xlfn.IFNA(IF(VLOOKUP($B432&amp;OFFSET(N$10,$A432*2,0),'Mapping A'!$B$6:$E$1011,4,0)=1,$E432,""),0)</f>
        <v>0</v>
      </c>
      <c r="O432" s="519">
        <f ca="1">_xlfn.IFNA(IF(VLOOKUP($B432&amp;OFFSET(O$10,$A432*2,0),'Mapping A'!$B$6:$E$1011,4,0)=1,$E432,""),0)</f>
        <v>0</v>
      </c>
      <c r="P432" s="519">
        <f ca="1">_xlfn.IFNA(IF(VLOOKUP($B432&amp;OFFSET(P$10,$A432*2,0),'Mapping A'!$B$6:$E$1011,4,0)=1,$E432,""),0)</f>
        <v>0</v>
      </c>
      <c r="Q432" s="519">
        <f ca="1">_xlfn.IFNA(IF(VLOOKUP($B432&amp;OFFSET(Q$10,$A432*2,0),'Mapping A'!$B$6:$E$1011,4,0)=1,$E432,""),0)</f>
        <v>0</v>
      </c>
      <c r="R432" s="519">
        <f ca="1">_xlfn.IFNA(IF(VLOOKUP($B432&amp;OFFSET(R$10,$A432*2,0),'Mapping A'!$B$6:$E$1011,4,0)=1,$E432,""),0)</f>
        <v>0</v>
      </c>
      <c r="S432" s="519">
        <f ca="1">_xlfn.IFNA(IF(VLOOKUP($B432&amp;OFFSET(S$10,$A432*2,0),'Mapping A'!$B$6:$E$1011,4,0)=1,$E432,""),0)</f>
        <v>0</v>
      </c>
      <c r="T432" s="519">
        <f ca="1">_xlfn.IFNA(IF(VLOOKUP($B432&amp;OFFSET(T$10,$A432*2,0),'Mapping A'!$B$6:$E$1011,4,0)=1,$E432,""),0)</f>
        <v>0</v>
      </c>
      <c r="Y432" s="534" t="str">
        <f t="shared" si="399"/>
        <v>TKB2201Genesis</v>
      </c>
      <c r="Z432" s="519" t="str">
        <f t="shared" ref="Z432:AB432" si="494">C198</f>
        <v>Genesis</v>
      </c>
      <c r="AA432" s="519" t="str">
        <f t="shared" si="494"/>
        <v>TKB2201</v>
      </c>
      <c r="AB432" s="519">
        <f t="shared" si="494"/>
        <v>1.0500000000000001E-2</v>
      </c>
      <c r="AC432" s="324"/>
      <c r="AE432" s="519">
        <f t="shared" ca="1" si="383"/>
        <v>0</v>
      </c>
      <c r="AF432" s="519">
        <f t="shared" ca="1" si="384"/>
        <v>0</v>
      </c>
      <c r="AG432" s="519">
        <f t="shared" ca="1" si="385"/>
        <v>0</v>
      </c>
      <c r="AH432" s="519">
        <f t="shared" ca="1" si="386"/>
        <v>0</v>
      </c>
      <c r="AI432" s="519">
        <f t="shared" ca="1" si="387"/>
        <v>0</v>
      </c>
      <c r="AJ432" s="519">
        <f t="shared" ca="1" si="388"/>
        <v>0</v>
      </c>
      <c r="AK432" s="519">
        <f t="shared" ca="1" si="389"/>
        <v>0</v>
      </c>
      <c r="AL432" s="519">
        <f t="shared" ca="1" si="390"/>
        <v>0</v>
      </c>
      <c r="AM432" s="519">
        <f t="shared" ca="1" si="391"/>
        <v>0</v>
      </c>
      <c r="AN432" s="519">
        <f t="shared" ca="1" si="392"/>
        <v>0</v>
      </c>
      <c r="AO432" s="519">
        <f t="shared" ca="1" si="393"/>
        <v>0</v>
      </c>
      <c r="AP432" s="519">
        <f t="shared" ca="1" si="394"/>
        <v>0</v>
      </c>
      <c r="AQ432" s="519">
        <f t="shared" ca="1" si="395"/>
        <v>0</v>
      </c>
    </row>
    <row r="433" spans="1:43" x14ac:dyDescent="0.3">
      <c r="A433" s="556">
        <f t="shared" si="396"/>
        <v>2</v>
      </c>
      <c r="B433" s="519" t="str">
        <f t="shared" si="397"/>
        <v>TKH</v>
      </c>
      <c r="C433" s="519" t="str">
        <f t="shared" ref="C433:E433" si="495">C199</f>
        <v>Horizon</v>
      </c>
      <c r="D433" s="519" t="str">
        <f t="shared" si="495"/>
        <v>TKH0111</v>
      </c>
      <c r="E433" s="519">
        <f t="shared" si="495"/>
        <v>1.722</v>
      </c>
      <c r="H433" s="519">
        <f ca="1">_xlfn.IFNA(IF(VLOOKUP($B433&amp;OFFSET(H$10,$A433*2,0),'Mapping A'!$B$6:$E$1011,4,0)=1,$E433,""),0)</f>
        <v>0</v>
      </c>
      <c r="I433" s="519">
        <f ca="1">_xlfn.IFNA(IF(VLOOKUP($B433&amp;OFFSET(I$10,$A433*2,0),'Mapping A'!$B$6:$E$1011,4,0)=1,$E433,""),0)</f>
        <v>0</v>
      </c>
      <c r="J433" s="519">
        <f ca="1">_xlfn.IFNA(IF(VLOOKUP($B433&amp;OFFSET(J$10,$A433*2,0),'Mapping A'!$B$6:$E$1011,4,0)=1,$E433,""),0)</f>
        <v>0</v>
      </c>
      <c r="K433" s="519">
        <f ca="1">_xlfn.IFNA(IF(VLOOKUP($B433&amp;OFFSET(K$10,$A433*2,0),'Mapping A'!$B$6:$E$1011,4,0)=1,$E433,""),0)</f>
        <v>0</v>
      </c>
      <c r="L433" s="519">
        <f ca="1">_xlfn.IFNA(IF(VLOOKUP($B433&amp;OFFSET(L$10,$A433*2,0),'Mapping A'!$B$6:$E$1011,4,0)=1,$E433,""),0)</f>
        <v>0</v>
      </c>
      <c r="M433" s="519">
        <f ca="1">_xlfn.IFNA(IF(VLOOKUP($B433&amp;OFFSET(M$10,$A433*2,0),'Mapping A'!$B$6:$E$1011,4,0)=1,$E433,""),0)</f>
        <v>0</v>
      </c>
      <c r="N433" s="519">
        <f ca="1">_xlfn.IFNA(IF(VLOOKUP($B433&amp;OFFSET(N$10,$A433*2,0),'Mapping A'!$B$6:$E$1011,4,0)=1,$E433,""),0)</f>
        <v>0</v>
      </c>
      <c r="O433" s="519">
        <f ca="1">_xlfn.IFNA(IF(VLOOKUP($B433&amp;OFFSET(O$10,$A433*2,0),'Mapping A'!$B$6:$E$1011,4,0)=1,$E433,""),0)</f>
        <v>0</v>
      </c>
      <c r="P433" s="519">
        <f ca="1">_xlfn.IFNA(IF(VLOOKUP($B433&amp;OFFSET(P$10,$A433*2,0),'Mapping A'!$B$6:$E$1011,4,0)=1,$E433,""),0)</f>
        <v>0</v>
      </c>
      <c r="Q433" s="519">
        <f ca="1">_xlfn.IFNA(IF(VLOOKUP($B433&amp;OFFSET(Q$10,$A433*2,0),'Mapping A'!$B$6:$E$1011,4,0)=1,$E433,""),0)</f>
        <v>0</v>
      </c>
      <c r="R433" s="519">
        <f ca="1">_xlfn.IFNA(IF(VLOOKUP($B433&amp;OFFSET(R$10,$A433*2,0),'Mapping A'!$B$6:$E$1011,4,0)=1,$E433,""),0)</f>
        <v>0</v>
      </c>
      <c r="S433" s="519">
        <f ca="1">_xlfn.IFNA(IF(VLOOKUP($B433&amp;OFFSET(S$10,$A433*2,0),'Mapping A'!$B$6:$E$1011,4,0)=1,$E433,""),0)</f>
        <v>0</v>
      </c>
      <c r="T433" s="519">
        <f ca="1">_xlfn.IFNA(IF(VLOOKUP($B433&amp;OFFSET(T$10,$A433*2,0),'Mapping A'!$B$6:$E$1011,4,0)=1,$E433,""),0)</f>
        <v>0</v>
      </c>
      <c r="Y433" s="534" t="str">
        <f t="shared" si="399"/>
        <v>TKH0111Horizon</v>
      </c>
      <c r="Z433" s="519" t="str">
        <f t="shared" ref="Z433:AB433" si="496">C199</f>
        <v>Horizon</v>
      </c>
      <c r="AA433" s="519" t="str">
        <f t="shared" si="496"/>
        <v>TKH0111</v>
      </c>
      <c r="AB433" s="519">
        <f t="shared" si="496"/>
        <v>1.722</v>
      </c>
      <c r="AC433" s="324"/>
      <c r="AE433" s="519">
        <f t="shared" ca="1" si="383"/>
        <v>0</v>
      </c>
      <c r="AF433" s="519">
        <f t="shared" ca="1" si="384"/>
        <v>0</v>
      </c>
      <c r="AG433" s="519">
        <f t="shared" ca="1" si="385"/>
        <v>0</v>
      </c>
      <c r="AH433" s="519">
        <f t="shared" ca="1" si="386"/>
        <v>0</v>
      </c>
      <c r="AI433" s="519">
        <f t="shared" ca="1" si="387"/>
        <v>0</v>
      </c>
      <c r="AJ433" s="519">
        <f t="shared" ca="1" si="388"/>
        <v>0</v>
      </c>
      <c r="AK433" s="519">
        <f t="shared" ca="1" si="389"/>
        <v>0</v>
      </c>
      <c r="AL433" s="519">
        <f t="shared" ca="1" si="390"/>
        <v>0</v>
      </c>
      <c r="AM433" s="519">
        <f t="shared" ca="1" si="391"/>
        <v>0</v>
      </c>
      <c r="AN433" s="519">
        <f t="shared" ca="1" si="392"/>
        <v>0</v>
      </c>
      <c r="AO433" s="519">
        <f t="shared" ca="1" si="393"/>
        <v>0</v>
      </c>
      <c r="AP433" s="519">
        <f t="shared" ca="1" si="394"/>
        <v>0</v>
      </c>
      <c r="AQ433" s="519">
        <f t="shared" ca="1" si="395"/>
        <v>0</v>
      </c>
    </row>
    <row r="434" spans="1:43" x14ac:dyDescent="0.3">
      <c r="A434" s="556">
        <f t="shared" si="396"/>
        <v>2</v>
      </c>
      <c r="B434" s="519" t="str">
        <f t="shared" si="397"/>
        <v>TKR</v>
      </c>
      <c r="C434" s="519" t="str">
        <f t="shared" ref="C434:E434" si="497">C200</f>
        <v>Wellington Electricity</v>
      </c>
      <c r="D434" s="519" t="str">
        <f t="shared" si="497"/>
        <v>TKR0331</v>
      </c>
      <c r="E434" s="519">
        <f t="shared" si="497"/>
        <v>95.283299999999997</v>
      </c>
      <c r="H434" s="519">
        <f ca="1">_xlfn.IFNA(IF(VLOOKUP($B434&amp;OFFSET(H$10,$A434*2,0),'Mapping A'!$B$6:$E$1011,4,0)=1,$E434,""),0)</f>
        <v>0</v>
      </c>
      <c r="I434" s="519">
        <f ca="1">_xlfn.IFNA(IF(VLOOKUP($B434&amp;OFFSET(I$10,$A434*2,0),'Mapping A'!$B$6:$E$1011,4,0)=1,$E434,""),0)</f>
        <v>0</v>
      </c>
      <c r="J434" s="519">
        <f ca="1">_xlfn.IFNA(IF(VLOOKUP($B434&amp;OFFSET(J$10,$A434*2,0),'Mapping A'!$B$6:$E$1011,4,0)=1,$E434,""),0)</f>
        <v>0</v>
      </c>
      <c r="K434" s="519">
        <f ca="1">_xlfn.IFNA(IF(VLOOKUP($B434&amp;OFFSET(K$10,$A434*2,0),'Mapping A'!$B$6:$E$1011,4,0)=1,$E434,""),0)</f>
        <v>0</v>
      </c>
      <c r="L434" s="519">
        <f ca="1">_xlfn.IFNA(IF(VLOOKUP($B434&amp;OFFSET(L$10,$A434*2,0),'Mapping A'!$B$6:$E$1011,4,0)=1,$E434,""),0)</f>
        <v>0</v>
      </c>
      <c r="M434" s="519">
        <f ca="1">_xlfn.IFNA(IF(VLOOKUP($B434&amp;OFFSET(M$10,$A434*2,0),'Mapping A'!$B$6:$E$1011,4,0)=1,$E434,""),0)</f>
        <v>0</v>
      </c>
      <c r="N434" s="519">
        <f ca="1">_xlfn.IFNA(IF(VLOOKUP($B434&amp;OFFSET(N$10,$A434*2,0),'Mapping A'!$B$6:$E$1011,4,0)=1,$E434,""),0)</f>
        <v>0</v>
      </c>
      <c r="O434" s="519">
        <f ca="1">_xlfn.IFNA(IF(VLOOKUP($B434&amp;OFFSET(O$10,$A434*2,0),'Mapping A'!$B$6:$E$1011,4,0)=1,$E434,""),0)</f>
        <v>0</v>
      </c>
      <c r="P434" s="519">
        <f ca="1">_xlfn.IFNA(IF(VLOOKUP($B434&amp;OFFSET(P$10,$A434*2,0),'Mapping A'!$B$6:$E$1011,4,0)=1,$E434,""),0)</f>
        <v>0</v>
      </c>
      <c r="Q434" s="519">
        <f ca="1">_xlfn.IFNA(IF(VLOOKUP($B434&amp;OFFSET(Q$10,$A434*2,0),'Mapping A'!$B$6:$E$1011,4,0)=1,$E434,""),0)</f>
        <v>0</v>
      </c>
      <c r="R434" s="519">
        <f ca="1">_xlfn.IFNA(IF(VLOOKUP($B434&amp;OFFSET(R$10,$A434*2,0),'Mapping A'!$B$6:$E$1011,4,0)=1,$E434,""),0)</f>
        <v>0</v>
      </c>
      <c r="S434" s="519">
        <f ca="1">_xlfn.IFNA(IF(VLOOKUP($B434&amp;OFFSET(S$10,$A434*2,0),'Mapping A'!$B$6:$E$1011,4,0)=1,$E434,""),0)</f>
        <v>0</v>
      </c>
      <c r="T434" s="519">
        <f ca="1">_xlfn.IFNA(IF(VLOOKUP($B434&amp;OFFSET(T$10,$A434*2,0),'Mapping A'!$B$6:$E$1011,4,0)=1,$E434,""),0)</f>
        <v>0</v>
      </c>
      <c r="Y434" s="534" t="str">
        <f t="shared" si="399"/>
        <v>TKR0331Wellington Electricity</v>
      </c>
      <c r="Z434" s="519" t="str">
        <f t="shared" ref="Z434:AB434" si="498">C200</f>
        <v>Wellington Electricity</v>
      </c>
      <c r="AA434" s="519" t="str">
        <f t="shared" si="498"/>
        <v>TKR0331</v>
      </c>
      <c r="AB434" s="519">
        <f t="shared" si="498"/>
        <v>95.283299999999997</v>
      </c>
      <c r="AC434" s="324"/>
      <c r="AE434" s="519">
        <f t="shared" ca="1" si="383"/>
        <v>0</v>
      </c>
      <c r="AF434" s="519">
        <f t="shared" ca="1" si="384"/>
        <v>0</v>
      </c>
      <c r="AG434" s="519">
        <f t="shared" ca="1" si="385"/>
        <v>0</v>
      </c>
      <c r="AH434" s="519">
        <f t="shared" ca="1" si="386"/>
        <v>0</v>
      </c>
      <c r="AI434" s="519">
        <f t="shared" ca="1" si="387"/>
        <v>0</v>
      </c>
      <c r="AJ434" s="519">
        <f t="shared" ca="1" si="388"/>
        <v>0</v>
      </c>
      <c r="AK434" s="519">
        <f t="shared" ca="1" si="389"/>
        <v>0</v>
      </c>
      <c r="AL434" s="519">
        <f t="shared" ca="1" si="390"/>
        <v>0</v>
      </c>
      <c r="AM434" s="519">
        <f t="shared" ca="1" si="391"/>
        <v>0</v>
      </c>
      <c r="AN434" s="519">
        <f t="shared" ca="1" si="392"/>
        <v>0</v>
      </c>
      <c r="AO434" s="519">
        <f t="shared" ca="1" si="393"/>
        <v>0</v>
      </c>
      <c r="AP434" s="519">
        <f t="shared" ca="1" si="394"/>
        <v>0</v>
      </c>
      <c r="AQ434" s="519">
        <f t="shared" ca="1" si="395"/>
        <v>0</v>
      </c>
    </row>
    <row r="435" spans="1:43" x14ac:dyDescent="0.3">
      <c r="A435" s="556">
        <f t="shared" si="396"/>
        <v>2</v>
      </c>
      <c r="B435" s="519" t="str">
        <f t="shared" si="397"/>
        <v>TKU</v>
      </c>
      <c r="C435" s="519" t="str">
        <f t="shared" ref="C435:E435" si="499">C201</f>
        <v>Genesis</v>
      </c>
      <c r="D435" s="519" t="str">
        <f t="shared" si="499"/>
        <v>TKU0331</v>
      </c>
      <c r="E435" s="519">
        <f t="shared" si="499"/>
        <v>0.51870000000000005</v>
      </c>
      <c r="H435" s="519">
        <f ca="1">_xlfn.IFNA(IF(VLOOKUP($B435&amp;OFFSET(H$10,$A435*2,0),'Mapping A'!$B$6:$E$1011,4,0)=1,$E435,""),0)</f>
        <v>0</v>
      </c>
      <c r="I435" s="519">
        <f ca="1">_xlfn.IFNA(IF(VLOOKUP($B435&amp;OFFSET(I$10,$A435*2,0),'Mapping A'!$B$6:$E$1011,4,0)=1,$E435,""),0)</f>
        <v>0</v>
      </c>
      <c r="J435" s="519">
        <f ca="1">_xlfn.IFNA(IF(VLOOKUP($B435&amp;OFFSET(J$10,$A435*2,0),'Mapping A'!$B$6:$E$1011,4,0)=1,$E435,""),0)</f>
        <v>0</v>
      </c>
      <c r="K435" s="519">
        <f ca="1">_xlfn.IFNA(IF(VLOOKUP($B435&amp;OFFSET(K$10,$A435*2,0),'Mapping A'!$B$6:$E$1011,4,0)=1,$E435,""),0)</f>
        <v>0</v>
      </c>
      <c r="L435" s="519">
        <f ca="1">_xlfn.IFNA(IF(VLOOKUP($B435&amp;OFFSET(L$10,$A435*2,0),'Mapping A'!$B$6:$E$1011,4,0)=1,$E435,""),0)</f>
        <v>0</v>
      </c>
      <c r="M435" s="519">
        <f ca="1">_xlfn.IFNA(IF(VLOOKUP($B435&amp;OFFSET(M$10,$A435*2,0),'Mapping A'!$B$6:$E$1011,4,0)=1,$E435,""),0)</f>
        <v>0</v>
      </c>
      <c r="N435" s="519">
        <f ca="1">_xlfn.IFNA(IF(VLOOKUP($B435&amp;OFFSET(N$10,$A435*2,0),'Mapping A'!$B$6:$E$1011,4,0)=1,$E435,""),0)</f>
        <v>0</v>
      </c>
      <c r="O435" s="519">
        <f ca="1">_xlfn.IFNA(IF(VLOOKUP($B435&amp;OFFSET(O$10,$A435*2,0),'Mapping A'!$B$6:$E$1011,4,0)=1,$E435,""),0)</f>
        <v>0</v>
      </c>
      <c r="P435" s="519">
        <f ca="1">_xlfn.IFNA(IF(VLOOKUP($B435&amp;OFFSET(P$10,$A435*2,0),'Mapping A'!$B$6:$E$1011,4,0)=1,$E435,""),0)</f>
        <v>0</v>
      </c>
      <c r="Q435" s="519">
        <f ca="1">_xlfn.IFNA(IF(VLOOKUP($B435&amp;OFFSET(Q$10,$A435*2,0),'Mapping A'!$B$6:$E$1011,4,0)=1,$E435,""),0)</f>
        <v>0</v>
      </c>
      <c r="R435" s="519">
        <f ca="1">_xlfn.IFNA(IF(VLOOKUP($B435&amp;OFFSET(R$10,$A435*2,0),'Mapping A'!$B$6:$E$1011,4,0)=1,$E435,""),0)</f>
        <v>0</v>
      </c>
      <c r="S435" s="519">
        <f ca="1">_xlfn.IFNA(IF(VLOOKUP($B435&amp;OFFSET(S$10,$A435*2,0),'Mapping A'!$B$6:$E$1011,4,0)=1,$E435,""),0)</f>
        <v>0</v>
      </c>
      <c r="T435" s="519">
        <f ca="1">_xlfn.IFNA(IF(VLOOKUP($B435&amp;OFFSET(T$10,$A435*2,0),'Mapping A'!$B$6:$E$1011,4,0)=1,$E435,""),0)</f>
        <v>0</v>
      </c>
      <c r="Y435" s="534" t="str">
        <f t="shared" si="399"/>
        <v>TKU0331Genesis</v>
      </c>
      <c r="Z435" s="519" t="str">
        <f t="shared" ref="Z435:AB435" si="500">C201</f>
        <v>Genesis</v>
      </c>
      <c r="AA435" s="519" t="str">
        <f t="shared" si="500"/>
        <v>TKU0331</v>
      </c>
      <c r="AB435" s="519">
        <f t="shared" si="500"/>
        <v>0.51870000000000005</v>
      </c>
      <c r="AC435" s="324"/>
      <c r="AE435" s="519">
        <f t="shared" ca="1" si="383"/>
        <v>0</v>
      </c>
      <c r="AF435" s="519">
        <f t="shared" ca="1" si="384"/>
        <v>0</v>
      </c>
      <c r="AG435" s="519">
        <f t="shared" ca="1" si="385"/>
        <v>0</v>
      </c>
      <c r="AH435" s="519">
        <f t="shared" ca="1" si="386"/>
        <v>0</v>
      </c>
      <c r="AI435" s="519">
        <f t="shared" ca="1" si="387"/>
        <v>0</v>
      </c>
      <c r="AJ435" s="519">
        <f t="shared" ca="1" si="388"/>
        <v>0</v>
      </c>
      <c r="AK435" s="519">
        <f t="shared" ca="1" si="389"/>
        <v>0</v>
      </c>
      <c r="AL435" s="519">
        <f t="shared" ca="1" si="390"/>
        <v>0</v>
      </c>
      <c r="AM435" s="519">
        <f t="shared" ca="1" si="391"/>
        <v>0</v>
      </c>
      <c r="AN435" s="519">
        <f t="shared" ca="1" si="392"/>
        <v>0</v>
      </c>
      <c r="AO435" s="519">
        <f t="shared" ca="1" si="393"/>
        <v>0</v>
      </c>
      <c r="AP435" s="519">
        <f t="shared" ca="1" si="394"/>
        <v>0</v>
      </c>
      <c r="AQ435" s="519">
        <f t="shared" ca="1" si="395"/>
        <v>0</v>
      </c>
    </row>
    <row r="436" spans="1:43" x14ac:dyDescent="0.3">
      <c r="A436" s="556">
        <f t="shared" si="396"/>
        <v>2</v>
      </c>
      <c r="B436" s="519" t="str">
        <f t="shared" si="397"/>
        <v>TKU</v>
      </c>
      <c r="C436" s="519" t="str">
        <f t="shared" ref="C436:E436" si="501">C202</f>
        <v>The Lines Company</v>
      </c>
      <c r="D436" s="519" t="str">
        <f t="shared" si="501"/>
        <v>TKU0331</v>
      </c>
      <c r="E436" s="519">
        <f t="shared" si="501"/>
        <v>11.243399999999999</v>
      </c>
      <c r="H436" s="519">
        <f ca="1">_xlfn.IFNA(IF(VLOOKUP($B436&amp;OFFSET(H$10,$A436*2,0),'Mapping A'!$B$6:$E$1011,4,0)=1,$E436,""),0)</f>
        <v>0</v>
      </c>
      <c r="I436" s="519">
        <f ca="1">_xlfn.IFNA(IF(VLOOKUP($B436&amp;OFFSET(I$10,$A436*2,0),'Mapping A'!$B$6:$E$1011,4,0)=1,$E436,""),0)</f>
        <v>0</v>
      </c>
      <c r="J436" s="519">
        <f ca="1">_xlfn.IFNA(IF(VLOOKUP($B436&amp;OFFSET(J$10,$A436*2,0),'Mapping A'!$B$6:$E$1011,4,0)=1,$E436,""),0)</f>
        <v>0</v>
      </c>
      <c r="K436" s="519">
        <f ca="1">_xlfn.IFNA(IF(VLOOKUP($B436&amp;OFFSET(K$10,$A436*2,0),'Mapping A'!$B$6:$E$1011,4,0)=1,$E436,""),0)</f>
        <v>0</v>
      </c>
      <c r="L436" s="519">
        <f ca="1">_xlfn.IFNA(IF(VLOOKUP($B436&amp;OFFSET(L$10,$A436*2,0),'Mapping A'!$B$6:$E$1011,4,0)=1,$E436,""),0)</f>
        <v>0</v>
      </c>
      <c r="M436" s="519">
        <f ca="1">_xlfn.IFNA(IF(VLOOKUP($B436&amp;OFFSET(M$10,$A436*2,0),'Mapping A'!$B$6:$E$1011,4,0)=1,$E436,""),0)</f>
        <v>0</v>
      </c>
      <c r="N436" s="519">
        <f ca="1">_xlfn.IFNA(IF(VLOOKUP($B436&amp;OFFSET(N$10,$A436*2,0),'Mapping A'!$B$6:$E$1011,4,0)=1,$E436,""),0)</f>
        <v>0</v>
      </c>
      <c r="O436" s="519">
        <f ca="1">_xlfn.IFNA(IF(VLOOKUP($B436&amp;OFFSET(O$10,$A436*2,0),'Mapping A'!$B$6:$E$1011,4,0)=1,$E436,""),0)</f>
        <v>0</v>
      </c>
      <c r="P436" s="519">
        <f ca="1">_xlfn.IFNA(IF(VLOOKUP($B436&amp;OFFSET(P$10,$A436*2,0),'Mapping A'!$B$6:$E$1011,4,0)=1,$E436,""),0)</f>
        <v>0</v>
      </c>
      <c r="Q436" s="519">
        <f ca="1">_xlfn.IFNA(IF(VLOOKUP($B436&amp;OFFSET(Q$10,$A436*2,0),'Mapping A'!$B$6:$E$1011,4,0)=1,$E436,""),0)</f>
        <v>0</v>
      </c>
      <c r="R436" s="519">
        <f ca="1">_xlfn.IFNA(IF(VLOOKUP($B436&amp;OFFSET(R$10,$A436*2,0),'Mapping A'!$B$6:$E$1011,4,0)=1,$E436,""),0)</f>
        <v>0</v>
      </c>
      <c r="S436" s="519">
        <f ca="1">_xlfn.IFNA(IF(VLOOKUP($B436&amp;OFFSET(S$10,$A436*2,0),'Mapping A'!$B$6:$E$1011,4,0)=1,$E436,""),0)</f>
        <v>0</v>
      </c>
      <c r="T436" s="519">
        <f ca="1">_xlfn.IFNA(IF(VLOOKUP($B436&amp;OFFSET(T$10,$A436*2,0),'Mapping A'!$B$6:$E$1011,4,0)=1,$E436,""),0)</f>
        <v>0</v>
      </c>
      <c r="Y436" s="534" t="str">
        <f t="shared" si="399"/>
        <v>TKU0331The Lines Company</v>
      </c>
      <c r="Z436" s="519" t="str">
        <f t="shared" ref="Z436:AB436" si="502">C202</f>
        <v>The Lines Company</v>
      </c>
      <c r="AA436" s="519" t="str">
        <f t="shared" si="502"/>
        <v>TKU0331</v>
      </c>
      <c r="AB436" s="519">
        <f t="shared" si="502"/>
        <v>11.243399999999999</v>
      </c>
      <c r="AC436" s="324"/>
      <c r="AE436" s="519">
        <f t="shared" ca="1" si="383"/>
        <v>0</v>
      </c>
      <c r="AF436" s="519">
        <f t="shared" ca="1" si="384"/>
        <v>0</v>
      </c>
      <c r="AG436" s="519">
        <f t="shared" ca="1" si="385"/>
        <v>0</v>
      </c>
      <c r="AH436" s="519">
        <f t="shared" ca="1" si="386"/>
        <v>0</v>
      </c>
      <c r="AI436" s="519">
        <f t="shared" ca="1" si="387"/>
        <v>0</v>
      </c>
      <c r="AJ436" s="519">
        <f t="shared" ca="1" si="388"/>
        <v>0</v>
      </c>
      <c r="AK436" s="519">
        <f t="shared" ca="1" si="389"/>
        <v>0</v>
      </c>
      <c r="AL436" s="519">
        <f t="shared" ca="1" si="390"/>
        <v>0</v>
      </c>
      <c r="AM436" s="519">
        <f t="shared" ca="1" si="391"/>
        <v>0</v>
      </c>
      <c r="AN436" s="519">
        <f t="shared" ca="1" si="392"/>
        <v>0</v>
      </c>
      <c r="AO436" s="519">
        <f t="shared" ca="1" si="393"/>
        <v>0</v>
      </c>
      <c r="AP436" s="519">
        <f t="shared" ca="1" si="394"/>
        <v>0</v>
      </c>
      <c r="AQ436" s="519">
        <f t="shared" ca="1" si="395"/>
        <v>0</v>
      </c>
    </row>
    <row r="437" spans="1:43" x14ac:dyDescent="0.3">
      <c r="A437" s="556">
        <f t="shared" si="396"/>
        <v>2</v>
      </c>
      <c r="B437" s="519" t="str">
        <f t="shared" si="397"/>
        <v>TKU</v>
      </c>
      <c r="C437" s="519" t="str">
        <f t="shared" ref="C437:E437" si="503">C203</f>
        <v>Genesis</v>
      </c>
      <c r="D437" s="519" t="str">
        <f t="shared" si="503"/>
        <v>TKU2201</v>
      </c>
      <c r="E437" s="519">
        <f t="shared" si="503"/>
        <v>6.4617000000000004</v>
      </c>
      <c r="H437" s="519">
        <f ca="1">_xlfn.IFNA(IF(VLOOKUP($B437&amp;OFFSET(H$10,$A437*2,0),'Mapping A'!$B$6:$E$1011,4,0)=1,$E437,""),0)</f>
        <v>0</v>
      </c>
      <c r="I437" s="519">
        <f ca="1">_xlfn.IFNA(IF(VLOOKUP($B437&amp;OFFSET(I$10,$A437*2,0),'Mapping A'!$B$6:$E$1011,4,0)=1,$E437,""),0)</f>
        <v>0</v>
      </c>
      <c r="J437" s="519">
        <f ca="1">_xlfn.IFNA(IF(VLOOKUP($B437&amp;OFFSET(J$10,$A437*2,0),'Mapping A'!$B$6:$E$1011,4,0)=1,$E437,""),0)</f>
        <v>0</v>
      </c>
      <c r="K437" s="519">
        <f ca="1">_xlfn.IFNA(IF(VLOOKUP($B437&amp;OFFSET(K$10,$A437*2,0),'Mapping A'!$B$6:$E$1011,4,0)=1,$E437,""),0)</f>
        <v>0</v>
      </c>
      <c r="L437" s="519">
        <f ca="1">_xlfn.IFNA(IF(VLOOKUP($B437&amp;OFFSET(L$10,$A437*2,0),'Mapping A'!$B$6:$E$1011,4,0)=1,$E437,""),0)</f>
        <v>0</v>
      </c>
      <c r="M437" s="519">
        <f ca="1">_xlfn.IFNA(IF(VLOOKUP($B437&amp;OFFSET(M$10,$A437*2,0),'Mapping A'!$B$6:$E$1011,4,0)=1,$E437,""),0)</f>
        <v>0</v>
      </c>
      <c r="N437" s="519">
        <f ca="1">_xlfn.IFNA(IF(VLOOKUP($B437&amp;OFFSET(N$10,$A437*2,0),'Mapping A'!$B$6:$E$1011,4,0)=1,$E437,""),0)</f>
        <v>0</v>
      </c>
      <c r="O437" s="519">
        <f ca="1">_xlfn.IFNA(IF(VLOOKUP($B437&amp;OFFSET(O$10,$A437*2,0),'Mapping A'!$B$6:$E$1011,4,0)=1,$E437,""),0)</f>
        <v>0</v>
      </c>
      <c r="P437" s="519">
        <f ca="1">_xlfn.IFNA(IF(VLOOKUP($B437&amp;OFFSET(P$10,$A437*2,0),'Mapping A'!$B$6:$E$1011,4,0)=1,$E437,""),0)</f>
        <v>0</v>
      </c>
      <c r="Q437" s="519">
        <f ca="1">_xlfn.IFNA(IF(VLOOKUP($B437&amp;OFFSET(Q$10,$A437*2,0),'Mapping A'!$B$6:$E$1011,4,0)=1,$E437,""),0)</f>
        <v>0</v>
      </c>
      <c r="R437" s="519">
        <f ca="1">_xlfn.IFNA(IF(VLOOKUP($B437&amp;OFFSET(R$10,$A437*2,0),'Mapping A'!$B$6:$E$1011,4,0)=1,$E437,""),0)</f>
        <v>0</v>
      </c>
      <c r="S437" s="519">
        <f ca="1">_xlfn.IFNA(IF(VLOOKUP($B437&amp;OFFSET(S$10,$A437*2,0),'Mapping A'!$B$6:$E$1011,4,0)=1,$E437,""),0)</f>
        <v>0</v>
      </c>
      <c r="T437" s="519">
        <f ca="1">_xlfn.IFNA(IF(VLOOKUP($B437&amp;OFFSET(T$10,$A437*2,0),'Mapping A'!$B$6:$E$1011,4,0)=1,$E437,""),0)</f>
        <v>0</v>
      </c>
      <c r="Y437" s="534" t="str">
        <f t="shared" si="399"/>
        <v>TKU2201Genesis</v>
      </c>
      <c r="Z437" s="519" t="str">
        <f t="shared" ref="Z437:AB437" si="504">C203</f>
        <v>Genesis</v>
      </c>
      <c r="AA437" s="519" t="str">
        <f t="shared" si="504"/>
        <v>TKU2201</v>
      </c>
      <c r="AB437" s="519">
        <f t="shared" si="504"/>
        <v>6.4617000000000004</v>
      </c>
      <c r="AC437" s="324"/>
      <c r="AE437" s="519">
        <f t="shared" ca="1" si="383"/>
        <v>0</v>
      </c>
      <c r="AF437" s="519">
        <f t="shared" ca="1" si="384"/>
        <v>0</v>
      </c>
      <c r="AG437" s="519">
        <f t="shared" ca="1" si="385"/>
        <v>0</v>
      </c>
      <c r="AH437" s="519">
        <f t="shared" ca="1" si="386"/>
        <v>0</v>
      </c>
      <c r="AI437" s="519">
        <f t="shared" ca="1" si="387"/>
        <v>0</v>
      </c>
      <c r="AJ437" s="519">
        <f t="shared" ca="1" si="388"/>
        <v>0</v>
      </c>
      <c r="AK437" s="519">
        <f t="shared" ca="1" si="389"/>
        <v>0</v>
      </c>
      <c r="AL437" s="519">
        <f t="shared" ca="1" si="390"/>
        <v>0</v>
      </c>
      <c r="AM437" s="519">
        <f t="shared" ca="1" si="391"/>
        <v>0</v>
      </c>
      <c r="AN437" s="519">
        <f t="shared" ca="1" si="392"/>
        <v>0</v>
      </c>
      <c r="AO437" s="519">
        <f t="shared" ca="1" si="393"/>
        <v>0</v>
      </c>
      <c r="AP437" s="519">
        <f t="shared" ca="1" si="394"/>
        <v>0</v>
      </c>
      <c r="AQ437" s="519">
        <f t="shared" ca="1" si="395"/>
        <v>0</v>
      </c>
    </row>
    <row r="438" spans="1:43" x14ac:dyDescent="0.3">
      <c r="A438" s="556">
        <f t="shared" si="396"/>
        <v>2</v>
      </c>
      <c r="B438" s="519" t="str">
        <f t="shared" si="397"/>
        <v>TMI</v>
      </c>
      <c r="C438" s="519" t="str">
        <f t="shared" ref="C438:E438" si="505">C204</f>
        <v>Powerco</v>
      </c>
      <c r="D438" s="519" t="str">
        <f t="shared" si="505"/>
        <v>TMI0331</v>
      </c>
      <c r="E438" s="519">
        <f t="shared" si="505"/>
        <v>29.761199999999999</v>
      </c>
      <c r="H438" s="519">
        <f ca="1">_xlfn.IFNA(IF(VLOOKUP($B438&amp;OFFSET(H$10,$A438*2,0),'Mapping A'!$B$6:$E$1011,4,0)=1,$E438,""),0)</f>
        <v>0</v>
      </c>
      <c r="I438" s="519">
        <f ca="1">_xlfn.IFNA(IF(VLOOKUP($B438&amp;OFFSET(I$10,$A438*2,0),'Mapping A'!$B$6:$E$1011,4,0)=1,$E438,""),0)</f>
        <v>0</v>
      </c>
      <c r="J438" s="519">
        <f ca="1">_xlfn.IFNA(IF(VLOOKUP($B438&amp;OFFSET(J$10,$A438*2,0),'Mapping A'!$B$6:$E$1011,4,0)=1,$E438,""),0)</f>
        <v>0</v>
      </c>
      <c r="K438" s="519">
        <f ca="1">_xlfn.IFNA(IF(VLOOKUP($B438&amp;OFFSET(K$10,$A438*2,0),'Mapping A'!$B$6:$E$1011,4,0)=1,$E438,""),0)</f>
        <v>0</v>
      </c>
      <c r="L438" s="519">
        <f ca="1">_xlfn.IFNA(IF(VLOOKUP($B438&amp;OFFSET(L$10,$A438*2,0),'Mapping A'!$B$6:$E$1011,4,0)=1,$E438,""),0)</f>
        <v>0</v>
      </c>
      <c r="M438" s="519">
        <f ca="1">_xlfn.IFNA(IF(VLOOKUP($B438&amp;OFFSET(M$10,$A438*2,0),'Mapping A'!$B$6:$E$1011,4,0)=1,$E438,""),0)</f>
        <v>0</v>
      </c>
      <c r="N438" s="519">
        <f ca="1">_xlfn.IFNA(IF(VLOOKUP($B438&amp;OFFSET(N$10,$A438*2,0),'Mapping A'!$B$6:$E$1011,4,0)=1,$E438,""),0)</f>
        <v>0</v>
      </c>
      <c r="O438" s="519">
        <f ca="1">_xlfn.IFNA(IF(VLOOKUP($B438&amp;OFFSET(O$10,$A438*2,0),'Mapping A'!$B$6:$E$1011,4,0)=1,$E438,""),0)</f>
        <v>0</v>
      </c>
      <c r="P438" s="519">
        <f ca="1">_xlfn.IFNA(IF(VLOOKUP($B438&amp;OFFSET(P$10,$A438*2,0),'Mapping A'!$B$6:$E$1011,4,0)=1,$E438,""),0)</f>
        <v>0</v>
      </c>
      <c r="Q438" s="519">
        <f ca="1">_xlfn.IFNA(IF(VLOOKUP($B438&amp;OFFSET(Q$10,$A438*2,0),'Mapping A'!$B$6:$E$1011,4,0)=1,$E438,""),0)</f>
        <v>0</v>
      </c>
      <c r="R438" s="519">
        <f ca="1">_xlfn.IFNA(IF(VLOOKUP($B438&amp;OFFSET(R$10,$A438*2,0),'Mapping A'!$B$6:$E$1011,4,0)=1,$E438,""),0)</f>
        <v>0</v>
      </c>
      <c r="S438" s="519">
        <f ca="1">_xlfn.IFNA(IF(VLOOKUP($B438&amp;OFFSET(S$10,$A438*2,0),'Mapping A'!$B$6:$E$1011,4,0)=1,$E438,""),0)</f>
        <v>0</v>
      </c>
      <c r="T438" s="519">
        <f ca="1">_xlfn.IFNA(IF(VLOOKUP($B438&amp;OFFSET(T$10,$A438*2,0),'Mapping A'!$B$6:$E$1011,4,0)=1,$E438,""),0)</f>
        <v>0</v>
      </c>
      <c r="Y438" s="534" t="str">
        <f t="shared" si="399"/>
        <v>TMI0331Powerco</v>
      </c>
      <c r="Z438" s="519" t="str">
        <f t="shared" ref="Z438:AB438" si="506">C204</f>
        <v>Powerco</v>
      </c>
      <c r="AA438" s="519" t="str">
        <f t="shared" si="506"/>
        <v>TMI0331</v>
      </c>
      <c r="AB438" s="519">
        <f t="shared" si="506"/>
        <v>29.761199999999999</v>
      </c>
      <c r="AC438" s="324"/>
      <c r="AE438" s="519">
        <f t="shared" ca="1" si="383"/>
        <v>0</v>
      </c>
      <c r="AF438" s="519">
        <f t="shared" ca="1" si="384"/>
        <v>0</v>
      </c>
      <c r="AG438" s="519">
        <f t="shared" ca="1" si="385"/>
        <v>0</v>
      </c>
      <c r="AH438" s="519">
        <f t="shared" ca="1" si="386"/>
        <v>0</v>
      </c>
      <c r="AI438" s="519">
        <f t="shared" ca="1" si="387"/>
        <v>0</v>
      </c>
      <c r="AJ438" s="519">
        <f t="shared" ca="1" si="388"/>
        <v>0</v>
      </c>
      <c r="AK438" s="519">
        <f t="shared" ca="1" si="389"/>
        <v>0</v>
      </c>
      <c r="AL438" s="519">
        <f t="shared" ca="1" si="390"/>
        <v>0</v>
      </c>
      <c r="AM438" s="519">
        <f t="shared" ca="1" si="391"/>
        <v>0</v>
      </c>
      <c r="AN438" s="519">
        <f t="shared" ca="1" si="392"/>
        <v>0</v>
      </c>
      <c r="AO438" s="519">
        <f t="shared" ca="1" si="393"/>
        <v>0</v>
      </c>
      <c r="AP438" s="519">
        <f t="shared" ca="1" si="394"/>
        <v>0</v>
      </c>
      <c r="AQ438" s="519">
        <f t="shared" ca="1" si="395"/>
        <v>0</v>
      </c>
    </row>
    <row r="439" spans="1:43" x14ac:dyDescent="0.3">
      <c r="A439" s="556">
        <f t="shared" si="396"/>
        <v>2</v>
      </c>
      <c r="B439" s="519" t="str">
        <f t="shared" si="397"/>
        <v>TMK</v>
      </c>
      <c r="C439" s="519" t="str">
        <f t="shared" ref="C439:E439" si="507">C205</f>
        <v>Alpine Energy</v>
      </c>
      <c r="D439" s="519" t="str">
        <f t="shared" si="507"/>
        <v>TMK0331</v>
      </c>
      <c r="E439" s="519">
        <f t="shared" si="507"/>
        <v>56.823900000000002</v>
      </c>
      <c r="H439" s="519">
        <f ca="1">_xlfn.IFNA(IF(VLOOKUP($B439&amp;OFFSET(H$10,$A439*2,0),'Mapping A'!$B$6:$E$1011,4,0)=1,$E439,""),0)</f>
        <v>0</v>
      </c>
      <c r="I439" s="519">
        <f ca="1">_xlfn.IFNA(IF(VLOOKUP($B439&amp;OFFSET(I$10,$A439*2,0),'Mapping A'!$B$6:$E$1011,4,0)=1,$E439,""),0)</f>
        <v>0</v>
      </c>
      <c r="J439" s="519">
        <f ca="1">_xlfn.IFNA(IF(VLOOKUP($B439&amp;OFFSET(J$10,$A439*2,0),'Mapping A'!$B$6:$E$1011,4,0)=1,$E439,""),0)</f>
        <v>56.823900000000002</v>
      </c>
      <c r="K439" s="519">
        <f ca="1">_xlfn.IFNA(IF(VLOOKUP($B439&amp;OFFSET(K$10,$A439*2,0),'Mapping A'!$B$6:$E$1011,4,0)=1,$E439,""),0)</f>
        <v>0</v>
      </c>
      <c r="L439" s="519">
        <f ca="1">_xlfn.IFNA(IF(VLOOKUP($B439&amp;OFFSET(L$10,$A439*2,0),'Mapping A'!$B$6:$E$1011,4,0)=1,$E439,""),0)</f>
        <v>0</v>
      </c>
      <c r="M439" s="519">
        <f ca="1">_xlfn.IFNA(IF(VLOOKUP($B439&amp;OFFSET(M$10,$A439*2,0),'Mapping A'!$B$6:$E$1011,4,0)=1,$E439,""),0)</f>
        <v>0</v>
      </c>
      <c r="N439" s="519">
        <f ca="1">_xlfn.IFNA(IF(VLOOKUP($B439&amp;OFFSET(N$10,$A439*2,0),'Mapping A'!$B$6:$E$1011,4,0)=1,$E439,""),0)</f>
        <v>0</v>
      </c>
      <c r="O439" s="519">
        <f ca="1">_xlfn.IFNA(IF(VLOOKUP($B439&amp;OFFSET(O$10,$A439*2,0),'Mapping A'!$B$6:$E$1011,4,0)=1,$E439,""),0)</f>
        <v>0</v>
      </c>
      <c r="P439" s="519">
        <f ca="1">_xlfn.IFNA(IF(VLOOKUP($B439&amp;OFFSET(P$10,$A439*2,0),'Mapping A'!$B$6:$E$1011,4,0)=1,$E439,""),0)</f>
        <v>0</v>
      </c>
      <c r="Q439" s="519">
        <f ca="1">_xlfn.IFNA(IF(VLOOKUP($B439&amp;OFFSET(Q$10,$A439*2,0),'Mapping A'!$B$6:$E$1011,4,0)=1,$E439,""),0)</f>
        <v>0</v>
      </c>
      <c r="R439" s="519">
        <f ca="1">_xlfn.IFNA(IF(VLOOKUP($B439&amp;OFFSET(R$10,$A439*2,0),'Mapping A'!$B$6:$E$1011,4,0)=1,$E439,""),0)</f>
        <v>0</v>
      </c>
      <c r="S439" s="519">
        <f ca="1">_xlfn.IFNA(IF(VLOOKUP($B439&amp;OFFSET(S$10,$A439*2,0),'Mapping A'!$B$6:$E$1011,4,0)=1,$E439,""),0)</f>
        <v>0</v>
      </c>
      <c r="T439" s="519">
        <f ca="1">_xlfn.IFNA(IF(VLOOKUP($B439&amp;OFFSET(T$10,$A439*2,0),'Mapping A'!$B$6:$E$1011,4,0)=1,$E439,""),0)</f>
        <v>0</v>
      </c>
      <c r="Y439" s="534" t="str">
        <f t="shared" si="399"/>
        <v>TMK0331Alpine Energy</v>
      </c>
      <c r="Z439" s="519" t="str">
        <f t="shared" ref="Z439:AB439" si="508">C205</f>
        <v>Alpine Energy</v>
      </c>
      <c r="AA439" s="519" t="str">
        <f t="shared" si="508"/>
        <v>TMK0331</v>
      </c>
      <c r="AB439" s="519">
        <f t="shared" si="508"/>
        <v>56.823900000000002</v>
      </c>
      <c r="AC439" s="324"/>
      <c r="AE439" s="519">
        <f t="shared" ca="1" si="383"/>
        <v>0</v>
      </c>
      <c r="AF439" s="519">
        <f t="shared" ca="1" si="384"/>
        <v>0</v>
      </c>
      <c r="AG439" s="519">
        <f t="shared" ca="1" si="385"/>
        <v>0</v>
      </c>
      <c r="AH439" s="519">
        <f t="shared" ca="1" si="386"/>
        <v>0</v>
      </c>
      <c r="AI439" s="519">
        <f t="shared" ca="1" si="387"/>
        <v>0</v>
      </c>
      <c r="AJ439" s="519">
        <f t="shared" ca="1" si="388"/>
        <v>0</v>
      </c>
      <c r="AK439" s="519">
        <f t="shared" ca="1" si="389"/>
        <v>0</v>
      </c>
      <c r="AL439" s="519">
        <f t="shared" ca="1" si="390"/>
        <v>0</v>
      </c>
      <c r="AM439" s="519">
        <f t="shared" ca="1" si="391"/>
        <v>0</v>
      </c>
      <c r="AN439" s="519">
        <f t="shared" ca="1" si="392"/>
        <v>0</v>
      </c>
      <c r="AO439" s="519">
        <f t="shared" ca="1" si="393"/>
        <v>0</v>
      </c>
      <c r="AP439" s="519">
        <f t="shared" ca="1" si="394"/>
        <v>0</v>
      </c>
      <c r="AQ439" s="519">
        <f t="shared" ca="1" si="395"/>
        <v>0</v>
      </c>
    </row>
    <row r="440" spans="1:43" x14ac:dyDescent="0.3">
      <c r="A440" s="556">
        <f t="shared" si="396"/>
        <v>2</v>
      </c>
      <c r="B440" s="519" t="str">
        <f t="shared" si="397"/>
        <v>TMN</v>
      </c>
      <c r="C440" s="519" t="str">
        <f t="shared" ref="C440:E440" si="509">C206</f>
        <v>Kiwirail</v>
      </c>
      <c r="D440" s="519" t="str">
        <f t="shared" si="509"/>
        <v>TMN0551</v>
      </c>
      <c r="E440" s="519">
        <f t="shared" si="509"/>
        <v>10.9053</v>
      </c>
      <c r="H440" s="519">
        <f ca="1">_xlfn.IFNA(IF(VLOOKUP($B440&amp;OFFSET(H$10,$A440*2,0),'Mapping A'!$B$6:$E$1011,4,0)=1,$E440,""),0)</f>
        <v>0</v>
      </c>
      <c r="I440" s="519">
        <f ca="1">_xlfn.IFNA(IF(VLOOKUP($B440&amp;OFFSET(I$10,$A440*2,0),'Mapping A'!$B$6:$E$1011,4,0)=1,$E440,""),0)</f>
        <v>0</v>
      </c>
      <c r="J440" s="519">
        <f ca="1">_xlfn.IFNA(IF(VLOOKUP($B440&amp;OFFSET(J$10,$A440*2,0),'Mapping A'!$B$6:$E$1011,4,0)=1,$E440,""),0)</f>
        <v>0</v>
      </c>
      <c r="K440" s="519">
        <f ca="1">_xlfn.IFNA(IF(VLOOKUP($B440&amp;OFFSET(K$10,$A440*2,0),'Mapping A'!$B$6:$E$1011,4,0)=1,$E440,""),0)</f>
        <v>0</v>
      </c>
      <c r="L440" s="519">
        <f ca="1">_xlfn.IFNA(IF(VLOOKUP($B440&amp;OFFSET(L$10,$A440*2,0),'Mapping A'!$B$6:$E$1011,4,0)=1,$E440,""),0)</f>
        <v>0</v>
      </c>
      <c r="M440" s="519">
        <f ca="1">_xlfn.IFNA(IF(VLOOKUP($B440&amp;OFFSET(M$10,$A440*2,0),'Mapping A'!$B$6:$E$1011,4,0)=1,$E440,""),0)</f>
        <v>0</v>
      </c>
      <c r="N440" s="519">
        <f ca="1">_xlfn.IFNA(IF(VLOOKUP($B440&amp;OFFSET(N$10,$A440*2,0),'Mapping A'!$B$6:$E$1011,4,0)=1,$E440,""),0)</f>
        <v>0</v>
      </c>
      <c r="O440" s="519">
        <f ca="1">_xlfn.IFNA(IF(VLOOKUP($B440&amp;OFFSET(O$10,$A440*2,0),'Mapping A'!$B$6:$E$1011,4,0)=1,$E440,""),0)</f>
        <v>0</v>
      </c>
      <c r="P440" s="519">
        <f ca="1">_xlfn.IFNA(IF(VLOOKUP($B440&amp;OFFSET(P$10,$A440*2,0),'Mapping A'!$B$6:$E$1011,4,0)=1,$E440,""),0)</f>
        <v>0</v>
      </c>
      <c r="Q440" s="519">
        <f ca="1">_xlfn.IFNA(IF(VLOOKUP($B440&amp;OFFSET(Q$10,$A440*2,0),'Mapping A'!$B$6:$E$1011,4,0)=1,$E440,""),0)</f>
        <v>0</v>
      </c>
      <c r="R440" s="519">
        <f ca="1">_xlfn.IFNA(IF(VLOOKUP($B440&amp;OFFSET(R$10,$A440*2,0),'Mapping A'!$B$6:$E$1011,4,0)=1,$E440,""),0)</f>
        <v>0</v>
      </c>
      <c r="S440" s="519">
        <f ca="1">_xlfn.IFNA(IF(VLOOKUP($B440&amp;OFFSET(S$10,$A440*2,0),'Mapping A'!$B$6:$E$1011,4,0)=1,$E440,""),0)</f>
        <v>0</v>
      </c>
      <c r="T440" s="519">
        <f ca="1">_xlfn.IFNA(IF(VLOOKUP($B440&amp;OFFSET(T$10,$A440*2,0),'Mapping A'!$B$6:$E$1011,4,0)=1,$E440,""),0)</f>
        <v>0</v>
      </c>
      <c r="Y440" s="534" t="str">
        <f t="shared" si="399"/>
        <v>TMN0551Kiwirail</v>
      </c>
      <c r="Z440" s="519" t="str">
        <f t="shared" ref="Z440:AB440" si="510">C206</f>
        <v>Kiwirail</v>
      </c>
      <c r="AA440" s="519" t="str">
        <f t="shared" si="510"/>
        <v>TMN0551</v>
      </c>
      <c r="AB440" s="519">
        <f t="shared" si="510"/>
        <v>10.9053</v>
      </c>
      <c r="AC440" s="324"/>
      <c r="AE440" s="519">
        <f t="shared" ca="1" si="383"/>
        <v>0</v>
      </c>
      <c r="AF440" s="519">
        <f t="shared" ca="1" si="384"/>
        <v>0</v>
      </c>
      <c r="AG440" s="519">
        <f t="shared" ca="1" si="385"/>
        <v>0</v>
      </c>
      <c r="AH440" s="519">
        <f t="shared" ca="1" si="386"/>
        <v>0</v>
      </c>
      <c r="AI440" s="519">
        <f t="shared" ca="1" si="387"/>
        <v>0</v>
      </c>
      <c r="AJ440" s="519">
        <f t="shared" ca="1" si="388"/>
        <v>0</v>
      </c>
      <c r="AK440" s="519">
        <f t="shared" ca="1" si="389"/>
        <v>0</v>
      </c>
      <c r="AL440" s="519">
        <f t="shared" ca="1" si="390"/>
        <v>0</v>
      </c>
      <c r="AM440" s="519">
        <f t="shared" ca="1" si="391"/>
        <v>0</v>
      </c>
      <c r="AN440" s="519">
        <f t="shared" ca="1" si="392"/>
        <v>0</v>
      </c>
      <c r="AO440" s="519">
        <f t="shared" ca="1" si="393"/>
        <v>0</v>
      </c>
      <c r="AP440" s="519">
        <f t="shared" ca="1" si="394"/>
        <v>0</v>
      </c>
      <c r="AQ440" s="519">
        <f t="shared" ca="1" si="395"/>
        <v>0</v>
      </c>
    </row>
    <row r="441" spans="1:43" x14ac:dyDescent="0.3">
      <c r="A441" s="556">
        <f t="shared" si="396"/>
        <v>2</v>
      </c>
      <c r="B441" s="519" t="str">
        <f t="shared" si="397"/>
        <v>TMU</v>
      </c>
      <c r="C441" s="519" t="str">
        <f t="shared" ref="C441:E441" si="511">C207</f>
        <v>Waipa Power</v>
      </c>
      <c r="D441" s="519" t="str">
        <f t="shared" si="511"/>
        <v>TMU0111</v>
      </c>
      <c r="E441" s="519">
        <f t="shared" si="511"/>
        <v>36.290100000000002</v>
      </c>
      <c r="H441" s="519">
        <f ca="1">_xlfn.IFNA(IF(VLOOKUP($B441&amp;OFFSET(H$10,$A441*2,0),'Mapping A'!$B$6:$E$1011,4,0)=1,$E441,""),0)</f>
        <v>0</v>
      </c>
      <c r="I441" s="519">
        <f ca="1">_xlfn.IFNA(IF(VLOOKUP($B441&amp;OFFSET(I$10,$A441*2,0),'Mapping A'!$B$6:$E$1011,4,0)=1,$E441,""),0)</f>
        <v>0</v>
      </c>
      <c r="J441" s="519">
        <f ca="1">_xlfn.IFNA(IF(VLOOKUP($B441&amp;OFFSET(J$10,$A441*2,0),'Mapping A'!$B$6:$E$1011,4,0)=1,$E441,""),0)</f>
        <v>0</v>
      </c>
      <c r="K441" s="519">
        <f ca="1">_xlfn.IFNA(IF(VLOOKUP($B441&amp;OFFSET(K$10,$A441*2,0),'Mapping A'!$B$6:$E$1011,4,0)=1,$E441,""),0)</f>
        <v>0</v>
      </c>
      <c r="L441" s="519">
        <f ca="1">_xlfn.IFNA(IF(VLOOKUP($B441&amp;OFFSET(L$10,$A441*2,0),'Mapping A'!$B$6:$E$1011,4,0)=1,$E441,""),0)</f>
        <v>0</v>
      </c>
      <c r="M441" s="519">
        <f ca="1">_xlfn.IFNA(IF(VLOOKUP($B441&amp;OFFSET(M$10,$A441*2,0),'Mapping A'!$B$6:$E$1011,4,0)=1,$E441,""),0)</f>
        <v>0</v>
      </c>
      <c r="N441" s="519">
        <f ca="1">_xlfn.IFNA(IF(VLOOKUP($B441&amp;OFFSET(N$10,$A441*2,0),'Mapping A'!$B$6:$E$1011,4,0)=1,$E441,""),0)</f>
        <v>0</v>
      </c>
      <c r="O441" s="519">
        <f ca="1">_xlfn.IFNA(IF(VLOOKUP($B441&amp;OFFSET(O$10,$A441*2,0),'Mapping A'!$B$6:$E$1011,4,0)=1,$E441,""),0)</f>
        <v>0</v>
      </c>
      <c r="P441" s="519">
        <f ca="1">_xlfn.IFNA(IF(VLOOKUP($B441&amp;OFFSET(P$10,$A441*2,0),'Mapping A'!$B$6:$E$1011,4,0)=1,$E441,""),0)</f>
        <v>0</v>
      </c>
      <c r="Q441" s="519">
        <f ca="1">_xlfn.IFNA(IF(VLOOKUP($B441&amp;OFFSET(Q$10,$A441*2,0),'Mapping A'!$B$6:$E$1011,4,0)=1,$E441,""),0)</f>
        <v>0</v>
      </c>
      <c r="R441" s="519">
        <f ca="1">_xlfn.IFNA(IF(VLOOKUP($B441&amp;OFFSET(R$10,$A441*2,0),'Mapping A'!$B$6:$E$1011,4,0)=1,$E441,""),0)</f>
        <v>0</v>
      </c>
      <c r="S441" s="519">
        <f ca="1">_xlfn.IFNA(IF(VLOOKUP($B441&amp;OFFSET(S$10,$A441*2,0),'Mapping A'!$B$6:$E$1011,4,0)=1,$E441,""),0)</f>
        <v>0</v>
      </c>
      <c r="T441" s="519">
        <f ca="1">_xlfn.IFNA(IF(VLOOKUP($B441&amp;OFFSET(T$10,$A441*2,0),'Mapping A'!$B$6:$E$1011,4,0)=1,$E441,""),0)</f>
        <v>0</v>
      </c>
      <c r="Y441" s="534" t="str">
        <f t="shared" si="399"/>
        <v>TMU0111Waipa Power</v>
      </c>
      <c r="Z441" s="519" t="str">
        <f t="shared" ref="Z441:AB441" si="512">C207</f>
        <v>Waipa Power</v>
      </c>
      <c r="AA441" s="519" t="str">
        <f t="shared" si="512"/>
        <v>TMU0111</v>
      </c>
      <c r="AB441" s="519">
        <f t="shared" si="512"/>
        <v>36.290100000000002</v>
      </c>
      <c r="AC441" s="324"/>
      <c r="AE441" s="519">
        <f t="shared" ca="1" si="383"/>
        <v>0</v>
      </c>
      <c r="AF441" s="519">
        <f t="shared" ca="1" si="384"/>
        <v>0</v>
      </c>
      <c r="AG441" s="519">
        <f t="shared" ca="1" si="385"/>
        <v>0</v>
      </c>
      <c r="AH441" s="519">
        <f t="shared" ca="1" si="386"/>
        <v>0</v>
      </c>
      <c r="AI441" s="519">
        <f t="shared" ca="1" si="387"/>
        <v>0</v>
      </c>
      <c r="AJ441" s="519">
        <f t="shared" ca="1" si="388"/>
        <v>0</v>
      </c>
      <c r="AK441" s="519">
        <f t="shared" ca="1" si="389"/>
        <v>0</v>
      </c>
      <c r="AL441" s="519">
        <f t="shared" ca="1" si="390"/>
        <v>0</v>
      </c>
      <c r="AM441" s="519">
        <f t="shared" ca="1" si="391"/>
        <v>0</v>
      </c>
      <c r="AN441" s="519">
        <f t="shared" ca="1" si="392"/>
        <v>0</v>
      </c>
      <c r="AO441" s="519">
        <f t="shared" ca="1" si="393"/>
        <v>0</v>
      </c>
      <c r="AP441" s="519">
        <f t="shared" ca="1" si="394"/>
        <v>0</v>
      </c>
      <c r="AQ441" s="519">
        <f t="shared" ca="1" si="395"/>
        <v>0</v>
      </c>
    </row>
    <row r="442" spans="1:43" x14ac:dyDescent="0.3">
      <c r="A442" s="556">
        <f t="shared" si="396"/>
        <v>2</v>
      </c>
      <c r="B442" s="519" t="str">
        <f t="shared" si="397"/>
        <v>TNG</v>
      </c>
      <c r="C442" s="519" t="str">
        <f t="shared" ref="C442:E442" si="513">C208</f>
        <v>The Lines Company</v>
      </c>
      <c r="D442" s="519" t="str">
        <f t="shared" si="513"/>
        <v>TNG0111</v>
      </c>
      <c r="E442" s="519">
        <f t="shared" si="513"/>
        <v>1.0310999999999999</v>
      </c>
      <c r="H442" s="519">
        <f ca="1">_xlfn.IFNA(IF(VLOOKUP($B442&amp;OFFSET(H$10,$A442*2,0),'Mapping A'!$B$6:$E$1011,4,0)=1,$E442,""),0)</f>
        <v>0</v>
      </c>
      <c r="I442" s="519">
        <f ca="1">_xlfn.IFNA(IF(VLOOKUP($B442&amp;OFFSET(I$10,$A442*2,0),'Mapping A'!$B$6:$E$1011,4,0)=1,$E442,""),0)</f>
        <v>0</v>
      </c>
      <c r="J442" s="519">
        <f ca="1">_xlfn.IFNA(IF(VLOOKUP($B442&amp;OFFSET(J$10,$A442*2,0),'Mapping A'!$B$6:$E$1011,4,0)=1,$E442,""),0)</f>
        <v>0</v>
      </c>
      <c r="K442" s="519">
        <f ca="1">_xlfn.IFNA(IF(VLOOKUP($B442&amp;OFFSET(K$10,$A442*2,0),'Mapping A'!$B$6:$E$1011,4,0)=1,$E442,""),0)</f>
        <v>0</v>
      </c>
      <c r="L442" s="519">
        <f ca="1">_xlfn.IFNA(IF(VLOOKUP($B442&amp;OFFSET(L$10,$A442*2,0),'Mapping A'!$B$6:$E$1011,4,0)=1,$E442,""),0)</f>
        <v>0</v>
      </c>
      <c r="M442" s="519">
        <f ca="1">_xlfn.IFNA(IF(VLOOKUP($B442&amp;OFFSET(M$10,$A442*2,0),'Mapping A'!$B$6:$E$1011,4,0)=1,$E442,""),0)</f>
        <v>0</v>
      </c>
      <c r="N442" s="519">
        <f ca="1">_xlfn.IFNA(IF(VLOOKUP($B442&amp;OFFSET(N$10,$A442*2,0),'Mapping A'!$B$6:$E$1011,4,0)=1,$E442,""),0)</f>
        <v>0</v>
      </c>
      <c r="O442" s="519">
        <f ca="1">_xlfn.IFNA(IF(VLOOKUP($B442&amp;OFFSET(O$10,$A442*2,0),'Mapping A'!$B$6:$E$1011,4,0)=1,$E442,""),0)</f>
        <v>0</v>
      </c>
      <c r="P442" s="519">
        <f ca="1">_xlfn.IFNA(IF(VLOOKUP($B442&amp;OFFSET(P$10,$A442*2,0),'Mapping A'!$B$6:$E$1011,4,0)=1,$E442,""),0)</f>
        <v>0</v>
      </c>
      <c r="Q442" s="519">
        <f ca="1">_xlfn.IFNA(IF(VLOOKUP($B442&amp;OFFSET(Q$10,$A442*2,0),'Mapping A'!$B$6:$E$1011,4,0)=1,$E442,""),0)</f>
        <v>0</v>
      </c>
      <c r="R442" s="519">
        <f ca="1">_xlfn.IFNA(IF(VLOOKUP($B442&amp;OFFSET(R$10,$A442*2,0),'Mapping A'!$B$6:$E$1011,4,0)=1,$E442,""),0)</f>
        <v>0</v>
      </c>
      <c r="S442" s="519">
        <f ca="1">_xlfn.IFNA(IF(VLOOKUP($B442&amp;OFFSET(S$10,$A442*2,0),'Mapping A'!$B$6:$E$1011,4,0)=1,$E442,""),0)</f>
        <v>0</v>
      </c>
      <c r="T442" s="519">
        <f ca="1">_xlfn.IFNA(IF(VLOOKUP($B442&amp;OFFSET(T$10,$A442*2,0),'Mapping A'!$B$6:$E$1011,4,0)=1,$E442,""),0)</f>
        <v>0</v>
      </c>
      <c r="Y442" s="534" t="str">
        <f t="shared" si="399"/>
        <v>TNG0111The Lines Company</v>
      </c>
      <c r="Z442" s="519" t="str">
        <f t="shared" ref="Z442:AB442" si="514">C208</f>
        <v>The Lines Company</v>
      </c>
      <c r="AA442" s="519" t="str">
        <f t="shared" si="514"/>
        <v>TNG0111</v>
      </c>
      <c r="AB442" s="519">
        <f t="shared" si="514"/>
        <v>1.0310999999999999</v>
      </c>
      <c r="AC442" s="324"/>
      <c r="AE442" s="519">
        <f t="shared" ca="1" si="383"/>
        <v>0</v>
      </c>
      <c r="AF442" s="519">
        <f t="shared" ca="1" si="384"/>
        <v>0</v>
      </c>
      <c r="AG442" s="519">
        <f t="shared" ca="1" si="385"/>
        <v>0</v>
      </c>
      <c r="AH442" s="519">
        <f t="shared" ca="1" si="386"/>
        <v>0</v>
      </c>
      <c r="AI442" s="519">
        <f t="shared" ca="1" si="387"/>
        <v>0</v>
      </c>
      <c r="AJ442" s="519">
        <f t="shared" ca="1" si="388"/>
        <v>0</v>
      </c>
      <c r="AK442" s="519">
        <f t="shared" ca="1" si="389"/>
        <v>0</v>
      </c>
      <c r="AL442" s="519">
        <f t="shared" ca="1" si="390"/>
        <v>0</v>
      </c>
      <c r="AM442" s="519">
        <f t="shared" ca="1" si="391"/>
        <v>0</v>
      </c>
      <c r="AN442" s="519">
        <f t="shared" ca="1" si="392"/>
        <v>0</v>
      </c>
      <c r="AO442" s="519">
        <f t="shared" ca="1" si="393"/>
        <v>0</v>
      </c>
      <c r="AP442" s="519">
        <f t="shared" ca="1" si="394"/>
        <v>0</v>
      </c>
      <c r="AQ442" s="519">
        <f t="shared" ca="1" si="395"/>
        <v>0</v>
      </c>
    </row>
    <row r="443" spans="1:43" x14ac:dyDescent="0.3">
      <c r="A443" s="556">
        <f t="shared" si="396"/>
        <v>2</v>
      </c>
      <c r="B443" s="519" t="str">
        <f t="shared" si="397"/>
        <v>TNG</v>
      </c>
      <c r="C443" s="519" t="str">
        <f t="shared" ref="C443:E443" si="515">C209</f>
        <v>Winstones</v>
      </c>
      <c r="D443" s="519" t="str">
        <f t="shared" si="515"/>
        <v>TNG0111</v>
      </c>
      <c r="E443" s="519">
        <f t="shared" si="515"/>
        <v>38.988599999999998</v>
      </c>
      <c r="H443" s="519">
        <f ca="1">_xlfn.IFNA(IF(VLOOKUP($B443&amp;OFFSET(H$10,$A443*2,0),'Mapping A'!$B$6:$E$1011,4,0)=1,$E443,""),0)</f>
        <v>0</v>
      </c>
      <c r="I443" s="519">
        <f ca="1">_xlfn.IFNA(IF(VLOOKUP($B443&amp;OFFSET(I$10,$A443*2,0),'Mapping A'!$B$6:$E$1011,4,0)=1,$E443,""),0)</f>
        <v>0</v>
      </c>
      <c r="J443" s="519">
        <f ca="1">_xlfn.IFNA(IF(VLOOKUP($B443&amp;OFFSET(J$10,$A443*2,0),'Mapping A'!$B$6:$E$1011,4,0)=1,$E443,""),0)</f>
        <v>0</v>
      </c>
      <c r="K443" s="519">
        <f ca="1">_xlfn.IFNA(IF(VLOOKUP($B443&amp;OFFSET(K$10,$A443*2,0),'Mapping A'!$B$6:$E$1011,4,0)=1,$E443,""),0)</f>
        <v>0</v>
      </c>
      <c r="L443" s="519">
        <f ca="1">_xlfn.IFNA(IF(VLOOKUP($B443&amp;OFFSET(L$10,$A443*2,0),'Mapping A'!$B$6:$E$1011,4,0)=1,$E443,""),0)</f>
        <v>0</v>
      </c>
      <c r="M443" s="519">
        <f ca="1">_xlfn.IFNA(IF(VLOOKUP($B443&amp;OFFSET(M$10,$A443*2,0),'Mapping A'!$B$6:$E$1011,4,0)=1,$E443,""),0)</f>
        <v>0</v>
      </c>
      <c r="N443" s="519">
        <f ca="1">_xlfn.IFNA(IF(VLOOKUP($B443&amp;OFFSET(N$10,$A443*2,0),'Mapping A'!$B$6:$E$1011,4,0)=1,$E443,""),0)</f>
        <v>0</v>
      </c>
      <c r="O443" s="519">
        <f ca="1">_xlfn.IFNA(IF(VLOOKUP($B443&amp;OFFSET(O$10,$A443*2,0),'Mapping A'!$B$6:$E$1011,4,0)=1,$E443,""),0)</f>
        <v>0</v>
      </c>
      <c r="P443" s="519">
        <f ca="1">_xlfn.IFNA(IF(VLOOKUP($B443&amp;OFFSET(P$10,$A443*2,0),'Mapping A'!$B$6:$E$1011,4,0)=1,$E443,""),0)</f>
        <v>0</v>
      </c>
      <c r="Q443" s="519">
        <f ca="1">_xlfn.IFNA(IF(VLOOKUP($B443&amp;OFFSET(Q$10,$A443*2,0),'Mapping A'!$B$6:$E$1011,4,0)=1,$E443,""),0)</f>
        <v>0</v>
      </c>
      <c r="R443" s="519">
        <f ca="1">_xlfn.IFNA(IF(VLOOKUP($B443&amp;OFFSET(R$10,$A443*2,0),'Mapping A'!$B$6:$E$1011,4,0)=1,$E443,""),0)</f>
        <v>0</v>
      </c>
      <c r="S443" s="519">
        <f ca="1">_xlfn.IFNA(IF(VLOOKUP($B443&amp;OFFSET(S$10,$A443*2,0),'Mapping A'!$B$6:$E$1011,4,0)=1,$E443,""),0)</f>
        <v>0</v>
      </c>
      <c r="T443" s="519">
        <f ca="1">_xlfn.IFNA(IF(VLOOKUP($B443&amp;OFFSET(T$10,$A443*2,0),'Mapping A'!$B$6:$E$1011,4,0)=1,$E443,""),0)</f>
        <v>0</v>
      </c>
      <c r="Y443" s="534" t="str">
        <f t="shared" si="399"/>
        <v>TNG0111Winstones</v>
      </c>
      <c r="Z443" s="519" t="str">
        <f t="shared" ref="Z443:AB443" si="516">C209</f>
        <v>Winstones</v>
      </c>
      <c r="AA443" s="519" t="str">
        <f t="shared" si="516"/>
        <v>TNG0111</v>
      </c>
      <c r="AB443" s="519">
        <f t="shared" si="516"/>
        <v>38.988599999999998</v>
      </c>
      <c r="AC443" s="324"/>
      <c r="AE443" s="519">
        <f t="shared" ca="1" si="383"/>
        <v>0</v>
      </c>
      <c r="AF443" s="519">
        <f t="shared" ca="1" si="384"/>
        <v>0</v>
      </c>
      <c r="AG443" s="519">
        <f t="shared" ca="1" si="385"/>
        <v>0</v>
      </c>
      <c r="AH443" s="519">
        <f t="shared" ca="1" si="386"/>
        <v>0</v>
      </c>
      <c r="AI443" s="519">
        <f t="shared" ca="1" si="387"/>
        <v>0</v>
      </c>
      <c r="AJ443" s="519">
        <f t="shared" ca="1" si="388"/>
        <v>0</v>
      </c>
      <c r="AK443" s="519">
        <f t="shared" ca="1" si="389"/>
        <v>0</v>
      </c>
      <c r="AL443" s="519">
        <f t="shared" ca="1" si="390"/>
        <v>0</v>
      </c>
      <c r="AM443" s="519">
        <f t="shared" ca="1" si="391"/>
        <v>0</v>
      </c>
      <c r="AN443" s="519">
        <f t="shared" ca="1" si="392"/>
        <v>0</v>
      </c>
      <c r="AO443" s="519">
        <f t="shared" ca="1" si="393"/>
        <v>0</v>
      </c>
      <c r="AP443" s="519">
        <f t="shared" ca="1" si="394"/>
        <v>0</v>
      </c>
      <c r="AQ443" s="519">
        <f t="shared" ca="1" si="395"/>
        <v>0</v>
      </c>
    </row>
    <row r="444" spans="1:43" x14ac:dyDescent="0.3">
      <c r="A444" s="556">
        <f t="shared" si="396"/>
        <v>2</v>
      </c>
      <c r="B444" s="519" t="str">
        <f t="shared" si="397"/>
        <v>TNG</v>
      </c>
      <c r="C444" s="519" t="str">
        <f t="shared" ref="C444:E444" si="517">C210</f>
        <v>Kiwirail</v>
      </c>
      <c r="D444" s="519" t="str">
        <f t="shared" si="517"/>
        <v>TNG0551</v>
      </c>
      <c r="E444" s="519">
        <f t="shared" si="517"/>
        <v>9.0342000000000002</v>
      </c>
      <c r="H444" s="519">
        <f ca="1">_xlfn.IFNA(IF(VLOOKUP($B444&amp;OFFSET(H$10,$A444*2,0),'Mapping A'!$B$6:$E$1011,4,0)=1,$E444,""),0)</f>
        <v>0</v>
      </c>
      <c r="I444" s="519">
        <f ca="1">_xlfn.IFNA(IF(VLOOKUP($B444&amp;OFFSET(I$10,$A444*2,0),'Mapping A'!$B$6:$E$1011,4,0)=1,$E444,""),0)</f>
        <v>0</v>
      </c>
      <c r="J444" s="519">
        <f ca="1">_xlfn.IFNA(IF(VLOOKUP($B444&amp;OFFSET(J$10,$A444*2,0),'Mapping A'!$B$6:$E$1011,4,0)=1,$E444,""),0)</f>
        <v>0</v>
      </c>
      <c r="K444" s="519">
        <f ca="1">_xlfn.IFNA(IF(VLOOKUP($B444&amp;OFFSET(K$10,$A444*2,0),'Mapping A'!$B$6:$E$1011,4,0)=1,$E444,""),0)</f>
        <v>0</v>
      </c>
      <c r="L444" s="519">
        <f ca="1">_xlfn.IFNA(IF(VLOOKUP($B444&amp;OFFSET(L$10,$A444*2,0),'Mapping A'!$B$6:$E$1011,4,0)=1,$E444,""),0)</f>
        <v>0</v>
      </c>
      <c r="M444" s="519">
        <f ca="1">_xlfn.IFNA(IF(VLOOKUP($B444&amp;OFFSET(M$10,$A444*2,0),'Mapping A'!$B$6:$E$1011,4,0)=1,$E444,""),0)</f>
        <v>0</v>
      </c>
      <c r="N444" s="519">
        <f ca="1">_xlfn.IFNA(IF(VLOOKUP($B444&amp;OFFSET(N$10,$A444*2,0),'Mapping A'!$B$6:$E$1011,4,0)=1,$E444,""),0)</f>
        <v>0</v>
      </c>
      <c r="O444" s="519">
        <f ca="1">_xlfn.IFNA(IF(VLOOKUP($B444&amp;OFFSET(O$10,$A444*2,0),'Mapping A'!$B$6:$E$1011,4,0)=1,$E444,""),0)</f>
        <v>0</v>
      </c>
      <c r="P444" s="519">
        <f ca="1">_xlfn.IFNA(IF(VLOOKUP($B444&amp;OFFSET(P$10,$A444*2,0),'Mapping A'!$B$6:$E$1011,4,0)=1,$E444,""),0)</f>
        <v>0</v>
      </c>
      <c r="Q444" s="519">
        <f ca="1">_xlfn.IFNA(IF(VLOOKUP($B444&amp;OFFSET(Q$10,$A444*2,0),'Mapping A'!$B$6:$E$1011,4,0)=1,$E444,""),0)</f>
        <v>0</v>
      </c>
      <c r="R444" s="519">
        <f ca="1">_xlfn.IFNA(IF(VLOOKUP($B444&amp;OFFSET(R$10,$A444*2,0),'Mapping A'!$B$6:$E$1011,4,0)=1,$E444,""),0)</f>
        <v>0</v>
      </c>
      <c r="S444" s="519">
        <f ca="1">_xlfn.IFNA(IF(VLOOKUP($B444&amp;OFFSET(S$10,$A444*2,0),'Mapping A'!$B$6:$E$1011,4,0)=1,$E444,""),0)</f>
        <v>0</v>
      </c>
      <c r="T444" s="519">
        <f ca="1">_xlfn.IFNA(IF(VLOOKUP($B444&amp;OFFSET(T$10,$A444*2,0),'Mapping A'!$B$6:$E$1011,4,0)=1,$E444,""),0)</f>
        <v>0</v>
      </c>
      <c r="Y444" s="534" t="str">
        <f t="shared" si="399"/>
        <v>TNG0551Kiwirail</v>
      </c>
      <c r="Z444" s="519" t="str">
        <f t="shared" ref="Z444:AB444" si="518">C210</f>
        <v>Kiwirail</v>
      </c>
      <c r="AA444" s="519" t="str">
        <f t="shared" si="518"/>
        <v>TNG0551</v>
      </c>
      <c r="AB444" s="519">
        <f t="shared" si="518"/>
        <v>9.0342000000000002</v>
      </c>
      <c r="AC444" s="324"/>
      <c r="AE444" s="519">
        <f t="shared" ca="1" si="383"/>
        <v>0</v>
      </c>
      <c r="AF444" s="519">
        <f t="shared" ca="1" si="384"/>
        <v>0</v>
      </c>
      <c r="AG444" s="519">
        <f t="shared" ca="1" si="385"/>
        <v>0</v>
      </c>
      <c r="AH444" s="519">
        <f t="shared" ca="1" si="386"/>
        <v>0</v>
      </c>
      <c r="AI444" s="519">
        <f t="shared" ca="1" si="387"/>
        <v>0</v>
      </c>
      <c r="AJ444" s="519">
        <f t="shared" ca="1" si="388"/>
        <v>0</v>
      </c>
      <c r="AK444" s="519">
        <f t="shared" ca="1" si="389"/>
        <v>0</v>
      </c>
      <c r="AL444" s="519">
        <f t="shared" ca="1" si="390"/>
        <v>0</v>
      </c>
      <c r="AM444" s="519">
        <f t="shared" ca="1" si="391"/>
        <v>0</v>
      </c>
      <c r="AN444" s="519">
        <f t="shared" ca="1" si="392"/>
        <v>0</v>
      </c>
      <c r="AO444" s="519">
        <f t="shared" ca="1" si="393"/>
        <v>0</v>
      </c>
      <c r="AP444" s="519">
        <f t="shared" ca="1" si="394"/>
        <v>0</v>
      </c>
      <c r="AQ444" s="519">
        <f t="shared" ca="1" si="395"/>
        <v>0</v>
      </c>
    </row>
    <row r="445" spans="1:43" x14ac:dyDescent="0.3">
      <c r="A445" s="556">
        <f t="shared" si="396"/>
        <v>2</v>
      </c>
      <c r="B445" s="519" t="str">
        <f t="shared" si="397"/>
        <v>TRK</v>
      </c>
      <c r="C445" s="519" t="str">
        <f t="shared" ref="C445:E445" si="519">C211</f>
        <v>Unison</v>
      </c>
      <c r="D445" s="519" t="str">
        <f t="shared" si="519"/>
        <v>TRK0111</v>
      </c>
      <c r="E445" s="519">
        <f t="shared" si="519"/>
        <v>8.2887000000000004</v>
      </c>
      <c r="H445" s="519">
        <f ca="1">_xlfn.IFNA(IF(VLOOKUP($B445&amp;OFFSET(H$10,$A445*2,0),'Mapping A'!$B$6:$E$1011,4,0)=1,$E445,""),0)</f>
        <v>0</v>
      </c>
      <c r="I445" s="519">
        <f ca="1">_xlfn.IFNA(IF(VLOOKUP($B445&amp;OFFSET(I$10,$A445*2,0),'Mapping A'!$B$6:$E$1011,4,0)=1,$E445,""),0)</f>
        <v>0</v>
      </c>
      <c r="J445" s="519">
        <f ca="1">_xlfn.IFNA(IF(VLOOKUP($B445&amp;OFFSET(J$10,$A445*2,0),'Mapping A'!$B$6:$E$1011,4,0)=1,$E445,""),0)</f>
        <v>0</v>
      </c>
      <c r="K445" s="519">
        <f ca="1">_xlfn.IFNA(IF(VLOOKUP($B445&amp;OFFSET(K$10,$A445*2,0),'Mapping A'!$B$6:$E$1011,4,0)=1,$E445,""),0)</f>
        <v>0</v>
      </c>
      <c r="L445" s="519">
        <f ca="1">_xlfn.IFNA(IF(VLOOKUP($B445&amp;OFFSET(L$10,$A445*2,0),'Mapping A'!$B$6:$E$1011,4,0)=1,$E445,""),0)</f>
        <v>0</v>
      </c>
      <c r="M445" s="519">
        <f ca="1">_xlfn.IFNA(IF(VLOOKUP($B445&amp;OFFSET(M$10,$A445*2,0),'Mapping A'!$B$6:$E$1011,4,0)=1,$E445,""),0)</f>
        <v>0</v>
      </c>
      <c r="N445" s="519">
        <f ca="1">_xlfn.IFNA(IF(VLOOKUP($B445&amp;OFFSET(N$10,$A445*2,0),'Mapping A'!$B$6:$E$1011,4,0)=1,$E445,""),0)</f>
        <v>0</v>
      </c>
      <c r="O445" s="519">
        <f ca="1">_xlfn.IFNA(IF(VLOOKUP($B445&amp;OFFSET(O$10,$A445*2,0),'Mapping A'!$B$6:$E$1011,4,0)=1,$E445,""),0)</f>
        <v>0</v>
      </c>
      <c r="P445" s="519">
        <f ca="1">_xlfn.IFNA(IF(VLOOKUP($B445&amp;OFFSET(P$10,$A445*2,0),'Mapping A'!$B$6:$E$1011,4,0)=1,$E445,""),0)</f>
        <v>0</v>
      </c>
      <c r="Q445" s="519">
        <f ca="1">_xlfn.IFNA(IF(VLOOKUP($B445&amp;OFFSET(Q$10,$A445*2,0),'Mapping A'!$B$6:$E$1011,4,0)=1,$E445,""),0)</f>
        <v>0</v>
      </c>
      <c r="R445" s="519">
        <f ca="1">_xlfn.IFNA(IF(VLOOKUP($B445&amp;OFFSET(R$10,$A445*2,0),'Mapping A'!$B$6:$E$1011,4,0)=1,$E445,""),0)</f>
        <v>0</v>
      </c>
      <c r="S445" s="519">
        <f ca="1">_xlfn.IFNA(IF(VLOOKUP($B445&amp;OFFSET(S$10,$A445*2,0),'Mapping A'!$B$6:$E$1011,4,0)=1,$E445,""),0)</f>
        <v>0</v>
      </c>
      <c r="T445" s="519">
        <f ca="1">_xlfn.IFNA(IF(VLOOKUP($B445&amp;OFFSET(T$10,$A445*2,0),'Mapping A'!$B$6:$E$1011,4,0)=1,$E445,""),0)</f>
        <v>0</v>
      </c>
      <c r="Y445" s="534" t="str">
        <f t="shared" si="399"/>
        <v>TRK0111Unison</v>
      </c>
      <c r="Z445" s="519" t="str">
        <f t="shared" ref="Z445:AB445" si="520">C211</f>
        <v>Unison</v>
      </c>
      <c r="AA445" s="519" t="str">
        <f t="shared" si="520"/>
        <v>TRK0111</v>
      </c>
      <c r="AB445" s="519">
        <f t="shared" si="520"/>
        <v>8.2887000000000004</v>
      </c>
      <c r="AC445" s="324"/>
      <c r="AE445" s="519">
        <f t="shared" ca="1" si="383"/>
        <v>0</v>
      </c>
      <c r="AF445" s="519">
        <f t="shared" ca="1" si="384"/>
        <v>0</v>
      </c>
      <c r="AG445" s="519">
        <f t="shared" ca="1" si="385"/>
        <v>0</v>
      </c>
      <c r="AH445" s="519">
        <f t="shared" ca="1" si="386"/>
        <v>0</v>
      </c>
      <c r="AI445" s="519">
        <f t="shared" ca="1" si="387"/>
        <v>0</v>
      </c>
      <c r="AJ445" s="519">
        <f t="shared" ca="1" si="388"/>
        <v>0</v>
      </c>
      <c r="AK445" s="519">
        <f t="shared" ca="1" si="389"/>
        <v>0</v>
      </c>
      <c r="AL445" s="519">
        <f t="shared" ca="1" si="390"/>
        <v>0</v>
      </c>
      <c r="AM445" s="519">
        <f t="shared" ca="1" si="391"/>
        <v>0</v>
      </c>
      <c r="AN445" s="519">
        <f t="shared" ca="1" si="392"/>
        <v>0</v>
      </c>
      <c r="AO445" s="519">
        <f t="shared" ca="1" si="393"/>
        <v>0</v>
      </c>
      <c r="AP445" s="519">
        <f t="shared" ca="1" si="394"/>
        <v>0</v>
      </c>
      <c r="AQ445" s="519">
        <f t="shared" ca="1" si="395"/>
        <v>0</v>
      </c>
    </row>
    <row r="446" spans="1:43" x14ac:dyDescent="0.3">
      <c r="A446" s="556">
        <f t="shared" si="396"/>
        <v>2</v>
      </c>
      <c r="B446" s="519" t="str">
        <f t="shared" si="397"/>
        <v>TUI</v>
      </c>
      <c r="C446" s="519" t="str">
        <f t="shared" ref="C446:E446" si="521">C212</f>
        <v>Eastland Network</v>
      </c>
      <c r="D446" s="519" t="str">
        <f t="shared" si="521"/>
        <v>TUI1101</v>
      </c>
      <c r="E446" s="519">
        <f t="shared" si="521"/>
        <v>58.113299999999903</v>
      </c>
      <c r="H446" s="519">
        <f ca="1">_xlfn.IFNA(IF(VLOOKUP($B446&amp;OFFSET(H$10,$A446*2,0),'Mapping A'!$B$6:$E$1011,4,0)=1,$E446,""),0)</f>
        <v>0</v>
      </c>
      <c r="I446" s="519">
        <f ca="1">_xlfn.IFNA(IF(VLOOKUP($B446&amp;OFFSET(I$10,$A446*2,0),'Mapping A'!$B$6:$E$1011,4,0)=1,$E446,""),0)</f>
        <v>0</v>
      </c>
      <c r="J446" s="519">
        <f ca="1">_xlfn.IFNA(IF(VLOOKUP($B446&amp;OFFSET(J$10,$A446*2,0),'Mapping A'!$B$6:$E$1011,4,0)=1,$E446,""),0)</f>
        <v>0</v>
      </c>
      <c r="K446" s="519">
        <f ca="1">_xlfn.IFNA(IF(VLOOKUP($B446&amp;OFFSET(K$10,$A446*2,0),'Mapping A'!$B$6:$E$1011,4,0)=1,$E446,""),0)</f>
        <v>0</v>
      </c>
      <c r="L446" s="519">
        <f ca="1">_xlfn.IFNA(IF(VLOOKUP($B446&amp;OFFSET(L$10,$A446*2,0),'Mapping A'!$B$6:$E$1011,4,0)=1,$E446,""),0)</f>
        <v>0</v>
      </c>
      <c r="M446" s="519">
        <f ca="1">_xlfn.IFNA(IF(VLOOKUP($B446&amp;OFFSET(M$10,$A446*2,0),'Mapping A'!$B$6:$E$1011,4,0)=1,$E446,""),0)</f>
        <v>0</v>
      </c>
      <c r="N446" s="519">
        <f ca="1">_xlfn.IFNA(IF(VLOOKUP($B446&amp;OFFSET(N$10,$A446*2,0),'Mapping A'!$B$6:$E$1011,4,0)=1,$E446,""),0)</f>
        <v>0</v>
      </c>
      <c r="O446" s="519">
        <f ca="1">_xlfn.IFNA(IF(VLOOKUP($B446&amp;OFFSET(O$10,$A446*2,0),'Mapping A'!$B$6:$E$1011,4,0)=1,$E446,""),0)</f>
        <v>0</v>
      </c>
      <c r="P446" s="519">
        <f ca="1">_xlfn.IFNA(IF(VLOOKUP($B446&amp;OFFSET(P$10,$A446*2,0),'Mapping A'!$B$6:$E$1011,4,0)=1,$E446,""),0)</f>
        <v>0</v>
      </c>
      <c r="Q446" s="519">
        <f ca="1">_xlfn.IFNA(IF(VLOOKUP($B446&amp;OFFSET(Q$10,$A446*2,0),'Mapping A'!$B$6:$E$1011,4,0)=1,$E446,""),0)</f>
        <v>0</v>
      </c>
      <c r="R446" s="519">
        <f ca="1">_xlfn.IFNA(IF(VLOOKUP($B446&amp;OFFSET(R$10,$A446*2,0),'Mapping A'!$B$6:$E$1011,4,0)=1,$E446,""),0)</f>
        <v>0</v>
      </c>
      <c r="S446" s="519">
        <f ca="1">_xlfn.IFNA(IF(VLOOKUP($B446&amp;OFFSET(S$10,$A446*2,0),'Mapping A'!$B$6:$E$1011,4,0)=1,$E446,""),0)</f>
        <v>0</v>
      </c>
      <c r="T446" s="519">
        <f ca="1">_xlfn.IFNA(IF(VLOOKUP($B446&amp;OFFSET(T$10,$A446*2,0),'Mapping A'!$B$6:$E$1011,4,0)=1,$E446,""),0)</f>
        <v>0</v>
      </c>
      <c r="Y446" s="534" t="str">
        <f t="shared" si="399"/>
        <v>TUI1101Eastland Network</v>
      </c>
      <c r="Z446" s="519" t="str">
        <f t="shared" ref="Z446:AB446" si="522">C212</f>
        <v>Eastland Network</v>
      </c>
      <c r="AA446" s="519" t="str">
        <f t="shared" si="522"/>
        <v>TUI1101</v>
      </c>
      <c r="AB446" s="519">
        <f t="shared" si="522"/>
        <v>58.113299999999903</v>
      </c>
      <c r="AC446" s="324"/>
      <c r="AE446" s="519">
        <f t="shared" ca="1" si="383"/>
        <v>0</v>
      </c>
      <c r="AF446" s="519">
        <f t="shared" ca="1" si="384"/>
        <v>0</v>
      </c>
      <c r="AG446" s="519">
        <f t="shared" ca="1" si="385"/>
        <v>0</v>
      </c>
      <c r="AH446" s="519">
        <f t="shared" ca="1" si="386"/>
        <v>0</v>
      </c>
      <c r="AI446" s="519">
        <f t="shared" ca="1" si="387"/>
        <v>0</v>
      </c>
      <c r="AJ446" s="519">
        <f t="shared" ca="1" si="388"/>
        <v>0</v>
      </c>
      <c r="AK446" s="519">
        <f t="shared" ca="1" si="389"/>
        <v>0</v>
      </c>
      <c r="AL446" s="519">
        <f t="shared" ca="1" si="390"/>
        <v>0</v>
      </c>
      <c r="AM446" s="519">
        <f t="shared" ca="1" si="391"/>
        <v>0</v>
      </c>
      <c r="AN446" s="519">
        <f t="shared" ca="1" si="392"/>
        <v>0</v>
      </c>
      <c r="AO446" s="519">
        <f t="shared" ca="1" si="393"/>
        <v>0</v>
      </c>
      <c r="AP446" s="519">
        <f t="shared" ca="1" si="394"/>
        <v>0</v>
      </c>
      <c r="AQ446" s="519">
        <f t="shared" ca="1" si="395"/>
        <v>0</v>
      </c>
    </row>
    <row r="447" spans="1:43" x14ac:dyDescent="0.3">
      <c r="A447" s="556">
        <f t="shared" si="396"/>
        <v>2</v>
      </c>
      <c r="B447" s="519" t="str">
        <f t="shared" si="397"/>
        <v>TUI</v>
      </c>
      <c r="C447" s="519" t="str">
        <f t="shared" ref="C447:E447" si="523">C213</f>
        <v>Genesis</v>
      </c>
      <c r="D447" s="519" t="str">
        <f t="shared" si="523"/>
        <v>TUI1101</v>
      </c>
      <c r="E447" s="519">
        <f t="shared" si="523"/>
        <v>0.67200000000000004</v>
      </c>
      <c r="H447" s="519">
        <f ca="1">_xlfn.IFNA(IF(VLOOKUP($B447&amp;OFFSET(H$10,$A447*2,0),'Mapping A'!$B$6:$E$1011,4,0)=1,$E447,""),0)</f>
        <v>0</v>
      </c>
      <c r="I447" s="519">
        <f ca="1">_xlfn.IFNA(IF(VLOOKUP($B447&amp;OFFSET(I$10,$A447*2,0),'Mapping A'!$B$6:$E$1011,4,0)=1,$E447,""),0)</f>
        <v>0</v>
      </c>
      <c r="J447" s="519">
        <f ca="1">_xlfn.IFNA(IF(VLOOKUP($B447&amp;OFFSET(J$10,$A447*2,0),'Mapping A'!$B$6:$E$1011,4,0)=1,$E447,""),0)</f>
        <v>0</v>
      </c>
      <c r="K447" s="519">
        <f ca="1">_xlfn.IFNA(IF(VLOOKUP($B447&amp;OFFSET(K$10,$A447*2,0),'Mapping A'!$B$6:$E$1011,4,0)=1,$E447,""),0)</f>
        <v>0</v>
      </c>
      <c r="L447" s="519">
        <f ca="1">_xlfn.IFNA(IF(VLOOKUP($B447&amp;OFFSET(L$10,$A447*2,0),'Mapping A'!$B$6:$E$1011,4,0)=1,$E447,""),0)</f>
        <v>0</v>
      </c>
      <c r="M447" s="519">
        <f ca="1">_xlfn.IFNA(IF(VLOOKUP($B447&amp;OFFSET(M$10,$A447*2,0),'Mapping A'!$B$6:$E$1011,4,0)=1,$E447,""),0)</f>
        <v>0</v>
      </c>
      <c r="N447" s="519">
        <f ca="1">_xlfn.IFNA(IF(VLOOKUP($B447&amp;OFFSET(N$10,$A447*2,0),'Mapping A'!$B$6:$E$1011,4,0)=1,$E447,""),0)</f>
        <v>0</v>
      </c>
      <c r="O447" s="519">
        <f ca="1">_xlfn.IFNA(IF(VLOOKUP($B447&amp;OFFSET(O$10,$A447*2,0),'Mapping A'!$B$6:$E$1011,4,0)=1,$E447,""),0)</f>
        <v>0</v>
      </c>
      <c r="P447" s="519">
        <f ca="1">_xlfn.IFNA(IF(VLOOKUP($B447&amp;OFFSET(P$10,$A447*2,0),'Mapping A'!$B$6:$E$1011,4,0)=1,$E447,""),0)</f>
        <v>0</v>
      </c>
      <c r="Q447" s="519">
        <f ca="1">_xlfn.IFNA(IF(VLOOKUP($B447&amp;OFFSET(Q$10,$A447*2,0),'Mapping A'!$B$6:$E$1011,4,0)=1,$E447,""),0)</f>
        <v>0</v>
      </c>
      <c r="R447" s="519">
        <f ca="1">_xlfn.IFNA(IF(VLOOKUP($B447&amp;OFFSET(R$10,$A447*2,0),'Mapping A'!$B$6:$E$1011,4,0)=1,$E447,""),0)</f>
        <v>0</v>
      </c>
      <c r="S447" s="519">
        <f ca="1">_xlfn.IFNA(IF(VLOOKUP($B447&amp;OFFSET(S$10,$A447*2,0),'Mapping A'!$B$6:$E$1011,4,0)=1,$E447,""),0)</f>
        <v>0</v>
      </c>
      <c r="T447" s="519">
        <f ca="1">_xlfn.IFNA(IF(VLOOKUP($B447&amp;OFFSET(T$10,$A447*2,0),'Mapping A'!$B$6:$E$1011,4,0)=1,$E447,""),0)</f>
        <v>0</v>
      </c>
      <c r="Y447" s="534" t="str">
        <f t="shared" si="399"/>
        <v>TUI1101Genesis</v>
      </c>
      <c r="Z447" s="519" t="str">
        <f t="shared" ref="Z447:AB447" si="524">C213</f>
        <v>Genesis</v>
      </c>
      <c r="AA447" s="519" t="str">
        <f t="shared" si="524"/>
        <v>TUI1101</v>
      </c>
      <c r="AB447" s="519">
        <f t="shared" si="524"/>
        <v>0.67200000000000004</v>
      </c>
      <c r="AC447" s="324"/>
      <c r="AE447" s="519">
        <f t="shared" ca="1" si="383"/>
        <v>0</v>
      </c>
      <c r="AF447" s="519">
        <f t="shared" ca="1" si="384"/>
        <v>0</v>
      </c>
      <c r="AG447" s="519">
        <f t="shared" ca="1" si="385"/>
        <v>0</v>
      </c>
      <c r="AH447" s="519">
        <f t="shared" ca="1" si="386"/>
        <v>0</v>
      </c>
      <c r="AI447" s="519">
        <f t="shared" ca="1" si="387"/>
        <v>0</v>
      </c>
      <c r="AJ447" s="519">
        <f t="shared" ca="1" si="388"/>
        <v>0</v>
      </c>
      <c r="AK447" s="519">
        <f t="shared" ca="1" si="389"/>
        <v>0</v>
      </c>
      <c r="AL447" s="519">
        <f t="shared" ca="1" si="390"/>
        <v>0</v>
      </c>
      <c r="AM447" s="519">
        <f t="shared" ca="1" si="391"/>
        <v>0</v>
      </c>
      <c r="AN447" s="519">
        <f t="shared" ca="1" si="392"/>
        <v>0</v>
      </c>
      <c r="AO447" s="519">
        <f t="shared" ca="1" si="393"/>
        <v>0</v>
      </c>
      <c r="AP447" s="519">
        <f t="shared" ca="1" si="394"/>
        <v>0</v>
      </c>
      <c r="AQ447" s="519">
        <f t="shared" ca="1" si="395"/>
        <v>0</v>
      </c>
    </row>
    <row r="448" spans="1:43" x14ac:dyDescent="0.3">
      <c r="A448" s="556">
        <f t="shared" si="396"/>
        <v>2</v>
      </c>
      <c r="B448" s="519" t="str">
        <f t="shared" si="397"/>
        <v>TWC</v>
      </c>
      <c r="C448" s="519" t="str">
        <f t="shared" ref="C448:E448" si="525">C214</f>
        <v>TrustPower</v>
      </c>
      <c r="D448" s="519" t="str">
        <f t="shared" si="525"/>
        <v>TWC2201</v>
      </c>
      <c r="E448" s="519">
        <f t="shared" si="525"/>
        <v>1.1906999999999901</v>
      </c>
      <c r="H448" s="519">
        <f ca="1">_xlfn.IFNA(IF(VLOOKUP($B448&amp;OFFSET(H$10,$A448*2,0),'Mapping A'!$B$6:$E$1011,4,0)=1,$E448,""),0)</f>
        <v>0</v>
      </c>
      <c r="I448" s="519">
        <f ca="1">_xlfn.IFNA(IF(VLOOKUP($B448&amp;OFFSET(I$10,$A448*2,0),'Mapping A'!$B$6:$E$1011,4,0)=1,$E448,""),0)</f>
        <v>0</v>
      </c>
      <c r="J448" s="519">
        <f ca="1">_xlfn.IFNA(IF(VLOOKUP($B448&amp;OFFSET(J$10,$A448*2,0),'Mapping A'!$B$6:$E$1011,4,0)=1,$E448,""),0)</f>
        <v>0</v>
      </c>
      <c r="K448" s="519">
        <f ca="1">_xlfn.IFNA(IF(VLOOKUP($B448&amp;OFFSET(K$10,$A448*2,0),'Mapping A'!$B$6:$E$1011,4,0)=1,$E448,""),0)</f>
        <v>0</v>
      </c>
      <c r="L448" s="519">
        <f ca="1">_xlfn.IFNA(IF(VLOOKUP($B448&amp;OFFSET(L$10,$A448*2,0),'Mapping A'!$B$6:$E$1011,4,0)=1,$E448,""),0)</f>
        <v>0</v>
      </c>
      <c r="M448" s="519">
        <f ca="1">_xlfn.IFNA(IF(VLOOKUP($B448&amp;OFFSET(M$10,$A448*2,0),'Mapping A'!$B$6:$E$1011,4,0)=1,$E448,""),0)</f>
        <v>0</v>
      </c>
      <c r="N448" s="519">
        <f ca="1">_xlfn.IFNA(IF(VLOOKUP($B448&amp;OFFSET(N$10,$A448*2,0),'Mapping A'!$B$6:$E$1011,4,0)=1,$E448,""),0)</f>
        <v>0</v>
      </c>
      <c r="O448" s="519">
        <f ca="1">_xlfn.IFNA(IF(VLOOKUP($B448&amp;OFFSET(O$10,$A448*2,0),'Mapping A'!$B$6:$E$1011,4,0)=1,$E448,""),0)</f>
        <v>0</v>
      </c>
      <c r="P448" s="519">
        <f ca="1">_xlfn.IFNA(IF(VLOOKUP($B448&amp;OFFSET(P$10,$A448*2,0),'Mapping A'!$B$6:$E$1011,4,0)=1,$E448,""),0)</f>
        <v>0</v>
      </c>
      <c r="Q448" s="519">
        <f ca="1">_xlfn.IFNA(IF(VLOOKUP($B448&amp;OFFSET(Q$10,$A448*2,0),'Mapping A'!$B$6:$E$1011,4,0)=1,$E448,""),0)</f>
        <v>0</v>
      </c>
      <c r="R448" s="519">
        <f ca="1">_xlfn.IFNA(IF(VLOOKUP($B448&amp;OFFSET(R$10,$A448*2,0),'Mapping A'!$B$6:$E$1011,4,0)=1,$E448,""),0)</f>
        <v>0</v>
      </c>
      <c r="S448" s="519">
        <f ca="1">_xlfn.IFNA(IF(VLOOKUP($B448&amp;OFFSET(S$10,$A448*2,0),'Mapping A'!$B$6:$E$1011,4,0)=1,$E448,""),0)</f>
        <v>0</v>
      </c>
      <c r="T448" s="519">
        <f ca="1">_xlfn.IFNA(IF(VLOOKUP($B448&amp;OFFSET(T$10,$A448*2,0),'Mapping A'!$B$6:$E$1011,4,0)=1,$E448,""),0)</f>
        <v>0</v>
      </c>
      <c r="Y448" s="534" t="str">
        <f t="shared" si="399"/>
        <v>TWC2201TrustPower</v>
      </c>
      <c r="Z448" s="519" t="str">
        <f t="shared" ref="Z448:AB448" si="526">C214</f>
        <v>TrustPower</v>
      </c>
      <c r="AA448" s="519" t="str">
        <f t="shared" si="526"/>
        <v>TWC2201</v>
      </c>
      <c r="AB448" s="519">
        <f t="shared" si="526"/>
        <v>1.1906999999999901</v>
      </c>
      <c r="AC448" s="324"/>
      <c r="AE448" s="519">
        <f t="shared" ref="AE448:AE480" ca="1" si="527">IF(SUMIF($A$22:$A$652,$A448,H$22:H$652)=0,0,OFFSET(H$11,$A448*2,0)*H$7*H448/SUMIF($A$22:$A$652,$A448,H$22:H$652))</f>
        <v>0</v>
      </c>
      <c r="AF448" s="519">
        <f t="shared" ref="AF448:AF480" ca="1" si="528">IF(SUMIF($A$22:$A$652,$A448,I$22:I$652)=0,0,OFFSET(I$11,$A448*2,0)*I$7*I448/SUMIF($A$22:$A$652,$A448,I$22:I$652))</f>
        <v>0</v>
      </c>
      <c r="AG448" s="519">
        <f t="shared" ref="AG448:AG480" ca="1" si="529">IF(SUMIF($A$22:$A$652,$A448,J$22:J$652)=0,0,OFFSET(J$11,$A448*2,0)*J$7*J448/SUMIF($A$22:$A$652,$A448,J$22:J$652))</f>
        <v>0</v>
      </c>
      <c r="AH448" s="519">
        <f t="shared" ref="AH448:AH480" ca="1" si="530">IF(SUMIF($A$22:$A$652,$A448,K$22:K$652)=0,0,OFFSET(K$11,$A448*2,0)*K$7*K448/SUMIF($A$22:$A$652,$A448,K$22:K$652))</f>
        <v>0</v>
      </c>
      <c r="AI448" s="519">
        <f t="shared" ref="AI448:AI480" ca="1" si="531">IF(SUMIF($A$22:$A$652,$A448,L$22:L$652)=0,0,OFFSET(L$11,$A448*2,0)*L$7*L448/SUMIF($A$22:$A$652,$A448,L$22:L$652))</f>
        <v>0</v>
      </c>
      <c r="AJ448" s="519">
        <f t="shared" ref="AJ448:AJ480" ca="1" si="532">IF(SUMIF($A$22:$A$652,$A448,M$22:M$652)=0,0,OFFSET(M$11,$A448*2,0)*M$7*M448/SUMIF($A$22:$A$652,$A448,M$22:M$652))</f>
        <v>0</v>
      </c>
      <c r="AK448" s="519">
        <f t="shared" ref="AK448:AK480" ca="1" si="533">IF(SUMIF($A$22:$A$652,$A448,N$22:N$652)=0,0,OFFSET(N$11,$A448*2,0)*N$7*N448/SUMIF($A$22:$A$652,$A448,N$22:N$652))</f>
        <v>0</v>
      </c>
      <c r="AL448" s="519">
        <f t="shared" ref="AL448:AL480" ca="1" si="534">IF(SUMIF($A$22:$A$652,$A448,O$22:O$652)=0,0,OFFSET(O$11,$A448*2,0)*O$7*O448/SUMIF($A$22:$A$652,$A448,O$22:O$652))</f>
        <v>0</v>
      </c>
      <c r="AM448" s="519">
        <f t="shared" ref="AM448:AM480" ca="1" si="535">IF(SUMIF($A$22:$A$652,$A448,P$22:P$652)=0,0,OFFSET(P$11,$A448*2,0)*P$7*P448/SUMIF($A$22:$A$652,$A448,P$22:P$652))</f>
        <v>0</v>
      </c>
      <c r="AN448" s="519">
        <f t="shared" ref="AN448:AN480" ca="1" si="536">IF(SUMIF($A$22:$A$652,$A448,Q$22:Q$652)=0,0,OFFSET(Q$11,$A448*2,0)*Q$7*Q448/SUMIF($A$22:$A$652,$A448,Q$22:Q$652))</f>
        <v>0</v>
      </c>
      <c r="AO448" s="519">
        <f t="shared" ref="AO448:AO480" ca="1" si="537">IF(SUMIF($A$22:$A$652,$A448,R$22:R$652)=0,0,OFFSET(R$11,$A448*2,0)*R$7*R448/SUMIF($A$22:$A$652,$A448,R$22:R$652))</f>
        <v>0</v>
      </c>
      <c r="AP448" s="519">
        <f t="shared" ref="AP448:AP480" ca="1" si="538">IF(SUMIF($A$22:$A$652,$A448,S$22:S$652)=0,0,OFFSET(S$11,$A448*2,0)*S$7*S448/SUMIF($A$22:$A$652,$A448,S$22:S$652))</f>
        <v>0</v>
      </c>
      <c r="AQ448" s="519">
        <f t="shared" ref="AQ448:AQ480" ca="1" si="539">IF(SUMIF($A$22:$A$652,$A448,T$22:T$652)=0,0,OFFSET(T$11,$A448*2,0)*T$7*T448/SUMIF($A$22:$A$652,$A448,T$22:T$652))</f>
        <v>0</v>
      </c>
    </row>
    <row r="449" spans="1:43" x14ac:dyDescent="0.3">
      <c r="A449" s="556">
        <f t="shared" ref="A449:A480" si="540">A215+1</f>
        <v>2</v>
      </c>
      <c r="B449" s="519" t="str">
        <f t="shared" ref="B449:B480" si="541">LEFT(D449,3)</f>
        <v>TWH</v>
      </c>
      <c r="C449" s="519" t="str">
        <f t="shared" ref="C449:E449" si="542">C215</f>
        <v>WEL</v>
      </c>
      <c r="D449" s="519" t="str">
        <f t="shared" si="542"/>
        <v>TWH0331</v>
      </c>
      <c r="E449" s="519">
        <f t="shared" si="542"/>
        <v>86.625</v>
      </c>
      <c r="H449" s="519">
        <f ca="1">_xlfn.IFNA(IF(VLOOKUP($B449&amp;OFFSET(H$10,$A449*2,0),'Mapping A'!$B$6:$E$1011,4,0)=1,$E449,""),0)</f>
        <v>0</v>
      </c>
      <c r="I449" s="519">
        <f ca="1">_xlfn.IFNA(IF(VLOOKUP($B449&amp;OFFSET(I$10,$A449*2,0),'Mapping A'!$B$6:$E$1011,4,0)=1,$E449,""),0)</f>
        <v>0</v>
      </c>
      <c r="J449" s="519">
        <f ca="1">_xlfn.IFNA(IF(VLOOKUP($B449&amp;OFFSET(J$10,$A449*2,0),'Mapping A'!$B$6:$E$1011,4,0)=1,$E449,""),0)</f>
        <v>0</v>
      </c>
      <c r="K449" s="519">
        <f ca="1">_xlfn.IFNA(IF(VLOOKUP($B449&amp;OFFSET(K$10,$A449*2,0),'Mapping A'!$B$6:$E$1011,4,0)=1,$E449,""),0)</f>
        <v>0</v>
      </c>
      <c r="L449" s="519">
        <f ca="1">_xlfn.IFNA(IF(VLOOKUP($B449&amp;OFFSET(L$10,$A449*2,0),'Mapping A'!$B$6:$E$1011,4,0)=1,$E449,""),0)</f>
        <v>0</v>
      </c>
      <c r="M449" s="519">
        <f ca="1">_xlfn.IFNA(IF(VLOOKUP($B449&amp;OFFSET(M$10,$A449*2,0),'Mapping A'!$B$6:$E$1011,4,0)=1,$E449,""),0)</f>
        <v>0</v>
      </c>
      <c r="N449" s="519">
        <f ca="1">_xlfn.IFNA(IF(VLOOKUP($B449&amp;OFFSET(N$10,$A449*2,0),'Mapping A'!$B$6:$E$1011,4,0)=1,$E449,""),0)</f>
        <v>0</v>
      </c>
      <c r="O449" s="519">
        <f ca="1">_xlfn.IFNA(IF(VLOOKUP($B449&amp;OFFSET(O$10,$A449*2,0),'Mapping A'!$B$6:$E$1011,4,0)=1,$E449,""),0)</f>
        <v>0</v>
      </c>
      <c r="P449" s="519">
        <f ca="1">_xlfn.IFNA(IF(VLOOKUP($B449&amp;OFFSET(P$10,$A449*2,0),'Mapping A'!$B$6:$E$1011,4,0)=1,$E449,""),0)</f>
        <v>0</v>
      </c>
      <c r="Q449" s="519">
        <f ca="1">_xlfn.IFNA(IF(VLOOKUP($B449&amp;OFFSET(Q$10,$A449*2,0),'Mapping A'!$B$6:$E$1011,4,0)=1,$E449,""),0)</f>
        <v>0</v>
      </c>
      <c r="R449" s="519">
        <f ca="1">_xlfn.IFNA(IF(VLOOKUP($B449&amp;OFFSET(R$10,$A449*2,0),'Mapping A'!$B$6:$E$1011,4,0)=1,$E449,""),0)</f>
        <v>0</v>
      </c>
      <c r="S449" s="519">
        <f ca="1">_xlfn.IFNA(IF(VLOOKUP($B449&amp;OFFSET(S$10,$A449*2,0),'Mapping A'!$B$6:$E$1011,4,0)=1,$E449,""),0)</f>
        <v>0</v>
      </c>
      <c r="T449" s="519">
        <f ca="1">_xlfn.IFNA(IF(VLOOKUP($B449&amp;OFFSET(T$10,$A449*2,0),'Mapping A'!$B$6:$E$1011,4,0)=1,$E449,""),0)</f>
        <v>0</v>
      </c>
      <c r="Y449" s="534" t="str">
        <f t="shared" ref="Y449:Y480" si="543">AA449&amp;Z449</f>
        <v>TWH0331WEL</v>
      </c>
      <c r="Z449" s="519" t="str">
        <f t="shared" ref="Z449:AB449" si="544">C215</f>
        <v>WEL</v>
      </c>
      <c r="AA449" s="519" t="str">
        <f t="shared" si="544"/>
        <v>TWH0331</v>
      </c>
      <c r="AB449" s="519">
        <f t="shared" si="544"/>
        <v>86.625</v>
      </c>
      <c r="AC449" s="324"/>
      <c r="AE449" s="519">
        <f t="shared" ca="1" si="527"/>
        <v>0</v>
      </c>
      <c r="AF449" s="519">
        <f t="shared" ca="1" si="528"/>
        <v>0</v>
      </c>
      <c r="AG449" s="519">
        <f t="shared" ca="1" si="529"/>
        <v>0</v>
      </c>
      <c r="AH449" s="519">
        <f t="shared" ca="1" si="530"/>
        <v>0</v>
      </c>
      <c r="AI449" s="519">
        <f t="shared" ca="1" si="531"/>
        <v>0</v>
      </c>
      <c r="AJ449" s="519">
        <f t="shared" ca="1" si="532"/>
        <v>0</v>
      </c>
      <c r="AK449" s="519">
        <f t="shared" ca="1" si="533"/>
        <v>0</v>
      </c>
      <c r="AL449" s="519">
        <f t="shared" ca="1" si="534"/>
        <v>0</v>
      </c>
      <c r="AM449" s="519">
        <f t="shared" ca="1" si="535"/>
        <v>0</v>
      </c>
      <c r="AN449" s="519">
        <f t="shared" ca="1" si="536"/>
        <v>0</v>
      </c>
      <c r="AO449" s="519">
        <f t="shared" ca="1" si="537"/>
        <v>0</v>
      </c>
      <c r="AP449" s="519">
        <f t="shared" ca="1" si="538"/>
        <v>0</v>
      </c>
      <c r="AQ449" s="519">
        <f t="shared" ca="1" si="539"/>
        <v>0</v>
      </c>
    </row>
    <row r="450" spans="1:43" x14ac:dyDescent="0.3">
      <c r="A450" s="556">
        <f t="shared" si="540"/>
        <v>2</v>
      </c>
      <c r="B450" s="519" t="str">
        <f t="shared" si="541"/>
        <v>TWI</v>
      </c>
      <c r="C450" s="519" t="str">
        <f t="shared" ref="C450:E450" si="545">C216</f>
        <v>Pacific Aluminium</v>
      </c>
      <c r="D450" s="519" t="str">
        <f t="shared" si="545"/>
        <v>TWI2201</v>
      </c>
      <c r="E450" s="519">
        <f t="shared" si="545"/>
        <v>582.21400000000006</v>
      </c>
      <c r="H450" s="519">
        <f ca="1">_xlfn.IFNA(IF(VLOOKUP($B450&amp;OFFSET(H$10,$A450*2,0),'Mapping A'!$B$6:$E$1011,4,0)=1,$E450,""),0)</f>
        <v>0</v>
      </c>
      <c r="I450" s="519">
        <f ca="1">_xlfn.IFNA(IF(VLOOKUP($B450&amp;OFFSET(I$10,$A450*2,0),'Mapping A'!$B$6:$E$1011,4,0)=1,$E450,""),0)</f>
        <v>0</v>
      </c>
      <c r="J450" s="519">
        <f ca="1">_xlfn.IFNA(IF(VLOOKUP($B450&amp;OFFSET(J$10,$A450*2,0),'Mapping A'!$B$6:$E$1011,4,0)=1,$E450,""),0)</f>
        <v>582.21400000000006</v>
      </c>
      <c r="K450" s="519">
        <f ca="1">_xlfn.IFNA(IF(VLOOKUP($B450&amp;OFFSET(K$10,$A450*2,0),'Mapping A'!$B$6:$E$1011,4,0)=1,$E450,""),0)</f>
        <v>0</v>
      </c>
      <c r="L450" s="519">
        <f ca="1">_xlfn.IFNA(IF(VLOOKUP($B450&amp;OFFSET(L$10,$A450*2,0),'Mapping A'!$B$6:$E$1011,4,0)=1,$E450,""),0)</f>
        <v>0</v>
      </c>
      <c r="M450" s="519">
        <f ca="1">_xlfn.IFNA(IF(VLOOKUP($B450&amp;OFFSET(M$10,$A450*2,0),'Mapping A'!$B$6:$E$1011,4,0)=1,$E450,""),0)</f>
        <v>0</v>
      </c>
      <c r="N450" s="519">
        <f ca="1">_xlfn.IFNA(IF(VLOOKUP($B450&amp;OFFSET(N$10,$A450*2,0),'Mapping A'!$B$6:$E$1011,4,0)=1,$E450,""),0)</f>
        <v>0</v>
      </c>
      <c r="O450" s="519">
        <f ca="1">_xlfn.IFNA(IF(VLOOKUP($B450&amp;OFFSET(O$10,$A450*2,0),'Mapping A'!$B$6:$E$1011,4,0)=1,$E450,""),0)</f>
        <v>0</v>
      </c>
      <c r="P450" s="519">
        <f ca="1">_xlfn.IFNA(IF(VLOOKUP($B450&amp;OFFSET(P$10,$A450*2,0),'Mapping A'!$B$6:$E$1011,4,0)=1,$E450,""),0)</f>
        <v>0</v>
      </c>
      <c r="Q450" s="519">
        <f ca="1">_xlfn.IFNA(IF(VLOOKUP($B450&amp;OFFSET(Q$10,$A450*2,0),'Mapping A'!$B$6:$E$1011,4,0)=1,$E450,""),0)</f>
        <v>0</v>
      </c>
      <c r="R450" s="519">
        <f ca="1">_xlfn.IFNA(IF(VLOOKUP($B450&amp;OFFSET(R$10,$A450*2,0),'Mapping A'!$B$6:$E$1011,4,0)=1,$E450,""),0)</f>
        <v>0</v>
      </c>
      <c r="S450" s="519">
        <f ca="1">_xlfn.IFNA(IF(VLOOKUP($B450&amp;OFFSET(S$10,$A450*2,0),'Mapping A'!$B$6:$E$1011,4,0)=1,$E450,""),0)</f>
        <v>0</v>
      </c>
      <c r="T450" s="519">
        <f ca="1">_xlfn.IFNA(IF(VLOOKUP($B450&amp;OFFSET(T$10,$A450*2,0),'Mapping A'!$B$6:$E$1011,4,0)=1,$E450,""),0)</f>
        <v>0</v>
      </c>
      <c r="Y450" s="534" t="str">
        <f t="shared" si="543"/>
        <v>TWI2201Pacific Aluminium</v>
      </c>
      <c r="Z450" s="519" t="str">
        <f t="shared" ref="Z450:AB450" si="546">C216</f>
        <v>Pacific Aluminium</v>
      </c>
      <c r="AA450" s="519" t="str">
        <f t="shared" si="546"/>
        <v>TWI2201</v>
      </c>
      <c r="AB450" s="519">
        <f t="shared" si="546"/>
        <v>582.21400000000006</v>
      </c>
      <c r="AC450" s="324"/>
      <c r="AE450" s="519">
        <f t="shared" ca="1" si="527"/>
        <v>0</v>
      </c>
      <c r="AF450" s="519">
        <f t="shared" ca="1" si="528"/>
        <v>0</v>
      </c>
      <c r="AG450" s="519">
        <f t="shared" ca="1" si="529"/>
        <v>0</v>
      </c>
      <c r="AH450" s="519">
        <f t="shared" ca="1" si="530"/>
        <v>0</v>
      </c>
      <c r="AI450" s="519">
        <f t="shared" ca="1" si="531"/>
        <v>0</v>
      </c>
      <c r="AJ450" s="519">
        <f t="shared" ca="1" si="532"/>
        <v>0</v>
      </c>
      <c r="AK450" s="519">
        <f t="shared" ca="1" si="533"/>
        <v>0</v>
      </c>
      <c r="AL450" s="519">
        <f t="shared" ca="1" si="534"/>
        <v>0</v>
      </c>
      <c r="AM450" s="519">
        <f t="shared" ca="1" si="535"/>
        <v>0</v>
      </c>
      <c r="AN450" s="519">
        <f t="shared" ca="1" si="536"/>
        <v>0</v>
      </c>
      <c r="AO450" s="519">
        <f t="shared" ca="1" si="537"/>
        <v>0</v>
      </c>
      <c r="AP450" s="519">
        <f t="shared" ca="1" si="538"/>
        <v>0</v>
      </c>
      <c r="AQ450" s="519">
        <f t="shared" ca="1" si="539"/>
        <v>0</v>
      </c>
    </row>
    <row r="451" spans="1:43" x14ac:dyDescent="0.3">
      <c r="A451" s="556">
        <f t="shared" si="540"/>
        <v>2</v>
      </c>
      <c r="B451" s="519" t="str">
        <f t="shared" si="541"/>
        <v>TWZ</v>
      </c>
      <c r="C451" s="519" t="str">
        <f t="shared" ref="C451:E451" si="547">C217</f>
        <v>Alpine Energy</v>
      </c>
      <c r="D451" s="519" t="str">
        <f t="shared" si="547"/>
        <v>TWZ0331</v>
      </c>
      <c r="E451" s="519">
        <f t="shared" si="547"/>
        <v>3.3369</v>
      </c>
      <c r="H451" s="519">
        <f ca="1">_xlfn.IFNA(IF(VLOOKUP($B451&amp;OFFSET(H$10,$A451*2,0),'Mapping A'!$B$6:$E$1011,4,0)=1,$E451,""),0)</f>
        <v>0</v>
      </c>
      <c r="I451" s="519">
        <f ca="1">_xlfn.IFNA(IF(VLOOKUP($B451&amp;OFFSET(I$10,$A451*2,0),'Mapping A'!$B$6:$E$1011,4,0)=1,$E451,""),0)</f>
        <v>0</v>
      </c>
      <c r="J451" s="519">
        <f ca="1">_xlfn.IFNA(IF(VLOOKUP($B451&amp;OFFSET(J$10,$A451*2,0),'Mapping A'!$B$6:$E$1011,4,0)=1,$E451,""),0)</f>
        <v>3.3369</v>
      </c>
      <c r="K451" s="519">
        <f ca="1">_xlfn.IFNA(IF(VLOOKUP($B451&amp;OFFSET(K$10,$A451*2,0),'Mapping A'!$B$6:$E$1011,4,0)=1,$E451,""),0)</f>
        <v>0</v>
      </c>
      <c r="L451" s="519">
        <f ca="1">_xlfn.IFNA(IF(VLOOKUP($B451&amp;OFFSET(L$10,$A451*2,0),'Mapping A'!$B$6:$E$1011,4,0)=1,$E451,""),0)</f>
        <v>0</v>
      </c>
      <c r="M451" s="519">
        <f ca="1">_xlfn.IFNA(IF(VLOOKUP($B451&amp;OFFSET(M$10,$A451*2,0),'Mapping A'!$B$6:$E$1011,4,0)=1,$E451,""),0)</f>
        <v>0</v>
      </c>
      <c r="N451" s="519">
        <f ca="1">_xlfn.IFNA(IF(VLOOKUP($B451&amp;OFFSET(N$10,$A451*2,0),'Mapping A'!$B$6:$E$1011,4,0)=1,$E451,""),0)</f>
        <v>0</v>
      </c>
      <c r="O451" s="519">
        <f ca="1">_xlfn.IFNA(IF(VLOOKUP($B451&amp;OFFSET(O$10,$A451*2,0),'Mapping A'!$B$6:$E$1011,4,0)=1,$E451,""),0)</f>
        <v>0</v>
      </c>
      <c r="P451" s="519">
        <f ca="1">_xlfn.IFNA(IF(VLOOKUP($B451&amp;OFFSET(P$10,$A451*2,0),'Mapping A'!$B$6:$E$1011,4,0)=1,$E451,""),0)</f>
        <v>0</v>
      </c>
      <c r="Q451" s="519">
        <f ca="1">_xlfn.IFNA(IF(VLOOKUP($B451&amp;OFFSET(Q$10,$A451*2,0),'Mapping A'!$B$6:$E$1011,4,0)=1,$E451,""),0)</f>
        <v>0</v>
      </c>
      <c r="R451" s="519">
        <f ca="1">_xlfn.IFNA(IF(VLOOKUP($B451&amp;OFFSET(R$10,$A451*2,0),'Mapping A'!$B$6:$E$1011,4,0)=1,$E451,""),0)</f>
        <v>0</v>
      </c>
      <c r="S451" s="519">
        <f ca="1">_xlfn.IFNA(IF(VLOOKUP($B451&amp;OFFSET(S$10,$A451*2,0),'Mapping A'!$B$6:$E$1011,4,0)=1,$E451,""),0)</f>
        <v>0</v>
      </c>
      <c r="T451" s="519">
        <f ca="1">_xlfn.IFNA(IF(VLOOKUP($B451&amp;OFFSET(T$10,$A451*2,0),'Mapping A'!$B$6:$E$1011,4,0)=1,$E451,""),0)</f>
        <v>0</v>
      </c>
      <c r="Y451" s="534" t="str">
        <f t="shared" si="543"/>
        <v>TWZ0331Alpine Energy</v>
      </c>
      <c r="Z451" s="519" t="str">
        <f t="shared" ref="Z451:AB451" si="548">C217</f>
        <v>Alpine Energy</v>
      </c>
      <c r="AA451" s="519" t="str">
        <f t="shared" si="548"/>
        <v>TWZ0331</v>
      </c>
      <c r="AB451" s="519">
        <f t="shared" si="548"/>
        <v>3.3369</v>
      </c>
      <c r="AC451" s="324"/>
      <c r="AE451" s="519">
        <f t="shared" ca="1" si="527"/>
        <v>0</v>
      </c>
      <c r="AF451" s="519">
        <f t="shared" ca="1" si="528"/>
        <v>0</v>
      </c>
      <c r="AG451" s="519">
        <f t="shared" ca="1" si="529"/>
        <v>0</v>
      </c>
      <c r="AH451" s="519">
        <f t="shared" ca="1" si="530"/>
        <v>0</v>
      </c>
      <c r="AI451" s="519">
        <f t="shared" ca="1" si="531"/>
        <v>0</v>
      </c>
      <c r="AJ451" s="519">
        <f t="shared" ca="1" si="532"/>
        <v>0</v>
      </c>
      <c r="AK451" s="519">
        <f t="shared" ca="1" si="533"/>
        <v>0</v>
      </c>
      <c r="AL451" s="519">
        <f t="shared" ca="1" si="534"/>
        <v>0</v>
      </c>
      <c r="AM451" s="519">
        <f t="shared" ca="1" si="535"/>
        <v>0</v>
      </c>
      <c r="AN451" s="519">
        <f t="shared" ca="1" si="536"/>
        <v>0</v>
      </c>
      <c r="AO451" s="519">
        <f t="shared" ca="1" si="537"/>
        <v>0</v>
      </c>
      <c r="AP451" s="519">
        <f t="shared" ca="1" si="538"/>
        <v>0</v>
      </c>
      <c r="AQ451" s="519">
        <f t="shared" ca="1" si="539"/>
        <v>0</v>
      </c>
    </row>
    <row r="452" spans="1:43" x14ac:dyDescent="0.3">
      <c r="A452" s="556">
        <f t="shared" si="540"/>
        <v>2</v>
      </c>
      <c r="B452" s="519" t="str">
        <f t="shared" si="541"/>
        <v>TWZ</v>
      </c>
      <c r="C452" s="519" t="str">
        <f t="shared" ref="C452:E452" si="549">C218</f>
        <v>Meridian</v>
      </c>
      <c r="D452" s="519" t="str">
        <f t="shared" si="549"/>
        <v>TWZ0331</v>
      </c>
      <c r="E452" s="519">
        <f t="shared" si="549"/>
        <v>1.0983000000000001</v>
      </c>
      <c r="H452" s="519">
        <f ca="1">_xlfn.IFNA(IF(VLOOKUP($B452&amp;OFFSET(H$10,$A452*2,0),'Mapping A'!$B$6:$E$1011,4,0)=1,$E452,""),0)</f>
        <v>0</v>
      </c>
      <c r="I452" s="519">
        <f ca="1">_xlfn.IFNA(IF(VLOOKUP($B452&amp;OFFSET(I$10,$A452*2,0),'Mapping A'!$B$6:$E$1011,4,0)=1,$E452,""),0)</f>
        <v>0</v>
      </c>
      <c r="J452" s="519">
        <f ca="1">_xlfn.IFNA(IF(VLOOKUP($B452&amp;OFFSET(J$10,$A452*2,0),'Mapping A'!$B$6:$E$1011,4,0)=1,$E452,""),0)</f>
        <v>1.0983000000000001</v>
      </c>
      <c r="K452" s="519">
        <f ca="1">_xlfn.IFNA(IF(VLOOKUP($B452&amp;OFFSET(K$10,$A452*2,0),'Mapping A'!$B$6:$E$1011,4,0)=1,$E452,""),0)</f>
        <v>0</v>
      </c>
      <c r="L452" s="519">
        <f ca="1">_xlfn.IFNA(IF(VLOOKUP($B452&amp;OFFSET(L$10,$A452*2,0),'Mapping A'!$B$6:$E$1011,4,0)=1,$E452,""),0)</f>
        <v>0</v>
      </c>
      <c r="M452" s="519">
        <f ca="1">_xlfn.IFNA(IF(VLOOKUP($B452&amp;OFFSET(M$10,$A452*2,0),'Mapping A'!$B$6:$E$1011,4,0)=1,$E452,""),0)</f>
        <v>0</v>
      </c>
      <c r="N452" s="519">
        <f ca="1">_xlfn.IFNA(IF(VLOOKUP($B452&amp;OFFSET(N$10,$A452*2,0),'Mapping A'!$B$6:$E$1011,4,0)=1,$E452,""),0)</f>
        <v>0</v>
      </c>
      <c r="O452" s="519">
        <f ca="1">_xlfn.IFNA(IF(VLOOKUP($B452&amp;OFFSET(O$10,$A452*2,0),'Mapping A'!$B$6:$E$1011,4,0)=1,$E452,""),0)</f>
        <v>0</v>
      </c>
      <c r="P452" s="519">
        <f ca="1">_xlfn.IFNA(IF(VLOOKUP($B452&amp;OFFSET(P$10,$A452*2,0),'Mapping A'!$B$6:$E$1011,4,0)=1,$E452,""),0)</f>
        <v>0</v>
      </c>
      <c r="Q452" s="519">
        <f ca="1">_xlfn.IFNA(IF(VLOOKUP($B452&amp;OFFSET(Q$10,$A452*2,0),'Mapping A'!$B$6:$E$1011,4,0)=1,$E452,""),0)</f>
        <v>0</v>
      </c>
      <c r="R452" s="519">
        <f ca="1">_xlfn.IFNA(IF(VLOOKUP($B452&amp;OFFSET(R$10,$A452*2,0),'Mapping A'!$B$6:$E$1011,4,0)=1,$E452,""),0)</f>
        <v>0</v>
      </c>
      <c r="S452" s="519">
        <f ca="1">_xlfn.IFNA(IF(VLOOKUP($B452&amp;OFFSET(S$10,$A452*2,0),'Mapping A'!$B$6:$E$1011,4,0)=1,$E452,""),0)</f>
        <v>0</v>
      </c>
      <c r="T452" s="519">
        <f ca="1">_xlfn.IFNA(IF(VLOOKUP($B452&amp;OFFSET(T$10,$A452*2,0),'Mapping A'!$B$6:$E$1011,4,0)=1,$E452,""),0)</f>
        <v>0</v>
      </c>
      <c r="Y452" s="534" t="str">
        <f t="shared" si="543"/>
        <v>TWZ0331Meridian</v>
      </c>
      <c r="Z452" s="519" t="str">
        <f t="shared" ref="Z452:AB452" si="550">C218</f>
        <v>Meridian</v>
      </c>
      <c r="AA452" s="519" t="str">
        <f t="shared" si="550"/>
        <v>TWZ0331</v>
      </c>
      <c r="AB452" s="519">
        <f t="shared" si="550"/>
        <v>1.0983000000000001</v>
      </c>
      <c r="AC452" s="324"/>
      <c r="AE452" s="519">
        <f t="shared" ca="1" si="527"/>
        <v>0</v>
      </c>
      <c r="AF452" s="519">
        <f t="shared" ca="1" si="528"/>
        <v>0</v>
      </c>
      <c r="AG452" s="519">
        <f t="shared" ca="1" si="529"/>
        <v>0</v>
      </c>
      <c r="AH452" s="519">
        <f t="shared" ca="1" si="530"/>
        <v>0</v>
      </c>
      <c r="AI452" s="519">
        <f t="shared" ca="1" si="531"/>
        <v>0</v>
      </c>
      <c r="AJ452" s="519">
        <f t="shared" ca="1" si="532"/>
        <v>0</v>
      </c>
      <c r="AK452" s="519">
        <f t="shared" ca="1" si="533"/>
        <v>0</v>
      </c>
      <c r="AL452" s="519">
        <f t="shared" ca="1" si="534"/>
        <v>0</v>
      </c>
      <c r="AM452" s="519">
        <f t="shared" ca="1" si="535"/>
        <v>0</v>
      </c>
      <c r="AN452" s="519">
        <f t="shared" ca="1" si="536"/>
        <v>0</v>
      </c>
      <c r="AO452" s="519">
        <f t="shared" ca="1" si="537"/>
        <v>0</v>
      </c>
      <c r="AP452" s="519">
        <f t="shared" ca="1" si="538"/>
        <v>0</v>
      </c>
      <c r="AQ452" s="519">
        <f t="shared" ca="1" si="539"/>
        <v>0</v>
      </c>
    </row>
    <row r="453" spans="1:43" x14ac:dyDescent="0.3">
      <c r="A453" s="556">
        <f t="shared" si="540"/>
        <v>2</v>
      </c>
      <c r="B453" s="519" t="str">
        <f t="shared" si="541"/>
        <v>TWZ</v>
      </c>
      <c r="C453" s="519" t="str">
        <f t="shared" ref="C453:E453" si="551">C219</f>
        <v>Network Waitaki</v>
      </c>
      <c r="D453" s="519" t="str">
        <f t="shared" si="551"/>
        <v>TWZ0331</v>
      </c>
      <c r="E453" s="519">
        <f t="shared" si="551"/>
        <v>4.8216000000000001</v>
      </c>
      <c r="H453" s="519">
        <f ca="1">_xlfn.IFNA(IF(VLOOKUP($B453&amp;OFFSET(H$10,$A453*2,0),'Mapping A'!$B$6:$E$1011,4,0)=1,$E453,""),0)</f>
        <v>0</v>
      </c>
      <c r="I453" s="519">
        <f ca="1">_xlfn.IFNA(IF(VLOOKUP($B453&amp;OFFSET(I$10,$A453*2,0),'Mapping A'!$B$6:$E$1011,4,0)=1,$E453,""),0)</f>
        <v>0</v>
      </c>
      <c r="J453" s="519">
        <f ca="1">_xlfn.IFNA(IF(VLOOKUP($B453&amp;OFFSET(J$10,$A453*2,0),'Mapping A'!$B$6:$E$1011,4,0)=1,$E453,""),0)</f>
        <v>4.8216000000000001</v>
      </c>
      <c r="K453" s="519">
        <f ca="1">_xlfn.IFNA(IF(VLOOKUP($B453&amp;OFFSET(K$10,$A453*2,0),'Mapping A'!$B$6:$E$1011,4,0)=1,$E453,""),0)</f>
        <v>0</v>
      </c>
      <c r="L453" s="519">
        <f ca="1">_xlfn.IFNA(IF(VLOOKUP($B453&amp;OFFSET(L$10,$A453*2,0),'Mapping A'!$B$6:$E$1011,4,0)=1,$E453,""),0)</f>
        <v>0</v>
      </c>
      <c r="M453" s="519">
        <f ca="1">_xlfn.IFNA(IF(VLOOKUP($B453&amp;OFFSET(M$10,$A453*2,0),'Mapping A'!$B$6:$E$1011,4,0)=1,$E453,""),0)</f>
        <v>0</v>
      </c>
      <c r="N453" s="519">
        <f ca="1">_xlfn.IFNA(IF(VLOOKUP($B453&amp;OFFSET(N$10,$A453*2,0),'Mapping A'!$B$6:$E$1011,4,0)=1,$E453,""),0)</f>
        <v>0</v>
      </c>
      <c r="O453" s="519">
        <f ca="1">_xlfn.IFNA(IF(VLOOKUP($B453&amp;OFFSET(O$10,$A453*2,0),'Mapping A'!$B$6:$E$1011,4,0)=1,$E453,""),0)</f>
        <v>0</v>
      </c>
      <c r="P453" s="519">
        <f ca="1">_xlfn.IFNA(IF(VLOOKUP($B453&amp;OFFSET(P$10,$A453*2,0),'Mapping A'!$B$6:$E$1011,4,0)=1,$E453,""),0)</f>
        <v>0</v>
      </c>
      <c r="Q453" s="519">
        <f ca="1">_xlfn.IFNA(IF(VLOOKUP($B453&amp;OFFSET(Q$10,$A453*2,0),'Mapping A'!$B$6:$E$1011,4,0)=1,$E453,""),0)</f>
        <v>0</v>
      </c>
      <c r="R453" s="519">
        <f ca="1">_xlfn.IFNA(IF(VLOOKUP($B453&amp;OFFSET(R$10,$A453*2,0),'Mapping A'!$B$6:$E$1011,4,0)=1,$E453,""),0)</f>
        <v>0</v>
      </c>
      <c r="S453" s="519">
        <f ca="1">_xlfn.IFNA(IF(VLOOKUP($B453&amp;OFFSET(S$10,$A453*2,0),'Mapping A'!$B$6:$E$1011,4,0)=1,$E453,""),0)</f>
        <v>0</v>
      </c>
      <c r="T453" s="519">
        <f ca="1">_xlfn.IFNA(IF(VLOOKUP($B453&amp;OFFSET(T$10,$A453*2,0),'Mapping A'!$B$6:$E$1011,4,0)=1,$E453,""),0)</f>
        <v>0</v>
      </c>
      <c r="Y453" s="534" t="str">
        <f t="shared" si="543"/>
        <v>TWZ0331Network Waitaki</v>
      </c>
      <c r="Z453" s="519" t="str">
        <f t="shared" ref="Z453:AB453" si="552">C219</f>
        <v>Network Waitaki</v>
      </c>
      <c r="AA453" s="519" t="str">
        <f t="shared" si="552"/>
        <v>TWZ0331</v>
      </c>
      <c r="AB453" s="519">
        <f t="shared" si="552"/>
        <v>4.8216000000000001</v>
      </c>
      <c r="AC453" s="324"/>
      <c r="AE453" s="519">
        <f t="shared" ca="1" si="527"/>
        <v>0</v>
      </c>
      <c r="AF453" s="519">
        <f t="shared" ca="1" si="528"/>
        <v>0</v>
      </c>
      <c r="AG453" s="519">
        <f t="shared" ca="1" si="529"/>
        <v>0</v>
      </c>
      <c r="AH453" s="519">
        <f t="shared" ca="1" si="530"/>
        <v>0</v>
      </c>
      <c r="AI453" s="519">
        <f t="shared" ca="1" si="531"/>
        <v>0</v>
      </c>
      <c r="AJ453" s="519">
        <f t="shared" ca="1" si="532"/>
        <v>0</v>
      </c>
      <c r="AK453" s="519">
        <f t="shared" ca="1" si="533"/>
        <v>0</v>
      </c>
      <c r="AL453" s="519">
        <f t="shared" ca="1" si="534"/>
        <v>0</v>
      </c>
      <c r="AM453" s="519">
        <f t="shared" ca="1" si="535"/>
        <v>0</v>
      </c>
      <c r="AN453" s="519">
        <f t="shared" ca="1" si="536"/>
        <v>0</v>
      </c>
      <c r="AO453" s="519">
        <f t="shared" ca="1" si="537"/>
        <v>0</v>
      </c>
      <c r="AP453" s="519">
        <f t="shared" ca="1" si="538"/>
        <v>0</v>
      </c>
      <c r="AQ453" s="519">
        <f t="shared" ca="1" si="539"/>
        <v>0</v>
      </c>
    </row>
    <row r="454" spans="1:43" x14ac:dyDescent="0.3">
      <c r="A454" s="556">
        <f t="shared" si="540"/>
        <v>2</v>
      </c>
      <c r="B454" s="519" t="str">
        <f t="shared" si="541"/>
        <v>UHT</v>
      </c>
      <c r="C454" s="519" t="str">
        <f t="shared" ref="C454:E454" si="553">C220</f>
        <v>Wellington Electricity</v>
      </c>
      <c r="D454" s="519" t="str">
        <f t="shared" si="553"/>
        <v>UHT0331</v>
      </c>
      <c r="E454" s="519">
        <f t="shared" si="553"/>
        <v>32.003999999999998</v>
      </c>
      <c r="H454" s="519">
        <f ca="1">_xlfn.IFNA(IF(VLOOKUP($B454&amp;OFFSET(H$10,$A454*2,0),'Mapping A'!$B$6:$E$1011,4,0)=1,$E454,""),0)</f>
        <v>0</v>
      </c>
      <c r="I454" s="519">
        <f ca="1">_xlfn.IFNA(IF(VLOOKUP($B454&amp;OFFSET(I$10,$A454*2,0),'Mapping A'!$B$6:$E$1011,4,0)=1,$E454,""),0)</f>
        <v>0</v>
      </c>
      <c r="J454" s="519">
        <f ca="1">_xlfn.IFNA(IF(VLOOKUP($B454&amp;OFFSET(J$10,$A454*2,0),'Mapping A'!$B$6:$E$1011,4,0)=1,$E454,""),0)</f>
        <v>0</v>
      </c>
      <c r="K454" s="519">
        <f ca="1">_xlfn.IFNA(IF(VLOOKUP($B454&amp;OFFSET(K$10,$A454*2,0),'Mapping A'!$B$6:$E$1011,4,0)=1,$E454,""),0)</f>
        <v>0</v>
      </c>
      <c r="L454" s="519">
        <f ca="1">_xlfn.IFNA(IF(VLOOKUP($B454&amp;OFFSET(L$10,$A454*2,0),'Mapping A'!$B$6:$E$1011,4,0)=1,$E454,""),0)</f>
        <v>0</v>
      </c>
      <c r="M454" s="519">
        <f ca="1">_xlfn.IFNA(IF(VLOOKUP($B454&amp;OFFSET(M$10,$A454*2,0),'Mapping A'!$B$6:$E$1011,4,0)=1,$E454,""),0)</f>
        <v>0</v>
      </c>
      <c r="N454" s="519">
        <f ca="1">_xlfn.IFNA(IF(VLOOKUP($B454&amp;OFFSET(N$10,$A454*2,0),'Mapping A'!$B$6:$E$1011,4,0)=1,$E454,""),0)</f>
        <v>0</v>
      </c>
      <c r="O454" s="519">
        <f ca="1">_xlfn.IFNA(IF(VLOOKUP($B454&amp;OFFSET(O$10,$A454*2,0),'Mapping A'!$B$6:$E$1011,4,0)=1,$E454,""),0)</f>
        <v>0</v>
      </c>
      <c r="P454" s="519">
        <f ca="1">_xlfn.IFNA(IF(VLOOKUP($B454&amp;OFFSET(P$10,$A454*2,0),'Mapping A'!$B$6:$E$1011,4,0)=1,$E454,""),0)</f>
        <v>0</v>
      </c>
      <c r="Q454" s="519">
        <f ca="1">_xlfn.IFNA(IF(VLOOKUP($B454&amp;OFFSET(Q$10,$A454*2,0),'Mapping A'!$B$6:$E$1011,4,0)=1,$E454,""),0)</f>
        <v>0</v>
      </c>
      <c r="R454" s="519">
        <f ca="1">_xlfn.IFNA(IF(VLOOKUP($B454&amp;OFFSET(R$10,$A454*2,0),'Mapping A'!$B$6:$E$1011,4,0)=1,$E454,""),0)</f>
        <v>0</v>
      </c>
      <c r="S454" s="519">
        <f ca="1">_xlfn.IFNA(IF(VLOOKUP($B454&amp;OFFSET(S$10,$A454*2,0),'Mapping A'!$B$6:$E$1011,4,0)=1,$E454,""),0)</f>
        <v>0</v>
      </c>
      <c r="T454" s="519">
        <f ca="1">_xlfn.IFNA(IF(VLOOKUP($B454&amp;OFFSET(T$10,$A454*2,0),'Mapping A'!$B$6:$E$1011,4,0)=1,$E454,""),0)</f>
        <v>0</v>
      </c>
      <c r="Y454" s="534" t="str">
        <f t="shared" si="543"/>
        <v>UHT0331Wellington Electricity</v>
      </c>
      <c r="Z454" s="519" t="str">
        <f t="shared" ref="Z454:AB454" si="554">C220</f>
        <v>Wellington Electricity</v>
      </c>
      <c r="AA454" s="519" t="str">
        <f t="shared" si="554"/>
        <v>UHT0331</v>
      </c>
      <c r="AB454" s="519">
        <f t="shared" si="554"/>
        <v>32.003999999999998</v>
      </c>
      <c r="AC454" s="324"/>
      <c r="AE454" s="519">
        <f t="shared" ca="1" si="527"/>
        <v>0</v>
      </c>
      <c r="AF454" s="519">
        <f t="shared" ca="1" si="528"/>
        <v>0</v>
      </c>
      <c r="AG454" s="519">
        <f t="shared" ca="1" si="529"/>
        <v>0</v>
      </c>
      <c r="AH454" s="519">
        <f t="shared" ca="1" si="530"/>
        <v>0</v>
      </c>
      <c r="AI454" s="519">
        <f t="shared" ca="1" si="531"/>
        <v>0</v>
      </c>
      <c r="AJ454" s="519">
        <f t="shared" ca="1" si="532"/>
        <v>0</v>
      </c>
      <c r="AK454" s="519">
        <f t="shared" ca="1" si="533"/>
        <v>0</v>
      </c>
      <c r="AL454" s="519">
        <f t="shared" ca="1" si="534"/>
        <v>0</v>
      </c>
      <c r="AM454" s="519">
        <f t="shared" ca="1" si="535"/>
        <v>0</v>
      </c>
      <c r="AN454" s="519">
        <f t="shared" ca="1" si="536"/>
        <v>0</v>
      </c>
      <c r="AO454" s="519">
        <f t="shared" ca="1" si="537"/>
        <v>0</v>
      </c>
      <c r="AP454" s="519">
        <f t="shared" ca="1" si="538"/>
        <v>0</v>
      </c>
      <c r="AQ454" s="519">
        <f t="shared" ca="1" si="539"/>
        <v>0</v>
      </c>
    </row>
    <row r="455" spans="1:43" x14ac:dyDescent="0.3">
      <c r="A455" s="556">
        <f t="shared" si="540"/>
        <v>2</v>
      </c>
      <c r="B455" s="519" t="str">
        <f t="shared" si="541"/>
        <v>WAI</v>
      </c>
      <c r="C455" s="519" t="str">
        <f t="shared" ref="C455:E455" si="555">C221</f>
        <v>Horizon</v>
      </c>
      <c r="D455" s="519" t="str">
        <f t="shared" si="555"/>
        <v>WAI0111</v>
      </c>
      <c r="E455" s="519">
        <f t="shared" si="555"/>
        <v>9.9077999999999999</v>
      </c>
      <c r="H455" s="519">
        <f ca="1">_xlfn.IFNA(IF(VLOOKUP($B455&amp;OFFSET(H$10,$A455*2,0),'Mapping A'!$B$6:$E$1011,4,0)=1,$E455,""),0)</f>
        <v>0</v>
      </c>
      <c r="I455" s="519">
        <f ca="1">_xlfn.IFNA(IF(VLOOKUP($B455&amp;OFFSET(I$10,$A455*2,0),'Mapping A'!$B$6:$E$1011,4,0)=1,$E455,""),0)</f>
        <v>0</v>
      </c>
      <c r="J455" s="519">
        <f ca="1">_xlfn.IFNA(IF(VLOOKUP($B455&amp;OFFSET(J$10,$A455*2,0),'Mapping A'!$B$6:$E$1011,4,0)=1,$E455,""),0)</f>
        <v>0</v>
      </c>
      <c r="K455" s="519">
        <f ca="1">_xlfn.IFNA(IF(VLOOKUP($B455&amp;OFFSET(K$10,$A455*2,0),'Mapping A'!$B$6:$E$1011,4,0)=1,$E455,""),0)</f>
        <v>0</v>
      </c>
      <c r="L455" s="519">
        <f ca="1">_xlfn.IFNA(IF(VLOOKUP($B455&amp;OFFSET(L$10,$A455*2,0),'Mapping A'!$B$6:$E$1011,4,0)=1,$E455,""),0)</f>
        <v>0</v>
      </c>
      <c r="M455" s="519">
        <f ca="1">_xlfn.IFNA(IF(VLOOKUP($B455&amp;OFFSET(M$10,$A455*2,0),'Mapping A'!$B$6:$E$1011,4,0)=1,$E455,""),0)</f>
        <v>0</v>
      </c>
      <c r="N455" s="519">
        <f ca="1">_xlfn.IFNA(IF(VLOOKUP($B455&amp;OFFSET(N$10,$A455*2,0),'Mapping A'!$B$6:$E$1011,4,0)=1,$E455,""),0)</f>
        <v>0</v>
      </c>
      <c r="O455" s="519">
        <f ca="1">_xlfn.IFNA(IF(VLOOKUP($B455&amp;OFFSET(O$10,$A455*2,0),'Mapping A'!$B$6:$E$1011,4,0)=1,$E455,""),0)</f>
        <v>0</v>
      </c>
      <c r="P455" s="519">
        <f ca="1">_xlfn.IFNA(IF(VLOOKUP($B455&amp;OFFSET(P$10,$A455*2,0),'Mapping A'!$B$6:$E$1011,4,0)=1,$E455,""),0)</f>
        <v>0</v>
      </c>
      <c r="Q455" s="519">
        <f ca="1">_xlfn.IFNA(IF(VLOOKUP($B455&amp;OFFSET(Q$10,$A455*2,0),'Mapping A'!$B$6:$E$1011,4,0)=1,$E455,""),0)</f>
        <v>0</v>
      </c>
      <c r="R455" s="519">
        <f ca="1">_xlfn.IFNA(IF(VLOOKUP($B455&amp;OFFSET(R$10,$A455*2,0),'Mapping A'!$B$6:$E$1011,4,0)=1,$E455,""),0)</f>
        <v>0</v>
      </c>
      <c r="S455" s="519">
        <f ca="1">_xlfn.IFNA(IF(VLOOKUP($B455&amp;OFFSET(S$10,$A455*2,0),'Mapping A'!$B$6:$E$1011,4,0)=1,$E455,""),0)</f>
        <v>0</v>
      </c>
      <c r="T455" s="519">
        <f ca="1">_xlfn.IFNA(IF(VLOOKUP($B455&amp;OFFSET(T$10,$A455*2,0),'Mapping A'!$B$6:$E$1011,4,0)=1,$E455,""),0)</f>
        <v>0</v>
      </c>
      <c r="Y455" s="534" t="str">
        <f t="shared" si="543"/>
        <v>WAI0111Horizon</v>
      </c>
      <c r="Z455" s="519" t="str">
        <f t="shared" ref="Z455:AB455" si="556">C221</f>
        <v>Horizon</v>
      </c>
      <c r="AA455" s="519" t="str">
        <f t="shared" si="556"/>
        <v>WAI0111</v>
      </c>
      <c r="AB455" s="519">
        <f t="shared" si="556"/>
        <v>9.9077999999999999</v>
      </c>
      <c r="AC455" s="324"/>
      <c r="AE455" s="519">
        <f t="shared" ca="1" si="527"/>
        <v>0</v>
      </c>
      <c r="AF455" s="519">
        <f t="shared" ca="1" si="528"/>
        <v>0</v>
      </c>
      <c r="AG455" s="519">
        <f t="shared" ca="1" si="529"/>
        <v>0</v>
      </c>
      <c r="AH455" s="519">
        <f t="shared" ca="1" si="530"/>
        <v>0</v>
      </c>
      <c r="AI455" s="519">
        <f t="shared" ca="1" si="531"/>
        <v>0</v>
      </c>
      <c r="AJ455" s="519">
        <f t="shared" ca="1" si="532"/>
        <v>0</v>
      </c>
      <c r="AK455" s="519">
        <f t="shared" ca="1" si="533"/>
        <v>0</v>
      </c>
      <c r="AL455" s="519">
        <f t="shared" ca="1" si="534"/>
        <v>0</v>
      </c>
      <c r="AM455" s="519">
        <f t="shared" ca="1" si="535"/>
        <v>0</v>
      </c>
      <c r="AN455" s="519">
        <f t="shared" ca="1" si="536"/>
        <v>0</v>
      </c>
      <c r="AO455" s="519">
        <f t="shared" ca="1" si="537"/>
        <v>0</v>
      </c>
      <c r="AP455" s="519">
        <f t="shared" ca="1" si="538"/>
        <v>0</v>
      </c>
      <c r="AQ455" s="519">
        <f t="shared" ca="1" si="539"/>
        <v>0</v>
      </c>
    </row>
    <row r="456" spans="1:43" x14ac:dyDescent="0.3">
      <c r="A456" s="556">
        <f t="shared" si="540"/>
        <v>2</v>
      </c>
      <c r="B456" s="519" t="str">
        <f t="shared" si="541"/>
        <v>WDV</v>
      </c>
      <c r="C456" s="519" t="str">
        <f t="shared" ref="C456:E456" si="557">C222</f>
        <v>Scanpower</v>
      </c>
      <c r="D456" s="519" t="str">
        <f t="shared" si="557"/>
        <v>WDV0111</v>
      </c>
      <c r="E456" s="519">
        <f t="shared" si="557"/>
        <v>2.6985000000000001</v>
      </c>
      <c r="H456" s="519">
        <f ca="1">_xlfn.IFNA(IF(VLOOKUP($B456&amp;OFFSET(H$10,$A456*2,0),'Mapping A'!$B$6:$E$1011,4,0)=1,$E456,""),0)</f>
        <v>0</v>
      </c>
      <c r="I456" s="519">
        <f ca="1">_xlfn.IFNA(IF(VLOOKUP($B456&amp;OFFSET(I$10,$A456*2,0),'Mapping A'!$B$6:$E$1011,4,0)=1,$E456,""),0)</f>
        <v>0</v>
      </c>
      <c r="J456" s="519">
        <f ca="1">_xlfn.IFNA(IF(VLOOKUP($B456&amp;OFFSET(J$10,$A456*2,0),'Mapping A'!$B$6:$E$1011,4,0)=1,$E456,""),0)</f>
        <v>0</v>
      </c>
      <c r="K456" s="519">
        <f ca="1">_xlfn.IFNA(IF(VLOOKUP($B456&amp;OFFSET(K$10,$A456*2,0),'Mapping A'!$B$6:$E$1011,4,0)=1,$E456,""),0)</f>
        <v>0</v>
      </c>
      <c r="L456" s="519">
        <f ca="1">_xlfn.IFNA(IF(VLOOKUP($B456&amp;OFFSET(L$10,$A456*2,0),'Mapping A'!$B$6:$E$1011,4,0)=1,$E456,""),0)</f>
        <v>0</v>
      </c>
      <c r="M456" s="519">
        <f ca="1">_xlfn.IFNA(IF(VLOOKUP($B456&amp;OFFSET(M$10,$A456*2,0),'Mapping A'!$B$6:$E$1011,4,0)=1,$E456,""),0)</f>
        <v>0</v>
      </c>
      <c r="N456" s="519">
        <f ca="1">_xlfn.IFNA(IF(VLOOKUP($B456&amp;OFFSET(N$10,$A456*2,0),'Mapping A'!$B$6:$E$1011,4,0)=1,$E456,""),0)</f>
        <v>0</v>
      </c>
      <c r="O456" s="519">
        <f ca="1">_xlfn.IFNA(IF(VLOOKUP($B456&amp;OFFSET(O$10,$A456*2,0),'Mapping A'!$B$6:$E$1011,4,0)=1,$E456,""),0)</f>
        <v>0</v>
      </c>
      <c r="P456" s="519">
        <f ca="1">_xlfn.IFNA(IF(VLOOKUP($B456&amp;OFFSET(P$10,$A456*2,0),'Mapping A'!$B$6:$E$1011,4,0)=1,$E456,""),0)</f>
        <v>0</v>
      </c>
      <c r="Q456" s="519">
        <f ca="1">_xlfn.IFNA(IF(VLOOKUP($B456&amp;OFFSET(Q$10,$A456*2,0),'Mapping A'!$B$6:$E$1011,4,0)=1,$E456,""),0)</f>
        <v>0</v>
      </c>
      <c r="R456" s="519">
        <f ca="1">_xlfn.IFNA(IF(VLOOKUP($B456&amp;OFFSET(R$10,$A456*2,0),'Mapping A'!$B$6:$E$1011,4,0)=1,$E456,""),0)</f>
        <v>0</v>
      </c>
      <c r="S456" s="519">
        <f ca="1">_xlfn.IFNA(IF(VLOOKUP($B456&amp;OFFSET(S$10,$A456*2,0),'Mapping A'!$B$6:$E$1011,4,0)=1,$E456,""),0)</f>
        <v>0</v>
      </c>
      <c r="T456" s="519">
        <f ca="1">_xlfn.IFNA(IF(VLOOKUP($B456&amp;OFFSET(T$10,$A456*2,0),'Mapping A'!$B$6:$E$1011,4,0)=1,$E456,""),0)</f>
        <v>0</v>
      </c>
      <c r="Y456" s="534" t="str">
        <f t="shared" si="543"/>
        <v>WDV0111Scanpower</v>
      </c>
      <c r="Z456" s="519" t="str">
        <f t="shared" ref="Z456:AB456" si="558">C222</f>
        <v>Scanpower</v>
      </c>
      <c r="AA456" s="519" t="str">
        <f t="shared" si="558"/>
        <v>WDV0111</v>
      </c>
      <c r="AB456" s="519">
        <f t="shared" si="558"/>
        <v>2.6985000000000001</v>
      </c>
      <c r="AC456" s="324"/>
      <c r="AE456" s="519">
        <f t="shared" ca="1" si="527"/>
        <v>0</v>
      </c>
      <c r="AF456" s="519">
        <f t="shared" ca="1" si="528"/>
        <v>0</v>
      </c>
      <c r="AG456" s="519">
        <f t="shared" ca="1" si="529"/>
        <v>0</v>
      </c>
      <c r="AH456" s="519">
        <f t="shared" ca="1" si="530"/>
        <v>0</v>
      </c>
      <c r="AI456" s="519">
        <f t="shared" ca="1" si="531"/>
        <v>0</v>
      </c>
      <c r="AJ456" s="519">
        <f t="shared" ca="1" si="532"/>
        <v>0</v>
      </c>
      <c r="AK456" s="519">
        <f t="shared" ca="1" si="533"/>
        <v>0</v>
      </c>
      <c r="AL456" s="519">
        <f t="shared" ca="1" si="534"/>
        <v>0</v>
      </c>
      <c r="AM456" s="519">
        <f t="shared" ca="1" si="535"/>
        <v>0</v>
      </c>
      <c r="AN456" s="519">
        <f t="shared" ca="1" si="536"/>
        <v>0</v>
      </c>
      <c r="AO456" s="519">
        <f t="shared" ca="1" si="537"/>
        <v>0</v>
      </c>
      <c r="AP456" s="519">
        <f t="shared" ca="1" si="538"/>
        <v>0</v>
      </c>
      <c r="AQ456" s="519">
        <f t="shared" ca="1" si="539"/>
        <v>0</v>
      </c>
    </row>
    <row r="457" spans="1:43" x14ac:dyDescent="0.3">
      <c r="A457" s="556">
        <f t="shared" si="540"/>
        <v>2</v>
      </c>
      <c r="B457" s="519" t="str">
        <f t="shared" si="541"/>
        <v>WDV</v>
      </c>
      <c r="C457" s="519" t="str">
        <f t="shared" ref="C457:E457" si="559">C223</f>
        <v>Meridian</v>
      </c>
      <c r="D457" s="519" t="str">
        <f t="shared" si="559"/>
        <v>WDV1101</v>
      </c>
      <c r="E457" s="519">
        <f t="shared" si="559"/>
        <v>0.99329999999999996</v>
      </c>
      <c r="H457" s="519">
        <f ca="1">_xlfn.IFNA(IF(VLOOKUP($B457&amp;OFFSET(H$10,$A457*2,0),'Mapping A'!$B$6:$E$1011,4,0)=1,$E457,""),0)</f>
        <v>0</v>
      </c>
      <c r="I457" s="519">
        <f ca="1">_xlfn.IFNA(IF(VLOOKUP($B457&amp;OFFSET(I$10,$A457*2,0),'Mapping A'!$B$6:$E$1011,4,0)=1,$E457,""),0)</f>
        <v>0</v>
      </c>
      <c r="J457" s="519">
        <f ca="1">_xlfn.IFNA(IF(VLOOKUP($B457&amp;OFFSET(J$10,$A457*2,0),'Mapping A'!$B$6:$E$1011,4,0)=1,$E457,""),0)</f>
        <v>0</v>
      </c>
      <c r="K457" s="519">
        <f ca="1">_xlfn.IFNA(IF(VLOOKUP($B457&amp;OFFSET(K$10,$A457*2,0),'Mapping A'!$B$6:$E$1011,4,0)=1,$E457,""),0)</f>
        <v>0</v>
      </c>
      <c r="L457" s="519">
        <f ca="1">_xlfn.IFNA(IF(VLOOKUP($B457&amp;OFFSET(L$10,$A457*2,0),'Mapping A'!$B$6:$E$1011,4,0)=1,$E457,""),0)</f>
        <v>0</v>
      </c>
      <c r="M457" s="519">
        <f ca="1">_xlfn.IFNA(IF(VLOOKUP($B457&amp;OFFSET(M$10,$A457*2,0),'Mapping A'!$B$6:$E$1011,4,0)=1,$E457,""),0)</f>
        <v>0</v>
      </c>
      <c r="N457" s="519">
        <f ca="1">_xlfn.IFNA(IF(VLOOKUP($B457&amp;OFFSET(N$10,$A457*2,0),'Mapping A'!$B$6:$E$1011,4,0)=1,$E457,""),0)</f>
        <v>0</v>
      </c>
      <c r="O457" s="519">
        <f ca="1">_xlfn.IFNA(IF(VLOOKUP($B457&amp;OFFSET(O$10,$A457*2,0),'Mapping A'!$B$6:$E$1011,4,0)=1,$E457,""),0)</f>
        <v>0</v>
      </c>
      <c r="P457" s="519">
        <f ca="1">_xlfn.IFNA(IF(VLOOKUP($B457&amp;OFFSET(P$10,$A457*2,0),'Mapping A'!$B$6:$E$1011,4,0)=1,$E457,""),0)</f>
        <v>0</v>
      </c>
      <c r="Q457" s="519">
        <f ca="1">_xlfn.IFNA(IF(VLOOKUP($B457&amp;OFFSET(Q$10,$A457*2,0),'Mapping A'!$B$6:$E$1011,4,0)=1,$E457,""),0)</f>
        <v>0</v>
      </c>
      <c r="R457" s="519">
        <f ca="1">_xlfn.IFNA(IF(VLOOKUP($B457&amp;OFFSET(R$10,$A457*2,0),'Mapping A'!$B$6:$E$1011,4,0)=1,$E457,""),0)</f>
        <v>0</v>
      </c>
      <c r="S457" s="519">
        <f ca="1">_xlfn.IFNA(IF(VLOOKUP($B457&amp;OFFSET(S$10,$A457*2,0),'Mapping A'!$B$6:$E$1011,4,0)=1,$E457,""),0)</f>
        <v>0</v>
      </c>
      <c r="T457" s="519">
        <f ca="1">_xlfn.IFNA(IF(VLOOKUP($B457&amp;OFFSET(T$10,$A457*2,0),'Mapping A'!$B$6:$E$1011,4,0)=1,$E457,""),0)</f>
        <v>0</v>
      </c>
      <c r="Y457" s="534" t="str">
        <f t="shared" si="543"/>
        <v>WDV1101Meridian</v>
      </c>
      <c r="Z457" s="519" t="str">
        <f t="shared" ref="Z457:AB457" si="560">C223</f>
        <v>Meridian</v>
      </c>
      <c r="AA457" s="519" t="str">
        <f t="shared" si="560"/>
        <v>WDV1101</v>
      </c>
      <c r="AB457" s="519">
        <f t="shared" si="560"/>
        <v>0.99329999999999996</v>
      </c>
      <c r="AC457" s="324"/>
      <c r="AE457" s="519">
        <f t="shared" ca="1" si="527"/>
        <v>0</v>
      </c>
      <c r="AF457" s="519">
        <f t="shared" ca="1" si="528"/>
        <v>0</v>
      </c>
      <c r="AG457" s="519">
        <f t="shared" ca="1" si="529"/>
        <v>0</v>
      </c>
      <c r="AH457" s="519">
        <f t="shared" ca="1" si="530"/>
        <v>0</v>
      </c>
      <c r="AI457" s="519">
        <f t="shared" ca="1" si="531"/>
        <v>0</v>
      </c>
      <c r="AJ457" s="519">
        <f t="shared" ca="1" si="532"/>
        <v>0</v>
      </c>
      <c r="AK457" s="519">
        <f t="shared" ca="1" si="533"/>
        <v>0</v>
      </c>
      <c r="AL457" s="519">
        <f t="shared" ca="1" si="534"/>
        <v>0</v>
      </c>
      <c r="AM457" s="519">
        <f t="shared" ca="1" si="535"/>
        <v>0</v>
      </c>
      <c r="AN457" s="519">
        <f t="shared" ca="1" si="536"/>
        <v>0</v>
      </c>
      <c r="AO457" s="519">
        <f t="shared" ca="1" si="537"/>
        <v>0</v>
      </c>
      <c r="AP457" s="519">
        <f t="shared" ca="1" si="538"/>
        <v>0</v>
      </c>
      <c r="AQ457" s="519">
        <f t="shared" ca="1" si="539"/>
        <v>0</v>
      </c>
    </row>
    <row r="458" spans="1:43" x14ac:dyDescent="0.3">
      <c r="A458" s="556">
        <f t="shared" si="540"/>
        <v>2</v>
      </c>
      <c r="B458" s="519" t="str">
        <f t="shared" si="541"/>
        <v>WEL</v>
      </c>
      <c r="C458" s="519" t="str">
        <f t="shared" ref="C458:E458" si="561">C224</f>
        <v>Vector</v>
      </c>
      <c r="D458" s="519" t="str">
        <f t="shared" si="561"/>
        <v>WEL0331</v>
      </c>
      <c r="E458" s="519">
        <f t="shared" si="561"/>
        <v>33.297600000000003</v>
      </c>
      <c r="H458" s="519">
        <f ca="1">_xlfn.IFNA(IF(VLOOKUP($B458&amp;OFFSET(H$10,$A458*2,0),'Mapping A'!$B$6:$E$1011,4,0)=1,$E458,""),0)</f>
        <v>0</v>
      </c>
      <c r="I458" s="519">
        <f ca="1">_xlfn.IFNA(IF(VLOOKUP($B458&amp;OFFSET(I$10,$A458*2,0),'Mapping A'!$B$6:$E$1011,4,0)=1,$E458,""),0)</f>
        <v>0</v>
      </c>
      <c r="J458" s="519">
        <f ca="1">_xlfn.IFNA(IF(VLOOKUP($B458&amp;OFFSET(J$10,$A458*2,0),'Mapping A'!$B$6:$E$1011,4,0)=1,$E458,""),0)</f>
        <v>0</v>
      </c>
      <c r="K458" s="519">
        <f ca="1">_xlfn.IFNA(IF(VLOOKUP($B458&amp;OFFSET(K$10,$A458*2,0),'Mapping A'!$B$6:$E$1011,4,0)=1,$E458,""),0)</f>
        <v>0</v>
      </c>
      <c r="L458" s="519">
        <f ca="1">_xlfn.IFNA(IF(VLOOKUP($B458&amp;OFFSET(L$10,$A458*2,0),'Mapping A'!$B$6:$E$1011,4,0)=1,$E458,""),0)</f>
        <v>0</v>
      </c>
      <c r="M458" s="519">
        <f ca="1">_xlfn.IFNA(IF(VLOOKUP($B458&amp;OFFSET(M$10,$A458*2,0),'Mapping A'!$B$6:$E$1011,4,0)=1,$E458,""),0)</f>
        <v>0</v>
      </c>
      <c r="N458" s="519">
        <f ca="1">_xlfn.IFNA(IF(VLOOKUP($B458&amp;OFFSET(N$10,$A458*2,0),'Mapping A'!$B$6:$E$1011,4,0)=1,$E458,""),0)</f>
        <v>0</v>
      </c>
      <c r="O458" s="519">
        <f ca="1">_xlfn.IFNA(IF(VLOOKUP($B458&amp;OFFSET(O$10,$A458*2,0),'Mapping A'!$B$6:$E$1011,4,0)=1,$E458,""),0)</f>
        <v>0</v>
      </c>
      <c r="P458" s="519">
        <f ca="1">_xlfn.IFNA(IF(VLOOKUP($B458&amp;OFFSET(P$10,$A458*2,0),'Mapping A'!$B$6:$E$1011,4,0)=1,$E458,""),0)</f>
        <v>0</v>
      </c>
      <c r="Q458" s="519">
        <f ca="1">_xlfn.IFNA(IF(VLOOKUP($B458&amp;OFFSET(Q$10,$A458*2,0),'Mapping A'!$B$6:$E$1011,4,0)=1,$E458,""),0)</f>
        <v>0</v>
      </c>
      <c r="R458" s="519">
        <f ca="1">_xlfn.IFNA(IF(VLOOKUP($B458&amp;OFFSET(R$10,$A458*2,0),'Mapping A'!$B$6:$E$1011,4,0)=1,$E458,""),0)</f>
        <v>0</v>
      </c>
      <c r="S458" s="519">
        <f ca="1">_xlfn.IFNA(IF(VLOOKUP($B458&amp;OFFSET(S$10,$A458*2,0),'Mapping A'!$B$6:$E$1011,4,0)=1,$E458,""),0)</f>
        <v>0</v>
      </c>
      <c r="T458" s="519">
        <f ca="1">_xlfn.IFNA(IF(VLOOKUP($B458&amp;OFFSET(T$10,$A458*2,0),'Mapping A'!$B$6:$E$1011,4,0)=1,$E458,""),0)</f>
        <v>0</v>
      </c>
      <c r="Y458" s="534" t="str">
        <f t="shared" si="543"/>
        <v>WEL0331Vector</v>
      </c>
      <c r="Z458" s="519" t="str">
        <f t="shared" ref="Z458:AB458" si="562">C224</f>
        <v>Vector</v>
      </c>
      <c r="AA458" s="519" t="str">
        <f t="shared" si="562"/>
        <v>WEL0331</v>
      </c>
      <c r="AB458" s="519">
        <f t="shared" si="562"/>
        <v>33.297600000000003</v>
      </c>
      <c r="AC458" s="324"/>
      <c r="AE458" s="519">
        <f t="shared" ca="1" si="527"/>
        <v>0</v>
      </c>
      <c r="AF458" s="519">
        <f t="shared" ca="1" si="528"/>
        <v>0</v>
      </c>
      <c r="AG458" s="519">
        <f t="shared" ca="1" si="529"/>
        <v>0</v>
      </c>
      <c r="AH458" s="519">
        <f t="shared" ca="1" si="530"/>
        <v>0</v>
      </c>
      <c r="AI458" s="519">
        <f t="shared" ca="1" si="531"/>
        <v>0</v>
      </c>
      <c r="AJ458" s="519">
        <f t="shared" ca="1" si="532"/>
        <v>0</v>
      </c>
      <c r="AK458" s="519">
        <f t="shared" ca="1" si="533"/>
        <v>0</v>
      </c>
      <c r="AL458" s="519">
        <f t="shared" ca="1" si="534"/>
        <v>0</v>
      </c>
      <c r="AM458" s="519">
        <f t="shared" ca="1" si="535"/>
        <v>0</v>
      </c>
      <c r="AN458" s="519">
        <f t="shared" ca="1" si="536"/>
        <v>0</v>
      </c>
      <c r="AO458" s="519">
        <f t="shared" ca="1" si="537"/>
        <v>0</v>
      </c>
      <c r="AP458" s="519">
        <f t="shared" ca="1" si="538"/>
        <v>0</v>
      </c>
      <c r="AQ458" s="519">
        <f t="shared" ca="1" si="539"/>
        <v>0</v>
      </c>
    </row>
    <row r="459" spans="1:43" x14ac:dyDescent="0.3">
      <c r="A459" s="556">
        <f t="shared" si="540"/>
        <v>2</v>
      </c>
      <c r="B459" s="519" t="str">
        <f t="shared" si="541"/>
        <v>WGN</v>
      </c>
      <c r="C459" s="519" t="str">
        <f t="shared" ref="C459:E459" si="563">C225</f>
        <v>Powerco</v>
      </c>
      <c r="D459" s="519" t="str">
        <f t="shared" si="563"/>
        <v>WGN0331</v>
      </c>
      <c r="E459" s="519">
        <f t="shared" si="563"/>
        <v>41.651400000000002</v>
      </c>
      <c r="H459" s="519">
        <f ca="1">_xlfn.IFNA(IF(VLOOKUP($B459&amp;OFFSET(H$10,$A459*2,0),'Mapping A'!$B$6:$E$1011,4,0)=1,$E459,""),0)</f>
        <v>0</v>
      </c>
      <c r="I459" s="519">
        <f ca="1">_xlfn.IFNA(IF(VLOOKUP($B459&amp;OFFSET(I$10,$A459*2,0),'Mapping A'!$B$6:$E$1011,4,0)=1,$E459,""),0)</f>
        <v>0</v>
      </c>
      <c r="J459" s="519">
        <f ca="1">_xlfn.IFNA(IF(VLOOKUP($B459&amp;OFFSET(J$10,$A459*2,0),'Mapping A'!$B$6:$E$1011,4,0)=1,$E459,""),0)</f>
        <v>0</v>
      </c>
      <c r="K459" s="519">
        <f ca="1">_xlfn.IFNA(IF(VLOOKUP($B459&amp;OFFSET(K$10,$A459*2,0),'Mapping A'!$B$6:$E$1011,4,0)=1,$E459,""),0)</f>
        <v>0</v>
      </c>
      <c r="L459" s="519">
        <f ca="1">_xlfn.IFNA(IF(VLOOKUP($B459&amp;OFFSET(L$10,$A459*2,0),'Mapping A'!$B$6:$E$1011,4,0)=1,$E459,""),0)</f>
        <v>0</v>
      </c>
      <c r="M459" s="519">
        <f ca="1">_xlfn.IFNA(IF(VLOOKUP($B459&amp;OFFSET(M$10,$A459*2,0),'Mapping A'!$B$6:$E$1011,4,0)=1,$E459,""),0)</f>
        <v>0</v>
      </c>
      <c r="N459" s="519">
        <f ca="1">_xlfn.IFNA(IF(VLOOKUP($B459&amp;OFFSET(N$10,$A459*2,0),'Mapping A'!$B$6:$E$1011,4,0)=1,$E459,""),0)</f>
        <v>0</v>
      </c>
      <c r="O459" s="519">
        <f ca="1">_xlfn.IFNA(IF(VLOOKUP($B459&amp;OFFSET(O$10,$A459*2,0),'Mapping A'!$B$6:$E$1011,4,0)=1,$E459,""),0)</f>
        <v>0</v>
      </c>
      <c r="P459" s="519">
        <f ca="1">_xlfn.IFNA(IF(VLOOKUP($B459&amp;OFFSET(P$10,$A459*2,0),'Mapping A'!$B$6:$E$1011,4,0)=1,$E459,""),0)</f>
        <v>0</v>
      </c>
      <c r="Q459" s="519">
        <f ca="1">_xlfn.IFNA(IF(VLOOKUP($B459&amp;OFFSET(Q$10,$A459*2,0),'Mapping A'!$B$6:$E$1011,4,0)=1,$E459,""),0)</f>
        <v>0</v>
      </c>
      <c r="R459" s="519">
        <f ca="1">_xlfn.IFNA(IF(VLOOKUP($B459&amp;OFFSET(R$10,$A459*2,0),'Mapping A'!$B$6:$E$1011,4,0)=1,$E459,""),0)</f>
        <v>0</v>
      </c>
      <c r="S459" s="519">
        <f ca="1">_xlfn.IFNA(IF(VLOOKUP($B459&amp;OFFSET(S$10,$A459*2,0),'Mapping A'!$B$6:$E$1011,4,0)=1,$E459,""),0)</f>
        <v>0</v>
      </c>
      <c r="T459" s="519">
        <f ca="1">_xlfn.IFNA(IF(VLOOKUP($B459&amp;OFFSET(T$10,$A459*2,0),'Mapping A'!$B$6:$E$1011,4,0)=1,$E459,""),0)</f>
        <v>0</v>
      </c>
      <c r="Y459" s="534" t="str">
        <f t="shared" si="543"/>
        <v>WGN0331Powerco</v>
      </c>
      <c r="Z459" s="519" t="str">
        <f t="shared" ref="Z459:AB459" si="564">C225</f>
        <v>Powerco</v>
      </c>
      <c r="AA459" s="519" t="str">
        <f t="shared" si="564"/>
        <v>WGN0331</v>
      </c>
      <c r="AB459" s="519">
        <f t="shared" si="564"/>
        <v>41.651400000000002</v>
      </c>
      <c r="AC459" s="324"/>
      <c r="AE459" s="519">
        <f t="shared" ca="1" si="527"/>
        <v>0</v>
      </c>
      <c r="AF459" s="519">
        <f t="shared" ca="1" si="528"/>
        <v>0</v>
      </c>
      <c r="AG459" s="519">
        <f t="shared" ca="1" si="529"/>
        <v>0</v>
      </c>
      <c r="AH459" s="519">
        <f t="shared" ca="1" si="530"/>
        <v>0</v>
      </c>
      <c r="AI459" s="519">
        <f t="shared" ca="1" si="531"/>
        <v>0</v>
      </c>
      <c r="AJ459" s="519">
        <f t="shared" ca="1" si="532"/>
        <v>0</v>
      </c>
      <c r="AK459" s="519">
        <f t="shared" ca="1" si="533"/>
        <v>0</v>
      </c>
      <c r="AL459" s="519">
        <f t="shared" ca="1" si="534"/>
        <v>0</v>
      </c>
      <c r="AM459" s="519">
        <f t="shared" ca="1" si="535"/>
        <v>0</v>
      </c>
      <c r="AN459" s="519">
        <f t="shared" ca="1" si="536"/>
        <v>0</v>
      </c>
      <c r="AO459" s="519">
        <f t="shared" ca="1" si="537"/>
        <v>0</v>
      </c>
      <c r="AP459" s="519">
        <f t="shared" ca="1" si="538"/>
        <v>0</v>
      </c>
      <c r="AQ459" s="519">
        <f t="shared" ca="1" si="539"/>
        <v>0</v>
      </c>
    </row>
    <row r="460" spans="1:43" x14ac:dyDescent="0.3">
      <c r="A460" s="556">
        <f t="shared" si="540"/>
        <v>2</v>
      </c>
      <c r="B460" s="519" t="str">
        <f t="shared" si="541"/>
        <v>WHI</v>
      </c>
      <c r="C460" s="519" t="str">
        <f t="shared" ref="C460:E460" si="565">C226</f>
        <v>Contact</v>
      </c>
      <c r="D460" s="519" t="str">
        <f t="shared" si="565"/>
        <v>WHI0111</v>
      </c>
      <c r="E460" s="519">
        <f t="shared" si="565"/>
        <v>0.30659999999999998</v>
      </c>
      <c r="H460" s="519">
        <f ca="1">_xlfn.IFNA(IF(VLOOKUP($B460&amp;OFFSET(H$10,$A460*2,0),'Mapping A'!$B$6:$E$1011,4,0)=1,$E460,""),0)</f>
        <v>0</v>
      </c>
      <c r="I460" s="519">
        <f ca="1">_xlfn.IFNA(IF(VLOOKUP($B460&amp;OFFSET(I$10,$A460*2,0),'Mapping A'!$B$6:$E$1011,4,0)=1,$E460,""),0)</f>
        <v>0</v>
      </c>
      <c r="J460" s="519">
        <f ca="1">_xlfn.IFNA(IF(VLOOKUP($B460&amp;OFFSET(J$10,$A460*2,0),'Mapping A'!$B$6:$E$1011,4,0)=1,$E460,""),0)</f>
        <v>0</v>
      </c>
      <c r="K460" s="519">
        <f ca="1">_xlfn.IFNA(IF(VLOOKUP($B460&amp;OFFSET(K$10,$A460*2,0),'Mapping A'!$B$6:$E$1011,4,0)=1,$E460,""),0)</f>
        <v>0</v>
      </c>
      <c r="L460" s="519">
        <f ca="1">_xlfn.IFNA(IF(VLOOKUP($B460&amp;OFFSET(L$10,$A460*2,0),'Mapping A'!$B$6:$E$1011,4,0)=1,$E460,""),0)</f>
        <v>0</v>
      </c>
      <c r="M460" s="519">
        <f ca="1">_xlfn.IFNA(IF(VLOOKUP($B460&amp;OFFSET(M$10,$A460*2,0),'Mapping A'!$B$6:$E$1011,4,0)=1,$E460,""),0)</f>
        <v>0</v>
      </c>
      <c r="N460" s="519">
        <f ca="1">_xlfn.IFNA(IF(VLOOKUP($B460&amp;OFFSET(N$10,$A460*2,0),'Mapping A'!$B$6:$E$1011,4,0)=1,$E460,""),0)</f>
        <v>0</v>
      </c>
      <c r="O460" s="519">
        <f ca="1">_xlfn.IFNA(IF(VLOOKUP($B460&amp;OFFSET(O$10,$A460*2,0),'Mapping A'!$B$6:$E$1011,4,0)=1,$E460,""),0)</f>
        <v>0</v>
      </c>
      <c r="P460" s="519">
        <f ca="1">_xlfn.IFNA(IF(VLOOKUP($B460&amp;OFFSET(P$10,$A460*2,0),'Mapping A'!$B$6:$E$1011,4,0)=1,$E460,""),0)</f>
        <v>0</v>
      </c>
      <c r="Q460" s="519">
        <f ca="1">_xlfn.IFNA(IF(VLOOKUP($B460&amp;OFFSET(Q$10,$A460*2,0),'Mapping A'!$B$6:$E$1011,4,0)=1,$E460,""),0)</f>
        <v>0</v>
      </c>
      <c r="R460" s="519">
        <f ca="1">_xlfn.IFNA(IF(VLOOKUP($B460&amp;OFFSET(R$10,$A460*2,0),'Mapping A'!$B$6:$E$1011,4,0)=1,$E460,""),0)</f>
        <v>0</v>
      </c>
      <c r="S460" s="519">
        <f ca="1">_xlfn.IFNA(IF(VLOOKUP($B460&amp;OFFSET(S$10,$A460*2,0),'Mapping A'!$B$6:$E$1011,4,0)=1,$E460,""),0)</f>
        <v>0</v>
      </c>
      <c r="T460" s="519">
        <f ca="1">_xlfn.IFNA(IF(VLOOKUP($B460&amp;OFFSET(T$10,$A460*2,0),'Mapping A'!$B$6:$E$1011,4,0)=1,$E460,""),0)</f>
        <v>0</v>
      </c>
      <c r="Y460" s="534" t="str">
        <f t="shared" si="543"/>
        <v>WHI0111Contact</v>
      </c>
      <c r="Z460" s="519" t="str">
        <f t="shared" ref="Z460:AB460" si="566">C226</f>
        <v>Contact</v>
      </c>
      <c r="AA460" s="519" t="str">
        <f t="shared" si="566"/>
        <v>WHI0111</v>
      </c>
      <c r="AB460" s="519">
        <f t="shared" si="566"/>
        <v>0.30659999999999998</v>
      </c>
      <c r="AC460" s="324"/>
      <c r="AE460" s="519">
        <f t="shared" ca="1" si="527"/>
        <v>0</v>
      </c>
      <c r="AF460" s="519">
        <f t="shared" ca="1" si="528"/>
        <v>0</v>
      </c>
      <c r="AG460" s="519">
        <f t="shared" ca="1" si="529"/>
        <v>0</v>
      </c>
      <c r="AH460" s="519">
        <f t="shared" ca="1" si="530"/>
        <v>0</v>
      </c>
      <c r="AI460" s="519">
        <f t="shared" ca="1" si="531"/>
        <v>0</v>
      </c>
      <c r="AJ460" s="519">
        <f t="shared" ca="1" si="532"/>
        <v>0</v>
      </c>
      <c r="AK460" s="519">
        <f t="shared" ca="1" si="533"/>
        <v>0</v>
      </c>
      <c r="AL460" s="519">
        <f t="shared" ca="1" si="534"/>
        <v>0</v>
      </c>
      <c r="AM460" s="519">
        <f t="shared" ca="1" si="535"/>
        <v>0</v>
      </c>
      <c r="AN460" s="519">
        <f t="shared" ca="1" si="536"/>
        <v>0</v>
      </c>
      <c r="AO460" s="519">
        <f t="shared" ca="1" si="537"/>
        <v>0</v>
      </c>
      <c r="AP460" s="519">
        <f t="shared" ca="1" si="538"/>
        <v>0</v>
      </c>
      <c r="AQ460" s="519">
        <f t="shared" ca="1" si="539"/>
        <v>0</v>
      </c>
    </row>
    <row r="461" spans="1:43" x14ac:dyDescent="0.3">
      <c r="A461" s="556">
        <f t="shared" si="540"/>
        <v>2</v>
      </c>
      <c r="B461" s="519" t="str">
        <f t="shared" si="541"/>
        <v>WHI</v>
      </c>
      <c r="C461" s="519" t="str">
        <f t="shared" ref="C461:E461" si="567">C227</f>
        <v>PanPac</v>
      </c>
      <c r="D461" s="519" t="str">
        <f t="shared" si="567"/>
        <v>WHI0111</v>
      </c>
      <c r="E461" s="519">
        <f t="shared" si="567"/>
        <v>85.140299999999996</v>
      </c>
      <c r="H461" s="519">
        <f ca="1">_xlfn.IFNA(IF(VLOOKUP($B461&amp;OFFSET(H$10,$A461*2,0),'Mapping A'!$B$6:$E$1011,4,0)=1,$E461,""),0)</f>
        <v>0</v>
      </c>
      <c r="I461" s="519">
        <f ca="1">_xlfn.IFNA(IF(VLOOKUP($B461&amp;OFFSET(I$10,$A461*2,0),'Mapping A'!$B$6:$E$1011,4,0)=1,$E461,""),0)</f>
        <v>0</v>
      </c>
      <c r="J461" s="519">
        <f ca="1">_xlfn.IFNA(IF(VLOOKUP($B461&amp;OFFSET(J$10,$A461*2,0),'Mapping A'!$B$6:$E$1011,4,0)=1,$E461,""),0)</f>
        <v>0</v>
      </c>
      <c r="K461" s="519">
        <f ca="1">_xlfn.IFNA(IF(VLOOKUP($B461&amp;OFFSET(K$10,$A461*2,0),'Mapping A'!$B$6:$E$1011,4,0)=1,$E461,""),0)</f>
        <v>0</v>
      </c>
      <c r="L461" s="519">
        <f ca="1">_xlfn.IFNA(IF(VLOOKUP($B461&amp;OFFSET(L$10,$A461*2,0),'Mapping A'!$B$6:$E$1011,4,0)=1,$E461,""),0)</f>
        <v>0</v>
      </c>
      <c r="M461" s="519">
        <f ca="1">_xlfn.IFNA(IF(VLOOKUP($B461&amp;OFFSET(M$10,$A461*2,0),'Mapping A'!$B$6:$E$1011,4,0)=1,$E461,""),0)</f>
        <v>0</v>
      </c>
      <c r="N461" s="519">
        <f ca="1">_xlfn.IFNA(IF(VLOOKUP($B461&amp;OFFSET(N$10,$A461*2,0),'Mapping A'!$B$6:$E$1011,4,0)=1,$E461,""),0)</f>
        <v>0</v>
      </c>
      <c r="O461" s="519">
        <f ca="1">_xlfn.IFNA(IF(VLOOKUP($B461&amp;OFFSET(O$10,$A461*2,0),'Mapping A'!$B$6:$E$1011,4,0)=1,$E461,""),0)</f>
        <v>0</v>
      </c>
      <c r="P461" s="519">
        <f ca="1">_xlfn.IFNA(IF(VLOOKUP($B461&amp;OFFSET(P$10,$A461*2,0),'Mapping A'!$B$6:$E$1011,4,0)=1,$E461,""),0)</f>
        <v>0</v>
      </c>
      <c r="Q461" s="519">
        <f ca="1">_xlfn.IFNA(IF(VLOOKUP($B461&amp;OFFSET(Q$10,$A461*2,0),'Mapping A'!$B$6:$E$1011,4,0)=1,$E461,""),0)</f>
        <v>0</v>
      </c>
      <c r="R461" s="519">
        <f ca="1">_xlfn.IFNA(IF(VLOOKUP($B461&amp;OFFSET(R$10,$A461*2,0),'Mapping A'!$B$6:$E$1011,4,0)=1,$E461,""),0)</f>
        <v>0</v>
      </c>
      <c r="S461" s="519">
        <f ca="1">_xlfn.IFNA(IF(VLOOKUP($B461&amp;OFFSET(S$10,$A461*2,0),'Mapping A'!$B$6:$E$1011,4,0)=1,$E461,""),0)</f>
        <v>0</v>
      </c>
      <c r="T461" s="519">
        <f ca="1">_xlfn.IFNA(IF(VLOOKUP($B461&amp;OFFSET(T$10,$A461*2,0),'Mapping A'!$B$6:$E$1011,4,0)=1,$E461,""),0)</f>
        <v>0</v>
      </c>
      <c r="Y461" s="534" t="str">
        <f t="shared" si="543"/>
        <v>WHI0111PanPac</v>
      </c>
      <c r="Z461" s="519" t="str">
        <f t="shared" ref="Z461:AB461" si="568">C227</f>
        <v>PanPac</v>
      </c>
      <c r="AA461" s="519" t="str">
        <f t="shared" si="568"/>
        <v>WHI0111</v>
      </c>
      <c r="AB461" s="519">
        <f t="shared" si="568"/>
        <v>85.140299999999996</v>
      </c>
      <c r="AC461" s="324"/>
      <c r="AE461" s="519">
        <f t="shared" ca="1" si="527"/>
        <v>0</v>
      </c>
      <c r="AF461" s="519">
        <f t="shared" ca="1" si="528"/>
        <v>0</v>
      </c>
      <c r="AG461" s="519">
        <f t="shared" ca="1" si="529"/>
        <v>0</v>
      </c>
      <c r="AH461" s="519">
        <f t="shared" ca="1" si="530"/>
        <v>0</v>
      </c>
      <c r="AI461" s="519">
        <f t="shared" ca="1" si="531"/>
        <v>0</v>
      </c>
      <c r="AJ461" s="519">
        <f t="shared" ca="1" si="532"/>
        <v>0</v>
      </c>
      <c r="AK461" s="519">
        <f t="shared" ca="1" si="533"/>
        <v>0</v>
      </c>
      <c r="AL461" s="519">
        <f t="shared" ca="1" si="534"/>
        <v>0</v>
      </c>
      <c r="AM461" s="519">
        <f t="shared" ca="1" si="535"/>
        <v>0</v>
      </c>
      <c r="AN461" s="519">
        <f t="shared" ca="1" si="536"/>
        <v>0</v>
      </c>
      <c r="AO461" s="519">
        <f t="shared" ca="1" si="537"/>
        <v>0</v>
      </c>
      <c r="AP461" s="519">
        <f t="shared" ca="1" si="538"/>
        <v>0</v>
      </c>
      <c r="AQ461" s="519">
        <f t="shared" ca="1" si="539"/>
        <v>0</v>
      </c>
    </row>
    <row r="462" spans="1:43" x14ac:dyDescent="0.3">
      <c r="A462" s="556">
        <f t="shared" si="540"/>
        <v>2</v>
      </c>
      <c r="B462" s="519" t="str">
        <f t="shared" si="541"/>
        <v>WHI</v>
      </c>
      <c r="C462" s="519" t="str">
        <f t="shared" ref="C462:E462" si="569">C228</f>
        <v>Contact</v>
      </c>
      <c r="D462" s="519" t="str">
        <f t="shared" si="569"/>
        <v>WHI2201</v>
      </c>
      <c r="E462" s="519">
        <f t="shared" si="569"/>
        <v>0.37380000000000002</v>
      </c>
      <c r="H462" s="519">
        <f ca="1">_xlfn.IFNA(IF(VLOOKUP($B462&amp;OFFSET(H$10,$A462*2,0),'Mapping A'!$B$6:$E$1011,4,0)=1,$E462,""),0)</f>
        <v>0</v>
      </c>
      <c r="I462" s="519">
        <f ca="1">_xlfn.IFNA(IF(VLOOKUP($B462&amp;OFFSET(I$10,$A462*2,0),'Mapping A'!$B$6:$E$1011,4,0)=1,$E462,""),0)</f>
        <v>0</v>
      </c>
      <c r="J462" s="519">
        <f ca="1">_xlfn.IFNA(IF(VLOOKUP($B462&amp;OFFSET(J$10,$A462*2,0),'Mapping A'!$B$6:$E$1011,4,0)=1,$E462,""),0)</f>
        <v>0</v>
      </c>
      <c r="K462" s="519">
        <f ca="1">_xlfn.IFNA(IF(VLOOKUP($B462&amp;OFFSET(K$10,$A462*2,0),'Mapping A'!$B$6:$E$1011,4,0)=1,$E462,""),0)</f>
        <v>0</v>
      </c>
      <c r="L462" s="519">
        <f ca="1">_xlfn.IFNA(IF(VLOOKUP($B462&amp;OFFSET(L$10,$A462*2,0),'Mapping A'!$B$6:$E$1011,4,0)=1,$E462,""),0)</f>
        <v>0</v>
      </c>
      <c r="M462" s="519">
        <f ca="1">_xlfn.IFNA(IF(VLOOKUP($B462&amp;OFFSET(M$10,$A462*2,0),'Mapping A'!$B$6:$E$1011,4,0)=1,$E462,""),0)</f>
        <v>0</v>
      </c>
      <c r="N462" s="519">
        <f ca="1">_xlfn.IFNA(IF(VLOOKUP($B462&amp;OFFSET(N$10,$A462*2,0),'Mapping A'!$B$6:$E$1011,4,0)=1,$E462,""),0)</f>
        <v>0</v>
      </c>
      <c r="O462" s="519">
        <f ca="1">_xlfn.IFNA(IF(VLOOKUP($B462&amp;OFFSET(O$10,$A462*2,0),'Mapping A'!$B$6:$E$1011,4,0)=1,$E462,""),0)</f>
        <v>0</v>
      </c>
      <c r="P462" s="519">
        <f ca="1">_xlfn.IFNA(IF(VLOOKUP($B462&amp;OFFSET(P$10,$A462*2,0),'Mapping A'!$B$6:$E$1011,4,0)=1,$E462,""),0)</f>
        <v>0</v>
      </c>
      <c r="Q462" s="519">
        <f ca="1">_xlfn.IFNA(IF(VLOOKUP($B462&amp;OFFSET(Q$10,$A462*2,0),'Mapping A'!$B$6:$E$1011,4,0)=1,$E462,""),0)</f>
        <v>0</v>
      </c>
      <c r="R462" s="519">
        <f ca="1">_xlfn.IFNA(IF(VLOOKUP($B462&amp;OFFSET(R$10,$A462*2,0),'Mapping A'!$B$6:$E$1011,4,0)=1,$E462,""),0)</f>
        <v>0</v>
      </c>
      <c r="S462" s="519">
        <f ca="1">_xlfn.IFNA(IF(VLOOKUP($B462&amp;OFFSET(S$10,$A462*2,0),'Mapping A'!$B$6:$E$1011,4,0)=1,$E462,""),0)</f>
        <v>0</v>
      </c>
      <c r="T462" s="519">
        <f ca="1">_xlfn.IFNA(IF(VLOOKUP($B462&amp;OFFSET(T$10,$A462*2,0),'Mapping A'!$B$6:$E$1011,4,0)=1,$E462,""),0)</f>
        <v>0</v>
      </c>
      <c r="Y462" s="534" t="str">
        <f t="shared" si="543"/>
        <v>WHI2201Contact</v>
      </c>
      <c r="Z462" s="519" t="str">
        <f t="shared" ref="Z462:AB462" si="570">C228</f>
        <v>Contact</v>
      </c>
      <c r="AA462" s="519" t="str">
        <f t="shared" si="570"/>
        <v>WHI2201</v>
      </c>
      <c r="AB462" s="519">
        <f t="shared" si="570"/>
        <v>0.37380000000000002</v>
      </c>
      <c r="AC462" s="324"/>
      <c r="AE462" s="519">
        <f t="shared" ca="1" si="527"/>
        <v>0</v>
      </c>
      <c r="AF462" s="519">
        <f t="shared" ca="1" si="528"/>
        <v>0</v>
      </c>
      <c r="AG462" s="519">
        <f t="shared" ca="1" si="529"/>
        <v>0</v>
      </c>
      <c r="AH462" s="519">
        <f t="shared" ca="1" si="530"/>
        <v>0</v>
      </c>
      <c r="AI462" s="519">
        <f t="shared" ca="1" si="531"/>
        <v>0</v>
      </c>
      <c r="AJ462" s="519">
        <f t="shared" ca="1" si="532"/>
        <v>0</v>
      </c>
      <c r="AK462" s="519">
        <f t="shared" ca="1" si="533"/>
        <v>0</v>
      </c>
      <c r="AL462" s="519">
        <f t="shared" ca="1" si="534"/>
        <v>0</v>
      </c>
      <c r="AM462" s="519">
        <f t="shared" ca="1" si="535"/>
        <v>0</v>
      </c>
      <c r="AN462" s="519">
        <f t="shared" ca="1" si="536"/>
        <v>0</v>
      </c>
      <c r="AO462" s="519">
        <f t="shared" ca="1" si="537"/>
        <v>0</v>
      </c>
      <c r="AP462" s="519">
        <f t="shared" ca="1" si="538"/>
        <v>0</v>
      </c>
      <c r="AQ462" s="519">
        <f t="shared" ca="1" si="539"/>
        <v>0</v>
      </c>
    </row>
    <row r="463" spans="1:43" x14ac:dyDescent="0.3">
      <c r="A463" s="556">
        <f t="shared" si="540"/>
        <v>2</v>
      </c>
      <c r="B463" s="519" t="str">
        <f t="shared" si="541"/>
        <v>WHU</v>
      </c>
      <c r="C463" s="519" t="str">
        <f t="shared" ref="C463:E463" si="571">C229</f>
        <v>Powerco</v>
      </c>
      <c r="D463" s="519" t="str">
        <f t="shared" si="571"/>
        <v>WHU0331</v>
      </c>
      <c r="E463" s="519">
        <f t="shared" si="571"/>
        <v>49.253399999999999</v>
      </c>
      <c r="H463" s="519">
        <f ca="1">_xlfn.IFNA(IF(VLOOKUP($B463&amp;OFFSET(H$10,$A463*2,0),'Mapping A'!$B$6:$E$1011,4,0)=1,$E463,""),0)</f>
        <v>0</v>
      </c>
      <c r="I463" s="519">
        <f ca="1">_xlfn.IFNA(IF(VLOOKUP($B463&amp;OFFSET(I$10,$A463*2,0),'Mapping A'!$B$6:$E$1011,4,0)=1,$E463,""),0)</f>
        <v>0</v>
      </c>
      <c r="J463" s="519">
        <f ca="1">_xlfn.IFNA(IF(VLOOKUP($B463&amp;OFFSET(J$10,$A463*2,0),'Mapping A'!$B$6:$E$1011,4,0)=1,$E463,""),0)</f>
        <v>0</v>
      </c>
      <c r="K463" s="519">
        <f ca="1">_xlfn.IFNA(IF(VLOOKUP($B463&amp;OFFSET(K$10,$A463*2,0),'Mapping A'!$B$6:$E$1011,4,0)=1,$E463,""),0)</f>
        <v>0</v>
      </c>
      <c r="L463" s="519">
        <f ca="1">_xlfn.IFNA(IF(VLOOKUP($B463&amp;OFFSET(L$10,$A463*2,0),'Mapping A'!$B$6:$E$1011,4,0)=1,$E463,""),0)</f>
        <v>0</v>
      </c>
      <c r="M463" s="519">
        <f ca="1">_xlfn.IFNA(IF(VLOOKUP($B463&amp;OFFSET(M$10,$A463*2,0),'Mapping A'!$B$6:$E$1011,4,0)=1,$E463,""),0)</f>
        <v>0</v>
      </c>
      <c r="N463" s="519">
        <f ca="1">_xlfn.IFNA(IF(VLOOKUP($B463&amp;OFFSET(N$10,$A463*2,0),'Mapping A'!$B$6:$E$1011,4,0)=1,$E463,""),0)</f>
        <v>0</v>
      </c>
      <c r="O463" s="519">
        <f ca="1">_xlfn.IFNA(IF(VLOOKUP($B463&amp;OFFSET(O$10,$A463*2,0),'Mapping A'!$B$6:$E$1011,4,0)=1,$E463,""),0)</f>
        <v>0</v>
      </c>
      <c r="P463" s="519">
        <f ca="1">_xlfn.IFNA(IF(VLOOKUP($B463&amp;OFFSET(P$10,$A463*2,0),'Mapping A'!$B$6:$E$1011,4,0)=1,$E463,""),0)</f>
        <v>0</v>
      </c>
      <c r="Q463" s="519">
        <f ca="1">_xlfn.IFNA(IF(VLOOKUP($B463&amp;OFFSET(Q$10,$A463*2,0),'Mapping A'!$B$6:$E$1011,4,0)=1,$E463,""),0)</f>
        <v>0</v>
      </c>
      <c r="R463" s="519">
        <f ca="1">_xlfn.IFNA(IF(VLOOKUP($B463&amp;OFFSET(R$10,$A463*2,0),'Mapping A'!$B$6:$E$1011,4,0)=1,$E463,""),0)</f>
        <v>0</v>
      </c>
      <c r="S463" s="519">
        <f ca="1">_xlfn.IFNA(IF(VLOOKUP($B463&amp;OFFSET(S$10,$A463*2,0),'Mapping A'!$B$6:$E$1011,4,0)=1,$E463,""),0)</f>
        <v>0</v>
      </c>
      <c r="T463" s="519">
        <f ca="1">_xlfn.IFNA(IF(VLOOKUP($B463&amp;OFFSET(T$10,$A463*2,0),'Mapping A'!$B$6:$E$1011,4,0)=1,$E463,""),0)</f>
        <v>0</v>
      </c>
      <c r="Y463" s="534" t="str">
        <f t="shared" si="543"/>
        <v>WHU0331Powerco</v>
      </c>
      <c r="Z463" s="519" t="str">
        <f t="shared" ref="Z463:AB463" si="572">C229</f>
        <v>Powerco</v>
      </c>
      <c r="AA463" s="519" t="str">
        <f t="shared" si="572"/>
        <v>WHU0331</v>
      </c>
      <c r="AB463" s="519">
        <f t="shared" si="572"/>
        <v>49.253399999999999</v>
      </c>
      <c r="AC463" s="324"/>
      <c r="AE463" s="519">
        <f t="shared" ca="1" si="527"/>
        <v>0</v>
      </c>
      <c r="AF463" s="519">
        <f t="shared" ca="1" si="528"/>
        <v>0</v>
      </c>
      <c r="AG463" s="519">
        <f t="shared" ca="1" si="529"/>
        <v>0</v>
      </c>
      <c r="AH463" s="519">
        <f t="shared" ca="1" si="530"/>
        <v>0</v>
      </c>
      <c r="AI463" s="519">
        <f t="shared" ca="1" si="531"/>
        <v>0</v>
      </c>
      <c r="AJ463" s="519">
        <f t="shared" ca="1" si="532"/>
        <v>0</v>
      </c>
      <c r="AK463" s="519">
        <f t="shared" ca="1" si="533"/>
        <v>0</v>
      </c>
      <c r="AL463" s="519">
        <f t="shared" ca="1" si="534"/>
        <v>0</v>
      </c>
      <c r="AM463" s="519">
        <f t="shared" ca="1" si="535"/>
        <v>0</v>
      </c>
      <c r="AN463" s="519">
        <f t="shared" ca="1" si="536"/>
        <v>0</v>
      </c>
      <c r="AO463" s="519">
        <f t="shared" ca="1" si="537"/>
        <v>0</v>
      </c>
      <c r="AP463" s="519">
        <f t="shared" ca="1" si="538"/>
        <v>0</v>
      </c>
      <c r="AQ463" s="519">
        <f t="shared" ca="1" si="539"/>
        <v>0</v>
      </c>
    </row>
    <row r="464" spans="1:43" x14ac:dyDescent="0.3">
      <c r="A464" s="556">
        <f t="shared" si="540"/>
        <v>2</v>
      </c>
      <c r="B464" s="519" t="str">
        <f t="shared" si="541"/>
        <v>WIL</v>
      </c>
      <c r="C464" s="519" t="str">
        <f t="shared" ref="C464:E464" si="573">C230</f>
        <v>Wellington Electricity</v>
      </c>
      <c r="D464" s="519" t="str">
        <f t="shared" si="573"/>
        <v>WIL0331</v>
      </c>
      <c r="E464" s="519">
        <f t="shared" si="573"/>
        <v>53.1006</v>
      </c>
      <c r="H464" s="519">
        <f ca="1">_xlfn.IFNA(IF(VLOOKUP($B464&amp;OFFSET(H$10,$A464*2,0),'Mapping A'!$B$6:$E$1011,4,0)=1,$E464,""),0)</f>
        <v>0</v>
      </c>
      <c r="I464" s="519">
        <f ca="1">_xlfn.IFNA(IF(VLOOKUP($B464&amp;OFFSET(I$10,$A464*2,0),'Mapping A'!$B$6:$E$1011,4,0)=1,$E464,""),0)</f>
        <v>0</v>
      </c>
      <c r="J464" s="519">
        <f ca="1">_xlfn.IFNA(IF(VLOOKUP($B464&amp;OFFSET(J$10,$A464*2,0),'Mapping A'!$B$6:$E$1011,4,0)=1,$E464,""),0)</f>
        <v>0</v>
      </c>
      <c r="K464" s="519">
        <f ca="1">_xlfn.IFNA(IF(VLOOKUP($B464&amp;OFFSET(K$10,$A464*2,0),'Mapping A'!$B$6:$E$1011,4,0)=1,$E464,""),0)</f>
        <v>0</v>
      </c>
      <c r="L464" s="519">
        <f ca="1">_xlfn.IFNA(IF(VLOOKUP($B464&amp;OFFSET(L$10,$A464*2,0),'Mapping A'!$B$6:$E$1011,4,0)=1,$E464,""),0)</f>
        <v>0</v>
      </c>
      <c r="M464" s="519">
        <f ca="1">_xlfn.IFNA(IF(VLOOKUP($B464&amp;OFFSET(M$10,$A464*2,0),'Mapping A'!$B$6:$E$1011,4,0)=1,$E464,""),0)</f>
        <v>0</v>
      </c>
      <c r="N464" s="519">
        <f ca="1">_xlfn.IFNA(IF(VLOOKUP($B464&amp;OFFSET(N$10,$A464*2,0),'Mapping A'!$B$6:$E$1011,4,0)=1,$E464,""),0)</f>
        <v>0</v>
      </c>
      <c r="O464" s="519">
        <f ca="1">_xlfn.IFNA(IF(VLOOKUP($B464&amp;OFFSET(O$10,$A464*2,0),'Mapping A'!$B$6:$E$1011,4,0)=1,$E464,""),0)</f>
        <v>0</v>
      </c>
      <c r="P464" s="519">
        <f ca="1">_xlfn.IFNA(IF(VLOOKUP($B464&amp;OFFSET(P$10,$A464*2,0),'Mapping A'!$B$6:$E$1011,4,0)=1,$E464,""),0)</f>
        <v>0</v>
      </c>
      <c r="Q464" s="519">
        <f ca="1">_xlfn.IFNA(IF(VLOOKUP($B464&amp;OFFSET(Q$10,$A464*2,0),'Mapping A'!$B$6:$E$1011,4,0)=1,$E464,""),0)</f>
        <v>0</v>
      </c>
      <c r="R464" s="519">
        <f ca="1">_xlfn.IFNA(IF(VLOOKUP($B464&amp;OFFSET(R$10,$A464*2,0),'Mapping A'!$B$6:$E$1011,4,0)=1,$E464,""),0)</f>
        <v>0</v>
      </c>
      <c r="S464" s="519">
        <f ca="1">_xlfn.IFNA(IF(VLOOKUP($B464&amp;OFFSET(S$10,$A464*2,0),'Mapping A'!$B$6:$E$1011,4,0)=1,$E464,""),0)</f>
        <v>0</v>
      </c>
      <c r="T464" s="519">
        <f ca="1">_xlfn.IFNA(IF(VLOOKUP($B464&amp;OFFSET(T$10,$A464*2,0),'Mapping A'!$B$6:$E$1011,4,0)=1,$E464,""),0)</f>
        <v>0</v>
      </c>
      <c r="Y464" s="534" t="str">
        <f t="shared" si="543"/>
        <v>WIL0331Wellington Electricity</v>
      </c>
      <c r="Z464" s="519" t="str">
        <f t="shared" ref="Z464:AB464" si="574">C230</f>
        <v>Wellington Electricity</v>
      </c>
      <c r="AA464" s="519" t="str">
        <f t="shared" si="574"/>
        <v>WIL0331</v>
      </c>
      <c r="AB464" s="519">
        <f t="shared" si="574"/>
        <v>53.1006</v>
      </c>
      <c r="AC464" s="324"/>
      <c r="AE464" s="519">
        <f t="shared" ca="1" si="527"/>
        <v>0</v>
      </c>
      <c r="AF464" s="519">
        <f t="shared" ca="1" si="528"/>
        <v>0</v>
      </c>
      <c r="AG464" s="519">
        <f t="shared" ca="1" si="529"/>
        <v>0</v>
      </c>
      <c r="AH464" s="519">
        <f t="shared" ca="1" si="530"/>
        <v>0</v>
      </c>
      <c r="AI464" s="519">
        <f t="shared" ca="1" si="531"/>
        <v>0</v>
      </c>
      <c r="AJ464" s="519">
        <f t="shared" ca="1" si="532"/>
        <v>0</v>
      </c>
      <c r="AK464" s="519">
        <f t="shared" ca="1" si="533"/>
        <v>0</v>
      </c>
      <c r="AL464" s="519">
        <f t="shared" ca="1" si="534"/>
        <v>0</v>
      </c>
      <c r="AM464" s="519">
        <f t="shared" ca="1" si="535"/>
        <v>0</v>
      </c>
      <c r="AN464" s="519">
        <f t="shared" ca="1" si="536"/>
        <v>0</v>
      </c>
      <c r="AO464" s="519">
        <f t="shared" ca="1" si="537"/>
        <v>0</v>
      </c>
      <c r="AP464" s="519">
        <f t="shared" ca="1" si="538"/>
        <v>0</v>
      </c>
      <c r="AQ464" s="519">
        <f t="shared" ca="1" si="539"/>
        <v>0</v>
      </c>
    </row>
    <row r="465" spans="1:43" x14ac:dyDescent="0.3">
      <c r="A465" s="556">
        <f t="shared" si="540"/>
        <v>2</v>
      </c>
      <c r="B465" s="519" t="str">
        <f t="shared" si="541"/>
        <v>WIR</v>
      </c>
      <c r="C465" s="519" t="str">
        <f t="shared" ref="C465:E465" si="575">C231</f>
        <v>Vector</v>
      </c>
      <c r="D465" s="519" t="str">
        <f t="shared" si="575"/>
        <v>WIR0331</v>
      </c>
      <c r="E465" s="519">
        <f t="shared" si="575"/>
        <v>85.304100000000005</v>
      </c>
      <c r="H465" s="519">
        <f ca="1">_xlfn.IFNA(IF(VLOOKUP($B465&amp;OFFSET(H$10,$A465*2,0),'Mapping A'!$B$6:$E$1011,4,0)=1,$E465,""),0)</f>
        <v>0</v>
      </c>
      <c r="I465" s="519">
        <f ca="1">_xlfn.IFNA(IF(VLOOKUP($B465&amp;OFFSET(I$10,$A465*2,0),'Mapping A'!$B$6:$E$1011,4,0)=1,$E465,""),0)</f>
        <v>0</v>
      </c>
      <c r="J465" s="519">
        <f ca="1">_xlfn.IFNA(IF(VLOOKUP($B465&amp;OFFSET(J$10,$A465*2,0),'Mapping A'!$B$6:$E$1011,4,0)=1,$E465,""),0)</f>
        <v>0</v>
      </c>
      <c r="K465" s="519">
        <f ca="1">_xlfn.IFNA(IF(VLOOKUP($B465&amp;OFFSET(K$10,$A465*2,0),'Mapping A'!$B$6:$E$1011,4,0)=1,$E465,""),0)</f>
        <v>0</v>
      </c>
      <c r="L465" s="519">
        <f ca="1">_xlfn.IFNA(IF(VLOOKUP($B465&amp;OFFSET(L$10,$A465*2,0),'Mapping A'!$B$6:$E$1011,4,0)=1,$E465,""),0)</f>
        <v>0</v>
      </c>
      <c r="M465" s="519">
        <f ca="1">_xlfn.IFNA(IF(VLOOKUP($B465&amp;OFFSET(M$10,$A465*2,0),'Mapping A'!$B$6:$E$1011,4,0)=1,$E465,""),0)</f>
        <v>0</v>
      </c>
      <c r="N465" s="519">
        <f ca="1">_xlfn.IFNA(IF(VLOOKUP($B465&amp;OFFSET(N$10,$A465*2,0),'Mapping A'!$B$6:$E$1011,4,0)=1,$E465,""),0)</f>
        <v>0</v>
      </c>
      <c r="O465" s="519">
        <f ca="1">_xlfn.IFNA(IF(VLOOKUP($B465&amp;OFFSET(O$10,$A465*2,0),'Mapping A'!$B$6:$E$1011,4,0)=1,$E465,""),0)</f>
        <v>0</v>
      </c>
      <c r="P465" s="519">
        <f ca="1">_xlfn.IFNA(IF(VLOOKUP($B465&amp;OFFSET(P$10,$A465*2,0),'Mapping A'!$B$6:$E$1011,4,0)=1,$E465,""),0)</f>
        <v>0</v>
      </c>
      <c r="Q465" s="519">
        <f ca="1">_xlfn.IFNA(IF(VLOOKUP($B465&amp;OFFSET(Q$10,$A465*2,0),'Mapping A'!$B$6:$E$1011,4,0)=1,$E465,""),0)</f>
        <v>0</v>
      </c>
      <c r="R465" s="519">
        <f ca="1">_xlfn.IFNA(IF(VLOOKUP($B465&amp;OFFSET(R$10,$A465*2,0),'Mapping A'!$B$6:$E$1011,4,0)=1,$E465,""),0)</f>
        <v>0</v>
      </c>
      <c r="S465" s="519">
        <f ca="1">_xlfn.IFNA(IF(VLOOKUP($B465&amp;OFFSET(S$10,$A465*2,0),'Mapping A'!$B$6:$E$1011,4,0)=1,$E465,""),0)</f>
        <v>0</v>
      </c>
      <c r="T465" s="519">
        <f ca="1">_xlfn.IFNA(IF(VLOOKUP($B465&amp;OFFSET(T$10,$A465*2,0),'Mapping A'!$B$6:$E$1011,4,0)=1,$E465,""),0)</f>
        <v>0</v>
      </c>
      <c r="Y465" s="534" t="str">
        <f t="shared" si="543"/>
        <v>WIR0331Vector</v>
      </c>
      <c r="Z465" s="519" t="str">
        <f t="shared" ref="Z465:AB465" si="576">C231</f>
        <v>Vector</v>
      </c>
      <c r="AA465" s="519" t="str">
        <f t="shared" si="576"/>
        <v>WIR0331</v>
      </c>
      <c r="AB465" s="519">
        <f t="shared" si="576"/>
        <v>85.304100000000005</v>
      </c>
      <c r="AC465" s="324"/>
      <c r="AE465" s="519">
        <f t="shared" ca="1" si="527"/>
        <v>0</v>
      </c>
      <c r="AF465" s="519">
        <f t="shared" ca="1" si="528"/>
        <v>0</v>
      </c>
      <c r="AG465" s="519">
        <f t="shared" ca="1" si="529"/>
        <v>0</v>
      </c>
      <c r="AH465" s="519">
        <f t="shared" ca="1" si="530"/>
        <v>0</v>
      </c>
      <c r="AI465" s="519">
        <f t="shared" ca="1" si="531"/>
        <v>0</v>
      </c>
      <c r="AJ465" s="519">
        <f t="shared" ca="1" si="532"/>
        <v>0</v>
      </c>
      <c r="AK465" s="519">
        <f t="shared" ca="1" si="533"/>
        <v>0</v>
      </c>
      <c r="AL465" s="519">
        <f t="shared" ca="1" si="534"/>
        <v>0</v>
      </c>
      <c r="AM465" s="519">
        <f t="shared" ca="1" si="535"/>
        <v>0</v>
      </c>
      <c r="AN465" s="519">
        <f t="shared" ca="1" si="536"/>
        <v>0</v>
      </c>
      <c r="AO465" s="519">
        <f t="shared" ca="1" si="537"/>
        <v>0</v>
      </c>
      <c r="AP465" s="519">
        <f t="shared" ca="1" si="538"/>
        <v>0</v>
      </c>
      <c r="AQ465" s="519">
        <f t="shared" ca="1" si="539"/>
        <v>0</v>
      </c>
    </row>
    <row r="466" spans="1:43" x14ac:dyDescent="0.3">
      <c r="A466" s="556">
        <f t="shared" si="540"/>
        <v>2</v>
      </c>
      <c r="B466" s="519" t="str">
        <f t="shared" si="541"/>
        <v>WKM</v>
      </c>
      <c r="C466" s="519" t="str">
        <f t="shared" ref="C466:E466" si="577">C232</f>
        <v>Other</v>
      </c>
      <c r="D466" s="519" t="str">
        <f t="shared" si="577"/>
        <v>WKM2201</v>
      </c>
      <c r="E466" s="519">
        <f t="shared" si="577"/>
        <v>0</v>
      </c>
      <c r="H466" s="519">
        <f ca="1">_xlfn.IFNA(IF(VLOOKUP($B466&amp;OFFSET(H$10,$A466*2,0),'Mapping A'!$B$6:$E$1011,4,0)=1,$E466,""),0)</f>
        <v>0</v>
      </c>
      <c r="I466" s="519">
        <f ca="1">_xlfn.IFNA(IF(VLOOKUP($B466&amp;OFFSET(I$10,$A466*2,0),'Mapping A'!$B$6:$E$1011,4,0)=1,$E466,""),0)</f>
        <v>0</v>
      </c>
      <c r="J466" s="519">
        <f ca="1">_xlfn.IFNA(IF(VLOOKUP($B466&amp;OFFSET(J$10,$A466*2,0),'Mapping A'!$B$6:$E$1011,4,0)=1,$E466,""),0)</f>
        <v>0</v>
      </c>
      <c r="K466" s="519">
        <f ca="1">_xlfn.IFNA(IF(VLOOKUP($B466&amp;OFFSET(K$10,$A466*2,0),'Mapping A'!$B$6:$E$1011,4,0)=1,$E466,""),0)</f>
        <v>0</v>
      </c>
      <c r="L466" s="519">
        <f ca="1">_xlfn.IFNA(IF(VLOOKUP($B466&amp;OFFSET(L$10,$A466*2,0),'Mapping A'!$B$6:$E$1011,4,0)=1,$E466,""),0)</f>
        <v>0</v>
      </c>
      <c r="M466" s="519">
        <f ca="1">_xlfn.IFNA(IF(VLOOKUP($B466&amp;OFFSET(M$10,$A466*2,0),'Mapping A'!$B$6:$E$1011,4,0)=1,$E466,""),0)</f>
        <v>0</v>
      </c>
      <c r="N466" s="519">
        <f ca="1">_xlfn.IFNA(IF(VLOOKUP($B466&amp;OFFSET(N$10,$A466*2,0),'Mapping A'!$B$6:$E$1011,4,0)=1,$E466,""),0)</f>
        <v>0</v>
      </c>
      <c r="O466" s="519">
        <f ca="1">_xlfn.IFNA(IF(VLOOKUP($B466&amp;OFFSET(O$10,$A466*2,0),'Mapping A'!$B$6:$E$1011,4,0)=1,$E466,""),0)</f>
        <v>0</v>
      </c>
      <c r="P466" s="519">
        <f ca="1">_xlfn.IFNA(IF(VLOOKUP($B466&amp;OFFSET(P$10,$A466*2,0),'Mapping A'!$B$6:$E$1011,4,0)=1,$E466,""),0)</f>
        <v>0</v>
      </c>
      <c r="Q466" s="519">
        <f ca="1">_xlfn.IFNA(IF(VLOOKUP($B466&amp;OFFSET(Q$10,$A466*2,0),'Mapping A'!$B$6:$E$1011,4,0)=1,$E466,""),0)</f>
        <v>0</v>
      </c>
      <c r="R466" s="519">
        <f ca="1">_xlfn.IFNA(IF(VLOOKUP($B466&amp;OFFSET(R$10,$A466*2,0),'Mapping A'!$B$6:$E$1011,4,0)=1,$E466,""),0)</f>
        <v>0</v>
      </c>
      <c r="S466" s="519">
        <f ca="1">_xlfn.IFNA(IF(VLOOKUP($B466&amp;OFFSET(S$10,$A466*2,0),'Mapping A'!$B$6:$E$1011,4,0)=1,$E466,""),0)</f>
        <v>0</v>
      </c>
      <c r="T466" s="519">
        <f ca="1">_xlfn.IFNA(IF(VLOOKUP($B466&amp;OFFSET(T$10,$A466*2,0),'Mapping A'!$B$6:$E$1011,4,0)=1,$E466,""),0)</f>
        <v>0</v>
      </c>
      <c r="Y466" s="534" t="str">
        <f t="shared" si="543"/>
        <v>WKM2201Other</v>
      </c>
      <c r="Z466" s="519" t="str">
        <f t="shared" ref="Z466:AB466" si="578">C232</f>
        <v>Other</v>
      </c>
      <c r="AA466" s="519" t="str">
        <f t="shared" si="578"/>
        <v>WKM2201</v>
      </c>
      <c r="AB466" s="519">
        <f t="shared" si="578"/>
        <v>0</v>
      </c>
      <c r="AC466" s="324"/>
      <c r="AE466" s="519">
        <f t="shared" ca="1" si="527"/>
        <v>0</v>
      </c>
      <c r="AF466" s="519">
        <f t="shared" ca="1" si="528"/>
        <v>0</v>
      </c>
      <c r="AG466" s="519">
        <f t="shared" ca="1" si="529"/>
        <v>0</v>
      </c>
      <c r="AH466" s="519">
        <f t="shared" ca="1" si="530"/>
        <v>0</v>
      </c>
      <c r="AI466" s="519">
        <f t="shared" ca="1" si="531"/>
        <v>0</v>
      </c>
      <c r="AJ466" s="519">
        <f t="shared" ca="1" si="532"/>
        <v>0</v>
      </c>
      <c r="AK466" s="519">
        <f t="shared" ca="1" si="533"/>
        <v>0</v>
      </c>
      <c r="AL466" s="519">
        <f t="shared" ca="1" si="534"/>
        <v>0</v>
      </c>
      <c r="AM466" s="519">
        <f t="shared" ca="1" si="535"/>
        <v>0</v>
      </c>
      <c r="AN466" s="519">
        <f t="shared" ca="1" si="536"/>
        <v>0</v>
      </c>
      <c r="AO466" s="519">
        <f t="shared" ca="1" si="537"/>
        <v>0</v>
      </c>
      <c r="AP466" s="519">
        <f t="shared" ca="1" si="538"/>
        <v>0</v>
      </c>
      <c r="AQ466" s="519">
        <f t="shared" ca="1" si="539"/>
        <v>0</v>
      </c>
    </row>
    <row r="467" spans="1:43" x14ac:dyDescent="0.3">
      <c r="A467" s="556">
        <f t="shared" si="540"/>
        <v>2</v>
      </c>
      <c r="B467" s="519" t="str">
        <f t="shared" si="541"/>
        <v>WKO</v>
      </c>
      <c r="C467" s="519" t="str">
        <f t="shared" ref="C467:E467" si="579">C233</f>
        <v>Powerco</v>
      </c>
      <c r="D467" s="519" t="str">
        <f t="shared" si="579"/>
        <v>WKO0331</v>
      </c>
      <c r="E467" s="519">
        <f t="shared" si="579"/>
        <v>36.264899999999997</v>
      </c>
      <c r="H467" s="519">
        <f ca="1">_xlfn.IFNA(IF(VLOOKUP($B467&amp;OFFSET(H$10,$A467*2,0),'Mapping A'!$B$6:$E$1011,4,0)=1,$E467,""),0)</f>
        <v>0</v>
      </c>
      <c r="I467" s="519">
        <f ca="1">_xlfn.IFNA(IF(VLOOKUP($B467&amp;OFFSET(I$10,$A467*2,0),'Mapping A'!$B$6:$E$1011,4,0)=1,$E467,""),0)</f>
        <v>0</v>
      </c>
      <c r="J467" s="519">
        <f ca="1">_xlfn.IFNA(IF(VLOOKUP($B467&amp;OFFSET(J$10,$A467*2,0),'Mapping A'!$B$6:$E$1011,4,0)=1,$E467,""),0)</f>
        <v>0</v>
      </c>
      <c r="K467" s="519">
        <f ca="1">_xlfn.IFNA(IF(VLOOKUP($B467&amp;OFFSET(K$10,$A467*2,0),'Mapping A'!$B$6:$E$1011,4,0)=1,$E467,""),0)</f>
        <v>0</v>
      </c>
      <c r="L467" s="519">
        <f ca="1">_xlfn.IFNA(IF(VLOOKUP($B467&amp;OFFSET(L$10,$A467*2,0),'Mapping A'!$B$6:$E$1011,4,0)=1,$E467,""),0)</f>
        <v>0</v>
      </c>
      <c r="M467" s="519">
        <f ca="1">_xlfn.IFNA(IF(VLOOKUP($B467&amp;OFFSET(M$10,$A467*2,0),'Mapping A'!$B$6:$E$1011,4,0)=1,$E467,""),0)</f>
        <v>0</v>
      </c>
      <c r="N467" s="519">
        <f ca="1">_xlfn.IFNA(IF(VLOOKUP($B467&amp;OFFSET(N$10,$A467*2,0),'Mapping A'!$B$6:$E$1011,4,0)=1,$E467,""),0)</f>
        <v>0</v>
      </c>
      <c r="O467" s="519">
        <f ca="1">_xlfn.IFNA(IF(VLOOKUP($B467&amp;OFFSET(O$10,$A467*2,0),'Mapping A'!$B$6:$E$1011,4,0)=1,$E467,""),0)</f>
        <v>0</v>
      </c>
      <c r="P467" s="519">
        <f ca="1">_xlfn.IFNA(IF(VLOOKUP($B467&amp;OFFSET(P$10,$A467*2,0),'Mapping A'!$B$6:$E$1011,4,0)=1,$E467,""),0)</f>
        <v>0</v>
      </c>
      <c r="Q467" s="519">
        <f ca="1">_xlfn.IFNA(IF(VLOOKUP($B467&amp;OFFSET(Q$10,$A467*2,0),'Mapping A'!$B$6:$E$1011,4,0)=1,$E467,""),0)</f>
        <v>0</v>
      </c>
      <c r="R467" s="519">
        <f ca="1">_xlfn.IFNA(IF(VLOOKUP($B467&amp;OFFSET(R$10,$A467*2,0),'Mapping A'!$B$6:$E$1011,4,0)=1,$E467,""),0)</f>
        <v>0</v>
      </c>
      <c r="S467" s="519">
        <f ca="1">_xlfn.IFNA(IF(VLOOKUP($B467&amp;OFFSET(S$10,$A467*2,0),'Mapping A'!$B$6:$E$1011,4,0)=1,$E467,""),0)</f>
        <v>0</v>
      </c>
      <c r="T467" s="519">
        <f ca="1">_xlfn.IFNA(IF(VLOOKUP($B467&amp;OFFSET(T$10,$A467*2,0),'Mapping A'!$B$6:$E$1011,4,0)=1,$E467,""),0)</f>
        <v>0</v>
      </c>
      <c r="Y467" s="534" t="str">
        <f t="shared" si="543"/>
        <v>WKO0331Powerco</v>
      </c>
      <c r="Z467" s="519" t="str">
        <f t="shared" ref="Z467:AB467" si="580">C233</f>
        <v>Powerco</v>
      </c>
      <c r="AA467" s="519" t="str">
        <f t="shared" si="580"/>
        <v>WKO0331</v>
      </c>
      <c r="AB467" s="519">
        <f t="shared" si="580"/>
        <v>36.264899999999997</v>
      </c>
      <c r="AC467" s="324"/>
      <c r="AE467" s="519">
        <f t="shared" ca="1" si="527"/>
        <v>0</v>
      </c>
      <c r="AF467" s="519">
        <f t="shared" ca="1" si="528"/>
        <v>0</v>
      </c>
      <c r="AG467" s="519">
        <f t="shared" ca="1" si="529"/>
        <v>0</v>
      </c>
      <c r="AH467" s="519">
        <f t="shared" ca="1" si="530"/>
        <v>0</v>
      </c>
      <c r="AI467" s="519">
        <f t="shared" ca="1" si="531"/>
        <v>0</v>
      </c>
      <c r="AJ467" s="519">
        <f t="shared" ca="1" si="532"/>
        <v>0</v>
      </c>
      <c r="AK467" s="519">
        <f t="shared" ca="1" si="533"/>
        <v>0</v>
      </c>
      <c r="AL467" s="519">
        <f t="shared" ca="1" si="534"/>
        <v>0</v>
      </c>
      <c r="AM467" s="519">
        <f t="shared" ca="1" si="535"/>
        <v>0</v>
      </c>
      <c r="AN467" s="519">
        <f t="shared" ca="1" si="536"/>
        <v>0</v>
      </c>
      <c r="AO467" s="519">
        <f t="shared" ca="1" si="537"/>
        <v>0</v>
      </c>
      <c r="AP467" s="519">
        <f t="shared" ca="1" si="538"/>
        <v>0</v>
      </c>
      <c r="AQ467" s="519">
        <f t="shared" ca="1" si="539"/>
        <v>0</v>
      </c>
    </row>
    <row r="468" spans="1:43" x14ac:dyDescent="0.3">
      <c r="A468" s="556">
        <f t="shared" si="540"/>
        <v>2</v>
      </c>
      <c r="B468" s="519" t="str">
        <f t="shared" si="541"/>
        <v>WPA</v>
      </c>
      <c r="C468" s="519" t="str">
        <f t="shared" ref="C468:E468" si="581">C234</f>
        <v>MRP</v>
      </c>
      <c r="D468" s="519" t="str">
        <f t="shared" si="581"/>
        <v>WPA2201</v>
      </c>
      <c r="E468" s="519">
        <f t="shared" si="581"/>
        <v>0.189</v>
      </c>
      <c r="H468" s="519">
        <f ca="1">_xlfn.IFNA(IF(VLOOKUP($B468&amp;OFFSET(H$10,$A468*2,0),'Mapping A'!$B$6:$E$1011,4,0)=1,$E468,""),0)</f>
        <v>0</v>
      </c>
      <c r="I468" s="519">
        <f ca="1">_xlfn.IFNA(IF(VLOOKUP($B468&amp;OFFSET(I$10,$A468*2,0),'Mapping A'!$B$6:$E$1011,4,0)=1,$E468,""),0)</f>
        <v>0</v>
      </c>
      <c r="J468" s="519">
        <f ca="1">_xlfn.IFNA(IF(VLOOKUP($B468&amp;OFFSET(J$10,$A468*2,0),'Mapping A'!$B$6:$E$1011,4,0)=1,$E468,""),0)</f>
        <v>0</v>
      </c>
      <c r="K468" s="519">
        <f ca="1">_xlfn.IFNA(IF(VLOOKUP($B468&amp;OFFSET(K$10,$A468*2,0),'Mapping A'!$B$6:$E$1011,4,0)=1,$E468,""),0)</f>
        <v>0</v>
      </c>
      <c r="L468" s="519">
        <f ca="1">_xlfn.IFNA(IF(VLOOKUP($B468&amp;OFFSET(L$10,$A468*2,0),'Mapping A'!$B$6:$E$1011,4,0)=1,$E468,""),0)</f>
        <v>0</v>
      </c>
      <c r="M468" s="519">
        <f ca="1">_xlfn.IFNA(IF(VLOOKUP($B468&amp;OFFSET(M$10,$A468*2,0),'Mapping A'!$B$6:$E$1011,4,0)=1,$E468,""),0)</f>
        <v>0</v>
      </c>
      <c r="N468" s="519">
        <f ca="1">_xlfn.IFNA(IF(VLOOKUP($B468&amp;OFFSET(N$10,$A468*2,0),'Mapping A'!$B$6:$E$1011,4,0)=1,$E468,""),0)</f>
        <v>0</v>
      </c>
      <c r="O468" s="519">
        <f ca="1">_xlfn.IFNA(IF(VLOOKUP($B468&amp;OFFSET(O$10,$A468*2,0),'Mapping A'!$B$6:$E$1011,4,0)=1,$E468,""),0)</f>
        <v>0</v>
      </c>
      <c r="P468" s="519">
        <f ca="1">_xlfn.IFNA(IF(VLOOKUP($B468&amp;OFFSET(P$10,$A468*2,0),'Mapping A'!$B$6:$E$1011,4,0)=1,$E468,""),0)</f>
        <v>0</v>
      </c>
      <c r="Q468" s="519">
        <f ca="1">_xlfn.IFNA(IF(VLOOKUP($B468&amp;OFFSET(Q$10,$A468*2,0),'Mapping A'!$B$6:$E$1011,4,0)=1,$E468,""),0)</f>
        <v>0</v>
      </c>
      <c r="R468" s="519">
        <f ca="1">_xlfn.IFNA(IF(VLOOKUP($B468&amp;OFFSET(R$10,$A468*2,0),'Mapping A'!$B$6:$E$1011,4,0)=1,$E468,""),0)</f>
        <v>0</v>
      </c>
      <c r="S468" s="519">
        <f ca="1">_xlfn.IFNA(IF(VLOOKUP($B468&amp;OFFSET(S$10,$A468*2,0),'Mapping A'!$B$6:$E$1011,4,0)=1,$E468,""),0)</f>
        <v>0</v>
      </c>
      <c r="T468" s="519">
        <f ca="1">_xlfn.IFNA(IF(VLOOKUP($B468&amp;OFFSET(T$10,$A468*2,0),'Mapping A'!$B$6:$E$1011,4,0)=1,$E468,""),0)</f>
        <v>0</v>
      </c>
      <c r="Y468" s="534" t="str">
        <f t="shared" si="543"/>
        <v>WPA2201MRP</v>
      </c>
      <c r="Z468" s="519" t="str">
        <f t="shared" ref="Z468:AB468" si="582">C234</f>
        <v>MRP</v>
      </c>
      <c r="AA468" s="519" t="str">
        <f t="shared" si="582"/>
        <v>WPA2201</v>
      </c>
      <c r="AB468" s="519">
        <f t="shared" si="582"/>
        <v>0.189</v>
      </c>
      <c r="AC468" s="324"/>
      <c r="AE468" s="519">
        <f t="shared" ca="1" si="527"/>
        <v>0</v>
      </c>
      <c r="AF468" s="519">
        <f t="shared" ca="1" si="528"/>
        <v>0</v>
      </c>
      <c r="AG468" s="519">
        <f t="shared" ca="1" si="529"/>
        <v>0</v>
      </c>
      <c r="AH468" s="519">
        <f t="shared" ca="1" si="530"/>
        <v>0</v>
      </c>
      <c r="AI468" s="519">
        <f t="shared" ca="1" si="531"/>
        <v>0</v>
      </c>
      <c r="AJ468" s="519">
        <f t="shared" ca="1" si="532"/>
        <v>0</v>
      </c>
      <c r="AK468" s="519">
        <f t="shared" ca="1" si="533"/>
        <v>0</v>
      </c>
      <c r="AL468" s="519">
        <f t="shared" ca="1" si="534"/>
        <v>0</v>
      </c>
      <c r="AM468" s="519">
        <f t="shared" ca="1" si="535"/>
        <v>0</v>
      </c>
      <c r="AN468" s="519">
        <f t="shared" ca="1" si="536"/>
        <v>0</v>
      </c>
      <c r="AO468" s="519">
        <f t="shared" ca="1" si="537"/>
        <v>0</v>
      </c>
      <c r="AP468" s="519">
        <f t="shared" ca="1" si="538"/>
        <v>0</v>
      </c>
      <c r="AQ468" s="519">
        <f t="shared" ca="1" si="539"/>
        <v>0</v>
      </c>
    </row>
    <row r="469" spans="1:43" x14ac:dyDescent="0.3">
      <c r="A469" s="556">
        <f t="shared" si="540"/>
        <v>2</v>
      </c>
      <c r="B469" s="519" t="str">
        <f t="shared" si="541"/>
        <v>WPR</v>
      </c>
      <c r="C469" s="519" t="str">
        <f t="shared" ref="C469:E469" si="583">C235</f>
        <v>Mainpower</v>
      </c>
      <c r="D469" s="519" t="str">
        <f t="shared" si="583"/>
        <v>WPR0331</v>
      </c>
      <c r="E469" s="519">
        <f t="shared" si="583"/>
        <v>12.6084</v>
      </c>
      <c r="H469" s="519">
        <f ca="1">_xlfn.IFNA(IF(VLOOKUP($B469&amp;OFFSET(H$10,$A469*2,0),'Mapping A'!$B$6:$E$1011,4,0)=1,$E469,""),0)</f>
        <v>0</v>
      </c>
      <c r="I469" s="519">
        <f ca="1">_xlfn.IFNA(IF(VLOOKUP($B469&amp;OFFSET(I$10,$A469*2,0),'Mapping A'!$B$6:$E$1011,4,0)=1,$E469,""),0)</f>
        <v>0</v>
      </c>
      <c r="J469" s="519">
        <f ca="1">_xlfn.IFNA(IF(VLOOKUP($B469&amp;OFFSET(J$10,$A469*2,0),'Mapping A'!$B$6:$E$1011,4,0)=1,$E469,""),0)</f>
        <v>12.6084</v>
      </c>
      <c r="K469" s="519">
        <f ca="1">_xlfn.IFNA(IF(VLOOKUP($B469&amp;OFFSET(K$10,$A469*2,0),'Mapping A'!$B$6:$E$1011,4,0)=1,$E469,""),0)</f>
        <v>0</v>
      </c>
      <c r="L469" s="519">
        <f ca="1">_xlfn.IFNA(IF(VLOOKUP($B469&amp;OFFSET(L$10,$A469*2,0),'Mapping A'!$B$6:$E$1011,4,0)=1,$E469,""),0)</f>
        <v>0</v>
      </c>
      <c r="M469" s="519">
        <f ca="1">_xlfn.IFNA(IF(VLOOKUP($B469&amp;OFFSET(M$10,$A469*2,0),'Mapping A'!$B$6:$E$1011,4,0)=1,$E469,""),0)</f>
        <v>0</v>
      </c>
      <c r="N469" s="519">
        <f ca="1">_xlfn.IFNA(IF(VLOOKUP($B469&amp;OFFSET(N$10,$A469*2,0),'Mapping A'!$B$6:$E$1011,4,0)=1,$E469,""),0)</f>
        <v>0</v>
      </c>
      <c r="O469" s="519">
        <f ca="1">_xlfn.IFNA(IF(VLOOKUP($B469&amp;OFFSET(O$10,$A469*2,0),'Mapping A'!$B$6:$E$1011,4,0)=1,$E469,""),0)</f>
        <v>0</v>
      </c>
      <c r="P469" s="519">
        <f ca="1">_xlfn.IFNA(IF(VLOOKUP($B469&amp;OFFSET(P$10,$A469*2,0),'Mapping A'!$B$6:$E$1011,4,0)=1,$E469,""),0)</f>
        <v>0</v>
      </c>
      <c r="Q469" s="519">
        <f ca="1">_xlfn.IFNA(IF(VLOOKUP($B469&amp;OFFSET(Q$10,$A469*2,0),'Mapping A'!$B$6:$E$1011,4,0)=1,$E469,""),0)</f>
        <v>0</v>
      </c>
      <c r="R469" s="519">
        <f ca="1">_xlfn.IFNA(IF(VLOOKUP($B469&amp;OFFSET(R$10,$A469*2,0),'Mapping A'!$B$6:$E$1011,4,0)=1,$E469,""),0)</f>
        <v>0</v>
      </c>
      <c r="S469" s="519">
        <f ca="1">_xlfn.IFNA(IF(VLOOKUP($B469&amp;OFFSET(S$10,$A469*2,0),'Mapping A'!$B$6:$E$1011,4,0)=1,$E469,""),0)</f>
        <v>0</v>
      </c>
      <c r="T469" s="519">
        <f ca="1">_xlfn.IFNA(IF(VLOOKUP($B469&amp;OFFSET(T$10,$A469*2,0),'Mapping A'!$B$6:$E$1011,4,0)=1,$E469,""),0)</f>
        <v>0</v>
      </c>
      <c r="Y469" s="534" t="str">
        <f t="shared" si="543"/>
        <v>WPR0331Mainpower</v>
      </c>
      <c r="Z469" s="519" t="str">
        <f t="shared" ref="Z469:AB469" si="584">C235</f>
        <v>Mainpower</v>
      </c>
      <c r="AA469" s="519" t="str">
        <f t="shared" si="584"/>
        <v>WPR0331</v>
      </c>
      <c r="AB469" s="519">
        <f t="shared" si="584"/>
        <v>12.6084</v>
      </c>
      <c r="AC469" s="324"/>
      <c r="AE469" s="519">
        <f t="shared" ca="1" si="527"/>
        <v>0</v>
      </c>
      <c r="AF469" s="519">
        <f t="shared" ca="1" si="528"/>
        <v>0</v>
      </c>
      <c r="AG469" s="519">
        <f t="shared" ca="1" si="529"/>
        <v>0</v>
      </c>
      <c r="AH469" s="519">
        <f t="shared" ca="1" si="530"/>
        <v>0</v>
      </c>
      <c r="AI469" s="519">
        <f t="shared" ca="1" si="531"/>
        <v>0</v>
      </c>
      <c r="AJ469" s="519">
        <f t="shared" ca="1" si="532"/>
        <v>0</v>
      </c>
      <c r="AK469" s="519">
        <f t="shared" ca="1" si="533"/>
        <v>0</v>
      </c>
      <c r="AL469" s="519">
        <f t="shared" ca="1" si="534"/>
        <v>0</v>
      </c>
      <c r="AM469" s="519">
        <f t="shared" ca="1" si="535"/>
        <v>0</v>
      </c>
      <c r="AN469" s="519">
        <f t="shared" ca="1" si="536"/>
        <v>0</v>
      </c>
      <c r="AO469" s="519">
        <f t="shared" ca="1" si="537"/>
        <v>0</v>
      </c>
      <c r="AP469" s="519">
        <f t="shared" ca="1" si="538"/>
        <v>0</v>
      </c>
      <c r="AQ469" s="519">
        <f t="shared" ca="1" si="539"/>
        <v>0</v>
      </c>
    </row>
    <row r="470" spans="1:43" x14ac:dyDescent="0.3">
      <c r="A470" s="556">
        <f t="shared" si="540"/>
        <v>2</v>
      </c>
      <c r="B470" s="519" t="str">
        <f t="shared" si="541"/>
        <v>WPR</v>
      </c>
      <c r="C470" s="519" t="str">
        <f t="shared" ref="C470:E470" si="585">C236</f>
        <v>Mainpower</v>
      </c>
      <c r="D470" s="519" t="str">
        <f t="shared" si="585"/>
        <v>WPR0661</v>
      </c>
      <c r="E470" s="519">
        <f t="shared" si="585"/>
        <v>10.428599999999999</v>
      </c>
      <c r="H470" s="519">
        <f ca="1">_xlfn.IFNA(IF(VLOOKUP($B470&amp;OFFSET(H$10,$A470*2,0),'Mapping A'!$B$6:$E$1011,4,0)=1,$E470,""),0)</f>
        <v>0</v>
      </c>
      <c r="I470" s="519">
        <f ca="1">_xlfn.IFNA(IF(VLOOKUP($B470&amp;OFFSET(I$10,$A470*2,0),'Mapping A'!$B$6:$E$1011,4,0)=1,$E470,""),0)</f>
        <v>0</v>
      </c>
      <c r="J470" s="519">
        <f ca="1">_xlfn.IFNA(IF(VLOOKUP($B470&amp;OFFSET(J$10,$A470*2,0),'Mapping A'!$B$6:$E$1011,4,0)=1,$E470,""),0)</f>
        <v>10.428599999999999</v>
      </c>
      <c r="K470" s="519">
        <f ca="1">_xlfn.IFNA(IF(VLOOKUP($B470&amp;OFFSET(K$10,$A470*2,0),'Mapping A'!$B$6:$E$1011,4,0)=1,$E470,""),0)</f>
        <v>0</v>
      </c>
      <c r="L470" s="519">
        <f ca="1">_xlfn.IFNA(IF(VLOOKUP($B470&amp;OFFSET(L$10,$A470*2,0),'Mapping A'!$B$6:$E$1011,4,0)=1,$E470,""),0)</f>
        <v>0</v>
      </c>
      <c r="M470" s="519">
        <f ca="1">_xlfn.IFNA(IF(VLOOKUP($B470&amp;OFFSET(M$10,$A470*2,0),'Mapping A'!$B$6:$E$1011,4,0)=1,$E470,""),0)</f>
        <v>0</v>
      </c>
      <c r="N470" s="519">
        <f ca="1">_xlfn.IFNA(IF(VLOOKUP($B470&amp;OFFSET(N$10,$A470*2,0),'Mapping A'!$B$6:$E$1011,4,0)=1,$E470,""),0)</f>
        <v>0</v>
      </c>
      <c r="O470" s="519">
        <f ca="1">_xlfn.IFNA(IF(VLOOKUP($B470&amp;OFFSET(O$10,$A470*2,0),'Mapping A'!$B$6:$E$1011,4,0)=1,$E470,""),0)</f>
        <v>0</v>
      </c>
      <c r="P470" s="519">
        <f ca="1">_xlfn.IFNA(IF(VLOOKUP($B470&amp;OFFSET(P$10,$A470*2,0),'Mapping A'!$B$6:$E$1011,4,0)=1,$E470,""),0)</f>
        <v>0</v>
      </c>
      <c r="Q470" s="519">
        <f ca="1">_xlfn.IFNA(IF(VLOOKUP($B470&amp;OFFSET(Q$10,$A470*2,0),'Mapping A'!$B$6:$E$1011,4,0)=1,$E470,""),0)</f>
        <v>0</v>
      </c>
      <c r="R470" s="519">
        <f ca="1">_xlfn.IFNA(IF(VLOOKUP($B470&amp;OFFSET(R$10,$A470*2,0),'Mapping A'!$B$6:$E$1011,4,0)=1,$E470,""),0)</f>
        <v>0</v>
      </c>
      <c r="S470" s="519">
        <f ca="1">_xlfn.IFNA(IF(VLOOKUP($B470&amp;OFFSET(S$10,$A470*2,0),'Mapping A'!$B$6:$E$1011,4,0)=1,$E470,""),0)</f>
        <v>0</v>
      </c>
      <c r="T470" s="519">
        <f ca="1">_xlfn.IFNA(IF(VLOOKUP($B470&amp;OFFSET(T$10,$A470*2,0),'Mapping A'!$B$6:$E$1011,4,0)=1,$E470,""),0)</f>
        <v>0</v>
      </c>
      <c r="Y470" s="534" t="str">
        <f t="shared" si="543"/>
        <v>WPR0661Mainpower</v>
      </c>
      <c r="Z470" s="519" t="str">
        <f t="shared" ref="Z470:AB470" si="586">C236</f>
        <v>Mainpower</v>
      </c>
      <c r="AA470" s="519" t="str">
        <f t="shared" si="586"/>
        <v>WPR0661</v>
      </c>
      <c r="AB470" s="519">
        <f t="shared" si="586"/>
        <v>10.428599999999999</v>
      </c>
      <c r="AC470" s="324"/>
      <c r="AE470" s="519">
        <f t="shared" ca="1" si="527"/>
        <v>0</v>
      </c>
      <c r="AF470" s="519">
        <f t="shared" ca="1" si="528"/>
        <v>0</v>
      </c>
      <c r="AG470" s="519">
        <f t="shared" ca="1" si="529"/>
        <v>0</v>
      </c>
      <c r="AH470" s="519">
        <f t="shared" ca="1" si="530"/>
        <v>0</v>
      </c>
      <c r="AI470" s="519">
        <f t="shared" ca="1" si="531"/>
        <v>0</v>
      </c>
      <c r="AJ470" s="519">
        <f t="shared" ca="1" si="532"/>
        <v>0</v>
      </c>
      <c r="AK470" s="519">
        <f t="shared" ca="1" si="533"/>
        <v>0</v>
      </c>
      <c r="AL470" s="519">
        <f t="shared" ca="1" si="534"/>
        <v>0</v>
      </c>
      <c r="AM470" s="519">
        <f t="shared" ca="1" si="535"/>
        <v>0</v>
      </c>
      <c r="AN470" s="519">
        <f t="shared" ca="1" si="536"/>
        <v>0</v>
      </c>
      <c r="AO470" s="519">
        <f t="shared" ca="1" si="537"/>
        <v>0</v>
      </c>
      <c r="AP470" s="519">
        <f t="shared" ca="1" si="538"/>
        <v>0</v>
      </c>
      <c r="AQ470" s="519">
        <f t="shared" ca="1" si="539"/>
        <v>0</v>
      </c>
    </row>
    <row r="471" spans="1:43" x14ac:dyDescent="0.3">
      <c r="A471" s="556">
        <f t="shared" si="540"/>
        <v>2</v>
      </c>
      <c r="B471" s="519" t="str">
        <f t="shared" si="541"/>
        <v>WPT</v>
      </c>
      <c r="C471" s="519" t="str">
        <f t="shared" ref="C471:E471" si="587">C237</f>
        <v>Buller Electricity</v>
      </c>
      <c r="D471" s="519" t="str">
        <f t="shared" si="587"/>
        <v>WPT0111</v>
      </c>
      <c r="E471" s="519">
        <f t="shared" si="587"/>
        <v>1.88706</v>
      </c>
      <c r="H471" s="519">
        <f ca="1">_xlfn.IFNA(IF(VLOOKUP($B471&amp;OFFSET(H$10,$A471*2,0),'Mapping A'!$B$6:$E$1011,4,0)=1,$E471,""),0)</f>
        <v>0</v>
      </c>
      <c r="I471" s="519">
        <f ca="1">_xlfn.IFNA(IF(VLOOKUP($B471&amp;OFFSET(I$10,$A471*2,0),'Mapping A'!$B$6:$E$1011,4,0)=1,$E471,""),0)</f>
        <v>0</v>
      </c>
      <c r="J471" s="519">
        <f ca="1">_xlfn.IFNA(IF(VLOOKUP($B471&amp;OFFSET(J$10,$A471*2,0),'Mapping A'!$B$6:$E$1011,4,0)=1,$E471,""),0)</f>
        <v>1.88706</v>
      </c>
      <c r="K471" s="519">
        <f ca="1">_xlfn.IFNA(IF(VLOOKUP($B471&amp;OFFSET(K$10,$A471*2,0),'Mapping A'!$B$6:$E$1011,4,0)=1,$E471,""),0)</f>
        <v>0</v>
      </c>
      <c r="L471" s="519">
        <f ca="1">_xlfn.IFNA(IF(VLOOKUP($B471&amp;OFFSET(L$10,$A471*2,0),'Mapping A'!$B$6:$E$1011,4,0)=1,$E471,""),0)</f>
        <v>0</v>
      </c>
      <c r="M471" s="519">
        <f ca="1">_xlfn.IFNA(IF(VLOOKUP($B471&amp;OFFSET(M$10,$A471*2,0),'Mapping A'!$B$6:$E$1011,4,0)=1,$E471,""),0)</f>
        <v>0</v>
      </c>
      <c r="N471" s="519">
        <f ca="1">_xlfn.IFNA(IF(VLOOKUP($B471&amp;OFFSET(N$10,$A471*2,0),'Mapping A'!$B$6:$E$1011,4,0)=1,$E471,""),0)</f>
        <v>0</v>
      </c>
      <c r="O471" s="519">
        <f ca="1">_xlfn.IFNA(IF(VLOOKUP($B471&amp;OFFSET(O$10,$A471*2,0),'Mapping A'!$B$6:$E$1011,4,0)=1,$E471,""),0)</f>
        <v>0</v>
      </c>
      <c r="P471" s="519">
        <f ca="1">_xlfn.IFNA(IF(VLOOKUP($B471&amp;OFFSET(P$10,$A471*2,0),'Mapping A'!$B$6:$E$1011,4,0)=1,$E471,""),0)</f>
        <v>0</v>
      </c>
      <c r="Q471" s="519">
        <f ca="1">_xlfn.IFNA(IF(VLOOKUP($B471&amp;OFFSET(Q$10,$A471*2,0),'Mapping A'!$B$6:$E$1011,4,0)=1,$E471,""),0)</f>
        <v>0</v>
      </c>
      <c r="R471" s="519">
        <f ca="1">_xlfn.IFNA(IF(VLOOKUP($B471&amp;OFFSET(R$10,$A471*2,0),'Mapping A'!$B$6:$E$1011,4,0)=1,$E471,""),0)</f>
        <v>0</v>
      </c>
      <c r="S471" s="519">
        <f ca="1">_xlfn.IFNA(IF(VLOOKUP($B471&amp;OFFSET(S$10,$A471*2,0),'Mapping A'!$B$6:$E$1011,4,0)=1,$E471,""),0)</f>
        <v>0</v>
      </c>
      <c r="T471" s="519">
        <f ca="1">_xlfn.IFNA(IF(VLOOKUP($B471&amp;OFFSET(T$10,$A471*2,0),'Mapping A'!$B$6:$E$1011,4,0)=1,$E471,""),0)</f>
        <v>0</v>
      </c>
      <c r="Y471" s="534" t="str">
        <f t="shared" si="543"/>
        <v>WPT0111Buller Electricity</v>
      </c>
      <c r="Z471" s="519" t="str">
        <f t="shared" ref="Z471:AB471" si="588">C237</f>
        <v>Buller Electricity</v>
      </c>
      <c r="AA471" s="519" t="str">
        <f t="shared" si="588"/>
        <v>WPT0111</v>
      </c>
      <c r="AB471" s="519">
        <f t="shared" si="588"/>
        <v>1.88706</v>
      </c>
      <c r="AC471" s="324"/>
      <c r="AE471" s="519">
        <f t="shared" ca="1" si="527"/>
        <v>0</v>
      </c>
      <c r="AF471" s="519">
        <f t="shared" ca="1" si="528"/>
        <v>0</v>
      </c>
      <c r="AG471" s="519">
        <f t="shared" ca="1" si="529"/>
        <v>0</v>
      </c>
      <c r="AH471" s="519">
        <f t="shared" ca="1" si="530"/>
        <v>0</v>
      </c>
      <c r="AI471" s="519">
        <f t="shared" ca="1" si="531"/>
        <v>0</v>
      </c>
      <c r="AJ471" s="519">
        <f t="shared" ca="1" si="532"/>
        <v>0</v>
      </c>
      <c r="AK471" s="519">
        <f t="shared" ca="1" si="533"/>
        <v>0</v>
      </c>
      <c r="AL471" s="519">
        <f t="shared" ca="1" si="534"/>
        <v>0</v>
      </c>
      <c r="AM471" s="519">
        <f t="shared" ca="1" si="535"/>
        <v>0</v>
      </c>
      <c r="AN471" s="519">
        <f t="shared" ca="1" si="536"/>
        <v>0</v>
      </c>
      <c r="AO471" s="519">
        <f t="shared" ca="1" si="537"/>
        <v>0</v>
      </c>
      <c r="AP471" s="519">
        <f t="shared" ca="1" si="538"/>
        <v>0</v>
      </c>
      <c r="AQ471" s="519">
        <f t="shared" ca="1" si="539"/>
        <v>0</v>
      </c>
    </row>
    <row r="472" spans="1:43" x14ac:dyDescent="0.3">
      <c r="A472" s="556">
        <f t="shared" si="540"/>
        <v>2</v>
      </c>
      <c r="B472" s="519" t="str">
        <f t="shared" si="541"/>
        <v>WPW</v>
      </c>
      <c r="C472" s="519" t="str">
        <f t="shared" ref="C472:E472" si="589">C238</f>
        <v>Centralines</v>
      </c>
      <c r="D472" s="519" t="str">
        <f t="shared" si="589"/>
        <v>WPW0331</v>
      </c>
      <c r="E472" s="519">
        <f t="shared" si="589"/>
        <v>20.4267</v>
      </c>
      <c r="H472" s="519">
        <f ca="1">_xlfn.IFNA(IF(VLOOKUP($B472&amp;OFFSET(H$10,$A472*2,0),'Mapping A'!$B$6:$E$1011,4,0)=1,$E472,""),0)</f>
        <v>0</v>
      </c>
      <c r="I472" s="519">
        <f ca="1">_xlfn.IFNA(IF(VLOOKUP($B472&amp;OFFSET(I$10,$A472*2,0),'Mapping A'!$B$6:$E$1011,4,0)=1,$E472,""),0)</f>
        <v>0</v>
      </c>
      <c r="J472" s="519">
        <f ca="1">_xlfn.IFNA(IF(VLOOKUP($B472&amp;OFFSET(J$10,$A472*2,0),'Mapping A'!$B$6:$E$1011,4,0)=1,$E472,""),0)</f>
        <v>0</v>
      </c>
      <c r="K472" s="519">
        <f ca="1">_xlfn.IFNA(IF(VLOOKUP($B472&amp;OFFSET(K$10,$A472*2,0),'Mapping A'!$B$6:$E$1011,4,0)=1,$E472,""),0)</f>
        <v>0</v>
      </c>
      <c r="L472" s="519">
        <f ca="1">_xlfn.IFNA(IF(VLOOKUP($B472&amp;OFFSET(L$10,$A472*2,0),'Mapping A'!$B$6:$E$1011,4,0)=1,$E472,""),0)</f>
        <v>0</v>
      </c>
      <c r="M472" s="519">
        <f ca="1">_xlfn.IFNA(IF(VLOOKUP($B472&amp;OFFSET(M$10,$A472*2,0),'Mapping A'!$B$6:$E$1011,4,0)=1,$E472,""),0)</f>
        <v>0</v>
      </c>
      <c r="N472" s="519">
        <f ca="1">_xlfn.IFNA(IF(VLOOKUP($B472&amp;OFFSET(N$10,$A472*2,0),'Mapping A'!$B$6:$E$1011,4,0)=1,$E472,""),0)</f>
        <v>0</v>
      </c>
      <c r="O472" s="519">
        <f ca="1">_xlfn.IFNA(IF(VLOOKUP($B472&amp;OFFSET(O$10,$A472*2,0),'Mapping A'!$B$6:$E$1011,4,0)=1,$E472,""),0)</f>
        <v>0</v>
      </c>
      <c r="P472" s="519">
        <f ca="1">_xlfn.IFNA(IF(VLOOKUP($B472&amp;OFFSET(P$10,$A472*2,0),'Mapping A'!$B$6:$E$1011,4,0)=1,$E472,""),0)</f>
        <v>0</v>
      </c>
      <c r="Q472" s="519">
        <f ca="1">_xlfn.IFNA(IF(VLOOKUP($B472&amp;OFFSET(Q$10,$A472*2,0),'Mapping A'!$B$6:$E$1011,4,0)=1,$E472,""),0)</f>
        <v>0</v>
      </c>
      <c r="R472" s="519">
        <f ca="1">_xlfn.IFNA(IF(VLOOKUP($B472&amp;OFFSET(R$10,$A472*2,0),'Mapping A'!$B$6:$E$1011,4,0)=1,$E472,""),0)</f>
        <v>0</v>
      </c>
      <c r="S472" s="519">
        <f ca="1">_xlfn.IFNA(IF(VLOOKUP($B472&amp;OFFSET(S$10,$A472*2,0),'Mapping A'!$B$6:$E$1011,4,0)=1,$E472,""),0)</f>
        <v>0</v>
      </c>
      <c r="T472" s="519">
        <f ca="1">_xlfn.IFNA(IF(VLOOKUP($B472&amp;OFFSET(T$10,$A472*2,0),'Mapping A'!$B$6:$E$1011,4,0)=1,$E472,""),0)</f>
        <v>0</v>
      </c>
      <c r="Y472" s="534" t="str">
        <f t="shared" si="543"/>
        <v>WPW0331Centralines</v>
      </c>
      <c r="Z472" s="519" t="str">
        <f t="shared" ref="Z472:AB472" si="590">C238</f>
        <v>Centralines</v>
      </c>
      <c r="AA472" s="519" t="str">
        <f t="shared" si="590"/>
        <v>WPW0331</v>
      </c>
      <c r="AB472" s="519">
        <f t="shared" si="590"/>
        <v>20.4267</v>
      </c>
      <c r="AC472" s="324"/>
      <c r="AE472" s="519">
        <f t="shared" ca="1" si="527"/>
        <v>0</v>
      </c>
      <c r="AF472" s="519">
        <f t="shared" ca="1" si="528"/>
        <v>0</v>
      </c>
      <c r="AG472" s="519">
        <f t="shared" ca="1" si="529"/>
        <v>0</v>
      </c>
      <c r="AH472" s="519">
        <f t="shared" ca="1" si="530"/>
        <v>0</v>
      </c>
      <c r="AI472" s="519">
        <f t="shared" ca="1" si="531"/>
        <v>0</v>
      </c>
      <c r="AJ472" s="519">
        <f t="shared" ca="1" si="532"/>
        <v>0</v>
      </c>
      <c r="AK472" s="519">
        <f t="shared" ca="1" si="533"/>
        <v>0</v>
      </c>
      <c r="AL472" s="519">
        <f t="shared" ca="1" si="534"/>
        <v>0</v>
      </c>
      <c r="AM472" s="519">
        <f t="shared" ca="1" si="535"/>
        <v>0</v>
      </c>
      <c r="AN472" s="519">
        <f t="shared" ca="1" si="536"/>
        <v>0</v>
      </c>
      <c r="AO472" s="519">
        <f t="shared" ca="1" si="537"/>
        <v>0</v>
      </c>
      <c r="AP472" s="519">
        <f t="shared" ca="1" si="538"/>
        <v>0</v>
      </c>
      <c r="AQ472" s="519">
        <f t="shared" ca="1" si="539"/>
        <v>0</v>
      </c>
    </row>
    <row r="473" spans="1:43" x14ac:dyDescent="0.3">
      <c r="A473" s="556">
        <f t="shared" si="540"/>
        <v>2</v>
      </c>
      <c r="B473" s="519" t="str">
        <f t="shared" si="541"/>
        <v>WRD</v>
      </c>
      <c r="C473" s="519" t="str">
        <f t="shared" ref="C473:E473" si="591">C239</f>
        <v>Vector</v>
      </c>
      <c r="D473" s="519" t="str">
        <f t="shared" si="591"/>
        <v>WRD0331</v>
      </c>
      <c r="E473" s="519">
        <f t="shared" si="591"/>
        <v>70.297499999999999</v>
      </c>
      <c r="H473" s="519">
        <f ca="1">_xlfn.IFNA(IF(VLOOKUP($B473&amp;OFFSET(H$10,$A473*2,0),'Mapping A'!$B$6:$E$1011,4,0)=1,$E473,""),0)</f>
        <v>0</v>
      </c>
      <c r="I473" s="519">
        <f ca="1">_xlfn.IFNA(IF(VLOOKUP($B473&amp;OFFSET(I$10,$A473*2,0),'Mapping A'!$B$6:$E$1011,4,0)=1,$E473,""),0)</f>
        <v>0</v>
      </c>
      <c r="J473" s="519">
        <f ca="1">_xlfn.IFNA(IF(VLOOKUP($B473&amp;OFFSET(J$10,$A473*2,0),'Mapping A'!$B$6:$E$1011,4,0)=1,$E473,""),0)</f>
        <v>0</v>
      </c>
      <c r="K473" s="519">
        <f ca="1">_xlfn.IFNA(IF(VLOOKUP($B473&amp;OFFSET(K$10,$A473*2,0),'Mapping A'!$B$6:$E$1011,4,0)=1,$E473,""),0)</f>
        <v>0</v>
      </c>
      <c r="L473" s="519">
        <f ca="1">_xlfn.IFNA(IF(VLOOKUP($B473&amp;OFFSET(L$10,$A473*2,0),'Mapping A'!$B$6:$E$1011,4,0)=1,$E473,""),0)</f>
        <v>0</v>
      </c>
      <c r="M473" s="519">
        <f ca="1">_xlfn.IFNA(IF(VLOOKUP($B473&amp;OFFSET(M$10,$A473*2,0),'Mapping A'!$B$6:$E$1011,4,0)=1,$E473,""),0)</f>
        <v>0</v>
      </c>
      <c r="N473" s="519">
        <f ca="1">_xlfn.IFNA(IF(VLOOKUP($B473&amp;OFFSET(N$10,$A473*2,0),'Mapping A'!$B$6:$E$1011,4,0)=1,$E473,""),0)</f>
        <v>0</v>
      </c>
      <c r="O473" s="519">
        <f ca="1">_xlfn.IFNA(IF(VLOOKUP($B473&amp;OFFSET(O$10,$A473*2,0),'Mapping A'!$B$6:$E$1011,4,0)=1,$E473,""),0)</f>
        <v>0</v>
      </c>
      <c r="P473" s="519">
        <f ca="1">_xlfn.IFNA(IF(VLOOKUP($B473&amp;OFFSET(P$10,$A473*2,0),'Mapping A'!$B$6:$E$1011,4,0)=1,$E473,""),0)</f>
        <v>0</v>
      </c>
      <c r="Q473" s="519">
        <f ca="1">_xlfn.IFNA(IF(VLOOKUP($B473&amp;OFFSET(Q$10,$A473*2,0),'Mapping A'!$B$6:$E$1011,4,0)=1,$E473,""),0)</f>
        <v>0</v>
      </c>
      <c r="R473" s="519">
        <f ca="1">_xlfn.IFNA(IF(VLOOKUP($B473&amp;OFFSET(R$10,$A473*2,0),'Mapping A'!$B$6:$E$1011,4,0)=1,$E473,""),0)</f>
        <v>0</v>
      </c>
      <c r="S473" s="519">
        <f ca="1">_xlfn.IFNA(IF(VLOOKUP($B473&amp;OFFSET(S$10,$A473*2,0),'Mapping A'!$B$6:$E$1011,4,0)=1,$E473,""),0)</f>
        <v>0</v>
      </c>
      <c r="T473" s="519">
        <f ca="1">_xlfn.IFNA(IF(VLOOKUP($B473&amp;OFFSET(T$10,$A473*2,0),'Mapping A'!$B$6:$E$1011,4,0)=1,$E473,""),0)</f>
        <v>0</v>
      </c>
      <c r="Y473" s="534" t="str">
        <f t="shared" si="543"/>
        <v>WRD0331Vector</v>
      </c>
      <c r="Z473" s="519" t="str">
        <f t="shared" ref="Z473:AB473" si="592">C239</f>
        <v>Vector</v>
      </c>
      <c r="AA473" s="519" t="str">
        <f t="shared" si="592"/>
        <v>WRD0331</v>
      </c>
      <c r="AB473" s="519">
        <f t="shared" si="592"/>
        <v>70.297499999999999</v>
      </c>
      <c r="AC473" s="324"/>
      <c r="AE473" s="519">
        <f t="shared" ca="1" si="527"/>
        <v>0</v>
      </c>
      <c r="AF473" s="519">
        <f t="shared" ca="1" si="528"/>
        <v>0</v>
      </c>
      <c r="AG473" s="519">
        <f t="shared" ca="1" si="529"/>
        <v>0</v>
      </c>
      <c r="AH473" s="519">
        <f t="shared" ca="1" si="530"/>
        <v>0</v>
      </c>
      <c r="AI473" s="519">
        <f t="shared" ca="1" si="531"/>
        <v>0</v>
      </c>
      <c r="AJ473" s="519">
        <f t="shared" ca="1" si="532"/>
        <v>0</v>
      </c>
      <c r="AK473" s="519">
        <f t="shared" ca="1" si="533"/>
        <v>0</v>
      </c>
      <c r="AL473" s="519">
        <f t="shared" ca="1" si="534"/>
        <v>0</v>
      </c>
      <c r="AM473" s="519">
        <f t="shared" ca="1" si="535"/>
        <v>0</v>
      </c>
      <c r="AN473" s="519">
        <f t="shared" ca="1" si="536"/>
        <v>0</v>
      </c>
      <c r="AO473" s="519">
        <f t="shared" ca="1" si="537"/>
        <v>0</v>
      </c>
      <c r="AP473" s="519">
        <f t="shared" ca="1" si="538"/>
        <v>0</v>
      </c>
      <c r="AQ473" s="519">
        <f t="shared" ca="1" si="539"/>
        <v>0</v>
      </c>
    </row>
    <row r="474" spans="1:43" x14ac:dyDescent="0.3">
      <c r="A474" s="556">
        <f t="shared" si="540"/>
        <v>2</v>
      </c>
      <c r="B474" s="519" t="str">
        <f t="shared" si="541"/>
        <v>WRK</v>
      </c>
      <c r="C474" s="519" t="str">
        <f t="shared" ref="C474:E474" si="593">C240</f>
        <v>Unison</v>
      </c>
      <c r="D474" s="519" t="str">
        <f t="shared" si="593"/>
        <v>WRK0331</v>
      </c>
      <c r="E474" s="519">
        <f t="shared" si="593"/>
        <v>46.183199999999999</v>
      </c>
      <c r="H474" s="519">
        <f ca="1">_xlfn.IFNA(IF(VLOOKUP($B474&amp;OFFSET(H$10,$A474*2,0),'Mapping A'!$B$6:$E$1011,4,0)=1,$E474,""),0)</f>
        <v>0</v>
      </c>
      <c r="I474" s="519">
        <f ca="1">_xlfn.IFNA(IF(VLOOKUP($B474&amp;OFFSET(I$10,$A474*2,0),'Mapping A'!$B$6:$E$1011,4,0)=1,$E474,""),0)</f>
        <v>0</v>
      </c>
      <c r="J474" s="519">
        <f ca="1">_xlfn.IFNA(IF(VLOOKUP($B474&amp;OFFSET(J$10,$A474*2,0),'Mapping A'!$B$6:$E$1011,4,0)=1,$E474,""),0)</f>
        <v>0</v>
      </c>
      <c r="K474" s="519">
        <f ca="1">_xlfn.IFNA(IF(VLOOKUP($B474&amp;OFFSET(K$10,$A474*2,0),'Mapping A'!$B$6:$E$1011,4,0)=1,$E474,""),0)</f>
        <v>0</v>
      </c>
      <c r="L474" s="519">
        <f ca="1">_xlfn.IFNA(IF(VLOOKUP($B474&amp;OFFSET(L$10,$A474*2,0),'Mapping A'!$B$6:$E$1011,4,0)=1,$E474,""),0)</f>
        <v>0</v>
      </c>
      <c r="M474" s="519">
        <f ca="1">_xlfn.IFNA(IF(VLOOKUP($B474&amp;OFFSET(M$10,$A474*2,0),'Mapping A'!$B$6:$E$1011,4,0)=1,$E474,""),0)</f>
        <v>0</v>
      </c>
      <c r="N474" s="519">
        <f ca="1">_xlfn.IFNA(IF(VLOOKUP($B474&amp;OFFSET(N$10,$A474*2,0),'Mapping A'!$B$6:$E$1011,4,0)=1,$E474,""),0)</f>
        <v>0</v>
      </c>
      <c r="O474" s="519">
        <f ca="1">_xlfn.IFNA(IF(VLOOKUP($B474&amp;OFFSET(O$10,$A474*2,0),'Mapping A'!$B$6:$E$1011,4,0)=1,$E474,""),0)</f>
        <v>0</v>
      </c>
      <c r="P474" s="519">
        <f ca="1">_xlfn.IFNA(IF(VLOOKUP($B474&amp;OFFSET(P$10,$A474*2,0),'Mapping A'!$B$6:$E$1011,4,0)=1,$E474,""),0)</f>
        <v>0</v>
      </c>
      <c r="Q474" s="519">
        <f ca="1">_xlfn.IFNA(IF(VLOOKUP($B474&amp;OFFSET(Q$10,$A474*2,0),'Mapping A'!$B$6:$E$1011,4,0)=1,$E474,""),0)</f>
        <v>0</v>
      </c>
      <c r="R474" s="519">
        <f ca="1">_xlfn.IFNA(IF(VLOOKUP($B474&amp;OFFSET(R$10,$A474*2,0),'Mapping A'!$B$6:$E$1011,4,0)=1,$E474,""),0)</f>
        <v>0</v>
      </c>
      <c r="S474" s="519">
        <f ca="1">_xlfn.IFNA(IF(VLOOKUP($B474&amp;OFFSET(S$10,$A474*2,0),'Mapping A'!$B$6:$E$1011,4,0)=1,$E474,""),0)</f>
        <v>0</v>
      </c>
      <c r="T474" s="519">
        <f ca="1">_xlfn.IFNA(IF(VLOOKUP($B474&amp;OFFSET(T$10,$A474*2,0),'Mapping A'!$B$6:$E$1011,4,0)=1,$E474,""),0)</f>
        <v>0</v>
      </c>
      <c r="Y474" s="534" t="str">
        <f t="shared" si="543"/>
        <v>WRK0331Unison</v>
      </c>
      <c r="Z474" s="519" t="str">
        <f t="shared" ref="Z474:AB474" si="594">C240</f>
        <v>Unison</v>
      </c>
      <c r="AA474" s="519" t="str">
        <f t="shared" si="594"/>
        <v>WRK0331</v>
      </c>
      <c r="AB474" s="519">
        <f t="shared" si="594"/>
        <v>46.183199999999999</v>
      </c>
      <c r="AC474" s="324"/>
      <c r="AE474" s="519">
        <f t="shared" ca="1" si="527"/>
        <v>0</v>
      </c>
      <c r="AF474" s="519">
        <f t="shared" ca="1" si="528"/>
        <v>0</v>
      </c>
      <c r="AG474" s="519">
        <f t="shared" ca="1" si="529"/>
        <v>0</v>
      </c>
      <c r="AH474" s="519">
        <f t="shared" ca="1" si="530"/>
        <v>0</v>
      </c>
      <c r="AI474" s="519">
        <f t="shared" ca="1" si="531"/>
        <v>0</v>
      </c>
      <c r="AJ474" s="519">
        <f t="shared" ca="1" si="532"/>
        <v>0</v>
      </c>
      <c r="AK474" s="519">
        <f t="shared" ca="1" si="533"/>
        <v>0</v>
      </c>
      <c r="AL474" s="519">
        <f t="shared" ca="1" si="534"/>
        <v>0</v>
      </c>
      <c r="AM474" s="519">
        <f t="shared" ca="1" si="535"/>
        <v>0</v>
      </c>
      <c r="AN474" s="519">
        <f t="shared" ca="1" si="536"/>
        <v>0</v>
      </c>
      <c r="AO474" s="519">
        <f t="shared" ca="1" si="537"/>
        <v>0</v>
      </c>
      <c r="AP474" s="519">
        <f t="shared" ca="1" si="538"/>
        <v>0</v>
      </c>
      <c r="AQ474" s="519">
        <f t="shared" ca="1" si="539"/>
        <v>0</v>
      </c>
    </row>
    <row r="475" spans="1:43" x14ac:dyDescent="0.3">
      <c r="A475" s="556">
        <f t="shared" si="540"/>
        <v>2</v>
      </c>
      <c r="B475" s="519" t="str">
        <f t="shared" si="541"/>
        <v>WRK</v>
      </c>
      <c r="C475" s="519" t="str">
        <f t="shared" ref="C475:E475" si="595">C241</f>
        <v>Contact</v>
      </c>
      <c r="D475" s="519" t="str">
        <f t="shared" si="595"/>
        <v>WRK2201</v>
      </c>
      <c r="E475" s="519">
        <f t="shared" si="595"/>
        <v>2.226</v>
      </c>
      <c r="H475" s="519">
        <f ca="1">_xlfn.IFNA(IF(VLOOKUP($B475&amp;OFFSET(H$10,$A475*2,0),'Mapping A'!$B$6:$E$1011,4,0)=1,$E475,""),0)</f>
        <v>0</v>
      </c>
      <c r="I475" s="519">
        <f ca="1">_xlfn.IFNA(IF(VLOOKUP($B475&amp;OFFSET(I$10,$A475*2,0),'Mapping A'!$B$6:$E$1011,4,0)=1,$E475,""),0)</f>
        <v>0</v>
      </c>
      <c r="J475" s="519">
        <f ca="1">_xlfn.IFNA(IF(VLOOKUP($B475&amp;OFFSET(J$10,$A475*2,0),'Mapping A'!$B$6:$E$1011,4,0)=1,$E475,""),0)</f>
        <v>0</v>
      </c>
      <c r="K475" s="519">
        <f ca="1">_xlfn.IFNA(IF(VLOOKUP($B475&amp;OFFSET(K$10,$A475*2,0),'Mapping A'!$B$6:$E$1011,4,0)=1,$E475,""),0)</f>
        <v>0</v>
      </c>
      <c r="L475" s="519">
        <f ca="1">_xlfn.IFNA(IF(VLOOKUP($B475&amp;OFFSET(L$10,$A475*2,0),'Mapping A'!$B$6:$E$1011,4,0)=1,$E475,""),0)</f>
        <v>0</v>
      </c>
      <c r="M475" s="519">
        <f ca="1">_xlfn.IFNA(IF(VLOOKUP($B475&amp;OFFSET(M$10,$A475*2,0),'Mapping A'!$B$6:$E$1011,4,0)=1,$E475,""),0)</f>
        <v>0</v>
      </c>
      <c r="N475" s="519">
        <f ca="1">_xlfn.IFNA(IF(VLOOKUP($B475&amp;OFFSET(N$10,$A475*2,0),'Mapping A'!$B$6:$E$1011,4,0)=1,$E475,""),0)</f>
        <v>0</v>
      </c>
      <c r="O475" s="519">
        <f ca="1">_xlfn.IFNA(IF(VLOOKUP($B475&amp;OFFSET(O$10,$A475*2,0),'Mapping A'!$B$6:$E$1011,4,0)=1,$E475,""),0)</f>
        <v>0</v>
      </c>
      <c r="P475" s="519">
        <f ca="1">_xlfn.IFNA(IF(VLOOKUP($B475&amp;OFFSET(P$10,$A475*2,0),'Mapping A'!$B$6:$E$1011,4,0)=1,$E475,""),0)</f>
        <v>0</v>
      </c>
      <c r="Q475" s="519">
        <f ca="1">_xlfn.IFNA(IF(VLOOKUP($B475&amp;OFFSET(Q$10,$A475*2,0),'Mapping A'!$B$6:$E$1011,4,0)=1,$E475,""),0)</f>
        <v>0</v>
      </c>
      <c r="R475" s="519">
        <f ca="1">_xlfn.IFNA(IF(VLOOKUP($B475&amp;OFFSET(R$10,$A475*2,0),'Mapping A'!$B$6:$E$1011,4,0)=1,$E475,""),0)</f>
        <v>0</v>
      </c>
      <c r="S475" s="519">
        <f ca="1">_xlfn.IFNA(IF(VLOOKUP($B475&amp;OFFSET(S$10,$A475*2,0),'Mapping A'!$B$6:$E$1011,4,0)=1,$E475,""),0)</f>
        <v>0</v>
      </c>
      <c r="T475" s="519">
        <f ca="1">_xlfn.IFNA(IF(VLOOKUP($B475&amp;OFFSET(T$10,$A475*2,0),'Mapping A'!$B$6:$E$1011,4,0)=1,$E475,""),0)</f>
        <v>0</v>
      </c>
      <c r="Y475" s="534" t="str">
        <f t="shared" si="543"/>
        <v>WRK2201Contact</v>
      </c>
      <c r="Z475" s="519" t="str">
        <f t="shared" ref="Z475:AB475" si="596">C241</f>
        <v>Contact</v>
      </c>
      <c r="AA475" s="519" t="str">
        <f t="shared" si="596"/>
        <v>WRK2201</v>
      </c>
      <c r="AB475" s="519">
        <f t="shared" si="596"/>
        <v>2.226</v>
      </c>
      <c r="AC475" s="324"/>
      <c r="AE475" s="519">
        <f t="shared" ca="1" si="527"/>
        <v>0</v>
      </c>
      <c r="AF475" s="519">
        <f t="shared" ca="1" si="528"/>
        <v>0</v>
      </c>
      <c r="AG475" s="519">
        <f t="shared" ca="1" si="529"/>
        <v>0</v>
      </c>
      <c r="AH475" s="519">
        <f t="shared" ca="1" si="530"/>
        <v>0</v>
      </c>
      <c r="AI475" s="519">
        <f t="shared" ca="1" si="531"/>
        <v>0</v>
      </c>
      <c r="AJ475" s="519">
        <f t="shared" ca="1" si="532"/>
        <v>0</v>
      </c>
      <c r="AK475" s="519">
        <f t="shared" ca="1" si="533"/>
        <v>0</v>
      </c>
      <c r="AL475" s="519">
        <f t="shared" ca="1" si="534"/>
        <v>0</v>
      </c>
      <c r="AM475" s="519">
        <f t="shared" ca="1" si="535"/>
        <v>0</v>
      </c>
      <c r="AN475" s="519">
        <f t="shared" ca="1" si="536"/>
        <v>0</v>
      </c>
      <c r="AO475" s="519">
        <f t="shared" ca="1" si="537"/>
        <v>0</v>
      </c>
      <c r="AP475" s="519">
        <f t="shared" ca="1" si="538"/>
        <v>0</v>
      </c>
      <c r="AQ475" s="519">
        <f t="shared" ca="1" si="539"/>
        <v>0</v>
      </c>
    </row>
    <row r="476" spans="1:43" x14ac:dyDescent="0.3">
      <c r="A476" s="556">
        <f t="shared" si="540"/>
        <v>2</v>
      </c>
      <c r="B476" s="519" t="str">
        <f t="shared" si="541"/>
        <v>WTK</v>
      </c>
      <c r="C476" s="519" t="str">
        <f t="shared" ref="C476:E476" si="597">C242</f>
        <v>Network Waitaki</v>
      </c>
      <c r="D476" s="519" t="str">
        <f t="shared" si="597"/>
        <v>WTK0111</v>
      </c>
      <c r="E476" s="519">
        <f t="shared" si="597"/>
        <v>4.3596000000000004</v>
      </c>
      <c r="H476" s="519">
        <f ca="1">_xlfn.IFNA(IF(VLOOKUP($B476&amp;OFFSET(H$10,$A476*2,0),'Mapping A'!$B$6:$E$1011,4,0)=1,$E476,""),0)</f>
        <v>0</v>
      </c>
      <c r="I476" s="519">
        <f ca="1">_xlfn.IFNA(IF(VLOOKUP($B476&amp;OFFSET(I$10,$A476*2,0),'Mapping A'!$B$6:$E$1011,4,0)=1,$E476,""),0)</f>
        <v>0</v>
      </c>
      <c r="J476" s="519">
        <f ca="1">_xlfn.IFNA(IF(VLOOKUP($B476&amp;OFFSET(J$10,$A476*2,0),'Mapping A'!$B$6:$E$1011,4,0)=1,$E476,""),0)</f>
        <v>4.3596000000000004</v>
      </c>
      <c r="K476" s="519">
        <f ca="1">_xlfn.IFNA(IF(VLOOKUP($B476&amp;OFFSET(K$10,$A476*2,0),'Mapping A'!$B$6:$E$1011,4,0)=1,$E476,""),0)</f>
        <v>0</v>
      </c>
      <c r="L476" s="519">
        <f ca="1">_xlfn.IFNA(IF(VLOOKUP($B476&amp;OFFSET(L$10,$A476*2,0),'Mapping A'!$B$6:$E$1011,4,0)=1,$E476,""),0)</f>
        <v>0</v>
      </c>
      <c r="M476" s="519">
        <f ca="1">_xlfn.IFNA(IF(VLOOKUP($B476&amp;OFFSET(M$10,$A476*2,0),'Mapping A'!$B$6:$E$1011,4,0)=1,$E476,""),0)</f>
        <v>0</v>
      </c>
      <c r="N476" s="519">
        <f ca="1">_xlfn.IFNA(IF(VLOOKUP($B476&amp;OFFSET(N$10,$A476*2,0),'Mapping A'!$B$6:$E$1011,4,0)=1,$E476,""),0)</f>
        <v>0</v>
      </c>
      <c r="O476" s="519">
        <f ca="1">_xlfn.IFNA(IF(VLOOKUP($B476&amp;OFFSET(O$10,$A476*2,0),'Mapping A'!$B$6:$E$1011,4,0)=1,$E476,""),0)</f>
        <v>0</v>
      </c>
      <c r="P476" s="519">
        <f ca="1">_xlfn.IFNA(IF(VLOOKUP($B476&amp;OFFSET(P$10,$A476*2,0),'Mapping A'!$B$6:$E$1011,4,0)=1,$E476,""),0)</f>
        <v>0</v>
      </c>
      <c r="Q476" s="519">
        <f ca="1">_xlfn.IFNA(IF(VLOOKUP($B476&amp;OFFSET(Q$10,$A476*2,0),'Mapping A'!$B$6:$E$1011,4,0)=1,$E476,""),0)</f>
        <v>0</v>
      </c>
      <c r="R476" s="519">
        <f ca="1">_xlfn.IFNA(IF(VLOOKUP($B476&amp;OFFSET(R$10,$A476*2,0),'Mapping A'!$B$6:$E$1011,4,0)=1,$E476,""),0)</f>
        <v>0</v>
      </c>
      <c r="S476" s="519">
        <f ca="1">_xlfn.IFNA(IF(VLOOKUP($B476&amp;OFFSET(S$10,$A476*2,0),'Mapping A'!$B$6:$E$1011,4,0)=1,$E476,""),0)</f>
        <v>0</v>
      </c>
      <c r="T476" s="519">
        <f ca="1">_xlfn.IFNA(IF(VLOOKUP($B476&amp;OFFSET(T$10,$A476*2,0),'Mapping A'!$B$6:$E$1011,4,0)=1,$E476,""),0)</f>
        <v>0</v>
      </c>
      <c r="Y476" s="534" t="str">
        <f t="shared" si="543"/>
        <v>WTK0111Network Waitaki</v>
      </c>
      <c r="Z476" s="519" t="str">
        <f t="shared" ref="Z476:AB476" si="598">C242</f>
        <v>Network Waitaki</v>
      </c>
      <c r="AA476" s="519" t="str">
        <f t="shared" si="598"/>
        <v>WTK0111</v>
      </c>
      <c r="AB476" s="519">
        <f t="shared" si="598"/>
        <v>4.3596000000000004</v>
      </c>
      <c r="AC476" s="324"/>
      <c r="AE476" s="519">
        <f t="shared" ca="1" si="527"/>
        <v>0</v>
      </c>
      <c r="AF476" s="519">
        <f t="shared" ca="1" si="528"/>
        <v>0</v>
      </c>
      <c r="AG476" s="519">
        <f t="shared" ca="1" si="529"/>
        <v>0</v>
      </c>
      <c r="AH476" s="519">
        <f t="shared" ca="1" si="530"/>
        <v>0</v>
      </c>
      <c r="AI476" s="519">
        <f t="shared" ca="1" si="531"/>
        <v>0</v>
      </c>
      <c r="AJ476" s="519">
        <f t="shared" ca="1" si="532"/>
        <v>0</v>
      </c>
      <c r="AK476" s="519">
        <f t="shared" ca="1" si="533"/>
        <v>0</v>
      </c>
      <c r="AL476" s="519">
        <f t="shared" ca="1" si="534"/>
        <v>0</v>
      </c>
      <c r="AM476" s="519">
        <f t="shared" ca="1" si="535"/>
        <v>0</v>
      </c>
      <c r="AN476" s="519">
        <f t="shared" ca="1" si="536"/>
        <v>0</v>
      </c>
      <c r="AO476" s="519">
        <f t="shared" ca="1" si="537"/>
        <v>0</v>
      </c>
      <c r="AP476" s="519">
        <f t="shared" ca="1" si="538"/>
        <v>0</v>
      </c>
      <c r="AQ476" s="519">
        <f t="shared" ca="1" si="539"/>
        <v>0</v>
      </c>
    </row>
    <row r="477" spans="1:43" x14ac:dyDescent="0.3">
      <c r="A477" s="556">
        <f t="shared" si="540"/>
        <v>2</v>
      </c>
      <c r="B477" s="519" t="str">
        <f t="shared" si="541"/>
        <v>WTU</v>
      </c>
      <c r="C477" s="519" t="str">
        <f t="shared" ref="C477:E477" si="599">C243</f>
        <v>Unison</v>
      </c>
      <c r="D477" s="519" t="str">
        <f t="shared" si="599"/>
        <v>WTU0331</v>
      </c>
      <c r="E477" s="519">
        <f t="shared" si="599"/>
        <v>86.339399999999998</v>
      </c>
      <c r="H477" s="519">
        <f ca="1">_xlfn.IFNA(IF(VLOOKUP($B477&amp;OFFSET(H$10,$A477*2,0),'Mapping A'!$B$6:$E$1011,4,0)=1,$E477,""),0)</f>
        <v>0</v>
      </c>
      <c r="I477" s="519">
        <f ca="1">_xlfn.IFNA(IF(VLOOKUP($B477&amp;OFFSET(I$10,$A477*2,0),'Mapping A'!$B$6:$E$1011,4,0)=1,$E477,""),0)</f>
        <v>0</v>
      </c>
      <c r="J477" s="519">
        <f ca="1">_xlfn.IFNA(IF(VLOOKUP($B477&amp;OFFSET(J$10,$A477*2,0),'Mapping A'!$B$6:$E$1011,4,0)=1,$E477,""),0)</f>
        <v>0</v>
      </c>
      <c r="K477" s="519">
        <f ca="1">_xlfn.IFNA(IF(VLOOKUP($B477&amp;OFFSET(K$10,$A477*2,0),'Mapping A'!$B$6:$E$1011,4,0)=1,$E477,""),0)</f>
        <v>0</v>
      </c>
      <c r="L477" s="519">
        <f ca="1">_xlfn.IFNA(IF(VLOOKUP($B477&amp;OFFSET(L$10,$A477*2,0),'Mapping A'!$B$6:$E$1011,4,0)=1,$E477,""),0)</f>
        <v>0</v>
      </c>
      <c r="M477" s="519">
        <f ca="1">_xlfn.IFNA(IF(VLOOKUP($B477&amp;OFFSET(M$10,$A477*2,0),'Mapping A'!$B$6:$E$1011,4,0)=1,$E477,""),0)</f>
        <v>0</v>
      </c>
      <c r="N477" s="519">
        <f ca="1">_xlfn.IFNA(IF(VLOOKUP($B477&amp;OFFSET(N$10,$A477*2,0),'Mapping A'!$B$6:$E$1011,4,0)=1,$E477,""),0)</f>
        <v>0</v>
      </c>
      <c r="O477" s="519">
        <f ca="1">_xlfn.IFNA(IF(VLOOKUP($B477&amp;OFFSET(O$10,$A477*2,0),'Mapping A'!$B$6:$E$1011,4,0)=1,$E477,""),0)</f>
        <v>0</v>
      </c>
      <c r="P477" s="519">
        <f ca="1">_xlfn.IFNA(IF(VLOOKUP($B477&amp;OFFSET(P$10,$A477*2,0),'Mapping A'!$B$6:$E$1011,4,0)=1,$E477,""),0)</f>
        <v>0</v>
      </c>
      <c r="Q477" s="519">
        <f ca="1">_xlfn.IFNA(IF(VLOOKUP($B477&amp;OFFSET(Q$10,$A477*2,0),'Mapping A'!$B$6:$E$1011,4,0)=1,$E477,""),0)</f>
        <v>0</v>
      </c>
      <c r="R477" s="519">
        <f ca="1">_xlfn.IFNA(IF(VLOOKUP($B477&amp;OFFSET(R$10,$A477*2,0),'Mapping A'!$B$6:$E$1011,4,0)=1,$E477,""),0)</f>
        <v>0</v>
      </c>
      <c r="S477" s="519">
        <f ca="1">_xlfn.IFNA(IF(VLOOKUP($B477&amp;OFFSET(S$10,$A477*2,0),'Mapping A'!$B$6:$E$1011,4,0)=1,$E477,""),0)</f>
        <v>0</v>
      </c>
      <c r="T477" s="519">
        <f ca="1">_xlfn.IFNA(IF(VLOOKUP($B477&amp;OFFSET(T$10,$A477*2,0),'Mapping A'!$B$6:$E$1011,4,0)=1,$E477,""),0)</f>
        <v>0</v>
      </c>
      <c r="Y477" s="534" t="str">
        <f t="shared" si="543"/>
        <v>WTU0331Unison</v>
      </c>
      <c r="Z477" s="519" t="str">
        <f t="shared" ref="Z477:AB477" si="600">C243</f>
        <v>Unison</v>
      </c>
      <c r="AA477" s="519" t="str">
        <f t="shared" si="600"/>
        <v>WTU0331</v>
      </c>
      <c r="AB477" s="519">
        <f t="shared" si="600"/>
        <v>86.339399999999998</v>
      </c>
      <c r="AC477" s="324"/>
      <c r="AE477" s="519">
        <f t="shared" ca="1" si="527"/>
        <v>0</v>
      </c>
      <c r="AF477" s="519">
        <f t="shared" ca="1" si="528"/>
        <v>0</v>
      </c>
      <c r="AG477" s="519">
        <f t="shared" ca="1" si="529"/>
        <v>0</v>
      </c>
      <c r="AH477" s="519">
        <f t="shared" ca="1" si="530"/>
        <v>0</v>
      </c>
      <c r="AI477" s="519">
        <f t="shared" ca="1" si="531"/>
        <v>0</v>
      </c>
      <c r="AJ477" s="519">
        <f t="shared" ca="1" si="532"/>
        <v>0</v>
      </c>
      <c r="AK477" s="519">
        <f t="shared" ca="1" si="533"/>
        <v>0</v>
      </c>
      <c r="AL477" s="519">
        <f t="shared" ca="1" si="534"/>
        <v>0</v>
      </c>
      <c r="AM477" s="519">
        <f t="shared" ca="1" si="535"/>
        <v>0</v>
      </c>
      <c r="AN477" s="519">
        <f t="shared" ca="1" si="536"/>
        <v>0</v>
      </c>
      <c r="AO477" s="519">
        <f t="shared" ca="1" si="537"/>
        <v>0</v>
      </c>
      <c r="AP477" s="519">
        <f t="shared" ca="1" si="538"/>
        <v>0</v>
      </c>
      <c r="AQ477" s="519">
        <f t="shared" ca="1" si="539"/>
        <v>0</v>
      </c>
    </row>
    <row r="478" spans="1:43" x14ac:dyDescent="0.3">
      <c r="A478" s="556">
        <f t="shared" si="540"/>
        <v>2</v>
      </c>
      <c r="B478" s="519" t="str">
        <f t="shared" si="541"/>
        <v>WVY</v>
      </c>
      <c r="C478" s="519" t="str">
        <f t="shared" ref="C478:E478" si="601">C244</f>
        <v>Powerco</v>
      </c>
      <c r="D478" s="519" t="str">
        <f t="shared" si="601"/>
        <v>WVY0111</v>
      </c>
      <c r="E478" s="519">
        <f t="shared" si="601"/>
        <v>4.7439</v>
      </c>
      <c r="H478" s="519">
        <f ca="1">_xlfn.IFNA(IF(VLOOKUP($B478&amp;OFFSET(H$10,$A478*2,0),'Mapping A'!$B$6:$E$1011,4,0)=1,$E478,""),0)</f>
        <v>0</v>
      </c>
      <c r="I478" s="519">
        <f ca="1">_xlfn.IFNA(IF(VLOOKUP($B478&amp;OFFSET(I$10,$A478*2,0),'Mapping A'!$B$6:$E$1011,4,0)=1,$E478,""),0)</f>
        <v>0</v>
      </c>
      <c r="J478" s="519">
        <f ca="1">_xlfn.IFNA(IF(VLOOKUP($B478&amp;OFFSET(J$10,$A478*2,0),'Mapping A'!$B$6:$E$1011,4,0)=1,$E478,""),0)</f>
        <v>0</v>
      </c>
      <c r="K478" s="519">
        <f ca="1">_xlfn.IFNA(IF(VLOOKUP($B478&amp;OFFSET(K$10,$A478*2,0),'Mapping A'!$B$6:$E$1011,4,0)=1,$E478,""),0)</f>
        <v>0</v>
      </c>
      <c r="L478" s="519">
        <f ca="1">_xlfn.IFNA(IF(VLOOKUP($B478&amp;OFFSET(L$10,$A478*2,0),'Mapping A'!$B$6:$E$1011,4,0)=1,$E478,""),0)</f>
        <v>0</v>
      </c>
      <c r="M478" s="519">
        <f ca="1">_xlfn.IFNA(IF(VLOOKUP($B478&amp;OFFSET(M$10,$A478*2,0),'Mapping A'!$B$6:$E$1011,4,0)=1,$E478,""),0)</f>
        <v>0</v>
      </c>
      <c r="N478" s="519">
        <f ca="1">_xlfn.IFNA(IF(VLOOKUP($B478&amp;OFFSET(N$10,$A478*2,0),'Mapping A'!$B$6:$E$1011,4,0)=1,$E478,""),0)</f>
        <v>0</v>
      </c>
      <c r="O478" s="519">
        <f ca="1">_xlfn.IFNA(IF(VLOOKUP($B478&amp;OFFSET(O$10,$A478*2,0),'Mapping A'!$B$6:$E$1011,4,0)=1,$E478,""),0)</f>
        <v>0</v>
      </c>
      <c r="P478" s="519">
        <f ca="1">_xlfn.IFNA(IF(VLOOKUP($B478&amp;OFFSET(P$10,$A478*2,0),'Mapping A'!$B$6:$E$1011,4,0)=1,$E478,""),0)</f>
        <v>0</v>
      </c>
      <c r="Q478" s="519">
        <f ca="1">_xlfn.IFNA(IF(VLOOKUP($B478&amp;OFFSET(Q$10,$A478*2,0),'Mapping A'!$B$6:$E$1011,4,0)=1,$E478,""),0)</f>
        <v>0</v>
      </c>
      <c r="R478" s="519">
        <f ca="1">_xlfn.IFNA(IF(VLOOKUP($B478&amp;OFFSET(R$10,$A478*2,0),'Mapping A'!$B$6:$E$1011,4,0)=1,$E478,""),0)</f>
        <v>0</v>
      </c>
      <c r="S478" s="519">
        <f ca="1">_xlfn.IFNA(IF(VLOOKUP($B478&amp;OFFSET(S$10,$A478*2,0),'Mapping A'!$B$6:$E$1011,4,0)=1,$E478,""),0)</f>
        <v>0</v>
      </c>
      <c r="T478" s="519">
        <f ca="1">_xlfn.IFNA(IF(VLOOKUP($B478&amp;OFFSET(T$10,$A478*2,0),'Mapping A'!$B$6:$E$1011,4,0)=1,$E478,""),0)</f>
        <v>0</v>
      </c>
      <c r="Y478" s="534" t="str">
        <f t="shared" si="543"/>
        <v>WVY0111Powerco</v>
      </c>
      <c r="Z478" s="519" t="str">
        <f t="shared" ref="Z478:AB478" si="602">C244</f>
        <v>Powerco</v>
      </c>
      <c r="AA478" s="519" t="str">
        <f t="shared" si="602"/>
        <v>WVY0111</v>
      </c>
      <c r="AB478" s="519">
        <f t="shared" si="602"/>
        <v>4.7439</v>
      </c>
      <c r="AC478" s="324"/>
      <c r="AE478" s="519">
        <f t="shared" ca="1" si="527"/>
        <v>0</v>
      </c>
      <c r="AF478" s="519">
        <f t="shared" ca="1" si="528"/>
        <v>0</v>
      </c>
      <c r="AG478" s="519">
        <f t="shared" ca="1" si="529"/>
        <v>0</v>
      </c>
      <c r="AH478" s="519">
        <f t="shared" ca="1" si="530"/>
        <v>0</v>
      </c>
      <c r="AI478" s="519">
        <f t="shared" ca="1" si="531"/>
        <v>0</v>
      </c>
      <c r="AJ478" s="519">
        <f t="shared" ca="1" si="532"/>
        <v>0</v>
      </c>
      <c r="AK478" s="519">
        <f t="shared" ca="1" si="533"/>
        <v>0</v>
      </c>
      <c r="AL478" s="519">
        <f t="shared" ca="1" si="534"/>
        <v>0</v>
      </c>
      <c r="AM478" s="519">
        <f t="shared" ca="1" si="535"/>
        <v>0</v>
      </c>
      <c r="AN478" s="519">
        <f t="shared" ca="1" si="536"/>
        <v>0</v>
      </c>
      <c r="AO478" s="519">
        <f t="shared" ca="1" si="537"/>
        <v>0</v>
      </c>
      <c r="AP478" s="519">
        <f t="shared" ca="1" si="538"/>
        <v>0</v>
      </c>
      <c r="AQ478" s="519">
        <f t="shared" ca="1" si="539"/>
        <v>0</v>
      </c>
    </row>
    <row r="479" spans="1:43" x14ac:dyDescent="0.3">
      <c r="A479" s="556">
        <f t="shared" si="540"/>
        <v>2</v>
      </c>
      <c r="B479" s="519" t="str">
        <f t="shared" si="541"/>
        <v>WWD</v>
      </c>
      <c r="C479" s="519" t="str">
        <f t="shared" ref="C479:E479" si="603">C245</f>
        <v>Meridian</v>
      </c>
      <c r="D479" s="519" t="str">
        <f t="shared" si="603"/>
        <v>WWD1102</v>
      </c>
      <c r="E479" s="519">
        <f t="shared" si="603"/>
        <v>0.94499999999999995</v>
      </c>
      <c r="H479" s="519">
        <f ca="1">_xlfn.IFNA(IF(VLOOKUP($B479&amp;OFFSET(H$10,$A479*2,0),'Mapping A'!$B$6:$E$1011,4,0)=1,$E479,""),0)</f>
        <v>0</v>
      </c>
      <c r="I479" s="519">
        <f ca="1">_xlfn.IFNA(IF(VLOOKUP($B479&amp;OFFSET(I$10,$A479*2,0),'Mapping A'!$B$6:$E$1011,4,0)=1,$E479,""),0)</f>
        <v>0</v>
      </c>
      <c r="J479" s="519">
        <f ca="1">_xlfn.IFNA(IF(VLOOKUP($B479&amp;OFFSET(J$10,$A479*2,0),'Mapping A'!$B$6:$E$1011,4,0)=1,$E479,""),0)</f>
        <v>0</v>
      </c>
      <c r="K479" s="519">
        <f ca="1">_xlfn.IFNA(IF(VLOOKUP($B479&amp;OFFSET(K$10,$A479*2,0),'Mapping A'!$B$6:$E$1011,4,0)=1,$E479,""),0)</f>
        <v>0</v>
      </c>
      <c r="L479" s="519">
        <f ca="1">_xlfn.IFNA(IF(VLOOKUP($B479&amp;OFFSET(L$10,$A479*2,0),'Mapping A'!$B$6:$E$1011,4,0)=1,$E479,""),0)</f>
        <v>0</v>
      </c>
      <c r="M479" s="519">
        <f ca="1">_xlfn.IFNA(IF(VLOOKUP($B479&amp;OFFSET(M$10,$A479*2,0),'Mapping A'!$B$6:$E$1011,4,0)=1,$E479,""),0)</f>
        <v>0</v>
      </c>
      <c r="N479" s="519">
        <f ca="1">_xlfn.IFNA(IF(VLOOKUP($B479&amp;OFFSET(N$10,$A479*2,0),'Mapping A'!$B$6:$E$1011,4,0)=1,$E479,""),0)</f>
        <v>0</v>
      </c>
      <c r="O479" s="519">
        <f ca="1">_xlfn.IFNA(IF(VLOOKUP($B479&amp;OFFSET(O$10,$A479*2,0),'Mapping A'!$B$6:$E$1011,4,0)=1,$E479,""),0)</f>
        <v>0</v>
      </c>
      <c r="P479" s="519">
        <f ca="1">_xlfn.IFNA(IF(VLOOKUP($B479&amp;OFFSET(P$10,$A479*2,0),'Mapping A'!$B$6:$E$1011,4,0)=1,$E479,""),0)</f>
        <v>0</v>
      </c>
      <c r="Q479" s="519">
        <f ca="1">_xlfn.IFNA(IF(VLOOKUP($B479&amp;OFFSET(Q$10,$A479*2,0),'Mapping A'!$B$6:$E$1011,4,0)=1,$E479,""),0)</f>
        <v>0</v>
      </c>
      <c r="R479" s="519">
        <f ca="1">_xlfn.IFNA(IF(VLOOKUP($B479&amp;OFFSET(R$10,$A479*2,0),'Mapping A'!$B$6:$E$1011,4,0)=1,$E479,""),0)</f>
        <v>0</v>
      </c>
      <c r="S479" s="519">
        <f ca="1">_xlfn.IFNA(IF(VLOOKUP($B479&amp;OFFSET(S$10,$A479*2,0),'Mapping A'!$B$6:$E$1011,4,0)=1,$E479,""),0)</f>
        <v>0</v>
      </c>
      <c r="T479" s="519">
        <f ca="1">_xlfn.IFNA(IF(VLOOKUP($B479&amp;OFFSET(T$10,$A479*2,0),'Mapping A'!$B$6:$E$1011,4,0)=1,$E479,""),0)</f>
        <v>0</v>
      </c>
      <c r="Y479" s="534" t="str">
        <f t="shared" si="543"/>
        <v>WWD1102Meridian</v>
      </c>
      <c r="Z479" s="519" t="str">
        <f t="shared" ref="Z479:AB479" si="604">C245</f>
        <v>Meridian</v>
      </c>
      <c r="AA479" s="519" t="str">
        <f t="shared" si="604"/>
        <v>WWD1102</v>
      </c>
      <c r="AB479" s="519">
        <f t="shared" si="604"/>
        <v>0.94499999999999995</v>
      </c>
      <c r="AC479" s="324"/>
      <c r="AE479" s="519">
        <f t="shared" ca="1" si="527"/>
        <v>0</v>
      </c>
      <c r="AF479" s="519">
        <f t="shared" ca="1" si="528"/>
        <v>0</v>
      </c>
      <c r="AG479" s="519">
        <f t="shared" ca="1" si="529"/>
        <v>0</v>
      </c>
      <c r="AH479" s="519">
        <f t="shared" ca="1" si="530"/>
        <v>0</v>
      </c>
      <c r="AI479" s="519">
        <f t="shared" ca="1" si="531"/>
        <v>0</v>
      </c>
      <c r="AJ479" s="519">
        <f t="shared" ca="1" si="532"/>
        <v>0</v>
      </c>
      <c r="AK479" s="519">
        <f t="shared" ca="1" si="533"/>
        <v>0</v>
      </c>
      <c r="AL479" s="519">
        <f t="shared" ca="1" si="534"/>
        <v>0</v>
      </c>
      <c r="AM479" s="519">
        <f t="shared" ca="1" si="535"/>
        <v>0</v>
      </c>
      <c r="AN479" s="519">
        <f t="shared" ca="1" si="536"/>
        <v>0</v>
      </c>
      <c r="AO479" s="519">
        <f t="shared" ca="1" si="537"/>
        <v>0</v>
      </c>
      <c r="AP479" s="519">
        <f t="shared" ca="1" si="538"/>
        <v>0</v>
      </c>
      <c r="AQ479" s="519">
        <f t="shared" ca="1" si="539"/>
        <v>0</v>
      </c>
    </row>
    <row r="480" spans="1:43" x14ac:dyDescent="0.3">
      <c r="A480" s="556">
        <f t="shared" si="540"/>
        <v>2</v>
      </c>
      <c r="B480" s="519" t="str">
        <f t="shared" si="541"/>
        <v>WWD</v>
      </c>
      <c r="C480" s="519" t="str">
        <f t="shared" ref="C480:E480" si="605">C246</f>
        <v>Meridian</v>
      </c>
      <c r="D480" s="519" t="str">
        <f t="shared" si="605"/>
        <v>WWD1103</v>
      </c>
      <c r="E480" s="519">
        <f t="shared" si="605"/>
        <v>1.0038</v>
      </c>
      <c r="H480" s="519">
        <f ca="1">_xlfn.IFNA(IF(VLOOKUP($B480&amp;OFFSET(H$10,$A480*2,0),'Mapping A'!$B$6:$E$1011,4,0)=1,$E480,""),0)</f>
        <v>0</v>
      </c>
      <c r="I480" s="519">
        <f ca="1">_xlfn.IFNA(IF(VLOOKUP($B480&amp;OFFSET(I$10,$A480*2,0),'Mapping A'!$B$6:$E$1011,4,0)=1,$E480,""),0)</f>
        <v>0</v>
      </c>
      <c r="J480" s="519">
        <f ca="1">_xlfn.IFNA(IF(VLOOKUP($B480&amp;OFFSET(J$10,$A480*2,0),'Mapping A'!$B$6:$E$1011,4,0)=1,$E480,""),0)</f>
        <v>0</v>
      </c>
      <c r="K480" s="519">
        <f ca="1">_xlfn.IFNA(IF(VLOOKUP($B480&amp;OFFSET(K$10,$A480*2,0),'Mapping A'!$B$6:$E$1011,4,0)=1,$E480,""),0)</f>
        <v>0</v>
      </c>
      <c r="L480" s="519">
        <f ca="1">_xlfn.IFNA(IF(VLOOKUP($B480&amp;OFFSET(L$10,$A480*2,0),'Mapping A'!$B$6:$E$1011,4,0)=1,$E480,""),0)</f>
        <v>0</v>
      </c>
      <c r="M480" s="519">
        <f ca="1">_xlfn.IFNA(IF(VLOOKUP($B480&amp;OFFSET(M$10,$A480*2,0),'Mapping A'!$B$6:$E$1011,4,0)=1,$E480,""),0)</f>
        <v>0</v>
      </c>
      <c r="N480" s="519">
        <f ca="1">_xlfn.IFNA(IF(VLOOKUP($B480&amp;OFFSET(N$10,$A480*2,0),'Mapping A'!$B$6:$E$1011,4,0)=1,$E480,""),0)</f>
        <v>0</v>
      </c>
      <c r="O480" s="519">
        <f ca="1">_xlfn.IFNA(IF(VLOOKUP($B480&amp;OFFSET(O$10,$A480*2,0),'Mapping A'!$B$6:$E$1011,4,0)=1,$E480,""),0)</f>
        <v>0</v>
      </c>
      <c r="P480" s="519">
        <f ca="1">_xlfn.IFNA(IF(VLOOKUP($B480&amp;OFFSET(P$10,$A480*2,0),'Mapping A'!$B$6:$E$1011,4,0)=1,$E480,""),0)</f>
        <v>0</v>
      </c>
      <c r="Q480" s="519">
        <f ca="1">_xlfn.IFNA(IF(VLOOKUP($B480&amp;OFFSET(Q$10,$A480*2,0),'Mapping A'!$B$6:$E$1011,4,0)=1,$E480,""),0)</f>
        <v>0</v>
      </c>
      <c r="R480" s="519">
        <f ca="1">_xlfn.IFNA(IF(VLOOKUP($B480&amp;OFFSET(R$10,$A480*2,0),'Mapping A'!$B$6:$E$1011,4,0)=1,$E480,""),0)</f>
        <v>0</v>
      </c>
      <c r="S480" s="519">
        <f ca="1">_xlfn.IFNA(IF(VLOOKUP($B480&amp;OFFSET(S$10,$A480*2,0),'Mapping A'!$B$6:$E$1011,4,0)=1,$E480,""),0)</f>
        <v>0</v>
      </c>
      <c r="T480" s="519">
        <f ca="1">_xlfn.IFNA(IF(VLOOKUP($B480&amp;OFFSET(T$10,$A480*2,0),'Mapping A'!$B$6:$E$1011,4,0)=1,$E480,""),0)</f>
        <v>0</v>
      </c>
      <c r="Y480" s="534" t="str">
        <f t="shared" si="543"/>
        <v>WWD1103Meridian</v>
      </c>
      <c r="Z480" s="519" t="str">
        <f t="shared" ref="Z480:AB480" si="606">C246</f>
        <v>Meridian</v>
      </c>
      <c r="AA480" s="519" t="str">
        <f t="shared" si="606"/>
        <v>WWD1103</v>
      </c>
      <c r="AB480" s="519">
        <f t="shared" si="606"/>
        <v>1.0038</v>
      </c>
      <c r="AC480" s="324"/>
      <c r="AE480" s="519">
        <f t="shared" ca="1" si="527"/>
        <v>0</v>
      </c>
      <c r="AF480" s="519">
        <f t="shared" ca="1" si="528"/>
        <v>0</v>
      </c>
      <c r="AG480" s="519">
        <f t="shared" ca="1" si="529"/>
        <v>0</v>
      </c>
      <c r="AH480" s="519">
        <f t="shared" ca="1" si="530"/>
        <v>0</v>
      </c>
      <c r="AI480" s="519">
        <f t="shared" ca="1" si="531"/>
        <v>0</v>
      </c>
      <c r="AJ480" s="519">
        <f t="shared" ca="1" si="532"/>
        <v>0</v>
      </c>
      <c r="AK480" s="519">
        <f t="shared" ca="1" si="533"/>
        <v>0</v>
      </c>
      <c r="AL480" s="519">
        <f t="shared" ca="1" si="534"/>
        <v>0</v>
      </c>
      <c r="AM480" s="519">
        <f t="shared" ca="1" si="535"/>
        <v>0</v>
      </c>
      <c r="AN480" s="519">
        <f t="shared" ca="1" si="536"/>
        <v>0</v>
      </c>
      <c r="AO480" s="519">
        <f t="shared" ca="1" si="537"/>
        <v>0</v>
      </c>
      <c r="AP480" s="519">
        <f t="shared" ca="1" si="538"/>
        <v>0</v>
      </c>
      <c r="AQ480" s="519">
        <f t="shared" ca="1" si="539"/>
        <v>0</v>
      </c>
    </row>
    <row r="481" spans="1:43" x14ac:dyDescent="0.3">
      <c r="A481" s="556"/>
      <c r="H481" s="542"/>
      <c r="I481" s="542"/>
      <c r="K481" s="542"/>
      <c r="L481" s="542"/>
      <c r="N481" s="542"/>
      <c r="O481" s="542"/>
      <c r="P481" s="542"/>
      <c r="Q481" s="542"/>
      <c r="R481" s="542"/>
      <c r="S481" s="542"/>
      <c r="T481" s="542"/>
      <c r="Y481" s="534"/>
      <c r="AC481" s="324"/>
    </row>
    <row r="482" spans="1:43" x14ac:dyDescent="0.3">
      <c r="A482" s="556"/>
      <c r="H482" s="542"/>
      <c r="I482" s="542"/>
      <c r="K482" s="542"/>
      <c r="L482" s="542"/>
      <c r="N482" s="542"/>
      <c r="O482" s="542"/>
      <c r="P482" s="542"/>
      <c r="Q482" s="542"/>
      <c r="R482" s="542"/>
      <c r="S482" s="542"/>
      <c r="T482" s="542"/>
      <c r="Y482" s="534"/>
      <c r="AC482" s="324"/>
    </row>
    <row r="483" spans="1:43" x14ac:dyDescent="0.3">
      <c r="A483" s="556"/>
      <c r="H483" s="542"/>
      <c r="I483" s="542"/>
      <c r="K483" s="542"/>
      <c r="L483" s="542"/>
      <c r="N483" s="542"/>
      <c r="O483" s="542"/>
      <c r="P483" s="542"/>
      <c r="Q483" s="542"/>
      <c r="R483" s="542"/>
      <c r="S483" s="542"/>
      <c r="T483" s="542"/>
      <c r="Y483" s="534"/>
      <c r="AC483" s="324"/>
    </row>
    <row r="484" spans="1:43" x14ac:dyDescent="0.3">
      <c r="A484" s="556"/>
      <c r="H484" s="542"/>
      <c r="I484" s="542"/>
      <c r="K484" s="542"/>
      <c r="L484" s="542"/>
      <c r="N484" s="542"/>
      <c r="O484" s="542"/>
      <c r="P484" s="542"/>
      <c r="Q484" s="542"/>
      <c r="R484" s="542"/>
      <c r="S484" s="542"/>
      <c r="T484" s="542"/>
      <c r="Y484" s="534"/>
      <c r="AC484" s="324"/>
    </row>
    <row r="485" spans="1:43" x14ac:dyDescent="0.3">
      <c r="A485" s="556"/>
      <c r="H485" s="542"/>
      <c r="I485" s="542"/>
      <c r="K485" s="542"/>
      <c r="L485" s="542"/>
      <c r="N485" s="542"/>
      <c r="O485" s="542"/>
      <c r="P485" s="542"/>
      <c r="Q485" s="542"/>
      <c r="R485" s="542"/>
      <c r="S485" s="542"/>
      <c r="T485" s="542"/>
      <c r="Y485" s="534"/>
      <c r="AC485" s="324"/>
    </row>
    <row r="486" spans="1:43" x14ac:dyDescent="0.3">
      <c r="A486" s="556"/>
      <c r="H486" s="542"/>
      <c r="I486" s="542"/>
      <c r="K486" s="542"/>
      <c r="L486" s="542"/>
      <c r="N486" s="542"/>
      <c r="O486" s="542"/>
      <c r="P486" s="542"/>
      <c r="Q486" s="542"/>
      <c r="R486" s="542"/>
      <c r="S486" s="542"/>
      <c r="T486" s="542"/>
      <c r="Y486" s="534"/>
      <c r="AC486" s="324"/>
    </row>
    <row r="487" spans="1:43" x14ac:dyDescent="0.3">
      <c r="A487" s="556"/>
      <c r="Y487" s="534"/>
      <c r="AC487" s="170"/>
      <c r="AG487" s="535"/>
      <c r="AH487" s="535"/>
      <c r="AI487" s="535"/>
      <c r="AJ487" s="535"/>
      <c r="AK487" s="535"/>
      <c r="AL487" s="535"/>
      <c r="AM487" s="535"/>
      <c r="AN487" s="535"/>
      <c r="AO487" s="535"/>
    </row>
    <row r="488" spans="1:43" x14ac:dyDescent="0.3">
      <c r="A488" s="556"/>
      <c r="Y488" s="534"/>
      <c r="AC488" s="170"/>
      <c r="AG488" s="535"/>
      <c r="AH488" s="535"/>
      <c r="AI488" s="535"/>
      <c r="AJ488" s="535"/>
      <c r="AK488" s="535"/>
      <c r="AL488" s="535"/>
      <c r="AM488" s="535"/>
      <c r="AN488" s="535"/>
      <c r="AO488" s="535"/>
    </row>
    <row r="489" spans="1:43" x14ac:dyDescent="0.3">
      <c r="A489" s="556"/>
      <c r="C489" s="532" t="s">
        <v>465</v>
      </c>
      <c r="Y489" s="534" t="str">
        <f t="shared" ref="Y489:Y491" si="607">Z489&amp;AA489</f>
        <v>Generation allocation 1</v>
      </c>
      <c r="Z489" s="519" t="s">
        <v>465</v>
      </c>
      <c r="AC489" s="170"/>
      <c r="AG489" s="535"/>
      <c r="AH489" s="535"/>
      <c r="AI489" s="535"/>
      <c r="AJ489" s="535"/>
      <c r="AK489" s="535"/>
      <c r="AL489" s="535"/>
      <c r="AM489" s="535"/>
      <c r="AN489" s="535"/>
      <c r="AO489" s="535"/>
    </row>
    <row r="490" spans="1:43" x14ac:dyDescent="0.3">
      <c r="A490" s="556"/>
      <c r="C490" s="528" t="s">
        <v>459</v>
      </c>
      <c r="O490" s="616"/>
      <c r="Y490" s="534" t="str">
        <f t="shared" si="607"/>
        <v>offer_node_to_participant</v>
      </c>
      <c r="Z490" s="528" t="s">
        <v>459</v>
      </c>
      <c r="AC490" s="170"/>
      <c r="AG490" s="535"/>
      <c r="AH490" s="535"/>
      <c r="AI490" s="535"/>
      <c r="AJ490" s="535"/>
      <c r="AK490" s="535"/>
      <c r="AL490" s="535"/>
      <c r="AM490" s="535"/>
      <c r="AN490" s="535"/>
      <c r="AO490" s="535"/>
    </row>
    <row r="491" spans="1:43" x14ac:dyDescent="0.3">
      <c r="A491" s="556"/>
      <c r="C491" s="528" t="s">
        <v>65</v>
      </c>
      <c r="D491" s="528" t="s">
        <v>389</v>
      </c>
      <c r="E491" s="528" t="s">
        <v>461</v>
      </c>
      <c r="H491" s="543"/>
      <c r="I491" s="543"/>
      <c r="J491" s="543"/>
      <c r="K491" s="543"/>
      <c r="L491" s="543"/>
      <c r="M491" s="543"/>
      <c r="N491" s="543"/>
      <c r="O491" s="543"/>
      <c r="P491" s="543"/>
      <c r="Q491" s="543"/>
      <c r="R491" s="543"/>
      <c r="S491" s="543"/>
      <c r="T491" s="543"/>
      <c r="Y491" s="534" t="str">
        <f t="shared" si="607"/>
        <v>generatoroffer_code</v>
      </c>
      <c r="Z491" s="528" t="s">
        <v>65</v>
      </c>
      <c r="AA491" s="528" t="s">
        <v>389</v>
      </c>
      <c r="AB491" s="528" t="s">
        <v>461</v>
      </c>
      <c r="AC491" s="170"/>
      <c r="AG491" s="535"/>
      <c r="AH491" s="535"/>
      <c r="AI491" s="535"/>
      <c r="AJ491" s="535"/>
      <c r="AK491" s="535"/>
      <c r="AL491" s="535"/>
      <c r="AM491" s="535"/>
      <c r="AN491" s="535"/>
      <c r="AO491" s="535"/>
    </row>
    <row r="492" spans="1:43" x14ac:dyDescent="0.3">
      <c r="A492" s="556">
        <f t="shared" ref="A492:A555" si="608">A258+1</f>
        <v>3</v>
      </c>
      <c r="B492" s="519" t="str">
        <f>LEFT(D492,3)</f>
        <v>ARA</v>
      </c>
      <c r="C492" s="519" t="str">
        <f>Volumes!H3</f>
        <v>MRP</v>
      </c>
      <c r="D492" s="519" t="str">
        <f>Volumes!I3</f>
        <v>ARA2201 ARA0</v>
      </c>
      <c r="E492" s="519">
        <f>Volumes!J3</f>
        <v>271.18327176500003</v>
      </c>
      <c r="G492" s="525"/>
      <c r="H492" s="519">
        <f ca="1">_xlfn.IFNA(IF(VLOOKUP($B492&amp;OFFSET(H$10,$A492*2,0),'Mapping A'!$B$6:$E$1011,4,0)=1,$E492,""),0)</f>
        <v>0</v>
      </c>
      <c r="I492" s="519">
        <f ca="1">_xlfn.IFNA(IF(VLOOKUP($B492&amp;OFFSET(I$10,$A492*2,0),'Mapping A'!$B$6:$E$1011,4,0)=1,$E492,""),0)</f>
        <v>0</v>
      </c>
      <c r="J492" s="519">
        <f ca="1">_xlfn.IFNA(IF(VLOOKUP($B492&amp;OFFSET(J$10,$A492*2,0),'Mapping A'!$B$6:$E$1011,4,0)=1,$E492,""),0)</f>
        <v>0</v>
      </c>
      <c r="K492" s="519">
        <f ca="1">_xlfn.IFNA(IF(VLOOKUP($B492&amp;OFFSET(K$10,$A492*2,0),'Mapping A'!$B$6:$E$1011,4,0)=1,$E492,""),0)</f>
        <v>0</v>
      </c>
      <c r="L492" s="519">
        <f ca="1">_xlfn.IFNA(IF(VLOOKUP($B492&amp;OFFSET(L$10,$A492*2,0),'Mapping A'!$B$6:$E$1011,4,0)=1,$E492,""),0)</f>
        <v>0</v>
      </c>
      <c r="M492" s="519">
        <f ca="1">_xlfn.IFNA(IF(VLOOKUP($B492&amp;OFFSET(M$10,$A492*2,0),'Mapping A'!$B$6:$E$1011,4,0)=1,$E492,""),0)</f>
        <v>271.18327176500003</v>
      </c>
      <c r="N492" s="519">
        <f ca="1">_xlfn.IFNA(IF(VLOOKUP($B492&amp;OFFSET(N$10,$A492*2,0),'Mapping A'!$B$6:$E$1011,4,0)=1,$E492,""),0)</f>
        <v>0</v>
      </c>
      <c r="O492" s="519">
        <f ca="1">_xlfn.IFNA(IF(VLOOKUP($B492&amp;OFFSET(O$10,$A492*2,0),'Mapping A'!$B$6:$E$1011,4,0)=1,$E492,""),0)</f>
        <v>271.18327176500003</v>
      </c>
      <c r="P492" s="519">
        <f ca="1">_xlfn.IFNA(IF(VLOOKUP($B492&amp;OFFSET(P$10,$A492*2,0),'Mapping A'!$B$6:$E$1011,4,0)=1,$E492,""),0)</f>
        <v>0</v>
      </c>
      <c r="Q492" s="519">
        <f ca="1">_xlfn.IFNA(IF(VLOOKUP($B492&amp;OFFSET(Q$10,$A492*2,0),'Mapping A'!$B$6:$E$1011,4,0)=1,$E492,""),0)</f>
        <v>0</v>
      </c>
      <c r="R492" s="519">
        <f ca="1">_xlfn.IFNA(IF(VLOOKUP($B492&amp;OFFSET(R$10,$A492*2,0),'Mapping A'!$B$6:$E$1011,4,0)=1,$E492,""),0)</f>
        <v>0</v>
      </c>
      <c r="S492" s="519">
        <f ca="1">_xlfn.IFNA(IF(VLOOKUP($B492&amp;OFFSET(S$10,$A492*2,0),'Mapping A'!$B$6:$E$1011,4,0)=1,$E492,""),0)</f>
        <v>0</v>
      </c>
      <c r="T492" s="519">
        <f ca="1">_xlfn.IFNA(IF(VLOOKUP($B492&amp;OFFSET(T$10,$A492*2,0),'Mapping A'!$B$6:$E$1011,4,0)=1,$E492,""),0)</f>
        <v>0</v>
      </c>
      <c r="Y492" s="534" t="str">
        <f>AA492&amp;Z492</f>
        <v>ARA2201 ARA0MRP</v>
      </c>
      <c r="Z492" s="519" t="str">
        <f>Volumes!H3</f>
        <v>MRP</v>
      </c>
      <c r="AA492" s="519" t="str">
        <f>Volumes!I3</f>
        <v>ARA2201 ARA0</v>
      </c>
      <c r="AB492" s="519">
        <f>Volumes!J3</f>
        <v>271.18327176500003</v>
      </c>
      <c r="AC492" s="170"/>
      <c r="AE492" s="519">
        <f t="shared" ref="AE492:AE555" ca="1" si="609">IF(SUMIF($A$22:$A$652,$A492,H$22:H$652)=0,0,OFFSET(H$11,$A492*2,0)*H$7*H492/SUMIF($A$22:$A$652,$A492,H$22:H$652))</f>
        <v>0</v>
      </c>
      <c r="AF492" s="519">
        <f t="shared" ref="AF492:AF555" ca="1" si="610">IF(SUMIF($A$22:$A$652,$A492,I$22:I$652)=0,0,OFFSET(I$11,$A492*2,0)*I$7*I492/SUMIF($A$22:$A$652,$A492,I$22:I$652))</f>
        <v>0</v>
      </c>
      <c r="AG492" s="519">
        <f t="shared" ref="AG492:AG555" ca="1" si="611">IF(SUMIF($A$22:$A$652,$A492,J$22:J$652)=0,0,OFFSET(J$11,$A492*2,0)*J$7*J492/SUMIF($A$22:$A$652,$A492,J$22:J$652))</f>
        <v>0</v>
      </c>
      <c r="AH492" s="519">
        <f t="shared" ref="AH492:AH555" ca="1" si="612">IF(SUMIF($A$22:$A$652,$A492,K$22:K$652)=0,0,OFFSET(K$11,$A492*2,0)*K$7*K492/SUMIF($A$22:$A$652,$A492,K$22:K$652))</f>
        <v>0</v>
      </c>
      <c r="AI492" s="519">
        <f t="shared" ref="AI492:AI555" ca="1" si="613">IF(SUMIF($A$22:$A$652,$A492,L$22:L$652)=0,0,OFFSET(L$11,$A492*2,0)*L$7*L492/SUMIF($A$22:$A$652,$A492,L$22:L$652))</f>
        <v>0</v>
      </c>
      <c r="AJ492" s="519">
        <f t="shared" ref="AJ492:AJ555" ca="1" si="614">IF(SUMIF($A$22:$A$652,$A492,M$22:M$652)=0,0,OFFSET(M$11,$A492*2,0)*M$7*M492/SUMIF($A$22:$A$652,$A492,M$22:M$652))</f>
        <v>0</v>
      </c>
      <c r="AK492" s="519">
        <f t="shared" ref="AK492:AK555" ca="1" si="615">IF(SUMIF($A$22:$A$652,$A492,N$22:N$652)=0,0,OFFSET(N$11,$A492*2,0)*N$7*N492/SUMIF($A$22:$A$652,$A492,N$22:N$652))</f>
        <v>0</v>
      </c>
      <c r="AL492" s="519">
        <f t="shared" ref="AL492:AL555" ca="1" si="616">IF(SUMIF($A$22:$A$652,$A492,O$22:O$652)=0,0,OFFSET(O$11,$A492*2,0)*O$7*O492/SUMIF($A$22:$A$652,$A492,O$22:O$652))</f>
        <v>3.140244909251777E-2</v>
      </c>
      <c r="AM492" s="519">
        <f t="shared" ref="AM492:AM555" ca="1" si="617">IF(SUMIF($A$22:$A$652,$A492,P$22:P$652)=0,0,OFFSET(P$11,$A492*2,0)*P$7*P492/SUMIF($A$22:$A$652,$A492,P$22:P$652))</f>
        <v>0</v>
      </c>
      <c r="AN492" s="519">
        <f t="shared" ref="AN492:AN555" ca="1" si="618">IF(SUMIF($A$22:$A$652,$A492,Q$22:Q$652)=0,0,OFFSET(Q$11,$A492*2,0)*Q$7*Q492/SUMIF($A$22:$A$652,$A492,Q$22:Q$652))</f>
        <v>0</v>
      </c>
      <c r="AO492" s="519">
        <f t="shared" ref="AO492:AO555" ca="1" si="619">IF(SUMIF($A$22:$A$652,$A492,R$22:R$652)=0,0,OFFSET(R$11,$A492*2,0)*R$7*R492/SUMIF($A$22:$A$652,$A492,R$22:R$652))</f>
        <v>0</v>
      </c>
      <c r="AP492" s="519">
        <f t="shared" ref="AP492:AP555" ca="1" si="620">IF(SUMIF($A$22:$A$652,$A492,S$22:S$652)=0,0,OFFSET(S$11,$A492*2,0)*S$7*S492/SUMIF($A$22:$A$652,$A492,S$22:S$652))</f>
        <v>0</v>
      </c>
      <c r="AQ492" s="519">
        <f t="shared" ref="AQ492:AQ555" ca="1" si="621">IF(SUMIF($A$22:$A$652,$A492,T$22:T$652)=0,0,OFFSET(T$11,$A492*2,0)*T$7*T492/SUMIF($A$22:$A$652,$A492,T$22:T$652))</f>
        <v>0</v>
      </c>
    </row>
    <row r="493" spans="1:43" x14ac:dyDescent="0.3">
      <c r="A493" s="556">
        <f t="shared" si="608"/>
        <v>3</v>
      </c>
      <c r="B493" s="519" t="str">
        <f t="shared" ref="B493:B556" si="622">LEFT(D493,3)</f>
        <v>ARG</v>
      </c>
      <c r="C493" s="519" t="str">
        <f>Volumes!H4</f>
        <v>Trustpower</v>
      </c>
      <c r="D493" s="519" t="str">
        <f>Volumes!I4</f>
        <v>ARG1101 BRR0</v>
      </c>
      <c r="E493" s="519">
        <f>Volumes!J4</f>
        <v>48.646827304999995</v>
      </c>
      <c r="G493" s="525"/>
      <c r="H493" s="519">
        <f ca="1">_xlfn.IFNA(IF(VLOOKUP($B493&amp;OFFSET(H$10,$A493*2,0),'Mapping A'!$B$6:$E$1011,4,0)=1,$E493,""),0)</f>
        <v>0</v>
      </c>
      <c r="I493" s="519">
        <f ca="1">_xlfn.IFNA(IF(VLOOKUP($B493&amp;OFFSET(I$10,$A493*2,0),'Mapping A'!$B$6:$E$1011,4,0)=1,$E493,""),0)</f>
        <v>48.646827304999995</v>
      </c>
      <c r="J493" s="519">
        <f ca="1">_xlfn.IFNA(IF(VLOOKUP($B493&amp;OFFSET(J$10,$A493*2,0),'Mapping A'!$B$6:$E$1011,4,0)=1,$E493,""),0)</f>
        <v>48.646827304999995</v>
      </c>
      <c r="K493" s="519">
        <f ca="1">_xlfn.IFNA(IF(VLOOKUP($B493&amp;OFFSET(K$10,$A493*2,0),'Mapping A'!$B$6:$E$1011,4,0)=1,$E493,""),0)</f>
        <v>0</v>
      </c>
      <c r="L493" s="519">
        <f ca="1">_xlfn.IFNA(IF(VLOOKUP($B493&amp;OFFSET(L$10,$A493*2,0),'Mapping A'!$B$6:$E$1011,4,0)=1,$E493,""),0)</f>
        <v>0</v>
      </c>
      <c r="M493" s="519">
        <f ca="1">_xlfn.IFNA(IF(VLOOKUP($B493&amp;OFFSET(M$10,$A493*2,0),'Mapping A'!$B$6:$E$1011,4,0)=1,$E493,""),0)</f>
        <v>0</v>
      </c>
      <c r="N493" s="519">
        <f ca="1">_xlfn.IFNA(IF(VLOOKUP($B493&amp;OFFSET(N$10,$A493*2,0),'Mapping A'!$B$6:$E$1011,4,0)=1,$E493,""),0)</f>
        <v>0</v>
      </c>
      <c r="O493" s="519">
        <f ca="1">_xlfn.IFNA(IF(VLOOKUP($B493&amp;OFFSET(O$10,$A493*2,0),'Mapping A'!$B$6:$E$1011,4,0)=1,$E493,""),0)</f>
        <v>0</v>
      </c>
      <c r="P493" s="519">
        <f ca="1">_xlfn.IFNA(IF(VLOOKUP($B493&amp;OFFSET(P$10,$A493*2,0),'Mapping A'!$B$6:$E$1011,4,0)=1,$E493,""),0)</f>
        <v>0</v>
      </c>
      <c r="Q493" s="519">
        <f ca="1">_xlfn.IFNA(IF(VLOOKUP($B493&amp;OFFSET(Q$10,$A493*2,0),'Mapping A'!$B$6:$E$1011,4,0)=1,$E493,""),0)</f>
        <v>0</v>
      </c>
      <c r="R493" s="519">
        <f ca="1">_xlfn.IFNA(IF(VLOOKUP($B493&amp;OFFSET(R$10,$A493*2,0),'Mapping A'!$B$6:$E$1011,4,0)=1,$E493,""),0)</f>
        <v>0</v>
      </c>
      <c r="S493" s="519">
        <f ca="1">_xlfn.IFNA(IF(VLOOKUP($B493&amp;OFFSET(S$10,$A493*2,0),'Mapping A'!$B$6:$E$1011,4,0)=1,$E493,""),0)</f>
        <v>0</v>
      </c>
      <c r="T493" s="519">
        <f ca="1">_xlfn.IFNA(IF(VLOOKUP($B493&amp;OFFSET(T$10,$A493*2,0),'Mapping A'!$B$6:$E$1011,4,0)=1,$E493,""),0)</f>
        <v>0</v>
      </c>
      <c r="Y493" s="534" t="str">
        <f t="shared" ref="Y493:Y556" si="623">AA493&amp;Z493</f>
        <v>ARG1101 BRR0Trustpower</v>
      </c>
      <c r="Z493" s="519" t="str">
        <f>Volumes!H4</f>
        <v>Trustpower</v>
      </c>
      <c r="AA493" s="519" t="str">
        <f>Volumes!I4</f>
        <v>ARG1101 BRR0</v>
      </c>
      <c r="AB493" s="519">
        <f>Volumes!J4</f>
        <v>48.646827304999995</v>
      </c>
      <c r="AC493" s="170"/>
      <c r="AE493" s="519">
        <f t="shared" ca="1" si="609"/>
        <v>0</v>
      </c>
      <c r="AF493" s="519">
        <f t="shared" ca="1" si="610"/>
        <v>0</v>
      </c>
      <c r="AG493" s="519">
        <f t="shared" ca="1" si="611"/>
        <v>0</v>
      </c>
      <c r="AH493" s="519">
        <f t="shared" ca="1" si="612"/>
        <v>0</v>
      </c>
      <c r="AI493" s="519">
        <f t="shared" ca="1" si="613"/>
        <v>0</v>
      </c>
      <c r="AJ493" s="519">
        <f t="shared" ca="1" si="614"/>
        <v>0</v>
      </c>
      <c r="AK493" s="519">
        <f t="shared" ca="1" si="615"/>
        <v>0</v>
      </c>
      <c r="AL493" s="519">
        <f t="shared" ca="1" si="616"/>
        <v>0</v>
      </c>
      <c r="AM493" s="519">
        <f t="shared" ca="1" si="617"/>
        <v>0</v>
      </c>
      <c r="AN493" s="519">
        <f t="shared" ca="1" si="618"/>
        <v>0</v>
      </c>
      <c r="AO493" s="519">
        <f t="shared" ca="1" si="619"/>
        <v>0</v>
      </c>
      <c r="AP493" s="519">
        <f t="shared" ca="1" si="620"/>
        <v>0</v>
      </c>
      <c r="AQ493" s="519">
        <f t="shared" ca="1" si="621"/>
        <v>0</v>
      </c>
    </row>
    <row r="494" spans="1:43" x14ac:dyDescent="0.3">
      <c r="A494" s="556">
        <f t="shared" si="608"/>
        <v>3</v>
      </c>
      <c r="B494" s="519" t="str">
        <f t="shared" si="622"/>
        <v>ARI</v>
      </c>
      <c r="C494" s="519" t="str">
        <f>Volumes!H5</f>
        <v>MRP</v>
      </c>
      <c r="D494" s="519" t="str">
        <f>Volumes!I5</f>
        <v>ARI1101 ARI0</v>
      </c>
      <c r="E494" s="519">
        <f>Volumes!J5</f>
        <v>437.39038370999953</v>
      </c>
      <c r="G494" s="525"/>
      <c r="H494" s="519">
        <f ca="1">_xlfn.IFNA(IF(VLOOKUP($B494&amp;OFFSET(H$10,$A494*2,0),'Mapping A'!$B$6:$E$1011,4,0)=1,$E494,""),0)</f>
        <v>0</v>
      </c>
      <c r="I494" s="519">
        <f ca="1">_xlfn.IFNA(IF(VLOOKUP($B494&amp;OFFSET(I$10,$A494*2,0),'Mapping A'!$B$6:$E$1011,4,0)=1,$E494,""),0)</f>
        <v>0</v>
      </c>
      <c r="J494" s="519">
        <f ca="1">_xlfn.IFNA(IF(VLOOKUP($B494&amp;OFFSET(J$10,$A494*2,0),'Mapping A'!$B$6:$E$1011,4,0)=1,$E494,""),0)</f>
        <v>0</v>
      </c>
      <c r="K494" s="519">
        <f ca="1">_xlfn.IFNA(IF(VLOOKUP($B494&amp;OFFSET(K$10,$A494*2,0),'Mapping A'!$B$6:$E$1011,4,0)=1,$E494,""),0)</f>
        <v>0</v>
      </c>
      <c r="L494" s="519">
        <f ca="1">_xlfn.IFNA(IF(VLOOKUP($B494&amp;OFFSET(L$10,$A494*2,0),'Mapping A'!$B$6:$E$1011,4,0)=1,$E494,""),0)</f>
        <v>0</v>
      </c>
      <c r="M494" s="519">
        <f ca="1">_xlfn.IFNA(IF(VLOOKUP($B494&amp;OFFSET(M$10,$A494*2,0),'Mapping A'!$B$6:$E$1011,4,0)=1,$E494,""),0)</f>
        <v>0</v>
      </c>
      <c r="N494" s="519">
        <f ca="1">_xlfn.IFNA(IF(VLOOKUP($B494&amp;OFFSET(N$10,$A494*2,0),'Mapping A'!$B$6:$E$1011,4,0)=1,$E494,""),0)</f>
        <v>0</v>
      </c>
      <c r="O494" s="519">
        <f ca="1">_xlfn.IFNA(IF(VLOOKUP($B494&amp;OFFSET(O$10,$A494*2,0),'Mapping A'!$B$6:$E$1011,4,0)=1,$E494,""),0)</f>
        <v>437.39038370999953</v>
      </c>
      <c r="P494" s="519">
        <f ca="1">_xlfn.IFNA(IF(VLOOKUP($B494&amp;OFFSET(P$10,$A494*2,0),'Mapping A'!$B$6:$E$1011,4,0)=1,$E494,""),0)</f>
        <v>0</v>
      </c>
      <c r="Q494" s="519">
        <f ca="1">_xlfn.IFNA(IF(VLOOKUP($B494&amp;OFFSET(Q$10,$A494*2,0),'Mapping A'!$B$6:$E$1011,4,0)=1,$E494,""),0)</f>
        <v>0</v>
      </c>
      <c r="R494" s="519">
        <f ca="1">_xlfn.IFNA(IF(VLOOKUP($B494&amp;OFFSET(R$10,$A494*2,0),'Mapping A'!$B$6:$E$1011,4,0)=1,$E494,""),0)</f>
        <v>0</v>
      </c>
      <c r="S494" s="519">
        <f ca="1">_xlfn.IFNA(IF(VLOOKUP($B494&amp;OFFSET(S$10,$A494*2,0),'Mapping A'!$B$6:$E$1011,4,0)=1,$E494,""),0)</f>
        <v>0</v>
      </c>
      <c r="T494" s="519">
        <f ca="1">_xlfn.IFNA(IF(VLOOKUP($B494&amp;OFFSET(T$10,$A494*2,0),'Mapping A'!$B$6:$E$1011,4,0)=1,$E494,""),0)</f>
        <v>0</v>
      </c>
      <c r="Y494" s="534" t="str">
        <f t="shared" si="623"/>
        <v>ARI1101 ARI0MRP</v>
      </c>
      <c r="Z494" s="519" t="str">
        <f>Volumes!H5</f>
        <v>MRP</v>
      </c>
      <c r="AA494" s="519" t="str">
        <f>Volumes!I5</f>
        <v>ARI1101 ARI0</v>
      </c>
      <c r="AB494" s="519">
        <f>Volumes!J5</f>
        <v>437.39038370999953</v>
      </c>
      <c r="AC494" s="170"/>
      <c r="AE494" s="519">
        <f t="shared" ca="1" si="609"/>
        <v>0</v>
      </c>
      <c r="AF494" s="519">
        <f t="shared" ca="1" si="610"/>
        <v>0</v>
      </c>
      <c r="AG494" s="519">
        <f t="shared" ca="1" si="611"/>
        <v>0</v>
      </c>
      <c r="AH494" s="519">
        <f t="shared" ca="1" si="612"/>
        <v>0</v>
      </c>
      <c r="AI494" s="519">
        <f t="shared" ca="1" si="613"/>
        <v>0</v>
      </c>
      <c r="AJ494" s="519">
        <f t="shared" ca="1" si="614"/>
        <v>0</v>
      </c>
      <c r="AK494" s="519">
        <f t="shared" ca="1" si="615"/>
        <v>0</v>
      </c>
      <c r="AL494" s="519">
        <f t="shared" ca="1" si="616"/>
        <v>5.0648880989652485E-2</v>
      </c>
      <c r="AM494" s="519">
        <f t="shared" ca="1" si="617"/>
        <v>0</v>
      </c>
      <c r="AN494" s="519">
        <f t="shared" ca="1" si="618"/>
        <v>0</v>
      </c>
      <c r="AO494" s="519">
        <f t="shared" ca="1" si="619"/>
        <v>0</v>
      </c>
      <c r="AP494" s="519">
        <f t="shared" ca="1" si="620"/>
        <v>0</v>
      </c>
      <c r="AQ494" s="519">
        <f t="shared" ca="1" si="621"/>
        <v>0</v>
      </c>
    </row>
    <row r="495" spans="1:43" x14ac:dyDescent="0.3">
      <c r="A495" s="556">
        <f t="shared" si="608"/>
        <v>3</v>
      </c>
      <c r="B495" s="519" t="str">
        <f t="shared" si="622"/>
        <v>ARI</v>
      </c>
      <c r="C495" s="519" t="str">
        <f>Volumes!H6</f>
        <v>MRP</v>
      </c>
      <c r="D495" s="519" t="str">
        <f>Volumes!I6</f>
        <v>ARI1102 ARI0</v>
      </c>
      <c r="E495" s="519">
        <f>Volumes!J6</f>
        <v>245.61295622500003</v>
      </c>
      <c r="G495" s="525"/>
      <c r="H495" s="519">
        <f ca="1">_xlfn.IFNA(IF(VLOOKUP($B495&amp;OFFSET(H$10,$A495*2,0),'Mapping A'!$B$6:$E$1011,4,0)=1,$E495,""),0)</f>
        <v>0</v>
      </c>
      <c r="I495" s="519">
        <f ca="1">_xlfn.IFNA(IF(VLOOKUP($B495&amp;OFFSET(I$10,$A495*2,0),'Mapping A'!$B$6:$E$1011,4,0)=1,$E495,""),0)</f>
        <v>0</v>
      </c>
      <c r="J495" s="519">
        <f ca="1">_xlfn.IFNA(IF(VLOOKUP($B495&amp;OFFSET(J$10,$A495*2,0),'Mapping A'!$B$6:$E$1011,4,0)=1,$E495,""),0)</f>
        <v>0</v>
      </c>
      <c r="K495" s="519">
        <f ca="1">_xlfn.IFNA(IF(VLOOKUP($B495&amp;OFFSET(K$10,$A495*2,0),'Mapping A'!$B$6:$E$1011,4,0)=1,$E495,""),0)</f>
        <v>0</v>
      </c>
      <c r="L495" s="519">
        <f ca="1">_xlfn.IFNA(IF(VLOOKUP($B495&amp;OFFSET(L$10,$A495*2,0),'Mapping A'!$B$6:$E$1011,4,0)=1,$E495,""),0)</f>
        <v>0</v>
      </c>
      <c r="M495" s="519">
        <f ca="1">_xlfn.IFNA(IF(VLOOKUP($B495&amp;OFFSET(M$10,$A495*2,0),'Mapping A'!$B$6:$E$1011,4,0)=1,$E495,""),0)</f>
        <v>0</v>
      </c>
      <c r="N495" s="519">
        <f ca="1">_xlfn.IFNA(IF(VLOOKUP($B495&amp;OFFSET(N$10,$A495*2,0),'Mapping A'!$B$6:$E$1011,4,0)=1,$E495,""),0)</f>
        <v>0</v>
      </c>
      <c r="O495" s="519">
        <f ca="1">_xlfn.IFNA(IF(VLOOKUP($B495&amp;OFFSET(O$10,$A495*2,0),'Mapping A'!$B$6:$E$1011,4,0)=1,$E495,""),0)</f>
        <v>245.61295622500003</v>
      </c>
      <c r="P495" s="519">
        <f ca="1">_xlfn.IFNA(IF(VLOOKUP($B495&amp;OFFSET(P$10,$A495*2,0),'Mapping A'!$B$6:$E$1011,4,0)=1,$E495,""),0)</f>
        <v>0</v>
      </c>
      <c r="Q495" s="519">
        <f ca="1">_xlfn.IFNA(IF(VLOOKUP($B495&amp;OFFSET(Q$10,$A495*2,0),'Mapping A'!$B$6:$E$1011,4,0)=1,$E495,""),0)</f>
        <v>0</v>
      </c>
      <c r="R495" s="519">
        <f ca="1">_xlfn.IFNA(IF(VLOOKUP($B495&amp;OFFSET(R$10,$A495*2,0),'Mapping A'!$B$6:$E$1011,4,0)=1,$E495,""),0)</f>
        <v>0</v>
      </c>
      <c r="S495" s="519">
        <f ca="1">_xlfn.IFNA(IF(VLOOKUP($B495&amp;OFFSET(S$10,$A495*2,0),'Mapping A'!$B$6:$E$1011,4,0)=1,$E495,""),0)</f>
        <v>0</v>
      </c>
      <c r="T495" s="519">
        <f ca="1">_xlfn.IFNA(IF(VLOOKUP($B495&amp;OFFSET(T$10,$A495*2,0),'Mapping A'!$B$6:$E$1011,4,0)=1,$E495,""),0)</f>
        <v>0</v>
      </c>
      <c r="Y495" s="534" t="str">
        <f t="shared" si="623"/>
        <v>ARI1102 ARI0MRP</v>
      </c>
      <c r="Z495" s="519" t="str">
        <f>Volumes!H6</f>
        <v>MRP</v>
      </c>
      <c r="AA495" s="519" t="str">
        <f>Volumes!I6</f>
        <v>ARI1102 ARI0</v>
      </c>
      <c r="AB495" s="519">
        <f>Volumes!J6</f>
        <v>245.61295622500003</v>
      </c>
      <c r="AC495" s="170"/>
      <c r="AE495" s="519">
        <f t="shared" ca="1" si="609"/>
        <v>0</v>
      </c>
      <c r="AF495" s="519">
        <f t="shared" ca="1" si="610"/>
        <v>0</v>
      </c>
      <c r="AG495" s="519">
        <f t="shared" ca="1" si="611"/>
        <v>0</v>
      </c>
      <c r="AH495" s="519">
        <f t="shared" ca="1" si="612"/>
        <v>0</v>
      </c>
      <c r="AI495" s="519">
        <f t="shared" ca="1" si="613"/>
        <v>0</v>
      </c>
      <c r="AJ495" s="519">
        <f t="shared" ca="1" si="614"/>
        <v>0</v>
      </c>
      <c r="AK495" s="519">
        <f t="shared" ca="1" si="615"/>
        <v>0</v>
      </c>
      <c r="AL495" s="519">
        <f t="shared" ca="1" si="616"/>
        <v>2.8441460655442279E-2</v>
      </c>
      <c r="AM495" s="519">
        <f t="shared" ca="1" si="617"/>
        <v>0</v>
      </c>
      <c r="AN495" s="519">
        <f t="shared" ca="1" si="618"/>
        <v>0</v>
      </c>
      <c r="AO495" s="519">
        <f t="shared" ca="1" si="619"/>
        <v>0</v>
      </c>
      <c r="AP495" s="519">
        <f t="shared" ca="1" si="620"/>
        <v>0</v>
      </c>
      <c r="AQ495" s="519">
        <f t="shared" ca="1" si="621"/>
        <v>0</v>
      </c>
    </row>
    <row r="496" spans="1:43" x14ac:dyDescent="0.3">
      <c r="A496" s="556">
        <f t="shared" si="608"/>
        <v>3</v>
      </c>
      <c r="B496" s="519" t="str">
        <f t="shared" si="622"/>
        <v>ASB</v>
      </c>
      <c r="C496" s="519" t="str">
        <f>Volumes!H7</f>
        <v>Trustpower</v>
      </c>
      <c r="D496" s="519" t="str">
        <f>Volumes!I7</f>
        <v>ASB0661 HBK0</v>
      </c>
      <c r="E496" s="519">
        <f>Volumes!J7</f>
        <v>105.215</v>
      </c>
      <c r="G496" s="525"/>
      <c r="H496" s="519">
        <f ca="1">_xlfn.IFNA(IF(VLOOKUP($B496&amp;OFFSET(H$10,$A496*2,0),'Mapping A'!$B$6:$E$1011,4,0)=1,$E496,""),0)</f>
        <v>0</v>
      </c>
      <c r="I496" s="519">
        <f ca="1">_xlfn.IFNA(IF(VLOOKUP($B496&amp;OFFSET(I$10,$A496*2,0),'Mapping A'!$B$6:$E$1011,4,0)=1,$E496,""),0)</f>
        <v>105.215</v>
      </c>
      <c r="J496" s="519">
        <f ca="1">_xlfn.IFNA(IF(VLOOKUP($B496&amp;OFFSET(J$10,$A496*2,0),'Mapping A'!$B$6:$E$1011,4,0)=1,$E496,""),0)</f>
        <v>105.215</v>
      </c>
      <c r="K496" s="519">
        <f ca="1">_xlfn.IFNA(IF(VLOOKUP($B496&amp;OFFSET(K$10,$A496*2,0),'Mapping A'!$B$6:$E$1011,4,0)=1,$E496,""),0)</f>
        <v>0</v>
      </c>
      <c r="L496" s="519">
        <f ca="1">_xlfn.IFNA(IF(VLOOKUP($B496&amp;OFFSET(L$10,$A496*2,0),'Mapping A'!$B$6:$E$1011,4,0)=1,$E496,""),0)</f>
        <v>0</v>
      </c>
      <c r="M496" s="519">
        <f ca="1">_xlfn.IFNA(IF(VLOOKUP($B496&amp;OFFSET(M$10,$A496*2,0),'Mapping A'!$B$6:$E$1011,4,0)=1,$E496,""),0)</f>
        <v>0</v>
      </c>
      <c r="N496" s="519">
        <f ca="1">_xlfn.IFNA(IF(VLOOKUP($B496&amp;OFFSET(N$10,$A496*2,0),'Mapping A'!$B$6:$E$1011,4,0)=1,$E496,""),0)</f>
        <v>0</v>
      </c>
      <c r="O496" s="519">
        <f ca="1">_xlfn.IFNA(IF(VLOOKUP($B496&amp;OFFSET(O$10,$A496*2,0),'Mapping A'!$B$6:$E$1011,4,0)=1,$E496,""),0)</f>
        <v>0</v>
      </c>
      <c r="P496" s="519">
        <f ca="1">_xlfn.IFNA(IF(VLOOKUP($B496&amp;OFFSET(P$10,$A496*2,0),'Mapping A'!$B$6:$E$1011,4,0)=1,$E496,""),0)</f>
        <v>0</v>
      </c>
      <c r="Q496" s="519">
        <f ca="1">_xlfn.IFNA(IF(VLOOKUP($B496&amp;OFFSET(Q$10,$A496*2,0),'Mapping A'!$B$6:$E$1011,4,0)=1,$E496,""),0)</f>
        <v>0</v>
      </c>
      <c r="R496" s="519">
        <f ca="1">_xlfn.IFNA(IF(VLOOKUP($B496&amp;OFFSET(R$10,$A496*2,0),'Mapping A'!$B$6:$E$1011,4,0)=1,$E496,""),0)</f>
        <v>0</v>
      </c>
      <c r="S496" s="519">
        <f ca="1">_xlfn.IFNA(IF(VLOOKUP($B496&amp;OFFSET(S$10,$A496*2,0),'Mapping A'!$B$6:$E$1011,4,0)=1,$E496,""),0)</f>
        <v>0</v>
      </c>
      <c r="T496" s="519">
        <f ca="1">_xlfn.IFNA(IF(VLOOKUP($B496&amp;OFFSET(T$10,$A496*2,0),'Mapping A'!$B$6:$E$1011,4,0)=1,$E496,""),0)</f>
        <v>0</v>
      </c>
      <c r="Y496" s="534" t="str">
        <f t="shared" si="623"/>
        <v>ASB0661 HBK0Trustpower</v>
      </c>
      <c r="Z496" s="519" t="str">
        <f>Volumes!H7</f>
        <v>Trustpower</v>
      </c>
      <c r="AA496" s="519" t="str">
        <f>Volumes!I7</f>
        <v>ASB0661 HBK0</v>
      </c>
      <c r="AB496" s="519">
        <f>Volumes!J7</f>
        <v>105.215</v>
      </c>
      <c r="AC496" s="170"/>
      <c r="AE496" s="519">
        <f t="shared" ca="1" si="609"/>
        <v>0</v>
      </c>
      <c r="AF496" s="519">
        <f t="shared" ca="1" si="610"/>
        <v>0</v>
      </c>
      <c r="AG496" s="519">
        <f t="shared" ca="1" si="611"/>
        <v>0</v>
      </c>
      <c r="AH496" s="519">
        <f t="shared" ca="1" si="612"/>
        <v>0</v>
      </c>
      <c r="AI496" s="519">
        <f t="shared" ca="1" si="613"/>
        <v>0</v>
      </c>
      <c r="AJ496" s="519">
        <f t="shared" ca="1" si="614"/>
        <v>0</v>
      </c>
      <c r="AK496" s="519">
        <f t="shared" ca="1" si="615"/>
        <v>0</v>
      </c>
      <c r="AL496" s="519">
        <f t="shared" ca="1" si="616"/>
        <v>0</v>
      </c>
      <c r="AM496" s="519">
        <f t="shared" ca="1" si="617"/>
        <v>0</v>
      </c>
      <c r="AN496" s="519">
        <f t="shared" ca="1" si="618"/>
        <v>0</v>
      </c>
      <c r="AO496" s="519">
        <f t="shared" ca="1" si="619"/>
        <v>0</v>
      </c>
      <c r="AP496" s="519">
        <f t="shared" ca="1" si="620"/>
        <v>0</v>
      </c>
      <c r="AQ496" s="519">
        <f t="shared" ca="1" si="621"/>
        <v>0</v>
      </c>
    </row>
    <row r="497" spans="1:43" x14ac:dyDescent="0.3">
      <c r="A497" s="556">
        <f t="shared" si="608"/>
        <v>3</v>
      </c>
      <c r="B497" s="519" t="str">
        <f t="shared" si="622"/>
        <v>ATI</v>
      </c>
      <c r="C497" s="519" t="str">
        <f>Volumes!H8</f>
        <v>MRP</v>
      </c>
      <c r="D497" s="519" t="str">
        <f>Volumes!I8</f>
        <v>ATI2201 ATI0</v>
      </c>
      <c r="E497" s="519">
        <f>Volumes!J8</f>
        <v>235.51449516499997</v>
      </c>
      <c r="G497" s="525"/>
      <c r="H497" s="519">
        <f ca="1">_xlfn.IFNA(IF(VLOOKUP($B497&amp;OFFSET(H$10,$A497*2,0),'Mapping A'!$B$6:$E$1011,4,0)=1,$E497,""),0)</f>
        <v>0</v>
      </c>
      <c r="I497" s="519">
        <f ca="1">_xlfn.IFNA(IF(VLOOKUP($B497&amp;OFFSET(I$10,$A497*2,0),'Mapping A'!$B$6:$E$1011,4,0)=1,$E497,""),0)</f>
        <v>0</v>
      </c>
      <c r="J497" s="519">
        <f ca="1">_xlfn.IFNA(IF(VLOOKUP($B497&amp;OFFSET(J$10,$A497*2,0),'Mapping A'!$B$6:$E$1011,4,0)=1,$E497,""),0)</f>
        <v>0</v>
      </c>
      <c r="K497" s="519">
        <f ca="1">_xlfn.IFNA(IF(VLOOKUP($B497&amp;OFFSET(K$10,$A497*2,0),'Mapping A'!$B$6:$E$1011,4,0)=1,$E497,""),0)</f>
        <v>0</v>
      </c>
      <c r="L497" s="519">
        <f ca="1">_xlfn.IFNA(IF(VLOOKUP($B497&amp;OFFSET(L$10,$A497*2,0),'Mapping A'!$B$6:$E$1011,4,0)=1,$E497,""),0)</f>
        <v>0</v>
      </c>
      <c r="M497" s="519">
        <f ca="1">_xlfn.IFNA(IF(VLOOKUP($B497&amp;OFFSET(M$10,$A497*2,0),'Mapping A'!$B$6:$E$1011,4,0)=1,$E497,""),0)</f>
        <v>235.51449516499997</v>
      </c>
      <c r="N497" s="519">
        <f ca="1">_xlfn.IFNA(IF(VLOOKUP($B497&amp;OFFSET(N$10,$A497*2,0),'Mapping A'!$B$6:$E$1011,4,0)=1,$E497,""),0)</f>
        <v>0</v>
      </c>
      <c r="O497" s="519">
        <f ca="1">_xlfn.IFNA(IF(VLOOKUP($B497&amp;OFFSET(O$10,$A497*2,0),'Mapping A'!$B$6:$E$1011,4,0)=1,$E497,""),0)</f>
        <v>235.51449516499997</v>
      </c>
      <c r="P497" s="519">
        <f ca="1">_xlfn.IFNA(IF(VLOOKUP($B497&amp;OFFSET(P$10,$A497*2,0),'Mapping A'!$B$6:$E$1011,4,0)=1,$E497,""),0)</f>
        <v>0</v>
      </c>
      <c r="Q497" s="519">
        <f ca="1">_xlfn.IFNA(IF(VLOOKUP($B497&amp;OFFSET(Q$10,$A497*2,0),'Mapping A'!$B$6:$E$1011,4,0)=1,$E497,""),0)</f>
        <v>0</v>
      </c>
      <c r="R497" s="519">
        <f ca="1">_xlfn.IFNA(IF(VLOOKUP($B497&amp;OFFSET(R$10,$A497*2,0),'Mapping A'!$B$6:$E$1011,4,0)=1,$E497,""),0)</f>
        <v>0</v>
      </c>
      <c r="S497" s="519">
        <f ca="1">_xlfn.IFNA(IF(VLOOKUP($B497&amp;OFFSET(S$10,$A497*2,0),'Mapping A'!$B$6:$E$1011,4,0)=1,$E497,""),0)</f>
        <v>0</v>
      </c>
      <c r="T497" s="519">
        <f ca="1">_xlfn.IFNA(IF(VLOOKUP($B497&amp;OFFSET(T$10,$A497*2,0),'Mapping A'!$B$6:$E$1011,4,0)=1,$E497,""),0)</f>
        <v>0</v>
      </c>
      <c r="Y497" s="534" t="str">
        <f t="shared" si="623"/>
        <v>ATI2201 ATI0MRP</v>
      </c>
      <c r="Z497" s="519" t="str">
        <f>Volumes!H8</f>
        <v>MRP</v>
      </c>
      <c r="AA497" s="519" t="str">
        <f>Volumes!I8</f>
        <v>ATI2201 ATI0</v>
      </c>
      <c r="AB497" s="519">
        <f>Volumes!J8</f>
        <v>235.51449516499997</v>
      </c>
      <c r="AC497" s="170"/>
      <c r="AE497" s="519">
        <f t="shared" ca="1" si="609"/>
        <v>0</v>
      </c>
      <c r="AF497" s="519">
        <f t="shared" ca="1" si="610"/>
        <v>0</v>
      </c>
      <c r="AG497" s="519">
        <f t="shared" ca="1" si="611"/>
        <v>0</v>
      </c>
      <c r="AH497" s="519">
        <f t="shared" ca="1" si="612"/>
        <v>0</v>
      </c>
      <c r="AI497" s="519">
        <f t="shared" ca="1" si="613"/>
        <v>0</v>
      </c>
      <c r="AJ497" s="519">
        <f t="shared" ca="1" si="614"/>
        <v>0</v>
      </c>
      <c r="AK497" s="519">
        <f t="shared" ca="1" si="615"/>
        <v>0</v>
      </c>
      <c r="AL497" s="519">
        <f t="shared" ca="1" si="616"/>
        <v>2.7272080231327368E-2</v>
      </c>
      <c r="AM497" s="519">
        <f t="shared" ca="1" si="617"/>
        <v>0</v>
      </c>
      <c r="AN497" s="519">
        <f t="shared" ca="1" si="618"/>
        <v>0</v>
      </c>
      <c r="AO497" s="519">
        <f t="shared" ca="1" si="619"/>
        <v>0</v>
      </c>
      <c r="AP497" s="519">
        <f t="shared" ca="1" si="620"/>
        <v>0</v>
      </c>
      <c r="AQ497" s="519">
        <f t="shared" ca="1" si="621"/>
        <v>0</v>
      </c>
    </row>
    <row r="498" spans="1:43" x14ac:dyDescent="0.3">
      <c r="A498" s="556">
        <f t="shared" si="608"/>
        <v>3</v>
      </c>
      <c r="B498" s="519" t="str">
        <f t="shared" si="622"/>
        <v>AVI</v>
      </c>
      <c r="C498" s="519" t="str">
        <f>Volumes!H9</f>
        <v>Meridian</v>
      </c>
      <c r="D498" s="519" t="str">
        <f>Volumes!I9</f>
        <v>AVI2201 AVI0</v>
      </c>
      <c r="E498" s="519">
        <f>Volumes!J9</f>
        <v>787.09515962500473</v>
      </c>
      <c r="G498" s="525"/>
      <c r="H498" s="519">
        <f ca="1">_xlfn.IFNA(IF(VLOOKUP($B498&amp;OFFSET(H$10,$A498*2,0),'Mapping A'!$B$6:$E$1011,4,0)=1,$E498,""),0)</f>
        <v>0</v>
      </c>
      <c r="I498" s="519">
        <f ca="1">_xlfn.IFNA(IF(VLOOKUP($B498&amp;OFFSET(I$10,$A498*2,0),'Mapping A'!$B$6:$E$1011,4,0)=1,$E498,""),0)</f>
        <v>787.09515962500473</v>
      </c>
      <c r="J498" s="519">
        <f ca="1">_xlfn.IFNA(IF(VLOOKUP($B498&amp;OFFSET(J$10,$A498*2,0),'Mapping A'!$B$6:$E$1011,4,0)=1,$E498,""),0)</f>
        <v>787.09515962500473</v>
      </c>
      <c r="K498" s="519">
        <f ca="1">_xlfn.IFNA(IF(VLOOKUP($B498&amp;OFFSET(K$10,$A498*2,0),'Mapping A'!$B$6:$E$1011,4,0)=1,$E498,""),0)</f>
        <v>0</v>
      </c>
      <c r="L498" s="519">
        <f ca="1">_xlfn.IFNA(IF(VLOOKUP($B498&amp;OFFSET(L$10,$A498*2,0),'Mapping A'!$B$6:$E$1011,4,0)=1,$E498,""),0)</f>
        <v>0</v>
      </c>
      <c r="M498" s="519">
        <f ca="1">_xlfn.IFNA(IF(VLOOKUP($B498&amp;OFFSET(M$10,$A498*2,0),'Mapping A'!$B$6:$E$1011,4,0)=1,$E498,""),0)</f>
        <v>0</v>
      </c>
      <c r="N498" s="519">
        <f ca="1">_xlfn.IFNA(IF(VLOOKUP($B498&amp;OFFSET(N$10,$A498*2,0),'Mapping A'!$B$6:$E$1011,4,0)=1,$E498,""),0)</f>
        <v>0</v>
      </c>
      <c r="O498" s="519">
        <f ca="1">_xlfn.IFNA(IF(VLOOKUP($B498&amp;OFFSET(O$10,$A498*2,0),'Mapping A'!$B$6:$E$1011,4,0)=1,$E498,""),0)</f>
        <v>0</v>
      </c>
      <c r="P498" s="519">
        <f ca="1">_xlfn.IFNA(IF(VLOOKUP($B498&amp;OFFSET(P$10,$A498*2,0),'Mapping A'!$B$6:$E$1011,4,0)=1,$E498,""),0)</f>
        <v>0</v>
      </c>
      <c r="Q498" s="519">
        <f ca="1">_xlfn.IFNA(IF(VLOOKUP($B498&amp;OFFSET(Q$10,$A498*2,0),'Mapping A'!$B$6:$E$1011,4,0)=1,$E498,""),0)</f>
        <v>0</v>
      </c>
      <c r="R498" s="519">
        <f ca="1">_xlfn.IFNA(IF(VLOOKUP($B498&amp;OFFSET(R$10,$A498*2,0),'Mapping A'!$B$6:$E$1011,4,0)=1,$E498,""),0)</f>
        <v>0</v>
      </c>
      <c r="S498" s="519">
        <f ca="1">_xlfn.IFNA(IF(VLOOKUP($B498&amp;OFFSET(S$10,$A498*2,0),'Mapping A'!$B$6:$E$1011,4,0)=1,$E498,""),0)</f>
        <v>0</v>
      </c>
      <c r="T498" s="519">
        <f ca="1">_xlfn.IFNA(IF(VLOOKUP($B498&amp;OFFSET(T$10,$A498*2,0),'Mapping A'!$B$6:$E$1011,4,0)=1,$E498,""),0)</f>
        <v>0</v>
      </c>
      <c r="Y498" s="534" t="str">
        <f t="shared" si="623"/>
        <v>AVI2201 AVI0Meridian</v>
      </c>
      <c r="Z498" s="519" t="str">
        <f>Volumes!H9</f>
        <v>Meridian</v>
      </c>
      <c r="AA498" s="519" t="str">
        <f>Volumes!I9</f>
        <v>AVI2201 AVI0</v>
      </c>
      <c r="AB498" s="519">
        <f>Volumes!J9</f>
        <v>787.09515962500473</v>
      </c>
      <c r="AC498" s="170"/>
      <c r="AE498" s="519">
        <f t="shared" ca="1" si="609"/>
        <v>0</v>
      </c>
      <c r="AF498" s="519">
        <f t="shared" ca="1" si="610"/>
        <v>0</v>
      </c>
      <c r="AG498" s="519">
        <f t="shared" ca="1" si="611"/>
        <v>0</v>
      </c>
      <c r="AH498" s="519">
        <f t="shared" ca="1" si="612"/>
        <v>0</v>
      </c>
      <c r="AI498" s="519">
        <f t="shared" ca="1" si="613"/>
        <v>0</v>
      </c>
      <c r="AJ498" s="519">
        <f t="shared" ca="1" si="614"/>
        <v>0</v>
      </c>
      <c r="AK498" s="519">
        <f t="shared" ca="1" si="615"/>
        <v>0</v>
      </c>
      <c r="AL498" s="519">
        <f t="shared" ca="1" si="616"/>
        <v>0</v>
      </c>
      <c r="AM498" s="519">
        <f t="shared" ca="1" si="617"/>
        <v>0</v>
      </c>
      <c r="AN498" s="519">
        <f t="shared" ca="1" si="618"/>
        <v>0</v>
      </c>
      <c r="AO498" s="519">
        <f t="shared" ca="1" si="619"/>
        <v>0</v>
      </c>
      <c r="AP498" s="519">
        <f t="shared" ca="1" si="620"/>
        <v>0</v>
      </c>
      <c r="AQ498" s="519">
        <f t="shared" ca="1" si="621"/>
        <v>0</v>
      </c>
    </row>
    <row r="499" spans="1:43" x14ac:dyDescent="0.3">
      <c r="A499" s="556">
        <f t="shared" si="608"/>
        <v>3</v>
      </c>
      <c r="B499" s="519" t="str">
        <f t="shared" si="622"/>
        <v>BEN</v>
      </c>
      <c r="C499" s="519" t="str">
        <f>Volumes!H10</f>
        <v>Meridian</v>
      </c>
      <c r="D499" s="519" t="str">
        <f>Volumes!I10</f>
        <v>BEN0162 BEN0</v>
      </c>
      <c r="E499" s="519">
        <f>Volumes!J10</f>
        <v>0</v>
      </c>
      <c r="G499" s="525"/>
      <c r="H499" s="519">
        <f ca="1">_xlfn.IFNA(IF(VLOOKUP($B499&amp;OFFSET(H$10,$A499*2,0),'Mapping A'!$B$6:$E$1011,4,0)=1,$E499,""),0)</f>
        <v>0</v>
      </c>
      <c r="I499" s="519">
        <f ca="1">_xlfn.IFNA(IF(VLOOKUP($B499&amp;OFFSET(I$10,$A499*2,0),'Mapping A'!$B$6:$E$1011,4,0)=1,$E499,""),0)</f>
        <v>0</v>
      </c>
      <c r="J499" s="519">
        <f ca="1">_xlfn.IFNA(IF(VLOOKUP($B499&amp;OFFSET(J$10,$A499*2,0),'Mapping A'!$B$6:$E$1011,4,0)=1,$E499,""),0)</f>
        <v>0</v>
      </c>
      <c r="K499" s="519">
        <f ca="1">_xlfn.IFNA(IF(VLOOKUP($B499&amp;OFFSET(K$10,$A499*2,0),'Mapping A'!$B$6:$E$1011,4,0)=1,$E499,""),0)</f>
        <v>0</v>
      </c>
      <c r="L499" s="519">
        <f ca="1">_xlfn.IFNA(IF(VLOOKUP($B499&amp;OFFSET(L$10,$A499*2,0),'Mapping A'!$B$6:$E$1011,4,0)=1,$E499,""),0)</f>
        <v>0</v>
      </c>
      <c r="M499" s="519">
        <f ca="1">_xlfn.IFNA(IF(VLOOKUP($B499&amp;OFFSET(M$10,$A499*2,0),'Mapping A'!$B$6:$E$1011,4,0)=1,$E499,""),0)</f>
        <v>0</v>
      </c>
      <c r="N499" s="519">
        <f ca="1">_xlfn.IFNA(IF(VLOOKUP($B499&amp;OFFSET(N$10,$A499*2,0),'Mapping A'!$B$6:$E$1011,4,0)=1,$E499,""),0)</f>
        <v>0</v>
      </c>
      <c r="O499" s="519">
        <f ca="1">_xlfn.IFNA(IF(VLOOKUP($B499&amp;OFFSET(O$10,$A499*2,0),'Mapping A'!$B$6:$E$1011,4,0)=1,$E499,""),0)</f>
        <v>0</v>
      </c>
      <c r="P499" s="519">
        <f ca="1">_xlfn.IFNA(IF(VLOOKUP($B499&amp;OFFSET(P$10,$A499*2,0),'Mapping A'!$B$6:$E$1011,4,0)=1,$E499,""),0)</f>
        <v>0</v>
      </c>
      <c r="Q499" s="519">
        <f ca="1">_xlfn.IFNA(IF(VLOOKUP($B499&amp;OFFSET(Q$10,$A499*2,0),'Mapping A'!$B$6:$E$1011,4,0)=1,$E499,""),0)</f>
        <v>0</v>
      </c>
      <c r="R499" s="519">
        <f ca="1">_xlfn.IFNA(IF(VLOOKUP($B499&amp;OFFSET(R$10,$A499*2,0),'Mapping A'!$B$6:$E$1011,4,0)=1,$E499,""),0)</f>
        <v>0</v>
      </c>
      <c r="S499" s="519">
        <f ca="1">_xlfn.IFNA(IF(VLOOKUP($B499&amp;OFFSET(S$10,$A499*2,0),'Mapping A'!$B$6:$E$1011,4,0)=1,$E499,""),0)</f>
        <v>0</v>
      </c>
      <c r="T499" s="519">
        <f ca="1">_xlfn.IFNA(IF(VLOOKUP($B499&amp;OFFSET(T$10,$A499*2,0),'Mapping A'!$B$6:$E$1011,4,0)=1,$E499,""),0)</f>
        <v>0</v>
      </c>
      <c r="Y499" s="534" t="str">
        <f t="shared" si="623"/>
        <v>BEN0162 BEN0Meridian</v>
      </c>
      <c r="Z499" s="519" t="str">
        <f>Volumes!H10</f>
        <v>Meridian</v>
      </c>
      <c r="AA499" s="519" t="str">
        <f>Volumes!I10</f>
        <v>BEN0162 BEN0</v>
      </c>
      <c r="AB499" s="519">
        <f>Volumes!J10</f>
        <v>0</v>
      </c>
      <c r="AC499" s="170"/>
      <c r="AE499" s="519">
        <f t="shared" ca="1" si="609"/>
        <v>0</v>
      </c>
      <c r="AF499" s="519">
        <f t="shared" ca="1" si="610"/>
        <v>0</v>
      </c>
      <c r="AG499" s="519">
        <f t="shared" ca="1" si="611"/>
        <v>0</v>
      </c>
      <c r="AH499" s="519">
        <f t="shared" ca="1" si="612"/>
        <v>0</v>
      </c>
      <c r="AI499" s="519">
        <f t="shared" ca="1" si="613"/>
        <v>0</v>
      </c>
      <c r="AJ499" s="519">
        <f t="shared" ca="1" si="614"/>
        <v>0</v>
      </c>
      <c r="AK499" s="519">
        <f t="shared" ca="1" si="615"/>
        <v>0</v>
      </c>
      <c r="AL499" s="519">
        <f t="shared" ca="1" si="616"/>
        <v>0</v>
      </c>
      <c r="AM499" s="519">
        <f t="shared" ca="1" si="617"/>
        <v>0</v>
      </c>
      <c r="AN499" s="519">
        <f t="shared" ca="1" si="618"/>
        <v>0</v>
      </c>
      <c r="AO499" s="519">
        <f t="shared" ca="1" si="619"/>
        <v>0</v>
      </c>
      <c r="AP499" s="519">
        <f t="shared" ca="1" si="620"/>
        <v>0</v>
      </c>
      <c r="AQ499" s="519">
        <f t="shared" ca="1" si="621"/>
        <v>0</v>
      </c>
    </row>
    <row r="500" spans="1:43" x14ac:dyDescent="0.3">
      <c r="A500" s="556">
        <f t="shared" si="608"/>
        <v>3</v>
      </c>
      <c r="B500" s="519" t="str">
        <f t="shared" si="622"/>
        <v>BEN</v>
      </c>
      <c r="C500" s="519" t="str">
        <f>Volumes!H11</f>
        <v>Meridian</v>
      </c>
      <c r="D500" s="519" t="str">
        <f>Volumes!I11</f>
        <v>BEN0163 BEN0</v>
      </c>
      <c r="E500" s="519">
        <f>Volumes!J11</f>
        <v>0</v>
      </c>
      <c r="G500" s="525"/>
      <c r="H500" s="519">
        <f ca="1">_xlfn.IFNA(IF(VLOOKUP($B500&amp;OFFSET(H$10,$A500*2,0),'Mapping A'!$B$6:$E$1011,4,0)=1,$E500,""),0)</f>
        <v>0</v>
      </c>
      <c r="I500" s="519">
        <f ca="1">_xlfn.IFNA(IF(VLOOKUP($B500&amp;OFFSET(I$10,$A500*2,0),'Mapping A'!$B$6:$E$1011,4,0)=1,$E500,""),0)</f>
        <v>0</v>
      </c>
      <c r="J500" s="519">
        <f ca="1">_xlfn.IFNA(IF(VLOOKUP($B500&amp;OFFSET(J$10,$A500*2,0),'Mapping A'!$B$6:$E$1011,4,0)=1,$E500,""),0)</f>
        <v>0</v>
      </c>
      <c r="K500" s="519">
        <f ca="1">_xlfn.IFNA(IF(VLOOKUP($B500&amp;OFFSET(K$10,$A500*2,0),'Mapping A'!$B$6:$E$1011,4,0)=1,$E500,""),0)</f>
        <v>0</v>
      </c>
      <c r="L500" s="519">
        <f ca="1">_xlfn.IFNA(IF(VLOOKUP($B500&amp;OFFSET(L$10,$A500*2,0),'Mapping A'!$B$6:$E$1011,4,0)=1,$E500,""),0)</f>
        <v>0</v>
      </c>
      <c r="M500" s="519">
        <f ca="1">_xlfn.IFNA(IF(VLOOKUP($B500&amp;OFFSET(M$10,$A500*2,0),'Mapping A'!$B$6:$E$1011,4,0)=1,$E500,""),0)</f>
        <v>0</v>
      </c>
      <c r="N500" s="519">
        <f ca="1">_xlfn.IFNA(IF(VLOOKUP($B500&amp;OFFSET(N$10,$A500*2,0),'Mapping A'!$B$6:$E$1011,4,0)=1,$E500,""),0)</f>
        <v>0</v>
      </c>
      <c r="O500" s="519">
        <f ca="1">_xlfn.IFNA(IF(VLOOKUP($B500&amp;OFFSET(O$10,$A500*2,0),'Mapping A'!$B$6:$E$1011,4,0)=1,$E500,""),0)</f>
        <v>0</v>
      </c>
      <c r="P500" s="519">
        <f ca="1">_xlfn.IFNA(IF(VLOOKUP($B500&amp;OFFSET(P$10,$A500*2,0),'Mapping A'!$B$6:$E$1011,4,0)=1,$E500,""),0)</f>
        <v>0</v>
      </c>
      <c r="Q500" s="519">
        <f ca="1">_xlfn.IFNA(IF(VLOOKUP($B500&amp;OFFSET(Q$10,$A500*2,0),'Mapping A'!$B$6:$E$1011,4,0)=1,$E500,""),0)</f>
        <v>0</v>
      </c>
      <c r="R500" s="519">
        <f ca="1">_xlfn.IFNA(IF(VLOOKUP($B500&amp;OFFSET(R$10,$A500*2,0),'Mapping A'!$B$6:$E$1011,4,0)=1,$E500,""),0)</f>
        <v>0</v>
      </c>
      <c r="S500" s="519">
        <f ca="1">_xlfn.IFNA(IF(VLOOKUP($B500&amp;OFFSET(S$10,$A500*2,0),'Mapping A'!$B$6:$E$1011,4,0)=1,$E500,""),0)</f>
        <v>0</v>
      </c>
      <c r="T500" s="519">
        <f ca="1">_xlfn.IFNA(IF(VLOOKUP($B500&amp;OFFSET(T$10,$A500*2,0),'Mapping A'!$B$6:$E$1011,4,0)=1,$E500,""),0)</f>
        <v>0</v>
      </c>
      <c r="Y500" s="534" t="str">
        <f t="shared" si="623"/>
        <v>BEN0163 BEN0Meridian</v>
      </c>
      <c r="Z500" s="519" t="str">
        <f>Volumes!H11</f>
        <v>Meridian</v>
      </c>
      <c r="AA500" s="519" t="str">
        <f>Volumes!I11</f>
        <v>BEN0163 BEN0</v>
      </c>
      <c r="AB500" s="519">
        <f>Volumes!J11</f>
        <v>0</v>
      </c>
      <c r="AC500" s="170"/>
      <c r="AE500" s="519">
        <f t="shared" ca="1" si="609"/>
        <v>0</v>
      </c>
      <c r="AF500" s="519">
        <f t="shared" ca="1" si="610"/>
        <v>0</v>
      </c>
      <c r="AG500" s="519">
        <f t="shared" ca="1" si="611"/>
        <v>0</v>
      </c>
      <c r="AH500" s="519">
        <f t="shared" ca="1" si="612"/>
        <v>0</v>
      </c>
      <c r="AI500" s="519">
        <f t="shared" ca="1" si="613"/>
        <v>0</v>
      </c>
      <c r="AJ500" s="519">
        <f t="shared" ca="1" si="614"/>
        <v>0</v>
      </c>
      <c r="AK500" s="519">
        <f t="shared" ca="1" si="615"/>
        <v>0</v>
      </c>
      <c r="AL500" s="519">
        <f t="shared" ca="1" si="616"/>
        <v>0</v>
      </c>
      <c r="AM500" s="519">
        <f t="shared" ca="1" si="617"/>
        <v>0</v>
      </c>
      <c r="AN500" s="519">
        <f t="shared" ca="1" si="618"/>
        <v>0</v>
      </c>
      <c r="AO500" s="519">
        <f t="shared" ca="1" si="619"/>
        <v>0</v>
      </c>
      <c r="AP500" s="519">
        <f t="shared" ca="1" si="620"/>
        <v>0</v>
      </c>
      <c r="AQ500" s="519">
        <f t="shared" ca="1" si="621"/>
        <v>0</v>
      </c>
    </row>
    <row r="501" spans="1:43" x14ac:dyDescent="0.3">
      <c r="A501" s="556">
        <f t="shared" si="608"/>
        <v>3</v>
      </c>
      <c r="B501" s="519" t="str">
        <f t="shared" si="622"/>
        <v>BEN</v>
      </c>
      <c r="C501" s="519" t="str">
        <f>Volumes!H12</f>
        <v>Meridian</v>
      </c>
      <c r="D501" s="519" t="str">
        <f>Volumes!I12</f>
        <v>BEN2202 BEN0</v>
      </c>
      <c r="E501" s="519">
        <f>Volumes!J12</f>
        <v>3305.1107430050024</v>
      </c>
      <c r="G501" s="525"/>
      <c r="H501" s="519">
        <f ca="1">_xlfn.IFNA(IF(VLOOKUP($B501&amp;OFFSET(H$10,$A501*2,0),'Mapping A'!$B$6:$E$1011,4,0)=1,$E501,""),0)</f>
        <v>0</v>
      </c>
      <c r="I501" s="519">
        <f ca="1">_xlfn.IFNA(IF(VLOOKUP($B501&amp;OFFSET(I$10,$A501*2,0),'Mapping A'!$B$6:$E$1011,4,0)=1,$E501,""),0)</f>
        <v>3305.1107430050024</v>
      </c>
      <c r="J501" s="519">
        <f ca="1">_xlfn.IFNA(IF(VLOOKUP($B501&amp;OFFSET(J$10,$A501*2,0),'Mapping A'!$B$6:$E$1011,4,0)=1,$E501,""),0)</f>
        <v>3305.1107430050024</v>
      </c>
      <c r="K501" s="519">
        <f ca="1">_xlfn.IFNA(IF(VLOOKUP($B501&amp;OFFSET(K$10,$A501*2,0),'Mapping A'!$B$6:$E$1011,4,0)=1,$E501,""),0)</f>
        <v>0</v>
      </c>
      <c r="L501" s="519">
        <f ca="1">_xlfn.IFNA(IF(VLOOKUP($B501&amp;OFFSET(L$10,$A501*2,0),'Mapping A'!$B$6:$E$1011,4,0)=1,$E501,""),0)</f>
        <v>0</v>
      </c>
      <c r="M501" s="519">
        <f ca="1">_xlfn.IFNA(IF(VLOOKUP($B501&amp;OFFSET(M$10,$A501*2,0),'Mapping A'!$B$6:$E$1011,4,0)=1,$E501,""),0)</f>
        <v>0</v>
      </c>
      <c r="N501" s="519">
        <f ca="1">_xlfn.IFNA(IF(VLOOKUP($B501&amp;OFFSET(N$10,$A501*2,0),'Mapping A'!$B$6:$E$1011,4,0)=1,$E501,""),0)</f>
        <v>0</v>
      </c>
      <c r="O501" s="519">
        <f ca="1">_xlfn.IFNA(IF(VLOOKUP($B501&amp;OFFSET(O$10,$A501*2,0),'Mapping A'!$B$6:$E$1011,4,0)=1,$E501,""),0)</f>
        <v>0</v>
      </c>
      <c r="P501" s="519">
        <f ca="1">_xlfn.IFNA(IF(VLOOKUP($B501&amp;OFFSET(P$10,$A501*2,0),'Mapping A'!$B$6:$E$1011,4,0)=1,$E501,""),0)</f>
        <v>0</v>
      </c>
      <c r="Q501" s="519">
        <f ca="1">_xlfn.IFNA(IF(VLOOKUP($B501&amp;OFFSET(Q$10,$A501*2,0),'Mapping A'!$B$6:$E$1011,4,0)=1,$E501,""),0)</f>
        <v>0</v>
      </c>
      <c r="R501" s="519">
        <f ca="1">_xlfn.IFNA(IF(VLOOKUP($B501&amp;OFFSET(R$10,$A501*2,0),'Mapping A'!$B$6:$E$1011,4,0)=1,$E501,""),0)</f>
        <v>0</v>
      </c>
      <c r="S501" s="519">
        <f ca="1">_xlfn.IFNA(IF(VLOOKUP($B501&amp;OFFSET(S$10,$A501*2,0),'Mapping A'!$B$6:$E$1011,4,0)=1,$E501,""),0)</f>
        <v>0</v>
      </c>
      <c r="T501" s="519">
        <f ca="1">_xlfn.IFNA(IF(VLOOKUP($B501&amp;OFFSET(T$10,$A501*2,0),'Mapping A'!$B$6:$E$1011,4,0)=1,$E501,""),0)</f>
        <v>0</v>
      </c>
      <c r="Y501" s="534" t="str">
        <f t="shared" si="623"/>
        <v>BEN2202 BEN0Meridian</v>
      </c>
      <c r="Z501" s="519" t="str">
        <f>Volumes!H12</f>
        <v>Meridian</v>
      </c>
      <c r="AA501" s="519" t="str">
        <f>Volumes!I12</f>
        <v>BEN2202 BEN0</v>
      </c>
      <c r="AB501" s="519">
        <f>Volumes!J12</f>
        <v>3305.1107430050024</v>
      </c>
      <c r="AC501" s="170"/>
      <c r="AE501" s="519">
        <f t="shared" ca="1" si="609"/>
        <v>0</v>
      </c>
      <c r="AF501" s="519">
        <f t="shared" ca="1" si="610"/>
        <v>0</v>
      </c>
      <c r="AG501" s="519">
        <f t="shared" ca="1" si="611"/>
        <v>0</v>
      </c>
      <c r="AH501" s="519">
        <f t="shared" ca="1" si="612"/>
        <v>0</v>
      </c>
      <c r="AI501" s="519">
        <f t="shared" ca="1" si="613"/>
        <v>0</v>
      </c>
      <c r="AJ501" s="519">
        <f t="shared" ca="1" si="614"/>
        <v>0</v>
      </c>
      <c r="AK501" s="519">
        <f t="shared" ca="1" si="615"/>
        <v>0</v>
      </c>
      <c r="AL501" s="519">
        <f t="shared" ca="1" si="616"/>
        <v>0</v>
      </c>
      <c r="AM501" s="519">
        <f t="shared" ca="1" si="617"/>
        <v>0</v>
      </c>
      <c r="AN501" s="519">
        <f t="shared" ca="1" si="618"/>
        <v>0</v>
      </c>
      <c r="AO501" s="519">
        <f t="shared" ca="1" si="619"/>
        <v>0</v>
      </c>
      <c r="AP501" s="519">
        <f t="shared" ca="1" si="620"/>
        <v>0</v>
      </c>
      <c r="AQ501" s="519">
        <f t="shared" ca="1" si="621"/>
        <v>0</v>
      </c>
    </row>
    <row r="502" spans="1:43" x14ac:dyDescent="0.3">
      <c r="A502" s="556">
        <f t="shared" si="608"/>
        <v>3</v>
      </c>
      <c r="B502" s="519" t="str">
        <f t="shared" si="622"/>
        <v>BWK</v>
      </c>
      <c r="C502" s="519" t="str">
        <f>Volumes!H13</f>
        <v>Trustpower</v>
      </c>
      <c r="D502" s="519" t="str">
        <f>Volumes!I13</f>
        <v>BWK1101 WPI0</v>
      </c>
      <c r="E502" s="519">
        <f>Volumes!J13</f>
        <v>119.69324265499999</v>
      </c>
      <c r="G502" s="525"/>
      <c r="H502" s="519">
        <f ca="1">_xlfn.IFNA(IF(VLOOKUP($B502&amp;OFFSET(H$10,$A502*2,0),'Mapping A'!$B$6:$E$1011,4,0)=1,$E502,""),0)</f>
        <v>0</v>
      </c>
      <c r="I502" s="519">
        <f ca="1">_xlfn.IFNA(IF(VLOOKUP($B502&amp;OFFSET(I$10,$A502*2,0),'Mapping A'!$B$6:$E$1011,4,0)=1,$E502,""),0)</f>
        <v>119.69324265499999</v>
      </c>
      <c r="J502" s="519">
        <f ca="1">_xlfn.IFNA(IF(VLOOKUP($B502&amp;OFFSET(J$10,$A502*2,0),'Mapping A'!$B$6:$E$1011,4,0)=1,$E502,""),0)</f>
        <v>119.69324265499999</v>
      </c>
      <c r="K502" s="519">
        <f ca="1">_xlfn.IFNA(IF(VLOOKUP($B502&amp;OFFSET(K$10,$A502*2,0),'Mapping A'!$B$6:$E$1011,4,0)=1,$E502,""),0)</f>
        <v>0</v>
      </c>
      <c r="L502" s="519">
        <f ca="1">_xlfn.IFNA(IF(VLOOKUP($B502&amp;OFFSET(L$10,$A502*2,0),'Mapping A'!$B$6:$E$1011,4,0)=1,$E502,""),0)</f>
        <v>119.69324265499999</v>
      </c>
      <c r="M502" s="519">
        <f ca="1">_xlfn.IFNA(IF(VLOOKUP($B502&amp;OFFSET(M$10,$A502*2,0),'Mapping A'!$B$6:$E$1011,4,0)=1,$E502,""),0)</f>
        <v>0</v>
      </c>
      <c r="N502" s="519">
        <f ca="1">_xlfn.IFNA(IF(VLOOKUP($B502&amp;OFFSET(N$10,$A502*2,0),'Mapping A'!$B$6:$E$1011,4,0)=1,$E502,""),0)</f>
        <v>0</v>
      </c>
      <c r="O502" s="519">
        <f ca="1">_xlfn.IFNA(IF(VLOOKUP($B502&amp;OFFSET(O$10,$A502*2,0),'Mapping A'!$B$6:$E$1011,4,0)=1,$E502,""),0)</f>
        <v>0</v>
      </c>
      <c r="P502" s="519">
        <f ca="1">_xlfn.IFNA(IF(VLOOKUP($B502&amp;OFFSET(P$10,$A502*2,0),'Mapping A'!$B$6:$E$1011,4,0)=1,$E502,""),0)</f>
        <v>0</v>
      </c>
      <c r="Q502" s="519">
        <f ca="1">_xlfn.IFNA(IF(VLOOKUP($B502&amp;OFFSET(Q$10,$A502*2,0),'Mapping A'!$B$6:$E$1011,4,0)=1,$E502,""),0)</f>
        <v>0</v>
      </c>
      <c r="R502" s="519">
        <f ca="1">_xlfn.IFNA(IF(VLOOKUP($B502&amp;OFFSET(R$10,$A502*2,0),'Mapping A'!$B$6:$E$1011,4,0)=1,$E502,""),0)</f>
        <v>0</v>
      </c>
      <c r="S502" s="519">
        <f ca="1">_xlfn.IFNA(IF(VLOOKUP($B502&amp;OFFSET(S$10,$A502*2,0),'Mapping A'!$B$6:$E$1011,4,0)=1,$E502,""),0)</f>
        <v>0</v>
      </c>
      <c r="T502" s="519">
        <f ca="1">_xlfn.IFNA(IF(VLOOKUP($B502&amp;OFFSET(T$10,$A502*2,0),'Mapping A'!$B$6:$E$1011,4,0)=1,$E502,""),0)</f>
        <v>0</v>
      </c>
      <c r="Y502" s="534" t="str">
        <f t="shared" si="623"/>
        <v>BWK1101 WPI0Trustpower</v>
      </c>
      <c r="Z502" s="519" t="str">
        <f>Volumes!H13</f>
        <v>Trustpower</v>
      </c>
      <c r="AA502" s="519" t="str">
        <f>Volumes!I13</f>
        <v>BWK1101 WPI0</v>
      </c>
      <c r="AB502" s="519">
        <f>Volumes!J13</f>
        <v>119.69324265499999</v>
      </c>
      <c r="AC502" s="170"/>
      <c r="AE502" s="519">
        <f t="shared" ca="1" si="609"/>
        <v>0</v>
      </c>
      <c r="AF502" s="519">
        <f t="shared" ca="1" si="610"/>
        <v>0</v>
      </c>
      <c r="AG502" s="519">
        <f t="shared" ca="1" si="611"/>
        <v>0</v>
      </c>
      <c r="AH502" s="519">
        <f t="shared" ca="1" si="612"/>
        <v>0</v>
      </c>
      <c r="AI502" s="519">
        <f t="shared" ca="1" si="613"/>
        <v>0</v>
      </c>
      <c r="AJ502" s="519">
        <f t="shared" ca="1" si="614"/>
        <v>0</v>
      </c>
      <c r="AK502" s="519">
        <f t="shared" ca="1" si="615"/>
        <v>0</v>
      </c>
      <c r="AL502" s="519">
        <f t="shared" ca="1" si="616"/>
        <v>0</v>
      </c>
      <c r="AM502" s="519">
        <f t="shared" ca="1" si="617"/>
        <v>0</v>
      </c>
      <c r="AN502" s="519">
        <f t="shared" ca="1" si="618"/>
        <v>0</v>
      </c>
      <c r="AO502" s="519">
        <f t="shared" ca="1" si="619"/>
        <v>0</v>
      </c>
      <c r="AP502" s="519">
        <f t="shared" ca="1" si="620"/>
        <v>0</v>
      </c>
      <c r="AQ502" s="519">
        <f t="shared" ca="1" si="621"/>
        <v>0</v>
      </c>
    </row>
    <row r="503" spans="1:43" x14ac:dyDescent="0.3">
      <c r="A503" s="556">
        <f t="shared" si="608"/>
        <v>3</v>
      </c>
      <c r="B503" s="519" t="str">
        <f t="shared" si="622"/>
        <v>COB</v>
      </c>
      <c r="C503" s="519" t="str">
        <f>Volumes!H14</f>
        <v>Trustpower</v>
      </c>
      <c r="D503" s="519" t="str">
        <f>Volumes!I14</f>
        <v>COB0661 COB0</v>
      </c>
      <c r="E503" s="519">
        <f>Volumes!J14</f>
        <v>0</v>
      </c>
      <c r="G503" s="525"/>
      <c r="H503" s="519">
        <f ca="1">_xlfn.IFNA(IF(VLOOKUP($B503&amp;OFFSET(H$10,$A503*2,0),'Mapping A'!$B$6:$E$1011,4,0)=1,$E503,""),0)</f>
        <v>0</v>
      </c>
      <c r="I503" s="519">
        <f ca="1">_xlfn.IFNA(IF(VLOOKUP($B503&amp;OFFSET(I$10,$A503*2,0),'Mapping A'!$B$6:$E$1011,4,0)=1,$E503,""),0)</f>
        <v>0</v>
      </c>
      <c r="J503" s="519">
        <f ca="1">_xlfn.IFNA(IF(VLOOKUP($B503&amp;OFFSET(J$10,$A503*2,0),'Mapping A'!$B$6:$E$1011,4,0)=1,$E503,""),0)</f>
        <v>0</v>
      </c>
      <c r="K503" s="519">
        <f ca="1">_xlfn.IFNA(IF(VLOOKUP($B503&amp;OFFSET(K$10,$A503*2,0),'Mapping A'!$B$6:$E$1011,4,0)=1,$E503,""),0)</f>
        <v>0</v>
      </c>
      <c r="L503" s="519">
        <f ca="1">_xlfn.IFNA(IF(VLOOKUP($B503&amp;OFFSET(L$10,$A503*2,0),'Mapping A'!$B$6:$E$1011,4,0)=1,$E503,""),0)</f>
        <v>0</v>
      </c>
      <c r="M503" s="519">
        <f ca="1">_xlfn.IFNA(IF(VLOOKUP($B503&amp;OFFSET(M$10,$A503*2,0),'Mapping A'!$B$6:$E$1011,4,0)=1,$E503,""),0)</f>
        <v>0</v>
      </c>
      <c r="N503" s="519">
        <f ca="1">_xlfn.IFNA(IF(VLOOKUP($B503&amp;OFFSET(N$10,$A503*2,0),'Mapping A'!$B$6:$E$1011,4,0)=1,$E503,""),0)</f>
        <v>0</v>
      </c>
      <c r="O503" s="519">
        <f ca="1">_xlfn.IFNA(IF(VLOOKUP($B503&amp;OFFSET(O$10,$A503*2,0),'Mapping A'!$B$6:$E$1011,4,0)=1,$E503,""),0)</f>
        <v>0</v>
      </c>
      <c r="P503" s="519">
        <f ca="1">_xlfn.IFNA(IF(VLOOKUP($B503&amp;OFFSET(P$10,$A503*2,0),'Mapping A'!$B$6:$E$1011,4,0)=1,$E503,""),0)</f>
        <v>0</v>
      </c>
      <c r="Q503" s="519">
        <f ca="1">_xlfn.IFNA(IF(VLOOKUP($B503&amp;OFFSET(Q$10,$A503*2,0),'Mapping A'!$B$6:$E$1011,4,0)=1,$E503,""),0)</f>
        <v>0</v>
      </c>
      <c r="R503" s="519">
        <f ca="1">_xlfn.IFNA(IF(VLOOKUP($B503&amp;OFFSET(R$10,$A503*2,0),'Mapping A'!$B$6:$E$1011,4,0)=1,$E503,""),0)</f>
        <v>0</v>
      </c>
      <c r="S503" s="519">
        <f ca="1">_xlfn.IFNA(IF(VLOOKUP($B503&amp;OFFSET(S$10,$A503*2,0),'Mapping A'!$B$6:$E$1011,4,0)=1,$E503,""),0)</f>
        <v>0</v>
      </c>
      <c r="T503" s="519">
        <f ca="1">_xlfn.IFNA(IF(VLOOKUP($B503&amp;OFFSET(T$10,$A503*2,0),'Mapping A'!$B$6:$E$1011,4,0)=1,$E503,""),0)</f>
        <v>0</v>
      </c>
      <c r="Y503" s="534" t="str">
        <f t="shared" si="623"/>
        <v>COB0661 COB0Trustpower</v>
      </c>
      <c r="Z503" s="519" t="str">
        <f>Volumes!H14</f>
        <v>Trustpower</v>
      </c>
      <c r="AA503" s="519" t="str">
        <f>Volumes!I14</f>
        <v>COB0661 COB0</v>
      </c>
      <c r="AB503" s="519">
        <f>Volumes!J14</f>
        <v>0</v>
      </c>
      <c r="AC503" s="170"/>
      <c r="AE503" s="519">
        <f t="shared" ca="1" si="609"/>
        <v>0</v>
      </c>
      <c r="AF503" s="519">
        <f t="shared" ca="1" si="610"/>
        <v>0</v>
      </c>
      <c r="AG503" s="519">
        <f t="shared" ca="1" si="611"/>
        <v>0</v>
      </c>
      <c r="AH503" s="519">
        <f t="shared" ca="1" si="612"/>
        <v>0</v>
      </c>
      <c r="AI503" s="519">
        <f t="shared" ca="1" si="613"/>
        <v>0</v>
      </c>
      <c r="AJ503" s="519">
        <f t="shared" ca="1" si="614"/>
        <v>0</v>
      </c>
      <c r="AK503" s="519">
        <f t="shared" ca="1" si="615"/>
        <v>0</v>
      </c>
      <c r="AL503" s="519">
        <f t="shared" ca="1" si="616"/>
        <v>0</v>
      </c>
      <c r="AM503" s="519">
        <f t="shared" ca="1" si="617"/>
        <v>0</v>
      </c>
      <c r="AN503" s="519">
        <f t="shared" ca="1" si="618"/>
        <v>0</v>
      </c>
      <c r="AO503" s="519">
        <f t="shared" ca="1" si="619"/>
        <v>0</v>
      </c>
      <c r="AP503" s="519">
        <f t="shared" ca="1" si="620"/>
        <v>0</v>
      </c>
      <c r="AQ503" s="519">
        <f t="shared" ca="1" si="621"/>
        <v>0</v>
      </c>
    </row>
    <row r="504" spans="1:43" x14ac:dyDescent="0.3">
      <c r="A504" s="556">
        <f t="shared" si="608"/>
        <v>3</v>
      </c>
      <c r="B504" s="519" t="str">
        <f t="shared" si="622"/>
        <v>COL</v>
      </c>
      <c r="C504" s="519" t="str">
        <f>Volumes!H15</f>
        <v>Trustpower</v>
      </c>
      <c r="D504" s="519" t="str">
        <f>Volumes!I15</f>
        <v>COL0661 COL0</v>
      </c>
      <c r="E504" s="519">
        <f>Volumes!J15</f>
        <v>254.70686206499911</v>
      </c>
      <c r="G504" s="525"/>
      <c r="H504" s="519">
        <f ca="1">_xlfn.IFNA(IF(VLOOKUP($B504&amp;OFFSET(H$10,$A504*2,0),'Mapping A'!$B$6:$E$1011,4,0)=1,$E504,""),0)</f>
        <v>0</v>
      </c>
      <c r="I504" s="519">
        <f ca="1">_xlfn.IFNA(IF(VLOOKUP($B504&amp;OFFSET(I$10,$A504*2,0),'Mapping A'!$B$6:$E$1011,4,0)=1,$E504,""),0)</f>
        <v>254.70686206499911</v>
      </c>
      <c r="J504" s="519">
        <f ca="1">_xlfn.IFNA(IF(VLOOKUP($B504&amp;OFFSET(J$10,$A504*2,0),'Mapping A'!$B$6:$E$1011,4,0)=1,$E504,""),0)</f>
        <v>254.70686206499911</v>
      </c>
      <c r="K504" s="519">
        <f ca="1">_xlfn.IFNA(IF(VLOOKUP($B504&amp;OFFSET(K$10,$A504*2,0),'Mapping A'!$B$6:$E$1011,4,0)=1,$E504,""),0)</f>
        <v>0</v>
      </c>
      <c r="L504" s="519">
        <f ca="1">_xlfn.IFNA(IF(VLOOKUP($B504&amp;OFFSET(L$10,$A504*2,0),'Mapping A'!$B$6:$E$1011,4,0)=1,$E504,""),0)</f>
        <v>0</v>
      </c>
      <c r="M504" s="519">
        <f ca="1">_xlfn.IFNA(IF(VLOOKUP($B504&amp;OFFSET(M$10,$A504*2,0),'Mapping A'!$B$6:$E$1011,4,0)=1,$E504,""),0)</f>
        <v>0</v>
      </c>
      <c r="N504" s="519">
        <f ca="1">_xlfn.IFNA(IF(VLOOKUP($B504&amp;OFFSET(N$10,$A504*2,0),'Mapping A'!$B$6:$E$1011,4,0)=1,$E504,""),0)</f>
        <v>0</v>
      </c>
      <c r="O504" s="519">
        <f ca="1">_xlfn.IFNA(IF(VLOOKUP($B504&amp;OFFSET(O$10,$A504*2,0),'Mapping A'!$B$6:$E$1011,4,0)=1,$E504,""),0)</f>
        <v>0</v>
      </c>
      <c r="P504" s="519">
        <f ca="1">_xlfn.IFNA(IF(VLOOKUP($B504&amp;OFFSET(P$10,$A504*2,0),'Mapping A'!$B$6:$E$1011,4,0)=1,$E504,""),0)</f>
        <v>0</v>
      </c>
      <c r="Q504" s="519">
        <f ca="1">_xlfn.IFNA(IF(VLOOKUP($B504&amp;OFFSET(Q$10,$A504*2,0),'Mapping A'!$B$6:$E$1011,4,0)=1,$E504,""),0)</f>
        <v>0</v>
      </c>
      <c r="R504" s="519">
        <f ca="1">_xlfn.IFNA(IF(VLOOKUP($B504&amp;OFFSET(R$10,$A504*2,0),'Mapping A'!$B$6:$E$1011,4,0)=1,$E504,""),0)</f>
        <v>0</v>
      </c>
      <c r="S504" s="519">
        <f ca="1">_xlfn.IFNA(IF(VLOOKUP($B504&amp;OFFSET(S$10,$A504*2,0),'Mapping A'!$B$6:$E$1011,4,0)=1,$E504,""),0)</f>
        <v>0</v>
      </c>
      <c r="T504" s="519">
        <f ca="1">_xlfn.IFNA(IF(VLOOKUP($B504&amp;OFFSET(T$10,$A504*2,0),'Mapping A'!$B$6:$E$1011,4,0)=1,$E504,""),0)</f>
        <v>0</v>
      </c>
      <c r="Y504" s="534" t="str">
        <f t="shared" si="623"/>
        <v>COL0661 COL0Trustpower</v>
      </c>
      <c r="Z504" s="519" t="str">
        <f>Volumes!H15</f>
        <v>Trustpower</v>
      </c>
      <c r="AA504" s="519" t="str">
        <f>Volumes!I15</f>
        <v>COL0661 COL0</v>
      </c>
      <c r="AB504" s="519">
        <f>Volumes!J15</f>
        <v>254.70686206499911</v>
      </c>
      <c r="AC504" s="170"/>
      <c r="AE504" s="519">
        <f t="shared" ca="1" si="609"/>
        <v>0</v>
      </c>
      <c r="AF504" s="519">
        <f t="shared" ca="1" si="610"/>
        <v>0</v>
      </c>
      <c r="AG504" s="519">
        <f t="shared" ca="1" si="611"/>
        <v>0</v>
      </c>
      <c r="AH504" s="519">
        <f t="shared" ca="1" si="612"/>
        <v>0</v>
      </c>
      <c r="AI504" s="519">
        <f t="shared" ca="1" si="613"/>
        <v>0</v>
      </c>
      <c r="AJ504" s="519">
        <f t="shared" ca="1" si="614"/>
        <v>0</v>
      </c>
      <c r="AK504" s="519">
        <f t="shared" ca="1" si="615"/>
        <v>0</v>
      </c>
      <c r="AL504" s="519">
        <f t="shared" ca="1" si="616"/>
        <v>0</v>
      </c>
      <c r="AM504" s="519">
        <f t="shared" ca="1" si="617"/>
        <v>0</v>
      </c>
      <c r="AN504" s="519">
        <f t="shared" ca="1" si="618"/>
        <v>0</v>
      </c>
      <c r="AO504" s="519">
        <f t="shared" ca="1" si="619"/>
        <v>0</v>
      </c>
      <c r="AP504" s="519">
        <f t="shared" ca="1" si="620"/>
        <v>0</v>
      </c>
      <c r="AQ504" s="519">
        <f t="shared" ca="1" si="621"/>
        <v>0</v>
      </c>
    </row>
    <row r="505" spans="1:43" x14ac:dyDescent="0.3">
      <c r="A505" s="556">
        <f t="shared" si="608"/>
        <v>3</v>
      </c>
      <c r="B505" s="519" t="str">
        <f t="shared" si="622"/>
        <v>CYD</v>
      </c>
      <c r="C505" s="519" t="str">
        <f>Volumes!H16</f>
        <v>Contact</v>
      </c>
      <c r="D505" s="519" t="str">
        <f>Volumes!I16</f>
        <v>CYD2201 CYD0</v>
      </c>
      <c r="E505" s="519">
        <f>Volumes!J16</f>
        <v>2276.1180091300048</v>
      </c>
      <c r="G505" s="525"/>
      <c r="H505" s="519">
        <f ca="1">_xlfn.IFNA(IF(VLOOKUP($B505&amp;OFFSET(H$10,$A505*2,0),'Mapping A'!$B$6:$E$1011,4,0)=1,$E505,""),0)</f>
        <v>0</v>
      </c>
      <c r="I505" s="519">
        <f ca="1">_xlfn.IFNA(IF(VLOOKUP($B505&amp;OFFSET(I$10,$A505*2,0),'Mapping A'!$B$6:$E$1011,4,0)=1,$E505,""),0)</f>
        <v>2276.1180091300048</v>
      </c>
      <c r="J505" s="519">
        <f ca="1">_xlfn.IFNA(IF(VLOOKUP($B505&amp;OFFSET(J$10,$A505*2,0),'Mapping A'!$B$6:$E$1011,4,0)=1,$E505,""),0)</f>
        <v>2276.1180091300048</v>
      </c>
      <c r="K505" s="519">
        <f ca="1">_xlfn.IFNA(IF(VLOOKUP($B505&amp;OFFSET(K$10,$A505*2,0),'Mapping A'!$B$6:$E$1011,4,0)=1,$E505,""),0)</f>
        <v>0</v>
      </c>
      <c r="L505" s="519">
        <f ca="1">_xlfn.IFNA(IF(VLOOKUP($B505&amp;OFFSET(L$10,$A505*2,0),'Mapping A'!$B$6:$E$1011,4,0)=1,$E505,""),0)</f>
        <v>2276.1180091300048</v>
      </c>
      <c r="M505" s="519">
        <f ca="1">_xlfn.IFNA(IF(VLOOKUP($B505&amp;OFFSET(M$10,$A505*2,0),'Mapping A'!$B$6:$E$1011,4,0)=1,$E505,""),0)</f>
        <v>0</v>
      </c>
      <c r="N505" s="519">
        <f ca="1">_xlfn.IFNA(IF(VLOOKUP($B505&amp;OFFSET(N$10,$A505*2,0),'Mapping A'!$B$6:$E$1011,4,0)=1,$E505,""),0)</f>
        <v>0</v>
      </c>
      <c r="O505" s="519">
        <f ca="1">_xlfn.IFNA(IF(VLOOKUP($B505&amp;OFFSET(O$10,$A505*2,0),'Mapping A'!$B$6:$E$1011,4,0)=1,$E505,""),0)</f>
        <v>0</v>
      </c>
      <c r="P505" s="519">
        <f ca="1">_xlfn.IFNA(IF(VLOOKUP($B505&amp;OFFSET(P$10,$A505*2,0),'Mapping A'!$B$6:$E$1011,4,0)=1,$E505,""),0)</f>
        <v>0</v>
      </c>
      <c r="Q505" s="519">
        <f ca="1">_xlfn.IFNA(IF(VLOOKUP($B505&amp;OFFSET(Q$10,$A505*2,0),'Mapping A'!$B$6:$E$1011,4,0)=1,$E505,""),0)</f>
        <v>0</v>
      </c>
      <c r="R505" s="519">
        <f ca="1">_xlfn.IFNA(IF(VLOOKUP($B505&amp;OFFSET(R$10,$A505*2,0),'Mapping A'!$B$6:$E$1011,4,0)=1,$E505,""),0)</f>
        <v>0</v>
      </c>
      <c r="S505" s="519">
        <f ca="1">_xlfn.IFNA(IF(VLOOKUP($B505&amp;OFFSET(S$10,$A505*2,0),'Mapping A'!$B$6:$E$1011,4,0)=1,$E505,""),0)</f>
        <v>0</v>
      </c>
      <c r="T505" s="519">
        <f ca="1">_xlfn.IFNA(IF(VLOOKUP($B505&amp;OFFSET(T$10,$A505*2,0),'Mapping A'!$B$6:$E$1011,4,0)=1,$E505,""),0)</f>
        <v>0</v>
      </c>
      <c r="Y505" s="534" t="str">
        <f t="shared" si="623"/>
        <v>CYD2201 CYD0Contact</v>
      </c>
      <c r="Z505" s="519" t="str">
        <f>Volumes!H16</f>
        <v>Contact</v>
      </c>
      <c r="AA505" s="519" t="str">
        <f>Volumes!I16</f>
        <v>CYD2201 CYD0</v>
      </c>
      <c r="AB505" s="519">
        <f>Volumes!J16</f>
        <v>2276.1180091300048</v>
      </c>
      <c r="AC505" s="170"/>
      <c r="AE505" s="519">
        <f t="shared" ca="1" si="609"/>
        <v>0</v>
      </c>
      <c r="AF505" s="519">
        <f t="shared" ca="1" si="610"/>
        <v>0</v>
      </c>
      <c r="AG505" s="519">
        <f t="shared" ca="1" si="611"/>
        <v>0</v>
      </c>
      <c r="AH505" s="519">
        <f t="shared" ca="1" si="612"/>
        <v>0</v>
      </c>
      <c r="AI505" s="519">
        <f t="shared" ca="1" si="613"/>
        <v>0</v>
      </c>
      <c r="AJ505" s="519">
        <f t="shared" ca="1" si="614"/>
        <v>0</v>
      </c>
      <c r="AK505" s="519">
        <f t="shared" ca="1" si="615"/>
        <v>0</v>
      </c>
      <c r="AL505" s="519">
        <f t="shared" ca="1" si="616"/>
        <v>0</v>
      </c>
      <c r="AM505" s="519">
        <f t="shared" ca="1" si="617"/>
        <v>0</v>
      </c>
      <c r="AN505" s="519">
        <f t="shared" ca="1" si="618"/>
        <v>0</v>
      </c>
      <c r="AO505" s="519">
        <f t="shared" ca="1" si="619"/>
        <v>0</v>
      </c>
      <c r="AP505" s="519">
        <f t="shared" ca="1" si="620"/>
        <v>0</v>
      </c>
      <c r="AQ505" s="519">
        <f t="shared" ca="1" si="621"/>
        <v>0</v>
      </c>
    </row>
    <row r="506" spans="1:43" x14ac:dyDescent="0.3">
      <c r="A506" s="556">
        <f t="shared" si="608"/>
        <v>3</v>
      </c>
      <c r="B506" s="519" t="str">
        <f t="shared" si="622"/>
        <v>GLN</v>
      </c>
      <c r="C506" s="519" t="str">
        <f>Volumes!H17</f>
        <v>NZ Steel</v>
      </c>
      <c r="D506" s="519" t="str">
        <f>Volumes!I17</f>
        <v>GLN0332 GLN0</v>
      </c>
      <c r="E506" s="519">
        <f>Volumes!J17</f>
        <v>422.62400000000002</v>
      </c>
      <c r="G506" s="525"/>
      <c r="H506" s="519">
        <f ca="1">_xlfn.IFNA(IF(VLOOKUP($B506&amp;OFFSET(H$10,$A506*2,0),'Mapping A'!$B$6:$E$1011,4,0)=1,$E506,""),0)</f>
        <v>0</v>
      </c>
      <c r="I506" s="519">
        <f ca="1">_xlfn.IFNA(IF(VLOOKUP($B506&amp;OFFSET(I$10,$A506*2,0),'Mapping A'!$B$6:$E$1011,4,0)=1,$E506,""),0)</f>
        <v>0</v>
      </c>
      <c r="J506" s="519">
        <f ca="1">_xlfn.IFNA(IF(VLOOKUP($B506&amp;OFFSET(J$10,$A506*2,0),'Mapping A'!$B$6:$E$1011,4,0)=1,$E506,""),0)</f>
        <v>0</v>
      </c>
      <c r="K506" s="519">
        <f ca="1">_xlfn.IFNA(IF(VLOOKUP($B506&amp;OFFSET(K$10,$A506*2,0),'Mapping A'!$B$6:$E$1011,4,0)=1,$E506,""),0)</f>
        <v>0</v>
      </c>
      <c r="L506" s="519">
        <f ca="1">_xlfn.IFNA(IF(VLOOKUP($B506&amp;OFFSET(L$10,$A506*2,0),'Mapping A'!$B$6:$E$1011,4,0)=1,$E506,""),0)</f>
        <v>0</v>
      </c>
      <c r="M506" s="519">
        <f ca="1">_xlfn.IFNA(IF(VLOOKUP($B506&amp;OFFSET(M$10,$A506*2,0),'Mapping A'!$B$6:$E$1011,4,0)=1,$E506,""),0)</f>
        <v>0</v>
      </c>
      <c r="N506" s="519">
        <f ca="1">_xlfn.IFNA(IF(VLOOKUP($B506&amp;OFFSET(N$10,$A506*2,0),'Mapping A'!$B$6:$E$1011,4,0)=1,$E506,""),0)</f>
        <v>0</v>
      </c>
      <c r="O506" s="519">
        <f ca="1">_xlfn.IFNA(IF(VLOOKUP($B506&amp;OFFSET(O$10,$A506*2,0),'Mapping A'!$B$6:$E$1011,4,0)=1,$E506,""),0)</f>
        <v>422.62400000000002</v>
      </c>
      <c r="P506" s="519">
        <f ca="1">_xlfn.IFNA(IF(VLOOKUP($B506&amp;OFFSET(P$10,$A506*2,0),'Mapping A'!$B$6:$E$1011,4,0)=1,$E506,""),0)</f>
        <v>0</v>
      </c>
      <c r="Q506" s="519">
        <f ca="1">_xlfn.IFNA(IF(VLOOKUP($B506&amp;OFFSET(Q$10,$A506*2,0),'Mapping A'!$B$6:$E$1011,4,0)=1,$E506,""),0)</f>
        <v>0</v>
      </c>
      <c r="R506" s="519">
        <f ca="1">_xlfn.IFNA(IF(VLOOKUP($B506&amp;OFFSET(R$10,$A506*2,0),'Mapping A'!$B$6:$E$1011,4,0)=1,$E506,""),0)</f>
        <v>0</v>
      </c>
      <c r="S506" s="519">
        <f ca="1">_xlfn.IFNA(IF(VLOOKUP($B506&amp;OFFSET(S$10,$A506*2,0),'Mapping A'!$B$6:$E$1011,4,0)=1,$E506,""),0)</f>
        <v>0</v>
      </c>
      <c r="T506" s="519">
        <f ca="1">_xlfn.IFNA(IF(VLOOKUP($B506&amp;OFFSET(T$10,$A506*2,0),'Mapping A'!$B$6:$E$1011,4,0)=1,$E506,""),0)</f>
        <v>0</v>
      </c>
      <c r="Y506" s="534" t="str">
        <f t="shared" si="623"/>
        <v>GLN0332 GLN0NZ Steel</v>
      </c>
      <c r="Z506" s="519" t="str">
        <f>Volumes!H17</f>
        <v>NZ Steel</v>
      </c>
      <c r="AA506" s="519" t="str">
        <f>Volumes!I17</f>
        <v>GLN0332 GLN0</v>
      </c>
      <c r="AB506" s="519">
        <f>Volumes!J17</f>
        <v>422.62400000000002</v>
      </c>
      <c r="AC506" s="170"/>
      <c r="AE506" s="519">
        <f t="shared" ca="1" si="609"/>
        <v>0</v>
      </c>
      <c r="AF506" s="519">
        <f t="shared" ca="1" si="610"/>
        <v>0</v>
      </c>
      <c r="AG506" s="519">
        <f t="shared" ca="1" si="611"/>
        <v>0</v>
      </c>
      <c r="AH506" s="519">
        <f t="shared" ca="1" si="612"/>
        <v>0</v>
      </c>
      <c r="AI506" s="519">
        <f t="shared" ca="1" si="613"/>
        <v>0</v>
      </c>
      <c r="AJ506" s="519">
        <f t="shared" ca="1" si="614"/>
        <v>0</v>
      </c>
      <c r="AK506" s="519">
        <f t="shared" ca="1" si="615"/>
        <v>0</v>
      </c>
      <c r="AL506" s="519">
        <f t="shared" ca="1" si="616"/>
        <v>4.89389649992013E-2</v>
      </c>
      <c r="AM506" s="519">
        <f t="shared" ca="1" si="617"/>
        <v>0</v>
      </c>
      <c r="AN506" s="519">
        <f t="shared" ca="1" si="618"/>
        <v>0</v>
      </c>
      <c r="AO506" s="519">
        <f t="shared" ca="1" si="619"/>
        <v>0</v>
      </c>
      <c r="AP506" s="519">
        <f t="shared" ca="1" si="620"/>
        <v>0</v>
      </c>
      <c r="AQ506" s="519">
        <f t="shared" ca="1" si="621"/>
        <v>0</v>
      </c>
    </row>
    <row r="507" spans="1:43" x14ac:dyDescent="0.3">
      <c r="A507" s="556">
        <f t="shared" si="608"/>
        <v>3</v>
      </c>
      <c r="B507" s="519" t="str">
        <f t="shared" si="622"/>
        <v>HLY</v>
      </c>
      <c r="C507" s="519" t="str">
        <f>Volumes!H18</f>
        <v>Genesis</v>
      </c>
      <c r="D507" s="519" t="str">
        <f>Volumes!I18</f>
        <v>HLY2201 HLY1</v>
      </c>
      <c r="E507" s="519">
        <f>Volumes!J18</f>
        <v>1316.8613849449937</v>
      </c>
      <c r="G507" s="525"/>
      <c r="H507" s="519">
        <f ca="1">_xlfn.IFNA(IF(VLOOKUP($B507&amp;OFFSET(H$10,$A507*2,0),'Mapping A'!$B$6:$E$1011,4,0)=1,$E507,""),0)</f>
        <v>0</v>
      </c>
      <c r="I507" s="519">
        <f ca="1">_xlfn.IFNA(IF(VLOOKUP($B507&amp;OFFSET(I$10,$A507*2,0),'Mapping A'!$B$6:$E$1011,4,0)=1,$E507,""),0)</f>
        <v>0</v>
      </c>
      <c r="J507" s="519">
        <f ca="1">_xlfn.IFNA(IF(VLOOKUP($B507&amp;OFFSET(J$10,$A507*2,0),'Mapping A'!$B$6:$E$1011,4,0)=1,$E507,""),0)</f>
        <v>0</v>
      </c>
      <c r="K507" s="519">
        <f ca="1">_xlfn.IFNA(IF(VLOOKUP($B507&amp;OFFSET(K$10,$A507*2,0),'Mapping A'!$B$6:$E$1011,4,0)=1,$E507,""),0)</f>
        <v>0</v>
      </c>
      <c r="L507" s="519">
        <f ca="1">_xlfn.IFNA(IF(VLOOKUP($B507&amp;OFFSET(L$10,$A507*2,0),'Mapping A'!$B$6:$E$1011,4,0)=1,$E507,""),0)</f>
        <v>0</v>
      </c>
      <c r="M507" s="519">
        <f ca="1">_xlfn.IFNA(IF(VLOOKUP($B507&amp;OFFSET(M$10,$A507*2,0),'Mapping A'!$B$6:$E$1011,4,0)=1,$E507,""),0)</f>
        <v>0</v>
      </c>
      <c r="N507" s="519">
        <f ca="1">_xlfn.IFNA(IF(VLOOKUP($B507&amp;OFFSET(N$10,$A507*2,0),'Mapping A'!$B$6:$E$1011,4,0)=1,$E507,""),0)</f>
        <v>0</v>
      </c>
      <c r="O507" s="519">
        <f ca="1">_xlfn.IFNA(IF(VLOOKUP($B507&amp;OFFSET(O$10,$A507*2,0),'Mapping A'!$B$6:$E$1011,4,0)=1,$E507,""),0)</f>
        <v>1316.8613849449937</v>
      </c>
      <c r="P507" s="519">
        <f ca="1">_xlfn.IFNA(IF(VLOOKUP($B507&amp;OFFSET(P$10,$A507*2,0),'Mapping A'!$B$6:$E$1011,4,0)=1,$E507,""),0)</f>
        <v>0</v>
      </c>
      <c r="Q507" s="519">
        <f ca="1">_xlfn.IFNA(IF(VLOOKUP($B507&amp;OFFSET(Q$10,$A507*2,0),'Mapping A'!$B$6:$E$1011,4,0)=1,$E507,""),0)</f>
        <v>0</v>
      </c>
      <c r="R507" s="519">
        <f ca="1">_xlfn.IFNA(IF(VLOOKUP($B507&amp;OFFSET(R$10,$A507*2,0),'Mapping A'!$B$6:$E$1011,4,0)=1,$E507,""),0)</f>
        <v>0</v>
      </c>
      <c r="S507" s="519">
        <f ca="1">_xlfn.IFNA(IF(VLOOKUP($B507&amp;OFFSET(S$10,$A507*2,0),'Mapping A'!$B$6:$E$1011,4,0)=1,$E507,""),0)</f>
        <v>0</v>
      </c>
      <c r="T507" s="519">
        <f ca="1">_xlfn.IFNA(IF(VLOOKUP($B507&amp;OFFSET(T$10,$A507*2,0),'Mapping A'!$B$6:$E$1011,4,0)=1,$E507,""),0)</f>
        <v>0</v>
      </c>
      <c r="Y507" s="534" t="str">
        <f t="shared" si="623"/>
        <v>HLY2201 HLY1Genesis</v>
      </c>
      <c r="Z507" s="519" t="str">
        <f>Volumes!H18</f>
        <v>Genesis</v>
      </c>
      <c r="AA507" s="519" t="str">
        <f>Volumes!I18</f>
        <v>HLY2201 HLY1</v>
      </c>
      <c r="AB507" s="519">
        <f>Volumes!J18</f>
        <v>1316.8613849449937</v>
      </c>
      <c r="AC507" s="170"/>
      <c r="AE507" s="519">
        <f t="shared" ca="1" si="609"/>
        <v>0</v>
      </c>
      <c r="AF507" s="519">
        <f t="shared" ca="1" si="610"/>
        <v>0</v>
      </c>
      <c r="AG507" s="519">
        <f t="shared" ca="1" si="611"/>
        <v>0</v>
      </c>
      <c r="AH507" s="519">
        <f t="shared" ca="1" si="612"/>
        <v>0</v>
      </c>
      <c r="AI507" s="519">
        <f t="shared" ca="1" si="613"/>
        <v>0</v>
      </c>
      <c r="AJ507" s="519">
        <f t="shared" ca="1" si="614"/>
        <v>0</v>
      </c>
      <c r="AK507" s="519">
        <f t="shared" ca="1" si="615"/>
        <v>0</v>
      </c>
      <c r="AL507" s="519">
        <f t="shared" ca="1" si="616"/>
        <v>0.15248976212099358</v>
      </c>
      <c r="AM507" s="519">
        <f t="shared" ca="1" si="617"/>
        <v>0</v>
      </c>
      <c r="AN507" s="519">
        <f t="shared" ca="1" si="618"/>
        <v>0</v>
      </c>
      <c r="AO507" s="519">
        <f t="shared" ca="1" si="619"/>
        <v>0</v>
      </c>
      <c r="AP507" s="519">
        <f t="shared" ca="1" si="620"/>
        <v>0</v>
      </c>
      <c r="AQ507" s="519">
        <f t="shared" ca="1" si="621"/>
        <v>0</v>
      </c>
    </row>
    <row r="508" spans="1:43" x14ac:dyDescent="0.3">
      <c r="A508" s="556">
        <f t="shared" si="608"/>
        <v>3</v>
      </c>
      <c r="B508" s="519" t="str">
        <f t="shared" si="622"/>
        <v>HLY</v>
      </c>
      <c r="C508" s="519" t="str">
        <f>Volumes!H19</f>
        <v>Genesis</v>
      </c>
      <c r="D508" s="519" t="str">
        <f>Volumes!I19</f>
        <v>HLY2201 HLY2</v>
      </c>
      <c r="E508" s="519">
        <f>Volumes!J19</f>
        <v>1318.2925439199983</v>
      </c>
      <c r="G508" s="525"/>
      <c r="H508" s="519">
        <f ca="1">_xlfn.IFNA(IF(VLOOKUP($B508&amp;OFFSET(H$10,$A508*2,0),'Mapping A'!$B$6:$E$1011,4,0)=1,$E508,""),0)</f>
        <v>0</v>
      </c>
      <c r="I508" s="519">
        <f ca="1">_xlfn.IFNA(IF(VLOOKUP($B508&amp;OFFSET(I$10,$A508*2,0),'Mapping A'!$B$6:$E$1011,4,0)=1,$E508,""),0)</f>
        <v>0</v>
      </c>
      <c r="J508" s="519">
        <f ca="1">_xlfn.IFNA(IF(VLOOKUP($B508&amp;OFFSET(J$10,$A508*2,0),'Mapping A'!$B$6:$E$1011,4,0)=1,$E508,""),0)</f>
        <v>0</v>
      </c>
      <c r="K508" s="519">
        <f ca="1">_xlfn.IFNA(IF(VLOOKUP($B508&amp;OFFSET(K$10,$A508*2,0),'Mapping A'!$B$6:$E$1011,4,0)=1,$E508,""),0)</f>
        <v>0</v>
      </c>
      <c r="L508" s="519">
        <f ca="1">_xlfn.IFNA(IF(VLOOKUP($B508&amp;OFFSET(L$10,$A508*2,0),'Mapping A'!$B$6:$E$1011,4,0)=1,$E508,""),0)</f>
        <v>0</v>
      </c>
      <c r="M508" s="519">
        <f ca="1">_xlfn.IFNA(IF(VLOOKUP($B508&amp;OFFSET(M$10,$A508*2,0),'Mapping A'!$B$6:$E$1011,4,0)=1,$E508,""),0)</f>
        <v>0</v>
      </c>
      <c r="N508" s="519">
        <f ca="1">_xlfn.IFNA(IF(VLOOKUP($B508&amp;OFFSET(N$10,$A508*2,0),'Mapping A'!$B$6:$E$1011,4,0)=1,$E508,""),0)</f>
        <v>0</v>
      </c>
      <c r="O508" s="519">
        <f ca="1">_xlfn.IFNA(IF(VLOOKUP($B508&amp;OFFSET(O$10,$A508*2,0),'Mapping A'!$B$6:$E$1011,4,0)=1,$E508,""),0)</f>
        <v>1318.2925439199983</v>
      </c>
      <c r="P508" s="519">
        <f ca="1">_xlfn.IFNA(IF(VLOOKUP($B508&amp;OFFSET(P$10,$A508*2,0),'Mapping A'!$B$6:$E$1011,4,0)=1,$E508,""),0)</f>
        <v>0</v>
      </c>
      <c r="Q508" s="519">
        <f ca="1">_xlfn.IFNA(IF(VLOOKUP($B508&amp;OFFSET(Q$10,$A508*2,0),'Mapping A'!$B$6:$E$1011,4,0)=1,$E508,""),0)</f>
        <v>0</v>
      </c>
      <c r="R508" s="519">
        <f ca="1">_xlfn.IFNA(IF(VLOOKUP($B508&amp;OFFSET(R$10,$A508*2,0),'Mapping A'!$B$6:$E$1011,4,0)=1,$E508,""),0)</f>
        <v>0</v>
      </c>
      <c r="S508" s="519">
        <f ca="1">_xlfn.IFNA(IF(VLOOKUP($B508&amp;OFFSET(S$10,$A508*2,0),'Mapping A'!$B$6:$E$1011,4,0)=1,$E508,""),0)</f>
        <v>0</v>
      </c>
      <c r="T508" s="519">
        <f ca="1">_xlfn.IFNA(IF(VLOOKUP($B508&amp;OFFSET(T$10,$A508*2,0),'Mapping A'!$B$6:$E$1011,4,0)=1,$E508,""),0)</f>
        <v>0</v>
      </c>
      <c r="Y508" s="534" t="str">
        <f t="shared" si="623"/>
        <v>HLY2201 HLY2Genesis</v>
      </c>
      <c r="Z508" s="519" t="str">
        <f>Volumes!H19</f>
        <v>Genesis</v>
      </c>
      <c r="AA508" s="519" t="str">
        <f>Volumes!I19</f>
        <v>HLY2201 HLY2</v>
      </c>
      <c r="AB508" s="519">
        <f>Volumes!J19</f>
        <v>1318.2925439199983</v>
      </c>
      <c r="AC508" s="170"/>
      <c r="AE508" s="519">
        <f t="shared" ca="1" si="609"/>
        <v>0</v>
      </c>
      <c r="AF508" s="519">
        <f t="shared" ca="1" si="610"/>
        <v>0</v>
      </c>
      <c r="AG508" s="519">
        <f t="shared" ca="1" si="611"/>
        <v>0</v>
      </c>
      <c r="AH508" s="519">
        <f t="shared" ca="1" si="612"/>
        <v>0</v>
      </c>
      <c r="AI508" s="519">
        <f t="shared" ca="1" si="613"/>
        <v>0</v>
      </c>
      <c r="AJ508" s="519">
        <f t="shared" ca="1" si="614"/>
        <v>0</v>
      </c>
      <c r="AK508" s="519">
        <f t="shared" ca="1" si="615"/>
        <v>0</v>
      </c>
      <c r="AL508" s="519">
        <f t="shared" ca="1" si="616"/>
        <v>0.15265548730220913</v>
      </c>
      <c r="AM508" s="519">
        <f t="shared" ca="1" si="617"/>
        <v>0</v>
      </c>
      <c r="AN508" s="519">
        <f t="shared" ca="1" si="618"/>
        <v>0</v>
      </c>
      <c r="AO508" s="519">
        <f t="shared" ca="1" si="619"/>
        <v>0</v>
      </c>
      <c r="AP508" s="519">
        <f t="shared" ca="1" si="620"/>
        <v>0</v>
      </c>
      <c r="AQ508" s="519">
        <f t="shared" ca="1" si="621"/>
        <v>0</v>
      </c>
    </row>
    <row r="509" spans="1:43" x14ac:dyDescent="0.3">
      <c r="A509" s="556">
        <f t="shared" si="608"/>
        <v>3</v>
      </c>
      <c r="B509" s="519" t="str">
        <f t="shared" si="622"/>
        <v>HLY</v>
      </c>
      <c r="C509" s="519" t="str">
        <f>Volumes!H20</f>
        <v>Genesis</v>
      </c>
      <c r="D509" s="519" t="str">
        <f>Volumes!I20</f>
        <v>HLY2201 HLY5</v>
      </c>
      <c r="E509" s="519">
        <f>Volumes!J20</f>
        <v>2400.7882988999991</v>
      </c>
      <c r="G509" s="525"/>
      <c r="H509" s="519">
        <f ca="1">_xlfn.IFNA(IF(VLOOKUP($B509&amp;OFFSET(H$10,$A509*2,0),'Mapping A'!$B$6:$E$1011,4,0)=1,$E509,""),0)</f>
        <v>0</v>
      </c>
      <c r="I509" s="519">
        <f ca="1">_xlfn.IFNA(IF(VLOOKUP($B509&amp;OFFSET(I$10,$A509*2,0),'Mapping A'!$B$6:$E$1011,4,0)=1,$E509,""),0)</f>
        <v>0</v>
      </c>
      <c r="J509" s="519">
        <f ca="1">_xlfn.IFNA(IF(VLOOKUP($B509&amp;OFFSET(J$10,$A509*2,0),'Mapping A'!$B$6:$E$1011,4,0)=1,$E509,""),0)</f>
        <v>0</v>
      </c>
      <c r="K509" s="519">
        <f ca="1">_xlfn.IFNA(IF(VLOOKUP($B509&amp;OFFSET(K$10,$A509*2,0),'Mapping A'!$B$6:$E$1011,4,0)=1,$E509,""),0)</f>
        <v>0</v>
      </c>
      <c r="L509" s="519">
        <f ca="1">_xlfn.IFNA(IF(VLOOKUP($B509&amp;OFFSET(L$10,$A509*2,0),'Mapping A'!$B$6:$E$1011,4,0)=1,$E509,""),0)</f>
        <v>0</v>
      </c>
      <c r="M509" s="519">
        <f ca="1">_xlfn.IFNA(IF(VLOOKUP($B509&amp;OFFSET(M$10,$A509*2,0),'Mapping A'!$B$6:$E$1011,4,0)=1,$E509,""),0)</f>
        <v>0</v>
      </c>
      <c r="N509" s="519">
        <f ca="1">_xlfn.IFNA(IF(VLOOKUP($B509&amp;OFFSET(N$10,$A509*2,0),'Mapping A'!$B$6:$E$1011,4,0)=1,$E509,""),0)</f>
        <v>0</v>
      </c>
      <c r="O509" s="519">
        <f ca="1">_xlfn.IFNA(IF(VLOOKUP($B509&amp;OFFSET(O$10,$A509*2,0),'Mapping A'!$B$6:$E$1011,4,0)=1,$E509,""),0)</f>
        <v>2400.7882988999991</v>
      </c>
      <c r="P509" s="519">
        <f ca="1">_xlfn.IFNA(IF(VLOOKUP($B509&amp;OFFSET(P$10,$A509*2,0),'Mapping A'!$B$6:$E$1011,4,0)=1,$E509,""),0)</f>
        <v>0</v>
      </c>
      <c r="Q509" s="519">
        <f ca="1">_xlfn.IFNA(IF(VLOOKUP($B509&amp;OFFSET(Q$10,$A509*2,0),'Mapping A'!$B$6:$E$1011,4,0)=1,$E509,""),0)</f>
        <v>0</v>
      </c>
      <c r="R509" s="519">
        <f ca="1">_xlfn.IFNA(IF(VLOOKUP($B509&amp;OFFSET(R$10,$A509*2,0),'Mapping A'!$B$6:$E$1011,4,0)=1,$E509,""),0)</f>
        <v>0</v>
      </c>
      <c r="S509" s="519">
        <f ca="1">_xlfn.IFNA(IF(VLOOKUP($B509&amp;OFFSET(S$10,$A509*2,0),'Mapping A'!$B$6:$E$1011,4,0)=1,$E509,""),0)</f>
        <v>0</v>
      </c>
      <c r="T509" s="519">
        <f ca="1">_xlfn.IFNA(IF(VLOOKUP($B509&amp;OFFSET(T$10,$A509*2,0),'Mapping A'!$B$6:$E$1011,4,0)=1,$E509,""),0)</f>
        <v>0</v>
      </c>
      <c r="Y509" s="534" t="str">
        <f t="shared" si="623"/>
        <v>HLY2201 HLY5Genesis</v>
      </c>
      <c r="Z509" s="519" t="str">
        <f>Volumes!H20</f>
        <v>Genesis</v>
      </c>
      <c r="AA509" s="519" t="str">
        <f>Volumes!I20</f>
        <v>HLY2201 HLY5</v>
      </c>
      <c r="AB509" s="519">
        <f>Volumes!J20</f>
        <v>2400.7882988999991</v>
      </c>
      <c r="AC509" s="170"/>
      <c r="AE509" s="519">
        <f t="shared" ca="1" si="609"/>
        <v>0</v>
      </c>
      <c r="AF509" s="519">
        <f t="shared" ca="1" si="610"/>
        <v>0</v>
      </c>
      <c r="AG509" s="519">
        <f t="shared" ca="1" si="611"/>
        <v>0</v>
      </c>
      <c r="AH509" s="519">
        <f t="shared" ca="1" si="612"/>
        <v>0</v>
      </c>
      <c r="AI509" s="519">
        <f t="shared" ca="1" si="613"/>
        <v>0</v>
      </c>
      <c r="AJ509" s="519">
        <f t="shared" ca="1" si="614"/>
        <v>0</v>
      </c>
      <c r="AK509" s="519">
        <f t="shared" ca="1" si="615"/>
        <v>0</v>
      </c>
      <c r="AL509" s="519">
        <f t="shared" ca="1" si="616"/>
        <v>0.27800620535123199</v>
      </c>
      <c r="AM509" s="519">
        <f t="shared" ca="1" si="617"/>
        <v>0</v>
      </c>
      <c r="AN509" s="519">
        <f t="shared" ca="1" si="618"/>
        <v>0</v>
      </c>
      <c r="AO509" s="519">
        <f t="shared" ca="1" si="619"/>
        <v>0</v>
      </c>
      <c r="AP509" s="519">
        <f t="shared" ca="1" si="620"/>
        <v>0</v>
      </c>
      <c r="AQ509" s="519">
        <f t="shared" ca="1" si="621"/>
        <v>0</v>
      </c>
    </row>
    <row r="510" spans="1:43" x14ac:dyDescent="0.3">
      <c r="A510" s="556">
        <f t="shared" si="608"/>
        <v>3</v>
      </c>
      <c r="B510" s="519" t="str">
        <f t="shared" si="622"/>
        <v>HLY</v>
      </c>
      <c r="C510" s="519" t="str">
        <f>Volumes!H21</f>
        <v>Genesis</v>
      </c>
      <c r="D510" s="519" t="str">
        <f>Volumes!I21</f>
        <v>HLY2201 HLY6</v>
      </c>
      <c r="E510" s="519">
        <f>Volumes!J21</f>
        <v>10.180175240000001</v>
      </c>
      <c r="G510" s="525"/>
      <c r="H510" s="519">
        <f ca="1">_xlfn.IFNA(IF(VLOOKUP($B510&amp;OFFSET(H$10,$A510*2,0),'Mapping A'!$B$6:$E$1011,4,0)=1,$E510,""),0)</f>
        <v>0</v>
      </c>
      <c r="I510" s="519">
        <f ca="1">_xlfn.IFNA(IF(VLOOKUP($B510&amp;OFFSET(I$10,$A510*2,0),'Mapping A'!$B$6:$E$1011,4,0)=1,$E510,""),0)</f>
        <v>0</v>
      </c>
      <c r="J510" s="519">
        <f ca="1">_xlfn.IFNA(IF(VLOOKUP($B510&amp;OFFSET(J$10,$A510*2,0),'Mapping A'!$B$6:$E$1011,4,0)=1,$E510,""),0)</f>
        <v>0</v>
      </c>
      <c r="K510" s="519">
        <f ca="1">_xlfn.IFNA(IF(VLOOKUP($B510&amp;OFFSET(K$10,$A510*2,0),'Mapping A'!$B$6:$E$1011,4,0)=1,$E510,""),0)</f>
        <v>0</v>
      </c>
      <c r="L510" s="519">
        <f ca="1">_xlfn.IFNA(IF(VLOOKUP($B510&amp;OFFSET(L$10,$A510*2,0),'Mapping A'!$B$6:$E$1011,4,0)=1,$E510,""),0)</f>
        <v>0</v>
      </c>
      <c r="M510" s="519">
        <f ca="1">_xlfn.IFNA(IF(VLOOKUP($B510&amp;OFFSET(M$10,$A510*2,0),'Mapping A'!$B$6:$E$1011,4,0)=1,$E510,""),0)</f>
        <v>0</v>
      </c>
      <c r="N510" s="519">
        <f ca="1">_xlfn.IFNA(IF(VLOOKUP($B510&amp;OFFSET(N$10,$A510*2,0),'Mapping A'!$B$6:$E$1011,4,0)=1,$E510,""),0)</f>
        <v>0</v>
      </c>
      <c r="O510" s="519">
        <f ca="1">_xlfn.IFNA(IF(VLOOKUP($B510&amp;OFFSET(O$10,$A510*2,0),'Mapping A'!$B$6:$E$1011,4,0)=1,$E510,""),0)</f>
        <v>10.180175240000001</v>
      </c>
      <c r="P510" s="519">
        <f ca="1">_xlfn.IFNA(IF(VLOOKUP($B510&amp;OFFSET(P$10,$A510*2,0),'Mapping A'!$B$6:$E$1011,4,0)=1,$E510,""),0)</f>
        <v>0</v>
      </c>
      <c r="Q510" s="519">
        <f ca="1">_xlfn.IFNA(IF(VLOOKUP($B510&amp;OFFSET(Q$10,$A510*2,0),'Mapping A'!$B$6:$E$1011,4,0)=1,$E510,""),0)</f>
        <v>0</v>
      </c>
      <c r="R510" s="519">
        <f ca="1">_xlfn.IFNA(IF(VLOOKUP($B510&amp;OFFSET(R$10,$A510*2,0),'Mapping A'!$B$6:$E$1011,4,0)=1,$E510,""),0)</f>
        <v>0</v>
      </c>
      <c r="S510" s="519">
        <f ca="1">_xlfn.IFNA(IF(VLOOKUP($B510&amp;OFFSET(S$10,$A510*2,0),'Mapping A'!$B$6:$E$1011,4,0)=1,$E510,""),0)</f>
        <v>0</v>
      </c>
      <c r="T510" s="519">
        <f ca="1">_xlfn.IFNA(IF(VLOOKUP($B510&amp;OFFSET(T$10,$A510*2,0),'Mapping A'!$B$6:$E$1011,4,0)=1,$E510,""),0)</f>
        <v>0</v>
      </c>
      <c r="Y510" s="534" t="str">
        <f t="shared" si="623"/>
        <v>HLY2201 HLY6Genesis</v>
      </c>
      <c r="Z510" s="519" t="str">
        <f>Volumes!H21</f>
        <v>Genesis</v>
      </c>
      <c r="AA510" s="519" t="str">
        <f>Volumes!I21</f>
        <v>HLY2201 HLY6</v>
      </c>
      <c r="AB510" s="519">
        <f>Volumes!J21</f>
        <v>10.180175240000001</v>
      </c>
      <c r="AC510" s="170"/>
      <c r="AE510" s="519">
        <f t="shared" ca="1" si="609"/>
        <v>0</v>
      </c>
      <c r="AF510" s="519">
        <f t="shared" ca="1" si="610"/>
        <v>0</v>
      </c>
      <c r="AG510" s="519">
        <f t="shared" ca="1" si="611"/>
        <v>0</v>
      </c>
      <c r="AH510" s="519">
        <f t="shared" ca="1" si="612"/>
        <v>0</v>
      </c>
      <c r="AI510" s="519">
        <f t="shared" ca="1" si="613"/>
        <v>0</v>
      </c>
      <c r="AJ510" s="519">
        <f t="shared" ca="1" si="614"/>
        <v>0</v>
      </c>
      <c r="AK510" s="519">
        <f t="shared" ca="1" si="615"/>
        <v>0</v>
      </c>
      <c r="AL510" s="519">
        <f t="shared" ca="1" si="616"/>
        <v>1.1788427532655403E-3</v>
      </c>
      <c r="AM510" s="519">
        <f t="shared" ca="1" si="617"/>
        <v>0</v>
      </c>
      <c r="AN510" s="519">
        <f t="shared" ca="1" si="618"/>
        <v>0</v>
      </c>
      <c r="AO510" s="519">
        <f t="shared" ca="1" si="619"/>
        <v>0</v>
      </c>
      <c r="AP510" s="519">
        <f t="shared" ca="1" si="620"/>
        <v>0</v>
      </c>
      <c r="AQ510" s="519">
        <f t="shared" ca="1" si="621"/>
        <v>0</v>
      </c>
    </row>
    <row r="511" spans="1:43" x14ac:dyDescent="0.3">
      <c r="A511" s="556">
        <f t="shared" si="608"/>
        <v>3</v>
      </c>
      <c r="B511" s="519" t="str">
        <f t="shared" si="622"/>
        <v>HWA</v>
      </c>
      <c r="C511" s="519" t="str">
        <f>Volumes!H22</f>
        <v>Trustpower</v>
      </c>
      <c r="D511" s="519" t="str">
        <f>Volumes!I22</f>
        <v>HWA1101 PTA1</v>
      </c>
      <c r="E511" s="519">
        <f>Volumes!J22</f>
        <v>31.39122661500004</v>
      </c>
      <c r="G511" s="525"/>
      <c r="H511" s="519">
        <f ca="1">_xlfn.IFNA(IF(VLOOKUP($B511&amp;OFFSET(H$10,$A511*2,0),'Mapping A'!$B$6:$E$1011,4,0)=1,$E511,""),0)</f>
        <v>0</v>
      </c>
      <c r="I511" s="519">
        <f ca="1">_xlfn.IFNA(IF(VLOOKUP($B511&amp;OFFSET(I$10,$A511*2,0),'Mapping A'!$B$6:$E$1011,4,0)=1,$E511,""),0)</f>
        <v>0</v>
      </c>
      <c r="J511" s="519">
        <f ca="1">_xlfn.IFNA(IF(VLOOKUP($B511&amp;OFFSET(J$10,$A511*2,0),'Mapping A'!$B$6:$E$1011,4,0)=1,$E511,""),0)</f>
        <v>0</v>
      </c>
      <c r="K511" s="519">
        <f ca="1">_xlfn.IFNA(IF(VLOOKUP($B511&amp;OFFSET(K$10,$A511*2,0),'Mapping A'!$B$6:$E$1011,4,0)=1,$E511,""),0)</f>
        <v>0</v>
      </c>
      <c r="L511" s="519">
        <f ca="1">_xlfn.IFNA(IF(VLOOKUP($B511&amp;OFFSET(L$10,$A511*2,0),'Mapping A'!$B$6:$E$1011,4,0)=1,$E511,""),0)</f>
        <v>0</v>
      </c>
      <c r="M511" s="519">
        <f ca="1">_xlfn.IFNA(IF(VLOOKUP($B511&amp;OFFSET(M$10,$A511*2,0),'Mapping A'!$B$6:$E$1011,4,0)=1,$E511,""),0)</f>
        <v>0</v>
      </c>
      <c r="N511" s="519">
        <f ca="1">_xlfn.IFNA(IF(VLOOKUP($B511&amp;OFFSET(N$10,$A511*2,0),'Mapping A'!$B$6:$E$1011,4,0)=1,$E511,""),0)</f>
        <v>0</v>
      </c>
      <c r="O511" s="519">
        <f ca="1">_xlfn.IFNA(IF(VLOOKUP($B511&amp;OFFSET(O$10,$A511*2,0),'Mapping A'!$B$6:$E$1011,4,0)=1,$E511,""),0)</f>
        <v>31.39122661500004</v>
      </c>
      <c r="P511" s="519">
        <f ca="1">_xlfn.IFNA(IF(VLOOKUP($B511&amp;OFFSET(P$10,$A511*2,0),'Mapping A'!$B$6:$E$1011,4,0)=1,$E511,""),0)</f>
        <v>0</v>
      </c>
      <c r="Q511" s="519">
        <f ca="1">_xlfn.IFNA(IF(VLOOKUP($B511&amp;OFFSET(Q$10,$A511*2,0),'Mapping A'!$B$6:$E$1011,4,0)=1,$E511,""),0)</f>
        <v>0</v>
      </c>
      <c r="R511" s="519">
        <f ca="1">_xlfn.IFNA(IF(VLOOKUP($B511&amp;OFFSET(R$10,$A511*2,0),'Mapping A'!$B$6:$E$1011,4,0)=1,$E511,""),0)</f>
        <v>0</v>
      </c>
      <c r="S511" s="519">
        <f ca="1">_xlfn.IFNA(IF(VLOOKUP($B511&amp;OFFSET(S$10,$A511*2,0),'Mapping A'!$B$6:$E$1011,4,0)=1,$E511,""),0)</f>
        <v>31.39122661500004</v>
      </c>
      <c r="T511" s="519">
        <f ca="1">_xlfn.IFNA(IF(VLOOKUP($B511&amp;OFFSET(T$10,$A511*2,0),'Mapping A'!$B$6:$E$1011,4,0)=1,$E511,""),0)</f>
        <v>0</v>
      </c>
      <c r="Y511" s="534" t="str">
        <f t="shared" si="623"/>
        <v>HWA1101 PTA1Trustpower</v>
      </c>
      <c r="Z511" s="519" t="str">
        <f>Volumes!H22</f>
        <v>Trustpower</v>
      </c>
      <c r="AA511" s="519" t="str">
        <f>Volumes!I22</f>
        <v>HWA1101 PTA1</v>
      </c>
      <c r="AB511" s="519">
        <f>Volumes!J22</f>
        <v>31.39122661500004</v>
      </c>
      <c r="AC511" s="170"/>
      <c r="AE511" s="519">
        <f t="shared" ca="1" si="609"/>
        <v>0</v>
      </c>
      <c r="AF511" s="519">
        <f t="shared" ca="1" si="610"/>
        <v>0</v>
      </c>
      <c r="AG511" s="519">
        <f t="shared" ca="1" si="611"/>
        <v>0</v>
      </c>
      <c r="AH511" s="519">
        <f t="shared" ca="1" si="612"/>
        <v>0</v>
      </c>
      <c r="AI511" s="519">
        <f t="shared" ca="1" si="613"/>
        <v>0</v>
      </c>
      <c r="AJ511" s="519">
        <f t="shared" ca="1" si="614"/>
        <v>0</v>
      </c>
      <c r="AK511" s="519">
        <f t="shared" ca="1" si="615"/>
        <v>0</v>
      </c>
      <c r="AL511" s="519">
        <f t="shared" ca="1" si="616"/>
        <v>3.6350376234986254E-3</v>
      </c>
      <c r="AM511" s="519">
        <f t="shared" ca="1" si="617"/>
        <v>0</v>
      </c>
      <c r="AN511" s="519">
        <f t="shared" ca="1" si="618"/>
        <v>0</v>
      </c>
      <c r="AO511" s="519">
        <f t="shared" ca="1" si="619"/>
        <v>0</v>
      </c>
      <c r="AP511" s="519">
        <f t="shared" ca="1" si="620"/>
        <v>0</v>
      </c>
      <c r="AQ511" s="519">
        <f t="shared" ca="1" si="621"/>
        <v>0</v>
      </c>
    </row>
    <row r="512" spans="1:43" x14ac:dyDescent="0.3">
      <c r="A512" s="556">
        <f t="shared" si="608"/>
        <v>3</v>
      </c>
      <c r="B512" s="519" t="str">
        <f t="shared" si="622"/>
        <v>HWA</v>
      </c>
      <c r="C512" s="519" t="str">
        <f>Volumes!H23</f>
        <v>Trustpower</v>
      </c>
      <c r="D512" s="519" t="str">
        <f>Volumes!I23</f>
        <v>HWA1101 PTA2</v>
      </c>
      <c r="E512" s="519">
        <f>Volumes!J23</f>
        <v>22.544891804999978</v>
      </c>
      <c r="G512" s="525"/>
      <c r="H512" s="519">
        <f ca="1">_xlfn.IFNA(IF(VLOOKUP($B512&amp;OFFSET(H$10,$A512*2,0),'Mapping A'!$B$6:$E$1011,4,0)=1,$E512,""),0)</f>
        <v>0</v>
      </c>
      <c r="I512" s="519">
        <f ca="1">_xlfn.IFNA(IF(VLOOKUP($B512&amp;OFFSET(I$10,$A512*2,0),'Mapping A'!$B$6:$E$1011,4,0)=1,$E512,""),0)</f>
        <v>0</v>
      </c>
      <c r="J512" s="519">
        <f ca="1">_xlfn.IFNA(IF(VLOOKUP($B512&amp;OFFSET(J$10,$A512*2,0),'Mapping A'!$B$6:$E$1011,4,0)=1,$E512,""),0)</f>
        <v>0</v>
      </c>
      <c r="K512" s="519">
        <f ca="1">_xlfn.IFNA(IF(VLOOKUP($B512&amp;OFFSET(K$10,$A512*2,0),'Mapping A'!$B$6:$E$1011,4,0)=1,$E512,""),0)</f>
        <v>0</v>
      </c>
      <c r="L512" s="519">
        <f ca="1">_xlfn.IFNA(IF(VLOOKUP($B512&amp;OFFSET(L$10,$A512*2,0),'Mapping A'!$B$6:$E$1011,4,0)=1,$E512,""),0)</f>
        <v>0</v>
      </c>
      <c r="M512" s="519">
        <f ca="1">_xlfn.IFNA(IF(VLOOKUP($B512&amp;OFFSET(M$10,$A512*2,0),'Mapping A'!$B$6:$E$1011,4,0)=1,$E512,""),0)</f>
        <v>0</v>
      </c>
      <c r="N512" s="519">
        <f ca="1">_xlfn.IFNA(IF(VLOOKUP($B512&amp;OFFSET(N$10,$A512*2,0),'Mapping A'!$B$6:$E$1011,4,0)=1,$E512,""),0)</f>
        <v>0</v>
      </c>
      <c r="O512" s="519">
        <f ca="1">_xlfn.IFNA(IF(VLOOKUP($B512&amp;OFFSET(O$10,$A512*2,0),'Mapping A'!$B$6:$E$1011,4,0)=1,$E512,""),0)</f>
        <v>22.544891804999978</v>
      </c>
      <c r="P512" s="519">
        <f ca="1">_xlfn.IFNA(IF(VLOOKUP($B512&amp;OFFSET(P$10,$A512*2,0),'Mapping A'!$B$6:$E$1011,4,0)=1,$E512,""),0)</f>
        <v>0</v>
      </c>
      <c r="Q512" s="519">
        <f ca="1">_xlfn.IFNA(IF(VLOOKUP($B512&amp;OFFSET(Q$10,$A512*2,0),'Mapping A'!$B$6:$E$1011,4,0)=1,$E512,""),0)</f>
        <v>0</v>
      </c>
      <c r="R512" s="519">
        <f ca="1">_xlfn.IFNA(IF(VLOOKUP($B512&amp;OFFSET(R$10,$A512*2,0),'Mapping A'!$B$6:$E$1011,4,0)=1,$E512,""),0)</f>
        <v>0</v>
      </c>
      <c r="S512" s="519">
        <f ca="1">_xlfn.IFNA(IF(VLOOKUP($B512&amp;OFFSET(S$10,$A512*2,0),'Mapping A'!$B$6:$E$1011,4,0)=1,$E512,""),0)</f>
        <v>22.544891804999978</v>
      </c>
      <c r="T512" s="519">
        <f ca="1">_xlfn.IFNA(IF(VLOOKUP($B512&amp;OFFSET(T$10,$A512*2,0),'Mapping A'!$B$6:$E$1011,4,0)=1,$E512,""),0)</f>
        <v>0</v>
      </c>
      <c r="Y512" s="534" t="str">
        <f t="shared" si="623"/>
        <v>HWA1101 PTA2Trustpower</v>
      </c>
      <c r="Z512" s="519" t="str">
        <f>Volumes!H23</f>
        <v>Trustpower</v>
      </c>
      <c r="AA512" s="519" t="str">
        <f>Volumes!I23</f>
        <v>HWA1101 PTA2</v>
      </c>
      <c r="AB512" s="519">
        <f>Volumes!J23</f>
        <v>22.544891804999978</v>
      </c>
      <c r="AC512" s="170"/>
      <c r="AE512" s="519">
        <f t="shared" ca="1" si="609"/>
        <v>0</v>
      </c>
      <c r="AF512" s="519">
        <f t="shared" ca="1" si="610"/>
        <v>0</v>
      </c>
      <c r="AG512" s="519">
        <f t="shared" ca="1" si="611"/>
        <v>0</v>
      </c>
      <c r="AH512" s="519">
        <f t="shared" ca="1" si="612"/>
        <v>0</v>
      </c>
      <c r="AI512" s="519">
        <f t="shared" ca="1" si="613"/>
        <v>0</v>
      </c>
      <c r="AJ512" s="519">
        <f t="shared" ca="1" si="614"/>
        <v>0</v>
      </c>
      <c r="AK512" s="519">
        <f t="shared" ca="1" si="615"/>
        <v>0</v>
      </c>
      <c r="AL512" s="519">
        <f t="shared" ca="1" si="616"/>
        <v>2.6106507698466582E-3</v>
      </c>
      <c r="AM512" s="519">
        <f t="shared" ca="1" si="617"/>
        <v>0</v>
      </c>
      <c r="AN512" s="519">
        <f t="shared" ca="1" si="618"/>
        <v>0</v>
      </c>
      <c r="AO512" s="519">
        <f t="shared" ca="1" si="619"/>
        <v>0</v>
      </c>
      <c r="AP512" s="519">
        <f t="shared" ca="1" si="620"/>
        <v>0</v>
      </c>
      <c r="AQ512" s="519">
        <f t="shared" ca="1" si="621"/>
        <v>0</v>
      </c>
    </row>
    <row r="513" spans="1:43" x14ac:dyDescent="0.3">
      <c r="A513" s="556">
        <f t="shared" si="608"/>
        <v>3</v>
      </c>
      <c r="B513" s="519" t="str">
        <f t="shared" si="622"/>
        <v>HWA</v>
      </c>
      <c r="C513" s="519" t="str">
        <f>Volumes!H24</f>
        <v>Trustpower</v>
      </c>
      <c r="D513" s="519" t="str">
        <f>Volumes!I24</f>
        <v>HWA1101 PTA3</v>
      </c>
      <c r="E513" s="519">
        <f>Volumes!J24</f>
        <v>14.336603629999832</v>
      </c>
      <c r="G513" s="525"/>
      <c r="H513" s="519">
        <f ca="1">_xlfn.IFNA(IF(VLOOKUP($B513&amp;OFFSET(H$10,$A513*2,0),'Mapping A'!$B$6:$E$1011,4,0)=1,$E513,""),0)</f>
        <v>0</v>
      </c>
      <c r="I513" s="519">
        <f ca="1">_xlfn.IFNA(IF(VLOOKUP($B513&amp;OFFSET(I$10,$A513*2,0),'Mapping A'!$B$6:$E$1011,4,0)=1,$E513,""),0)</f>
        <v>0</v>
      </c>
      <c r="J513" s="519">
        <f ca="1">_xlfn.IFNA(IF(VLOOKUP($B513&amp;OFFSET(J$10,$A513*2,0),'Mapping A'!$B$6:$E$1011,4,0)=1,$E513,""),0)</f>
        <v>0</v>
      </c>
      <c r="K513" s="519">
        <f ca="1">_xlfn.IFNA(IF(VLOOKUP($B513&amp;OFFSET(K$10,$A513*2,0),'Mapping A'!$B$6:$E$1011,4,0)=1,$E513,""),0)</f>
        <v>0</v>
      </c>
      <c r="L513" s="519">
        <f ca="1">_xlfn.IFNA(IF(VLOOKUP($B513&amp;OFFSET(L$10,$A513*2,0),'Mapping A'!$B$6:$E$1011,4,0)=1,$E513,""),0)</f>
        <v>0</v>
      </c>
      <c r="M513" s="519">
        <f ca="1">_xlfn.IFNA(IF(VLOOKUP($B513&amp;OFFSET(M$10,$A513*2,0),'Mapping A'!$B$6:$E$1011,4,0)=1,$E513,""),0)</f>
        <v>0</v>
      </c>
      <c r="N513" s="519">
        <f ca="1">_xlfn.IFNA(IF(VLOOKUP($B513&amp;OFFSET(N$10,$A513*2,0),'Mapping A'!$B$6:$E$1011,4,0)=1,$E513,""),0)</f>
        <v>0</v>
      </c>
      <c r="O513" s="519">
        <f ca="1">_xlfn.IFNA(IF(VLOOKUP($B513&amp;OFFSET(O$10,$A513*2,0),'Mapping A'!$B$6:$E$1011,4,0)=1,$E513,""),0)</f>
        <v>14.336603629999832</v>
      </c>
      <c r="P513" s="519">
        <f ca="1">_xlfn.IFNA(IF(VLOOKUP($B513&amp;OFFSET(P$10,$A513*2,0),'Mapping A'!$B$6:$E$1011,4,0)=1,$E513,""),0)</f>
        <v>0</v>
      </c>
      <c r="Q513" s="519">
        <f ca="1">_xlfn.IFNA(IF(VLOOKUP($B513&amp;OFFSET(Q$10,$A513*2,0),'Mapping A'!$B$6:$E$1011,4,0)=1,$E513,""),0)</f>
        <v>0</v>
      </c>
      <c r="R513" s="519">
        <f ca="1">_xlfn.IFNA(IF(VLOOKUP($B513&amp;OFFSET(R$10,$A513*2,0),'Mapping A'!$B$6:$E$1011,4,0)=1,$E513,""),0)</f>
        <v>0</v>
      </c>
      <c r="S513" s="519">
        <f ca="1">_xlfn.IFNA(IF(VLOOKUP($B513&amp;OFFSET(S$10,$A513*2,0),'Mapping A'!$B$6:$E$1011,4,0)=1,$E513,""),0)</f>
        <v>14.336603629999832</v>
      </c>
      <c r="T513" s="519">
        <f ca="1">_xlfn.IFNA(IF(VLOOKUP($B513&amp;OFFSET(T$10,$A513*2,0),'Mapping A'!$B$6:$E$1011,4,0)=1,$E513,""),0)</f>
        <v>0</v>
      </c>
      <c r="Y513" s="534" t="str">
        <f t="shared" si="623"/>
        <v>HWA1101 PTA3Trustpower</v>
      </c>
      <c r="Z513" s="519" t="str">
        <f>Volumes!H24</f>
        <v>Trustpower</v>
      </c>
      <c r="AA513" s="519" t="str">
        <f>Volumes!I24</f>
        <v>HWA1101 PTA3</v>
      </c>
      <c r="AB513" s="519">
        <f>Volumes!J24</f>
        <v>14.336603629999832</v>
      </c>
      <c r="AC513" s="170"/>
      <c r="AE513" s="519">
        <f t="shared" ca="1" si="609"/>
        <v>0</v>
      </c>
      <c r="AF513" s="519">
        <f t="shared" ca="1" si="610"/>
        <v>0</v>
      </c>
      <c r="AG513" s="519">
        <f t="shared" ca="1" si="611"/>
        <v>0</v>
      </c>
      <c r="AH513" s="519">
        <f t="shared" ca="1" si="612"/>
        <v>0</v>
      </c>
      <c r="AI513" s="519">
        <f t="shared" ca="1" si="613"/>
        <v>0</v>
      </c>
      <c r="AJ513" s="519">
        <f t="shared" ca="1" si="614"/>
        <v>0</v>
      </c>
      <c r="AK513" s="519">
        <f t="shared" ca="1" si="615"/>
        <v>0</v>
      </c>
      <c r="AL513" s="519">
        <f t="shared" ca="1" si="616"/>
        <v>1.6601483665290755E-3</v>
      </c>
      <c r="AM513" s="519">
        <f t="shared" ca="1" si="617"/>
        <v>0</v>
      </c>
      <c r="AN513" s="519">
        <f t="shared" ca="1" si="618"/>
        <v>0</v>
      </c>
      <c r="AO513" s="519">
        <f t="shared" ca="1" si="619"/>
        <v>0</v>
      </c>
      <c r="AP513" s="519">
        <f t="shared" ca="1" si="620"/>
        <v>0</v>
      </c>
      <c r="AQ513" s="519">
        <f t="shared" ca="1" si="621"/>
        <v>0</v>
      </c>
    </row>
    <row r="514" spans="1:43" x14ac:dyDescent="0.3">
      <c r="A514" s="556">
        <f t="shared" si="608"/>
        <v>3</v>
      </c>
      <c r="B514" s="519" t="str">
        <f t="shared" si="622"/>
        <v>HWA</v>
      </c>
      <c r="C514" s="519" t="str">
        <f>Volumes!H25</f>
        <v>Fonterra</v>
      </c>
      <c r="D514" s="519" t="str">
        <f>Volumes!I25</f>
        <v>HWA1102 WAA0</v>
      </c>
      <c r="E514" s="519">
        <f>Volumes!J25</f>
        <v>58.798749999999998</v>
      </c>
      <c r="G514" s="525"/>
      <c r="H514" s="519">
        <f ca="1">_xlfn.IFNA(IF(VLOOKUP($B514&amp;OFFSET(H$10,$A514*2,0),'Mapping A'!$B$6:$E$1011,4,0)=1,$E514,""),0)</f>
        <v>0</v>
      </c>
      <c r="I514" s="519">
        <f ca="1">_xlfn.IFNA(IF(VLOOKUP($B514&amp;OFFSET(I$10,$A514*2,0),'Mapping A'!$B$6:$E$1011,4,0)=1,$E514,""),0)</f>
        <v>0</v>
      </c>
      <c r="J514" s="519">
        <f ca="1">_xlfn.IFNA(IF(VLOOKUP($B514&amp;OFFSET(J$10,$A514*2,0),'Mapping A'!$B$6:$E$1011,4,0)=1,$E514,""),0)</f>
        <v>0</v>
      </c>
      <c r="K514" s="519">
        <f ca="1">_xlfn.IFNA(IF(VLOOKUP($B514&amp;OFFSET(K$10,$A514*2,0),'Mapping A'!$B$6:$E$1011,4,0)=1,$E514,""),0)</f>
        <v>0</v>
      </c>
      <c r="L514" s="519">
        <f ca="1">_xlfn.IFNA(IF(VLOOKUP($B514&amp;OFFSET(L$10,$A514*2,0),'Mapping A'!$B$6:$E$1011,4,0)=1,$E514,""),0)</f>
        <v>0</v>
      </c>
      <c r="M514" s="519">
        <f ca="1">_xlfn.IFNA(IF(VLOOKUP($B514&amp;OFFSET(M$10,$A514*2,0),'Mapping A'!$B$6:$E$1011,4,0)=1,$E514,""),0)</f>
        <v>0</v>
      </c>
      <c r="N514" s="519">
        <f ca="1">_xlfn.IFNA(IF(VLOOKUP($B514&amp;OFFSET(N$10,$A514*2,0),'Mapping A'!$B$6:$E$1011,4,0)=1,$E514,""),0)</f>
        <v>0</v>
      </c>
      <c r="O514" s="519">
        <f ca="1">_xlfn.IFNA(IF(VLOOKUP($B514&amp;OFFSET(O$10,$A514*2,0),'Mapping A'!$B$6:$E$1011,4,0)=1,$E514,""),0)</f>
        <v>58.798749999999998</v>
      </c>
      <c r="P514" s="519">
        <f ca="1">_xlfn.IFNA(IF(VLOOKUP($B514&amp;OFFSET(P$10,$A514*2,0),'Mapping A'!$B$6:$E$1011,4,0)=1,$E514,""),0)</f>
        <v>0</v>
      </c>
      <c r="Q514" s="519">
        <f ca="1">_xlfn.IFNA(IF(VLOOKUP($B514&amp;OFFSET(Q$10,$A514*2,0),'Mapping A'!$B$6:$E$1011,4,0)=1,$E514,""),0)</f>
        <v>0</v>
      </c>
      <c r="R514" s="519">
        <f ca="1">_xlfn.IFNA(IF(VLOOKUP($B514&amp;OFFSET(R$10,$A514*2,0),'Mapping A'!$B$6:$E$1011,4,0)=1,$E514,""),0)</f>
        <v>0</v>
      </c>
      <c r="S514" s="519">
        <f ca="1">_xlfn.IFNA(IF(VLOOKUP($B514&amp;OFFSET(S$10,$A514*2,0),'Mapping A'!$B$6:$E$1011,4,0)=1,$E514,""),0)</f>
        <v>58.798749999999998</v>
      </c>
      <c r="T514" s="519">
        <f ca="1">_xlfn.IFNA(IF(VLOOKUP($B514&amp;OFFSET(T$10,$A514*2,0),'Mapping A'!$B$6:$E$1011,4,0)=1,$E514,""),0)</f>
        <v>0</v>
      </c>
      <c r="Y514" s="534" t="str">
        <f t="shared" si="623"/>
        <v>HWA1102 WAA0Fonterra</v>
      </c>
      <c r="Z514" s="519" t="str">
        <f>Volumes!H25</f>
        <v>Fonterra</v>
      </c>
      <c r="AA514" s="519" t="str">
        <f>Volumes!I25</f>
        <v>HWA1102 WAA0</v>
      </c>
      <c r="AB514" s="519">
        <f>Volumes!J25</f>
        <v>58.798749999999998</v>
      </c>
      <c r="AC514" s="170"/>
      <c r="AE514" s="519">
        <f t="shared" ca="1" si="609"/>
        <v>0</v>
      </c>
      <c r="AF514" s="519">
        <f t="shared" ca="1" si="610"/>
        <v>0</v>
      </c>
      <c r="AG514" s="519">
        <f t="shared" ca="1" si="611"/>
        <v>0</v>
      </c>
      <c r="AH514" s="519">
        <f t="shared" ca="1" si="612"/>
        <v>0</v>
      </c>
      <c r="AI514" s="519">
        <f t="shared" ca="1" si="613"/>
        <v>0</v>
      </c>
      <c r="AJ514" s="519">
        <f t="shared" ca="1" si="614"/>
        <v>0</v>
      </c>
      <c r="AK514" s="519">
        <f t="shared" ca="1" si="615"/>
        <v>0</v>
      </c>
      <c r="AL514" s="519">
        <f t="shared" ca="1" si="616"/>
        <v>6.8087708418045059E-3</v>
      </c>
      <c r="AM514" s="519">
        <f t="shared" ca="1" si="617"/>
        <v>0</v>
      </c>
      <c r="AN514" s="519">
        <f t="shared" ca="1" si="618"/>
        <v>0</v>
      </c>
      <c r="AO514" s="519">
        <f t="shared" ca="1" si="619"/>
        <v>0</v>
      </c>
      <c r="AP514" s="519">
        <f t="shared" ca="1" si="620"/>
        <v>0</v>
      </c>
      <c r="AQ514" s="519">
        <f t="shared" ca="1" si="621"/>
        <v>0</v>
      </c>
    </row>
    <row r="515" spans="1:43" x14ac:dyDescent="0.3">
      <c r="A515" s="556">
        <f t="shared" si="608"/>
        <v>3</v>
      </c>
      <c r="B515" s="519" t="str">
        <f t="shared" si="622"/>
        <v>HWA</v>
      </c>
      <c r="C515" s="519" t="str">
        <f>Volumes!H26</f>
        <v>Fonterra</v>
      </c>
      <c r="D515" s="519" t="str">
        <f>Volumes!I26</f>
        <v>HWA1102 WAA1</v>
      </c>
      <c r="E515" s="519">
        <f>Volumes!J26</f>
        <v>58.757750000000001</v>
      </c>
      <c r="G515" s="525"/>
      <c r="H515" s="519">
        <f ca="1">_xlfn.IFNA(IF(VLOOKUP($B515&amp;OFFSET(H$10,$A515*2,0),'Mapping A'!$B$6:$E$1011,4,0)=1,$E515,""),0)</f>
        <v>0</v>
      </c>
      <c r="I515" s="519">
        <f ca="1">_xlfn.IFNA(IF(VLOOKUP($B515&amp;OFFSET(I$10,$A515*2,0),'Mapping A'!$B$6:$E$1011,4,0)=1,$E515,""),0)</f>
        <v>0</v>
      </c>
      <c r="J515" s="519">
        <f ca="1">_xlfn.IFNA(IF(VLOOKUP($B515&amp;OFFSET(J$10,$A515*2,0),'Mapping A'!$B$6:$E$1011,4,0)=1,$E515,""),0)</f>
        <v>0</v>
      </c>
      <c r="K515" s="519">
        <f ca="1">_xlfn.IFNA(IF(VLOOKUP($B515&amp;OFFSET(K$10,$A515*2,0),'Mapping A'!$B$6:$E$1011,4,0)=1,$E515,""),0)</f>
        <v>0</v>
      </c>
      <c r="L515" s="519">
        <f ca="1">_xlfn.IFNA(IF(VLOOKUP($B515&amp;OFFSET(L$10,$A515*2,0),'Mapping A'!$B$6:$E$1011,4,0)=1,$E515,""),0)</f>
        <v>0</v>
      </c>
      <c r="M515" s="519">
        <f ca="1">_xlfn.IFNA(IF(VLOOKUP($B515&amp;OFFSET(M$10,$A515*2,0),'Mapping A'!$B$6:$E$1011,4,0)=1,$E515,""),0)</f>
        <v>0</v>
      </c>
      <c r="N515" s="519">
        <f ca="1">_xlfn.IFNA(IF(VLOOKUP($B515&amp;OFFSET(N$10,$A515*2,0),'Mapping A'!$B$6:$E$1011,4,0)=1,$E515,""),0)</f>
        <v>0</v>
      </c>
      <c r="O515" s="519">
        <f ca="1">_xlfn.IFNA(IF(VLOOKUP($B515&amp;OFFSET(O$10,$A515*2,0),'Mapping A'!$B$6:$E$1011,4,0)=1,$E515,""),0)</f>
        <v>58.757750000000001</v>
      </c>
      <c r="P515" s="519">
        <f ca="1">_xlfn.IFNA(IF(VLOOKUP($B515&amp;OFFSET(P$10,$A515*2,0),'Mapping A'!$B$6:$E$1011,4,0)=1,$E515,""),0)</f>
        <v>0</v>
      </c>
      <c r="Q515" s="519">
        <f ca="1">_xlfn.IFNA(IF(VLOOKUP($B515&amp;OFFSET(Q$10,$A515*2,0),'Mapping A'!$B$6:$E$1011,4,0)=1,$E515,""),0)</f>
        <v>0</v>
      </c>
      <c r="R515" s="519">
        <f ca="1">_xlfn.IFNA(IF(VLOOKUP($B515&amp;OFFSET(R$10,$A515*2,0),'Mapping A'!$B$6:$E$1011,4,0)=1,$E515,""),0)</f>
        <v>0</v>
      </c>
      <c r="S515" s="519">
        <f ca="1">_xlfn.IFNA(IF(VLOOKUP($B515&amp;OFFSET(S$10,$A515*2,0),'Mapping A'!$B$6:$E$1011,4,0)=1,$E515,""),0)</f>
        <v>58.757750000000001</v>
      </c>
      <c r="T515" s="519">
        <f ca="1">_xlfn.IFNA(IF(VLOOKUP($B515&amp;OFFSET(T$10,$A515*2,0),'Mapping A'!$B$6:$E$1011,4,0)=1,$E515,""),0)</f>
        <v>0</v>
      </c>
      <c r="Y515" s="534" t="str">
        <f t="shared" si="623"/>
        <v>HWA1102 WAA1Fonterra</v>
      </c>
      <c r="Z515" s="519" t="str">
        <f>Volumes!H26</f>
        <v>Fonterra</v>
      </c>
      <c r="AA515" s="519" t="str">
        <f>Volumes!I26</f>
        <v>HWA1102 WAA1</v>
      </c>
      <c r="AB515" s="519">
        <f>Volumes!J26</f>
        <v>58.757750000000001</v>
      </c>
      <c r="AC515" s="170"/>
      <c r="AE515" s="519">
        <f t="shared" ca="1" si="609"/>
        <v>0</v>
      </c>
      <c r="AF515" s="519">
        <f t="shared" ca="1" si="610"/>
        <v>0</v>
      </c>
      <c r="AG515" s="519">
        <f t="shared" ca="1" si="611"/>
        <v>0</v>
      </c>
      <c r="AH515" s="519">
        <f t="shared" ca="1" si="612"/>
        <v>0</v>
      </c>
      <c r="AI515" s="519">
        <f t="shared" ca="1" si="613"/>
        <v>0</v>
      </c>
      <c r="AJ515" s="519">
        <f t="shared" ca="1" si="614"/>
        <v>0</v>
      </c>
      <c r="AK515" s="519">
        <f t="shared" ca="1" si="615"/>
        <v>0</v>
      </c>
      <c r="AL515" s="519">
        <f t="shared" ca="1" si="616"/>
        <v>6.8040231285535612E-3</v>
      </c>
      <c r="AM515" s="519">
        <f t="shared" ca="1" si="617"/>
        <v>0</v>
      </c>
      <c r="AN515" s="519">
        <f t="shared" ca="1" si="618"/>
        <v>0</v>
      </c>
      <c r="AO515" s="519">
        <f t="shared" ca="1" si="619"/>
        <v>0</v>
      </c>
      <c r="AP515" s="519">
        <f t="shared" ca="1" si="620"/>
        <v>0</v>
      </c>
      <c r="AQ515" s="519">
        <f t="shared" ca="1" si="621"/>
        <v>0</v>
      </c>
    </row>
    <row r="516" spans="1:43" x14ac:dyDescent="0.3">
      <c r="A516" s="556">
        <f t="shared" si="608"/>
        <v>3</v>
      </c>
      <c r="B516" s="519" t="str">
        <f t="shared" si="622"/>
        <v>HWB</v>
      </c>
      <c r="C516" s="519" t="str">
        <f>Volumes!H27</f>
        <v>Trustpower</v>
      </c>
      <c r="D516" s="519" t="str">
        <f>Volumes!I27</f>
        <v>HWB0331 WPI0</v>
      </c>
      <c r="E516" s="519">
        <f>Volumes!J27</f>
        <v>57.404760124999974</v>
      </c>
      <c r="G516" s="525"/>
      <c r="H516" s="519">
        <f ca="1">_xlfn.IFNA(IF(VLOOKUP($B516&amp;OFFSET(H$10,$A516*2,0),'Mapping A'!$B$6:$E$1011,4,0)=1,$E516,""),0)</f>
        <v>0</v>
      </c>
      <c r="I516" s="519">
        <f ca="1">_xlfn.IFNA(IF(VLOOKUP($B516&amp;OFFSET(I$10,$A516*2,0),'Mapping A'!$B$6:$E$1011,4,0)=1,$E516,""),0)</f>
        <v>57.404760124999974</v>
      </c>
      <c r="J516" s="519">
        <f ca="1">_xlfn.IFNA(IF(VLOOKUP($B516&amp;OFFSET(J$10,$A516*2,0),'Mapping A'!$B$6:$E$1011,4,0)=1,$E516,""),0)</f>
        <v>57.404760124999974</v>
      </c>
      <c r="K516" s="519">
        <f ca="1">_xlfn.IFNA(IF(VLOOKUP($B516&amp;OFFSET(K$10,$A516*2,0),'Mapping A'!$B$6:$E$1011,4,0)=1,$E516,""),0)</f>
        <v>0</v>
      </c>
      <c r="L516" s="519">
        <f ca="1">_xlfn.IFNA(IF(VLOOKUP($B516&amp;OFFSET(L$10,$A516*2,0),'Mapping A'!$B$6:$E$1011,4,0)=1,$E516,""),0)</f>
        <v>57.404760124999974</v>
      </c>
      <c r="M516" s="519">
        <f ca="1">_xlfn.IFNA(IF(VLOOKUP($B516&amp;OFFSET(M$10,$A516*2,0),'Mapping A'!$B$6:$E$1011,4,0)=1,$E516,""),0)</f>
        <v>0</v>
      </c>
      <c r="N516" s="519">
        <f ca="1">_xlfn.IFNA(IF(VLOOKUP($B516&amp;OFFSET(N$10,$A516*2,0),'Mapping A'!$B$6:$E$1011,4,0)=1,$E516,""),0)</f>
        <v>0</v>
      </c>
      <c r="O516" s="519">
        <f ca="1">_xlfn.IFNA(IF(VLOOKUP($B516&amp;OFFSET(O$10,$A516*2,0),'Mapping A'!$B$6:$E$1011,4,0)=1,$E516,""),0)</f>
        <v>0</v>
      </c>
      <c r="P516" s="519">
        <f ca="1">_xlfn.IFNA(IF(VLOOKUP($B516&amp;OFFSET(P$10,$A516*2,0),'Mapping A'!$B$6:$E$1011,4,0)=1,$E516,""),0)</f>
        <v>0</v>
      </c>
      <c r="Q516" s="519">
        <f ca="1">_xlfn.IFNA(IF(VLOOKUP($B516&amp;OFFSET(Q$10,$A516*2,0),'Mapping A'!$B$6:$E$1011,4,0)=1,$E516,""),0)</f>
        <v>0</v>
      </c>
      <c r="R516" s="519">
        <f ca="1">_xlfn.IFNA(IF(VLOOKUP($B516&amp;OFFSET(R$10,$A516*2,0),'Mapping A'!$B$6:$E$1011,4,0)=1,$E516,""),0)</f>
        <v>0</v>
      </c>
      <c r="S516" s="519">
        <f ca="1">_xlfn.IFNA(IF(VLOOKUP($B516&amp;OFFSET(S$10,$A516*2,0),'Mapping A'!$B$6:$E$1011,4,0)=1,$E516,""),0)</f>
        <v>0</v>
      </c>
      <c r="T516" s="519">
        <f ca="1">_xlfn.IFNA(IF(VLOOKUP($B516&amp;OFFSET(T$10,$A516*2,0),'Mapping A'!$B$6:$E$1011,4,0)=1,$E516,""),0)</f>
        <v>0</v>
      </c>
      <c r="Y516" s="534" t="str">
        <f t="shared" si="623"/>
        <v>HWB0331 WPI0Trustpower</v>
      </c>
      <c r="Z516" s="519" t="str">
        <f>Volumes!H27</f>
        <v>Trustpower</v>
      </c>
      <c r="AA516" s="519" t="str">
        <f>Volumes!I27</f>
        <v>HWB0331 WPI0</v>
      </c>
      <c r="AB516" s="519">
        <f>Volumes!J27</f>
        <v>57.404760124999974</v>
      </c>
      <c r="AC516" s="170"/>
      <c r="AE516" s="519">
        <f t="shared" ca="1" si="609"/>
        <v>0</v>
      </c>
      <c r="AF516" s="519">
        <f t="shared" ca="1" si="610"/>
        <v>0</v>
      </c>
      <c r="AG516" s="519">
        <f t="shared" ca="1" si="611"/>
        <v>0</v>
      </c>
      <c r="AH516" s="519">
        <f t="shared" ca="1" si="612"/>
        <v>0</v>
      </c>
      <c r="AI516" s="519">
        <f t="shared" ca="1" si="613"/>
        <v>0</v>
      </c>
      <c r="AJ516" s="519">
        <f t="shared" ca="1" si="614"/>
        <v>0</v>
      </c>
      <c r="AK516" s="519">
        <f t="shared" ca="1" si="615"/>
        <v>0</v>
      </c>
      <c r="AL516" s="519">
        <f t="shared" ca="1" si="616"/>
        <v>0</v>
      </c>
      <c r="AM516" s="519">
        <f t="shared" ca="1" si="617"/>
        <v>0</v>
      </c>
      <c r="AN516" s="519">
        <f t="shared" ca="1" si="618"/>
        <v>0</v>
      </c>
      <c r="AO516" s="519">
        <f t="shared" ca="1" si="619"/>
        <v>0</v>
      </c>
      <c r="AP516" s="519">
        <f t="shared" ca="1" si="620"/>
        <v>0</v>
      </c>
      <c r="AQ516" s="519">
        <f t="shared" ca="1" si="621"/>
        <v>0</v>
      </c>
    </row>
    <row r="517" spans="1:43" x14ac:dyDescent="0.3">
      <c r="A517" s="556">
        <f t="shared" si="608"/>
        <v>3</v>
      </c>
      <c r="B517" s="519" t="str">
        <f t="shared" si="622"/>
        <v>KAW</v>
      </c>
      <c r="C517" s="519" t="str">
        <f>Volumes!H28</f>
        <v>Todd</v>
      </c>
      <c r="D517" s="519" t="str">
        <f>Volumes!I28</f>
        <v>KAW0112 ONU0</v>
      </c>
      <c r="E517" s="519">
        <f>Volumes!J28</f>
        <v>0</v>
      </c>
      <c r="G517" s="525"/>
      <c r="H517" s="519">
        <f ca="1">_xlfn.IFNA(IF(VLOOKUP($B517&amp;OFFSET(H$10,$A517*2,0),'Mapping A'!$B$6:$E$1011,4,0)=1,$E517,""),0)</f>
        <v>0</v>
      </c>
      <c r="I517" s="519">
        <f ca="1">_xlfn.IFNA(IF(VLOOKUP($B517&amp;OFFSET(I$10,$A517*2,0),'Mapping A'!$B$6:$E$1011,4,0)=1,$E517,""),0)</f>
        <v>0</v>
      </c>
      <c r="J517" s="519">
        <f ca="1">_xlfn.IFNA(IF(VLOOKUP($B517&amp;OFFSET(J$10,$A517*2,0),'Mapping A'!$B$6:$E$1011,4,0)=1,$E517,""),0)</f>
        <v>0</v>
      </c>
      <c r="K517" s="519">
        <f ca="1">_xlfn.IFNA(IF(VLOOKUP($B517&amp;OFFSET(K$10,$A517*2,0),'Mapping A'!$B$6:$E$1011,4,0)=1,$E517,""),0)</f>
        <v>0</v>
      </c>
      <c r="L517" s="519">
        <f ca="1">_xlfn.IFNA(IF(VLOOKUP($B517&amp;OFFSET(L$10,$A517*2,0),'Mapping A'!$B$6:$E$1011,4,0)=1,$E517,""),0)</f>
        <v>0</v>
      </c>
      <c r="M517" s="519">
        <f ca="1">_xlfn.IFNA(IF(VLOOKUP($B517&amp;OFFSET(M$10,$A517*2,0),'Mapping A'!$B$6:$E$1011,4,0)=1,$E517,""),0)</f>
        <v>0</v>
      </c>
      <c r="N517" s="519">
        <f ca="1">_xlfn.IFNA(IF(VLOOKUP($B517&amp;OFFSET(N$10,$A517*2,0),'Mapping A'!$B$6:$E$1011,4,0)=1,$E517,""),0)</f>
        <v>0</v>
      </c>
      <c r="O517" s="519">
        <f ca="1">_xlfn.IFNA(IF(VLOOKUP($B517&amp;OFFSET(O$10,$A517*2,0),'Mapping A'!$B$6:$E$1011,4,0)=1,$E517,""),0)</f>
        <v>0</v>
      </c>
      <c r="P517" s="519">
        <f ca="1">_xlfn.IFNA(IF(VLOOKUP($B517&amp;OFFSET(P$10,$A517*2,0),'Mapping A'!$B$6:$E$1011,4,0)=1,$E517,""),0)</f>
        <v>0</v>
      </c>
      <c r="Q517" s="519">
        <f ca="1">_xlfn.IFNA(IF(VLOOKUP($B517&amp;OFFSET(Q$10,$A517*2,0),'Mapping A'!$B$6:$E$1011,4,0)=1,$E517,""),0)</f>
        <v>0</v>
      </c>
      <c r="R517" s="519">
        <f ca="1">_xlfn.IFNA(IF(VLOOKUP($B517&amp;OFFSET(R$10,$A517*2,0),'Mapping A'!$B$6:$E$1011,4,0)=1,$E517,""),0)</f>
        <v>0</v>
      </c>
      <c r="S517" s="519">
        <f ca="1">_xlfn.IFNA(IF(VLOOKUP($B517&amp;OFFSET(S$10,$A517*2,0),'Mapping A'!$B$6:$E$1011,4,0)=1,$E517,""),0)</f>
        <v>0</v>
      </c>
      <c r="T517" s="519">
        <f ca="1">_xlfn.IFNA(IF(VLOOKUP($B517&amp;OFFSET(T$10,$A517*2,0),'Mapping A'!$B$6:$E$1011,4,0)=1,$E517,""),0)</f>
        <v>0</v>
      </c>
      <c r="Y517" s="534" t="str">
        <f t="shared" si="623"/>
        <v>KAW0112 ONU0Todd</v>
      </c>
      <c r="Z517" s="519" t="str">
        <f>Volumes!H28</f>
        <v>Todd</v>
      </c>
      <c r="AA517" s="519" t="str">
        <f>Volumes!I28</f>
        <v>KAW0112 ONU0</v>
      </c>
      <c r="AB517" s="519">
        <f>Volumes!J28</f>
        <v>0</v>
      </c>
      <c r="AC517" s="170"/>
      <c r="AE517" s="519">
        <f t="shared" ca="1" si="609"/>
        <v>0</v>
      </c>
      <c r="AF517" s="519">
        <f t="shared" ca="1" si="610"/>
        <v>0</v>
      </c>
      <c r="AG517" s="519">
        <f t="shared" ca="1" si="611"/>
        <v>0</v>
      </c>
      <c r="AH517" s="519">
        <f t="shared" ca="1" si="612"/>
        <v>0</v>
      </c>
      <c r="AI517" s="519">
        <f t="shared" ca="1" si="613"/>
        <v>0</v>
      </c>
      <c r="AJ517" s="519">
        <f t="shared" ca="1" si="614"/>
        <v>0</v>
      </c>
      <c r="AK517" s="519">
        <f t="shared" ca="1" si="615"/>
        <v>0</v>
      </c>
      <c r="AL517" s="519">
        <f t="shared" ca="1" si="616"/>
        <v>0</v>
      </c>
      <c r="AM517" s="519">
        <f t="shared" ca="1" si="617"/>
        <v>0</v>
      </c>
      <c r="AN517" s="519">
        <f t="shared" ca="1" si="618"/>
        <v>0</v>
      </c>
      <c r="AO517" s="519">
        <f t="shared" ca="1" si="619"/>
        <v>0</v>
      </c>
      <c r="AP517" s="519">
        <f t="shared" ca="1" si="620"/>
        <v>0</v>
      </c>
      <c r="AQ517" s="519">
        <f t="shared" ca="1" si="621"/>
        <v>0</v>
      </c>
    </row>
    <row r="518" spans="1:43" x14ac:dyDescent="0.3">
      <c r="A518" s="556">
        <f t="shared" si="608"/>
        <v>3</v>
      </c>
      <c r="B518" s="519" t="str">
        <f t="shared" si="622"/>
        <v>KAW</v>
      </c>
      <c r="C518" s="519" t="str">
        <f>Volumes!H29</f>
        <v>MRP</v>
      </c>
      <c r="D518" s="519" t="str">
        <f>Volumes!I29</f>
        <v>KAW1101 KAG0</v>
      </c>
      <c r="E518" s="519">
        <f>Volumes!J29</f>
        <v>899.74400000000003</v>
      </c>
      <c r="G518" s="525"/>
      <c r="H518" s="519">
        <f ca="1">_xlfn.IFNA(IF(VLOOKUP($B518&amp;OFFSET(H$10,$A518*2,0),'Mapping A'!$B$6:$E$1011,4,0)=1,$E518,""),0)</f>
        <v>0</v>
      </c>
      <c r="I518" s="519">
        <f ca="1">_xlfn.IFNA(IF(VLOOKUP($B518&amp;OFFSET(I$10,$A518*2,0),'Mapping A'!$B$6:$E$1011,4,0)=1,$E518,""),0)</f>
        <v>0</v>
      </c>
      <c r="J518" s="519">
        <f ca="1">_xlfn.IFNA(IF(VLOOKUP($B518&amp;OFFSET(J$10,$A518*2,0),'Mapping A'!$B$6:$E$1011,4,0)=1,$E518,""),0)</f>
        <v>0</v>
      </c>
      <c r="K518" s="519">
        <f ca="1">_xlfn.IFNA(IF(VLOOKUP($B518&amp;OFFSET(K$10,$A518*2,0),'Mapping A'!$B$6:$E$1011,4,0)=1,$E518,""),0)</f>
        <v>0</v>
      </c>
      <c r="L518" s="519">
        <f ca="1">_xlfn.IFNA(IF(VLOOKUP($B518&amp;OFFSET(L$10,$A518*2,0),'Mapping A'!$B$6:$E$1011,4,0)=1,$E518,""),0)</f>
        <v>0</v>
      </c>
      <c r="M518" s="519">
        <f ca="1">_xlfn.IFNA(IF(VLOOKUP($B518&amp;OFFSET(M$10,$A518*2,0),'Mapping A'!$B$6:$E$1011,4,0)=1,$E518,""),0)</f>
        <v>899.74400000000003</v>
      </c>
      <c r="N518" s="519">
        <f ca="1">_xlfn.IFNA(IF(VLOOKUP($B518&amp;OFFSET(N$10,$A518*2,0),'Mapping A'!$B$6:$E$1011,4,0)=1,$E518,""),0)</f>
        <v>0</v>
      </c>
      <c r="O518" s="519">
        <f ca="1">_xlfn.IFNA(IF(VLOOKUP($B518&amp;OFFSET(O$10,$A518*2,0),'Mapping A'!$B$6:$E$1011,4,0)=1,$E518,""),0)</f>
        <v>899.74400000000003</v>
      </c>
      <c r="P518" s="519">
        <f ca="1">_xlfn.IFNA(IF(VLOOKUP($B518&amp;OFFSET(P$10,$A518*2,0),'Mapping A'!$B$6:$E$1011,4,0)=1,$E518,""),0)</f>
        <v>0</v>
      </c>
      <c r="Q518" s="519">
        <f ca="1">_xlfn.IFNA(IF(VLOOKUP($B518&amp;OFFSET(Q$10,$A518*2,0),'Mapping A'!$B$6:$E$1011,4,0)=1,$E518,""),0)</f>
        <v>0</v>
      </c>
      <c r="R518" s="519">
        <f ca="1">_xlfn.IFNA(IF(VLOOKUP($B518&amp;OFFSET(R$10,$A518*2,0),'Mapping A'!$B$6:$E$1011,4,0)=1,$E518,""),0)</f>
        <v>0</v>
      </c>
      <c r="S518" s="519">
        <f ca="1">_xlfn.IFNA(IF(VLOOKUP($B518&amp;OFFSET(S$10,$A518*2,0),'Mapping A'!$B$6:$E$1011,4,0)=1,$E518,""),0)</f>
        <v>0</v>
      </c>
      <c r="T518" s="519">
        <f ca="1">_xlfn.IFNA(IF(VLOOKUP($B518&amp;OFFSET(T$10,$A518*2,0),'Mapping A'!$B$6:$E$1011,4,0)=1,$E518,""),0)</f>
        <v>0</v>
      </c>
      <c r="Y518" s="534" t="str">
        <f t="shared" si="623"/>
        <v>KAW1101 KAG0MRP</v>
      </c>
      <c r="Z518" s="519" t="str">
        <f>Volumes!H29</f>
        <v>MRP</v>
      </c>
      <c r="AA518" s="519" t="str">
        <f>Volumes!I29</f>
        <v>KAW1101 KAG0</v>
      </c>
      <c r="AB518" s="519">
        <f>Volumes!J29</f>
        <v>899.74400000000003</v>
      </c>
      <c r="AC518" s="170"/>
      <c r="AE518" s="519">
        <f t="shared" ca="1" si="609"/>
        <v>0</v>
      </c>
      <c r="AF518" s="519">
        <f t="shared" ca="1" si="610"/>
        <v>0</v>
      </c>
      <c r="AG518" s="519">
        <f t="shared" ca="1" si="611"/>
        <v>0</v>
      </c>
      <c r="AH518" s="519">
        <f t="shared" ca="1" si="612"/>
        <v>0</v>
      </c>
      <c r="AI518" s="519">
        <f t="shared" ca="1" si="613"/>
        <v>0</v>
      </c>
      <c r="AJ518" s="519">
        <f t="shared" ca="1" si="614"/>
        <v>0</v>
      </c>
      <c r="AK518" s="519">
        <f t="shared" ca="1" si="615"/>
        <v>0</v>
      </c>
      <c r="AL518" s="519">
        <f t="shared" ca="1" si="616"/>
        <v>0.10418845149409729</v>
      </c>
      <c r="AM518" s="519">
        <f t="shared" ca="1" si="617"/>
        <v>0</v>
      </c>
      <c r="AN518" s="519">
        <f t="shared" ca="1" si="618"/>
        <v>0</v>
      </c>
      <c r="AO518" s="519">
        <f t="shared" ca="1" si="619"/>
        <v>0</v>
      </c>
      <c r="AP518" s="519">
        <f t="shared" ca="1" si="620"/>
        <v>0</v>
      </c>
      <c r="AQ518" s="519">
        <f t="shared" ca="1" si="621"/>
        <v>0</v>
      </c>
    </row>
    <row r="519" spans="1:43" x14ac:dyDescent="0.3">
      <c r="A519" s="556">
        <f t="shared" si="608"/>
        <v>3</v>
      </c>
      <c r="B519" s="519" t="str">
        <f t="shared" si="622"/>
        <v>KIN</v>
      </c>
      <c r="C519" s="519" t="str">
        <f>Volumes!H30</f>
        <v>CHH</v>
      </c>
      <c r="D519" s="519" t="str">
        <f>Volumes!I30</f>
        <v>KIN0112 KIN0</v>
      </c>
      <c r="E519" s="519">
        <f>Volumes!J30</f>
        <v>0</v>
      </c>
      <c r="G519" s="525"/>
      <c r="H519" s="519">
        <f ca="1">_xlfn.IFNA(IF(VLOOKUP($B519&amp;OFFSET(H$10,$A519*2,0),'Mapping A'!$B$6:$E$1011,4,0)=1,$E519,""),0)</f>
        <v>0</v>
      </c>
      <c r="I519" s="519">
        <f ca="1">_xlfn.IFNA(IF(VLOOKUP($B519&amp;OFFSET(I$10,$A519*2,0),'Mapping A'!$B$6:$E$1011,4,0)=1,$E519,""),0)</f>
        <v>0</v>
      </c>
      <c r="J519" s="519">
        <f ca="1">_xlfn.IFNA(IF(VLOOKUP($B519&amp;OFFSET(J$10,$A519*2,0),'Mapping A'!$B$6:$E$1011,4,0)=1,$E519,""),0)</f>
        <v>0</v>
      </c>
      <c r="K519" s="519">
        <f ca="1">_xlfn.IFNA(IF(VLOOKUP($B519&amp;OFFSET(K$10,$A519*2,0),'Mapping A'!$B$6:$E$1011,4,0)=1,$E519,""),0)</f>
        <v>0</v>
      </c>
      <c r="L519" s="519">
        <f ca="1">_xlfn.IFNA(IF(VLOOKUP($B519&amp;OFFSET(L$10,$A519*2,0),'Mapping A'!$B$6:$E$1011,4,0)=1,$E519,""),0)</f>
        <v>0</v>
      </c>
      <c r="M519" s="519">
        <f ca="1">_xlfn.IFNA(IF(VLOOKUP($B519&amp;OFFSET(M$10,$A519*2,0),'Mapping A'!$B$6:$E$1011,4,0)=1,$E519,""),0)</f>
        <v>0</v>
      </c>
      <c r="N519" s="519">
        <f ca="1">_xlfn.IFNA(IF(VLOOKUP($B519&amp;OFFSET(N$10,$A519*2,0),'Mapping A'!$B$6:$E$1011,4,0)=1,$E519,""),0)</f>
        <v>0</v>
      </c>
      <c r="O519" s="519">
        <f ca="1">_xlfn.IFNA(IF(VLOOKUP($B519&amp;OFFSET(O$10,$A519*2,0),'Mapping A'!$B$6:$E$1011,4,0)=1,$E519,""),0)</f>
        <v>0</v>
      </c>
      <c r="P519" s="519">
        <f ca="1">_xlfn.IFNA(IF(VLOOKUP($B519&amp;OFFSET(P$10,$A519*2,0),'Mapping A'!$B$6:$E$1011,4,0)=1,$E519,""),0)</f>
        <v>0</v>
      </c>
      <c r="Q519" s="519">
        <f ca="1">_xlfn.IFNA(IF(VLOOKUP($B519&amp;OFFSET(Q$10,$A519*2,0),'Mapping A'!$B$6:$E$1011,4,0)=1,$E519,""),0)</f>
        <v>0</v>
      </c>
      <c r="R519" s="519">
        <f ca="1">_xlfn.IFNA(IF(VLOOKUP($B519&amp;OFFSET(R$10,$A519*2,0),'Mapping A'!$B$6:$E$1011,4,0)=1,$E519,""),0)</f>
        <v>0</v>
      </c>
      <c r="S519" s="519">
        <f ca="1">_xlfn.IFNA(IF(VLOOKUP($B519&amp;OFFSET(S$10,$A519*2,0),'Mapping A'!$B$6:$E$1011,4,0)=1,$E519,""),0)</f>
        <v>0</v>
      </c>
      <c r="T519" s="519">
        <f ca="1">_xlfn.IFNA(IF(VLOOKUP($B519&amp;OFFSET(T$10,$A519*2,0),'Mapping A'!$B$6:$E$1011,4,0)=1,$E519,""),0)</f>
        <v>0</v>
      </c>
      <c r="Y519" s="534" t="str">
        <f t="shared" si="623"/>
        <v>KIN0112 KIN0CHH</v>
      </c>
      <c r="Z519" s="519" t="str">
        <f>Volumes!H30</f>
        <v>CHH</v>
      </c>
      <c r="AA519" s="519" t="str">
        <f>Volumes!I30</f>
        <v>KIN0112 KIN0</v>
      </c>
      <c r="AB519" s="519">
        <f>Volumes!J30</f>
        <v>0</v>
      </c>
      <c r="AC519" s="170"/>
      <c r="AE519" s="519">
        <f t="shared" ca="1" si="609"/>
        <v>0</v>
      </c>
      <c r="AF519" s="519">
        <f t="shared" ca="1" si="610"/>
        <v>0</v>
      </c>
      <c r="AG519" s="519">
        <f t="shared" ca="1" si="611"/>
        <v>0</v>
      </c>
      <c r="AH519" s="519">
        <f t="shared" ca="1" si="612"/>
        <v>0</v>
      </c>
      <c r="AI519" s="519">
        <f t="shared" ca="1" si="613"/>
        <v>0</v>
      </c>
      <c r="AJ519" s="519">
        <f t="shared" ca="1" si="614"/>
        <v>0</v>
      </c>
      <c r="AK519" s="519">
        <f t="shared" ca="1" si="615"/>
        <v>0</v>
      </c>
      <c r="AL519" s="519">
        <f t="shared" ca="1" si="616"/>
        <v>0</v>
      </c>
      <c r="AM519" s="519">
        <f t="shared" ca="1" si="617"/>
        <v>0</v>
      </c>
      <c r="AN519" s="519">
        <f t="shared" ca="1" si="618"/>
        <v>0</v>
      </c>
      <c r="AO519" s="519">
        <f t="shared" ca="1" si="619"/>
        <v>0</v>
      </c>
      <c r="AP519" s="519">
        <f t="shared" ca="1" si="620"/>
        <v>0</v>
      </c>
      <c r="AQ519" s="519">
        <f t="shared" ca="1" si="621"/>
        <v>0</v>
      </c>
    </row>
    <row r="520" spans="1:43" x14ac:dyDescent="0.3">
      <c r="A520" s="556">
        <f t="shared" si="608"/>
        <v>3</v>
      </c>
      <c r="B520" s="519" t="str">
        <f t="shared" si="622"/>
        <v>KPA</v>
      </c>
      <c r="C520" s="519" t="str">
        <f>Volumes!H31</f>
        <v>Todd</v>
      </c>
      <c r="D520" s="519" t="str">
        <f>Volumes!I31</f>
        <v>KPA1101 KPI1</v>
      </c>
      <c r="E520" s="519">
        <f>Volumes!J31</f>
        <v>135.39384414</v>
      </c>
      <c r="G520" s="525"/>
      <c r="H520" s="519">
        <f ca="1">_xlfn.IFNA(IF(VLOOKUP($B520&amp;OFFSET(H$10,$A520*2,0),'Mapping A'!$B$6:$E$1011,4,0)=1,$E520,""),0)</f>
        <v>0</v>
      </c>
      <c r="I520" s="519">
        <f ca="1">_xlfn.IFNA(IF(VLOOKUP($B520&amp;OFFSET(I$10,$A520*2,0),'Mapping A'!$B$6:$E$1011,4,0)=1,$E520,""),0)</f>
        <v>0</v>
      </c>
      <c r="J520" s="519">
        <f ca="1">_xlfn.IFNA(IF(VLOOKUP($B520&amp;OFFSET(J$10,$A520*2,0),'Mapping A'!$B$6:$E$1011,4,0)=1,$E520,""),0)</f>
        <v>0</v>
      </c>
      <c r="K520" s="519">
        <f ca="1">_xlfn.IFNA(IF(VLOOKUP($B520&amp;OFFSET(K$10,$A520*2,0),'Mapping A'!$B$6:$E$1011,4,0)=1,$E520,""),0)</f>
        <v>0</v>
      </c>
      <c r="L520" s="519">
        <f ca="1">_xlfn.IFNA(IF(VLOOKUP($B520&amp;OFFSET(L$10,$A520*2,0),'Mapping A'!$B$6:$E$1011,4,0)=1,$E520,""),0)</f>
        <v>0</v>
      </c>
      <c r="M520" s="519">
        <f ca="1">_xlfn.IFNA(IF(VLOOKUP($B520&amp;OFFSET(M$10,$A520*2,0),'Mapping A'!$B$6:$E$1011,4,0)=1,$E520,""),0)</f>
        <v>0</v>
      </c>
      <c r="N520" s="519">
        <f ca="1">_xlfn.IFNA(IF(VLOOKUP($B520&amp;OFFSET(N$10,$A520*2,0),'Mapping A'!$B$6:$E$1011,4,0)=1,$E520,""),0)</f>
        <v>0</v>
      </c>
      <c r="O520" s="519">
        <f ca="1">_xlfn.IFNA(IF(VLOOKUP($B520&amp;OFFSET(O$10,$A520*2,0),'Mapping A'!$B$6:$E$1011,4,0)=1,$E520,""),0)</f>
        <v>135.39384414</v>
      </c>
      <c r="P520" s="519">
        <f ca="1">_xlfn.IFNA(IF(VLOOKUP($B520&amp;OFFSET(P$10,$A520*2,0),'Mapping A'!$B$6:$E$1011,4,0)=1,$E520,""),0)</f>
        <v>0</v>
      </c>
      <c r="Q520" s="519">
        <f ca="1">_xlfn.IFNA(IF(VLOOKUP($B520&amp;OFFSET(Q$10,$A520*2,0),'Mapping A'!$B$6:$E$1011,4,0)=1,$E520,""),0)</f>
        <v>0</v>
      </c>
      <c r="R520" s="519">
        <f ca="1">_xlfn.IFNA(IF(VLOOKUP($B520&amp;OFFSET(R$10,$A520*2,0),'Mapping A'!$B$6:$E$1011,4,0)=1,$E520,""),0)</f>
        <v>0</v>
      </c>
      <c r="S520" s="519">
        <f ca="1">_xlfn.IFNA(IF(VLOOKUP($B520&amp;OFFSET(S$10,$A520*2,0),'Mapping A'!$B$6:$E$1011,4,0)=1,$E520,""),0)</f>
        <v>0</v>
      </c>
      <c r="T520" s="519">
        <f ca="1">_xlfn.IFNA(IF(VLOOKUP($B520&amp;OFFSET(T$10,$A520*2,0),'Mapping A'!$B$6:$E$1011,4,0)=1,$E520,""),0)</f>
        <v>0</v>
      </c>
      <c r="Y520" s="534" t="str">
        <f t="shared" si="623"/>
        <v>KPA1101 KPI1Todd</v>
      </c>
      <c r="Z520" s="519" t="str">
        <f>Volumes!H31</f>
        <v>Todd</v>
      </c>
      <c r="AA520" s="519" t="str">
        <f>Volumes!I31</f>
        <v>KPA1101 KPI1</v>
      </c>
      <c r="AB520" s="519">
        <f>Volumes!J31</f>
        <v>135.39384414</v>
      </c>
      <c r="AC520" s="170"/>
      <c r="AE520" s="519">
        <f t="shared" ca="1" si="609"/>
        <v>0</v>
      </c>
      <c r="AF520" s="519">
        <f t="shared" ca="1" si="610"/>
        <v>0</v>
      </c>
      <c r="AG520" s="519">
        <f t="shared" ca="1" si="611"/>
        <v>0</v>
      </c>
      <c r="AH520" s="519">
        <f t="shared" ca="1" si="612"/>
        <v>0</v>
      </c>
      <c r="AI520" s="519">
        <f t="shared" ca="1" si="613"/>
        <v>0</v>
      </c>
      <c r="AJ520" s="519">
        <f t="shared" ca="1" si="614"/>
        <v>0</v>
      </c>
      <c r="AK520" s="519">
        <f t="shared" ca="1" si="615"/>
        <v>0</v>
      </c>
      <c r="AL520" s="519">
        <f t="shared" ca="1" si="616"/>
        <v>1.5678320680971209E-2</v>
      </c>
      <c r="AM520" s="519">
        <f t="shared" ca="1" si="617"/>
        <v>0</v>
      </c>
      <c r="AN520" s="519">
        <f t="shared" ca="1" si="618"/>
        <v>0</v>
      </c>
      <c r="AO520" s="519">
        <f t="shared" ca="1" si="619"/>
        <v>0</v>
      </c>
      <c r="AP520" s="519">
        <f t="shared" ca="1" si="620"/>
        <v>0</v>
      </c>
      <c r="AQ520" s="519">
        <f t="shared" ca="1" si="621"/>
        <v>0</v>
      </c>
    </row>
    <row r="521" spans="1:43" x14ac:dyDescent="0.3">
      <c r="A521" s="556">
        <f t="shared" si="608"/>
        <v>3</v>
      </c>
      <c r="B521" s="519" t="str">
        <f t="shared" si="622"/>
        <v>KPO</v>
      </c>
      <c r="C521" s="519" t="str">
        <f>Volumes!H32</f>
        <v>MRP</v>
      </c>
      <c r="D521" s="519" t="str">
        <f>Volumes!I32</f>
        <v>KPO1101 KPO0</v>
      </c>
      <c r="E521" s="519">
        <f>Volumes!J32</f>
        <v>428.1456904499999</v>
      </c>
      <c r="G521" s="525"/>
      <c r="H521" s="519">
        <f ca="1">_xlfn.IFNA(IF(VLOOKUP($B521&amp;OFFSET(H$10,$A521*2,0),'Mapping A'!$B$6:$E$1011,4,0)=1,$E521,""),0)</f>
        <v>0</v>
      </c>
      <c r="I521" s="519">
        <f ca="1">_xlfn.IFNA(IF(VLOOKUP($B521&amp;OFFSET(I$10,$A521*2,0),'Mapping A'!$B$6:$E$1011,4,0)=1,$E521,""),0)</f>
        <v>0</v>
      </c>
      <c r="J521" s="519">
        <f ca="1">_xlfn.IFNA(IF(VLOOKUP($B521&amp;OFFSET(J$10,$A521*2,0),'Mapping A'!$B$6:$E$1011,4,0)=1,$E521,""),0)</f>
        <v>0</v>
      </c>
      <c r="K521" s="519">
        <f ca="1">_xlfn.IFNA(IF(VLOOKUP($B521&amp;OFFSET(K$10,$A521*2,0),'Mapping A'!$B$6:$E$1011,4,0)=1,$E521,""),0)</f>
        <v>0</v>
      </c>
      <c r="L521" s="519">
        <f ca="1">_xlfn.IFNA(IF(VLOOKUP($B521&amp;OFFSET(L$10,$A521*2,0),'Mapping A'!$B$6:$E$1011,4,0)=1,$E521,""),0)</f>
        <v>0</v>
      </c>
      <c r="M521" s="519">
        <f ca="1">_xlfn.IFNA(IF(VLOOKUP($B521&amp;OFFSET(M$10,$A521*2,0),'Mapping A'!$B$6:$E$1011,4,0)=1,$E521,""),0)</f>
        <v>0</v>
      </c>
      <c r="N521" s="519">
        <f ca="1">_xlfn.IFNA(IF(VLOOKUP($B521&amp;OFFSET(N$10,$A521*2,0),'Mapping A'!$B$6:$E$1011,4,0)=1,$E521,""),0)</f>
        <v>0</v>
      </c>
      <c r="O521" s="519">
        <f ca="1">_xlfn.IFNA(IF(VLOOKUP($B521&amp;OFFSET(O$10,$A521*2,0),'Mapping A'!$B$6:$E$1011,4,0)=1,$E521,""),0)</f>
        <v>428.1456904499999</v>
      </c>
      <c r="P521" s="519">
        <f ca="1">_xlfn.IFNA(IF(VLOOKUP($B521&amp;OFFSET(P$10,$A521*2,0),'Mapping A'!$B$6:$E$1011,4,0)=1,$E521,""),0)</f>
        <v>0</v>
      </c>
      <c r="Q521" s="519">
        <f ca="1">_xlfn.IFNA(IF(VLOOKUP($B521&amp;OFFSET(Q$10,$A521*2,0),'Mapping A'!$B$6:$E$1011,4,0)=1,$E521,""),0)</f>
        <v>0</v>
      </c>
      <c r="R521" s="519">
        <f ca="1">_xlfn.IFNA(IF(VLOOKUP($B521&amp;OFFSET(R$10,$A521*2,0),'Mapping A'!$B$6:$E$1011,4,0)=1,$E521,""),0)</f>
        <v>0</v>
      </c>
      <c r="S521" s="519">
        <f ca="1">_xlfn.IFNA(IF(VLOOKUP($B521&amp;OFFSET(S$10,$A521*2,0),'Mapping A'!$B$6:$E$1011,4,0)=1,$E521,""),0)</f>
        <v>0</v>
      </c>
      <c r="T521" s="519">
        <f ca="1">_xlfn.IFNA(IF(VLOOKUP($B521&amp;OFFSET(T$10,$A521*2,0),'Mapping A'!$B$6:$E$1011,4,0)=1,$E521,""),0)</f>
        <v>0</v>
      </c>
      <c r="Y521" s="534" t="str">
        <f t="shared" si="623"/>
        <v>KPO1101 KPO0MRP</v>
      </c>
      <c r="Z521" s="519" t="str">
        <f>Volumes!H32</f>
        <v>MRP</v>
      </c>
      <c r="AA521" s="519" t="str">
        <f>Volumes!I32</f>
        <v>KPO1101 KPO0</v>
      </c>
      <c r="AB521" s="519">
        <f>Volumes!J32</f>
        <v>428.1456904499999</v>
      </c>
      <c r="AC521" s="170"/>
      <c r="AE521" s="519">
        <f t="shared" ca="1" si="609"/>
        <v>0</v>
      </c>
      <c r="AF521" s="519">
        <f t="shared" ca="1" si="610"/>
        <v>0</v>
      </c>
      <c r="AG521" s="519">
        <f t="shared" ca="1" si="611"/>
        <v>0</v>
      </c>
      <c r="AH521" s="519">
        <f t="shared" ca="1" si="612"/>
        <v>0</v>
      </c>
      <c r="AI521" s="519">
        <f t="shared" ca="1" si="613"/>
        <v>0</v>
      </c>
      <c r="AJ521" s="519">
        <f t="shared" ca="1" si="614"/>
        <v>0</v>
      </c>
      <c r="AK521" s="519">
        <f t="shared" ca="1" si="615"/>
        <v>0</v>
      </c>
      <c r="AL521" s="519">
        <f t="shared" ca="1" si="616"/>
        <v>4.9578365070349573E-2</v>
      </c>
      <c r="AM521" s="519">
        <f t="shared" ca="1" si="617"/>
        <v>0</v>
      </c>
      <c r="AN521" s="519">
        <f t="shared" ca="1" si="618"/>
        <v>0</v>
      </c>
      <c r="AO521" s="519">
        <f t="shared" ca="1" si="619"/>
        <v>0</v>
      </c>
      <c r="AP521" s="519">
        <f t="shared" ca="1" si="620"/>
        <v>0</v>
      </c>
      <c r="AQ521" s="519">
        <f t="shared" ca="1" si="621"/>
        <v>0</v>
      </c>
    </row>
    <row r="522" spans="1:43" x14ac:dyDescent="0.3">
      <c r="A522" s="556">
        <f t="shared" si="608"/>
        <v>3</v>
      </c>
      <c r="B522" s="519" t="str">
        <f t="shared" si="622"/>
        <v>KUM</v>
      </c>
      <c r="C522" s="519" t="str">
        <f>Volumes!H33</f>
        <v>Trustpower</v>
      </c>
      <c r="D522" s="519" t="str">
        <f>Volumes!I33</f>
        <v>KUM0661 KUM0</v>
      </c>
      <c r="E522" s="519">
        <f>Volumes!J33</f>
        <v>24.868844299999999</v>
      </c>
      <c r="G522" s="525"/>
      <c r="H522" s="519">
        <f ca="1">_xlfn.IFNA(IF(VLOOKUP($B522&amp;OFFSET(H$10,$A522*2,0),'Mapping A'!$B$6:$E$1011,4,0)=1,$E522,""),0)</f>
        <v>0</v>
      </c>
      <c r="I522" s="519">
        <f ca="1">_xlfn.IFNA(IF(VLOOKUP($B522&amp;OFFSET(I$10,$A522*2,0),'Mapping A'!$B$6:$E$1011,4,0)=1,$E522,""),0)</f>
        <v>24.868844299999999</v>
      </c>
      <c r="J522" s="519">
        <f ca="1">_xlfn.IFNA(IF(VLOOKUP($B522&amp;OFFSET(J$10,$A522*2,0),'Mapping A'!$B$6:$E$1011,4,0)=1,$E522,""),0)</f>
        <v>24.868844299999999</v>
      </c>
      <c r="K522" s="519">
        <f ca="1">_xlfn.IFNA(IF(VLOOKUP($B522&amp;OFFSET(K$10,$A522*2,0),'Mapping A'!$B$6:$E$1011,4,0)=1,$E522,""),0)</f>
        <v>0</v>
      </c>
      <c r="L522" s="519">
        <f ca="1">_xlfn.IFNA(IF(VLOOKUP($B522&amp;OFFSET(L$10,$A522*2,0),'Mapping A'!$B$6:$E$1011,4,0)=1,$E522,""),0)</f>
        <v>0</v>
      </c>
      <c r="M522" s="519">
        <f ca="1">_xlfn.IFNA(IF(VLOOKUP($B522&amp;OFFSET(M$10,$A522*2,0),'Mapping A'!$B$6:$E$1011,4,0)=1,$E522,""),0)</f>
        <v>0</v>
      </c>
      <c r="N522" s="519">
        <f ca="1">_xlfn.IFNA(IF(VLOOKUP($B522&amp;OFFSET(N$10,$A522*2,0),'Mapping A'!$B$6:$E$1011,4,0)=1,$E522,""),0)</f>
        <v>0</v>
      </c>
      <c r="O522" s="519">
        <f ca="1">_xlfn.IFNA(IF(VLOOKUP($B522&amp;OFFSET(O$10,$A522*2,0),'Mapping A'!$B$6:$E$1011,4,0)=1,$E522,""),0)</f>
        <v>0</v>
      </c>
      <c r="P522" s="519">
        <f ca="1">_xlfn.IFNA(IF(VLOOKUP($B522&amp;OFFSET(P$10,$A522*2,0),'Mapping A'!$B$6:$E$1011,4,0)=1,$E522,""),0)</f>
        <v>0</v>
      </c>
      <c r="Q522" s="519">
        <f ca="1">_xlfn.IFNA(IF(VLOOKUP($B522&amp;OFFSET(Q$10,$A522*2,0),'Mapping A'!$B$6:$E$1011,4,0)=1,$E522,""),0)</f>
        <v>0</v>
      </c>
      <c r="R522" s="519">
        <f ca="1">_xlfn.IFNA(IF(VLOOKUP($B522&amp;OFFSET(R$10,$A522*2,0),'Mapping A'!$B$6:$E$1011,4,0)=1,$E522,""),0)</f>
        <v>0</v>
      </c>
      <c r="S522" s="519">
        <f ca="1">_xlfn.IFNA(IF(VLOOKUP($B522&amp;OFFSET(S$10,$A522*2,0),'Mapping A'!$B$6:$E$1011,4,0)=1,$E522,""),0)</f>
        <v>0</v>
      </c>
      <c r="T522" s="519">
        <f ca="1">_xlfn.IFNA(IF(VLOOKUP($B522&amp;OFFSET(T$10,$A522*2,0),'Mapping A'!$B$6:$E$1011,4,0)=1,$E522,""),0)</f>
        <v>0</v>
      </c>
      <c r="Y522" s="534" t="str">
        <f t="shared" si="623"/>
        <v>KUM0661 KUM0Trustpower</v>
      </c>
      <c r="Z522" s="519" t="str">
        <f>Volumes!H33</f>
        <v>Trustpower</v>
      </c>
      <c r="AA522" s="519" t="str">
        <f>Volumes!I33</f>
        <v>KUM0661 KUM0</v>
      </c>
      <c r="AB522" s="519">
        <f>Volumes!J33</f>
        <v>24.868844299999999</v>
      </c>
      <c r="AC522" s="170"/>
      <c r="AE522" s="519">
        <f t="shared" ca="1" si="609"/>
        <v>0</v>
      </c>
      <c r="AF522" s="519">
        <f t="shared" ca="1" si="610"/>
        <v>0</v>
      </c>
      <c r="AG522" s="519">
        <f t="shared" ca="1" si="611"/>
        <v>0</v>
      </c>
      <c r="AH522" s="519">
        <f t="shared" ca="1" si="612"/>
        <v>0</v>
      </c>
      <c r="AI522" s="519">
        <f t="shared" ca="1" si="613"/>
        <v>0</v>
      </c>
      <c r="AJ522" s="519">
        <f t="shared" ca="1" si="614"/>
        <v>0</v>
      </c>
      <c r="AK522" s="519">
        <f t="shared" ca="1" si="615"/>
        <v>0</v>
      </c>
      <c r="AL522" s="519">
        <f t="shared" ca="1" si="616"/>
        <v>0</v>
      </c>
      <c r="AM522" s="519">
        <f t="shared" ca="1" si="617"/>
        <v>0</v>
      </c>
      <c r="AN522" s="519">
        <f t="shared" ca="1" si="618"/>
        <v>0</v>
      </c>
      <c r="AO522" s="519">
        <f t="shared" ca="1" si="619"/>
        <v>0</v>
      </c>
      <c r="AP522" s="519">
        <f t="shared" ca="1" si="620"/>
        <v>0</v>
      </c>
      <c r="AQ522" s="519">
        <f t="shared" ca="1" si="621"/>
        <v>0</v>
      </c>
    </row>
    <row r="523" spans="1:43" x14ac:dyDescent="0.3">
      <c r="A523" s="556">
        <f t="shared" si="608"/>
        <v>3</v>
      </c>
      <c r="B523" s="519" t="str">
        <f t="shared" si="622"/>
        <v>MAN</v>
      </c>
      <c r="C523" s="519" t="str">
        <f>Volumes!H34</f>
        <v>Meridian</v>
      </c>
      <c r="D523" s="519" t="str">
        <f>Volumes!I34</f>
        <v>MAN2201 MAN0</v>
      </c>
      <c r="E523" s="519">
        <f>Volumes!J34</f>
        <v>4513.1046075000049</v>
      </c>
      <c r="G523" s="525"/>
      <c r="H523" s="519">
        <f ca="1">_xlfn.IFNA(IF(VLOOKUP($B523&amp;OFFSET(H$10,$A523*2,0),'Mapping A'!$B$6:$E$1011,4,0)=1,$E523,""),0)</f>
        <v>0</v>
      </c>
      <c r="I523" s="519">
        <f ca="1">_xlfn.IFNA(IF(VLOOKUP($B523&amp;OFFSET(I$10,$A523*2,0),'Mapping A'!$B$6:$E$1011,4,0)=1,$E523,""),0)</f>
        <v>4513.1046075000049</v>
      </c>
      <c r="J523" s="519">
        <f ca="1">_xlfn.IFNA(IF(VLOOKUP($B523&amp;OFFSET(J$10,$A523*2,0),'Mapping A'!$B$6:$E$1011,4,0)=1,$E523,""),0)</f>
        <v>4513.1046075000049</v>
      </c>
      <c r="K523" s="519">
        <f ca="1">_xlfn.IFNA(IF(VLOOKUP($B523&amp;OFFSET(K$10,$A523*2,0),'Mapping A'!$B$6:$E$1011,4,0)=1,$E523,""),0)</f>
        <v>0</v>
      </c>
      <c r="L523" s="519">
        <f ca="1">_xlfn.IFNA(IF(VLOOKUP($B523&amp;OFFSET(L$10,$A523*2,0),'Mapping A'!$B$6:$E$1011,4,0)=1,$E523,""),0)</f>
        <v>4513.1046075000049</v>
      </c>
      <c r="M523" s="519">
        <f ca="1">_xlfn.IFNA(IF(VLOOKUP($B523&amp;OFFSET(M$10,$A523*2,0),'Mapping A'!$B$6:$E$1011,4,0)=1,$E523,""),0)</f>
        <v>0</v>
      </c>
      <c r="N523" s="519">
        <f ca="1">_xlfn.IFNA(IF(VLOOKUP($B523&amp;OFFSET(N$10,$A523*2,0),'Mapping A'!$B$6:$E$1011,4,0)=1,$E523,""),0)</f>
        <v>0</v>
      </c>
      <c r="O523" s="519">
        <f ca="1">_xlfn.IFNA(IF(VLOOKUP($B523&amp;OFFSET(O$10,$A523*2,0),'Mapping A'!$B$6:$E$1011,4,0)=1,$E523,""),0)</f>
        <v>0</v>
      </c>
      <c r="P523" s="519">
        <f ca="1">_xlfn.IFNA(IF(VLOOKUP($B523&amp;OFFSET(P$10,$A523*2,0),'Mapping A'!$B$6:$E$1011,4,0)=1,$E523,""),0)</f>
        <v>0</v>
      </c>
      <c r="Q523" s="519">
        <f ca="1">_xlfn.IFNA(IF(VLOOKUP($B523&amp;OFFSET(Q$10,$A523*2,0),'Mapping A'!$B$6:$E$1011,4,0)=1,$E523,""),0)</f>
        <v>0</v>
      </c>
      <c r="R523" s="519">
        <f ca="1">_xlfn.IFNA(IF(VLOOKUP($B523&amp;OFFSET(R$10,$A523*2,0),'Mapping A'!$B$6:$E$1011,4,0)=1,$E523,""),0)</f>
        <v>0</v>
      </c>
      <c r="S523" s="519">
        <f ca="1">_xlfn.IFNA(IF(VLOOKUP($B523&amp;OFFSET(S$10,$A523*2,0),'Mapping A'!$B$6:$E$1011,4,0)=1,$E523,""),0)</f>
        <v>0</v>
      </c>
      <c r="T523" s="519">
        <f ca="1">_xlfn.IFNA(IF(VLOOKUP($B523&amp;OFFSET(T$10,$A523*2,0),'Mapping A'!$B$6:$E$1011,4,0)=1,$E523,""),0)</f>
        <v>0</v>
      </c>
      <c r="Y523" s="534" t="str">
        <f t="shared" si="623"/>
        <v>MAN2201 MAN0Meridian</v>
      </c>
      <c r="Z523" s="519" t="str">
        <f>Volumes!H34</f>
        <v>Meridian</v>
      </c>
      <c r="AA523" s="519" t="str">
        <f>Volumes!I34</f>
        <v>MAN2201 MAN0</v>
      </c>
      <c r="AB523" s="519">
        <f>Volumes!J34</f>
        <v>4513.1046075000049</v>
      </c>
      <c r="AC523" s="170"/>
      <c r="AE523" s="519">
        <f t="shared" ca="1" si="609"/>
        <v>0</v>
      </c>
      <c r="AF523" s="519">
        <f t="shared" ca="1" si="610"/>
        <v>0</v>
      </c>
      <c r="AG523" s="519">
        <f t="shared" ca="1" si="611"/>
        <v>0</v>
      </c>
      <c r="AH523" s="519">
        <f t="shared" ca="1" si="612"/>
        <v>0</v>
      </c>
      <c r="AI523" s="519">
        <f t="shared" ca="1" si="613"/>
        <v>0</v>
      </c>
      <c r="AJ523" s="519">
        <f t="shared" ca="1" si="614"/>
        <v>0</v>
      </c>
      <c r="AK523" s="519">
        <f t="shared" ca="1" si="615"/>
        <v>0</v>
      </c>
      <c r="AL523" s="519">
        <f t="shared" ca="1" si="616"/>
        <v>0</v>
      </c>
      <c r="AM523" s="519">
        <f t="shared" ca="1" si="617"/>
        <v>0</v>
      </c>
      <c r="AN523" s="519">
        <f t="shared" ca="1" si="618"/>
        <v>0</v>
      </c>
      <c r="AO523" s="519">
        <f t="shared" ca="1" si="619"/>
        <v>0</v>
      </c>
      <c r="AP523" s="519">
        <f t="shared" ca="1" si="620"/>
        <v>0</v>
      </c>
      <c r="AQ523" s="519">
        <f t="shared" ca="1" si="621"/>
        <v>0</v>
      </c>
    </row>
    <row r="524" spans="1:43" x14ac:dyDescent="0.3">
      <c r="A524" s="556">
        <f t="shared" si="608"/>
        <v>3</v>
      </c>
      <c r="B524" s="519" t="str">
        <f t="shared" si="622"/>
        <v>MAT</v>
      </c>
      <c r="C524" s="519" t="str">
        <f>Volumes!H35</f>
        <v>Todd</v>
      </c>
      <c r="D524" s="519" t="str">
        <f>Volumes!I35</f>
        <v>MAT1101 ANI0</v>
      </c>
      <c r="E524" s="519">
        <f>Volumes!J35</f>
        <v>90.454900000000137</v>
      </c>
      <c r="G524" s="525"/>
      <c r="H524" s="519">
        <f ca="1">_xlfn.IFNA(IF(VLOOKUP($B524&amp;OFFSET(H$10,$A524*2,0),'Mapping A'!$B$6:$E$1011,4,0)=1,$E524,""),0)</f>
        <v>0</v>
      </c>
      <c r="I524" s="519">
        <f ca="1">_xlfn.IFNA(IF(VLOOKUP($B524&amp;OFFSET(I$10,$A524*2,0),'Mapping A'!$B$6:$E$1011,4,0)=1,$E524,""),0)</f>
        <v>0</v>
      </c>
      <c r="J524" s="519">
        <f ca="1">_xlfn.IFNA(IF(VLOOKUP($B524&amp;OFFSET(J$10,$A524*2,0),'Mapping A'!$B$6:$E$1011,4,0)=1,$E524,""),0)</f>
        <v>0</v>
      </c>
      <c r="K524" s="519">
        <f ca="1">_xlfn.IFNA(IF(VLOOKUP($B524&amp;OFFSET(K$10,$A524*2,0),'Mapping A'!$B$6:$E$1011,4,0)=1,$E524,""),0)</f>
        <v>0</v>
      </c>
      <c r="L524" s="519">
        <f ca="1">_xlfn.IFNA(IF(VLOOKUP($B524&amp;OFFSET(L$10,$A524*2,0),'Mapping A'!$B$6:$E$1011,4,0)=1,$E524,""),0)</f>
        <v>0</v>
      </c>
      <c r="M524" s="519">
        <f ca="1">_xlfn.IFNA(IF(VLOOKUP($B524&amp;OFFSET(M$10,$A524*2,0),'Mapping A'!$B$6:$E$1011,4,0)=1,$E524,""),0)</f>
        <v>90.454900000000137</v>
      </c>
      <c r="N524" s="519">
        <f ca="1">_xlfn.IFNA(IF(VLOOKUP($B524&amp;OFFSET(N$10,$A524*2,0),'Mapping A'!$B$6:$E$1011,4,0)=1,$E524,""),0)</f>
        <v>0</v>
      </c>
      <c r="O524" s="519">
        <f ca="1">_xlfn.IFNA(IF(VLOOKUP($B524&amp;OFFSET(O$10,$A524*2,0),'Mapping A'!$B$6:$E$1011,4,0)=1,$E524,""),0)</f>
        <v>90.454900000000137</v>
      </c>
      <c r="P524" s="519">
        <f ca="1">_xlfn.IFNA(IF(VLOOKUP($B524&amp;OFFSET(P$10,$A524*2,0),'Mapping A'!$B$6:$E$1011,4,0)=1,$E524,""),0)</f>
        <v>0</v>
      </c>
      <c r="Q524" s="519">
        <f ca="1">_xlfn.IFNA(IF(VLOOKUP($B524&amp;OFFSET(Q$10,$A524*2,0),'Mapping A'!$B$6:$E$1011,4,0)=1,$E524,""),0)</f>
        <v>0</v>
      </c>
      <c r="R524" s="519">
        <f ca="1">_xlfn.IFNA(IF(VLOOKUP($B524&amp;OFFSET(R$10,$A524*2,0),'Mapping A'!$B$6:$E$1011,4,0)=1,$E524,""),0)</f>
        <v>0</v>
      </c>
      <c r="S524" s="519">
        <f ca="1">_xlfn.IFNA(IF(VLOOKUP($B524&amp;OFFSET(S$10,$A524*2,0),'Mapping A'!$B$6:$E$1011,4,0)=1,$E524,""),0)</f>
        <v>0</v>
      </c>
      <c r="T524" s="519">
        <f ca="1">_xlfn.IFNA(IF(VLOOKUP($B524&amp;OFFSET(T$10,$A524*2,0),'Mapping A'!$B$6:$E$1011,4,0)=1,$E524,""),0)</f>
        <v>0</v>
      </c>
      <c r="Y524" s="534" t="str">
        <f t="shared" si="623"/>
        <v>MAT1101 ANI0Todd</v>
      </c>
      <c r="Z524" s="519" t="str">
        <f>Volumes!H35</f>
        <v>Todd</v>
      </c>
      <c r="AA524" s="519" t="str">
        <f>Volumes!I35</f>
        <v>MAT1101 ANI0</v>
      </c>
      <c r="AB524" s="519">
        <f>Volumes!J35</f>
        <v>90.454900000000137</v>
      </c>
      <c r="AC524" s="170"/>
      <c r="AE524" s="519">
        <f t="shared" ca="1" si="609"/>
        <v>0</v>
      </c>
      <c r="AF524" s="519">
        <f t="shared" ca="1" si="610"/>
        <v>0</v>
      </c>
      <c r="AG524" s="519">
        <f t="shared" ca="1" si="611"/>
        <v>0</v>
      </c>
      <c r="AH524" s="519">
        <f t="shared" ca="1" si="612"/>
        <v>0</v>
      </c>
      <c r="AI524" s="519">
        <f t="shared" ca="1" si="613"/>
        <v>0</v>
      </c>
      <c r="AJ524" s="519">
        <f t="shared" ca="1" si="614"/>
        <v>0</v>
      </c>
      <c r="AK524" s="519">
        <f t="shared" ca="1" si="615"/>
        <v>0</v>
      </c>
      <c r="AL524" s="519">
        <f t="shared" ca="1" si="616"/>
        <v>1.0474486032753133E-2</v>
      </c>
      <c r="AM524" s="519">
        <f t="shared" ca="1" si="617"/>
        <v>0</v>
      </c>
      <c r="AN524" s="519">
        <f t="shared" ca="1" si="618"/>
        <v>0</v>
      </c>
      <c r="AO524" s="519">
        <f t="shared" ca="1" si="619"/>
        <v>0</v>
      </c>
      <c r="AP524" s="519">
        <f t="shared" ca="1" si="620"/>
        <v>0</v>
      </c>
      <c r="AQ524" s="519">
        <f t="shared" ca="1" si="621"/>
        <v>0</v>
      </c>
    </row>
    <row r="525" spans="1:43" x14ac:dyDescent="0.3">
      <c r="A525" s="556">
        <f t="shared" si="608"/>
        <v>3</v>
      </c>
      <c r="B525" s="519" t="str">
        <f t="shared" si="622"/>
        <v>MAT</v>
      </c>
      <c r="C525" s="519" t="str">
        <f>Volumes!H36</f>
        <v>Trustpower</v>
      </c>
      <c r="D525" s="519" t="str">
        <f>Volumes!I36</f>
        <v>MAT1101 MAT0</v>
      </c>
      <c r="E525" s="519">
        <f>Volumes!J36</f>
        <v>161.48699857999966</v>
      </c>
      <c r="G525" s="525"/>
      <c r="H525" s="519">
        <f ca="1">_xlfn.IFNA(IF(VLOOKUP($B525&amp;OFFSET(H$10,$A525*2,0),'Mapping A'!$B$6:$E$1011,4,0)=1,$E525,""),0)</f>
        <v>0</v>
      </c>
      <c r="I525" s="519">
        <f ca="1">_xlfn.IFNA(IF(VLOOKUP($B525&amp;OFFSET(I$10,$A525*2,0),'Mapping A'!$B$6:$E$1011,4,0)=1,$E525,""),0)</f>
        <v>0</v>
      </c>
      <c r="J525" s="519">
        <f ca="1">_xlfn.IFNA(IF(VLOOKUP($B525&amp;OFFSET(J$10,$A525*2,0),'Mapping A'!$B$6:$E$1011,4,0)=1,$E525,""),0)</f>
        <v>0</v>
      </c>
      <c r="K525" s="519">
        <f ca="1">_xlfn.IFNA(IF(VLOOKUP($B525&amp;OFFSET(K$10,$A525*2,0),'Mapping A'!$B$6:$E$1011,4,0)=1,$E525,""),0)</f>
        <v>0</v>
      </c>
      <c r="L525" s="519">
        <f ca="1">_xlfn.IFNA(IF(VLOOKUP($B525&amp;OFFSET(L$10,$A525*2,0),'Mapping A'!$B$6:$E$1011,4,0)=1,$E525,""),0)</f>
        <v>0</v>
      </c>
      <c r="M525" s="519">
        <f ca="1">_xlfn.IFNA(IF(VLOOKUP($B525&amp;OFFSET(M$10,$A525*2,0),'Mapping A'!$B$6:$E$1011,4,0)=1,$E525,""),0)</f>
        <v>161.48699857999966</v>
      </c>
      <c r="N525" s="519">
        <f ca="1">_xlfn.IFNA(IF(VLOOKUP($B525&amp;OFFSET(N$10,$A525*2,0),'Mapping A'!$B$6:$E$1011,4,0)=1,$E525,""),0)</f>
        <v>0</v>
      </c>
      <c r="O525" s="519">
        <f ca="1">_xlfn.IFNA(IF(VLOOKUP($B525&amp;OFFSET(O$10,$A525*2,0),'Mapping A'!$B$6:$E$1011,4,0)=1,$E525,""),0)</f>
        <v>161.48699857999966</v>
      </c>
      <c r="P525" s="519">
        <f ca="1">_xlfn.IFNA(IF(VLOOKUP($B525&amp;OFFSET(P$10,$A525*2,0),'Mapping A'!$B$6:$E$1011,4,0)=1,$E525,""),0)</f>
        <v>0</v>
      </c>
      <c r="Q525" s="519">
        <f ca="1">_xlfn.IFNA(IF(VLOOKUP($B525&amp;OFFSET(Q$10,$A525*2,0),'Mapping A'!$B$6:$E$1011,4,0)=1,$E525,""),0)</f>
        <v>0</v>
      </c>
      <c r="R525" s="519">
        <f ca="1">_xlfn.IFNA(IF(VLOOKUP($B525&amp;OFFSET(R$10,$A525*2,0),'Mapping A'!$B$6:$E$1011,4,0)=1,$E525,""),0)</f>
        <v>0</v>
      </c>
      <c r="S525" s="519">
        <f ca="1">_xlfn.IFNA(IF(VLOOKUP($B525&amp;OFFSET(S$10,$A525*2,0),'Mapping A'!$B$6:$E$1011,4,0)=1,$E525,""),0)</f>
        <v>0</v>
      </c>
      <c r="T525" s="519">
        <f ca="1">_xlfn.IFNA(IF(VLOOKUP($B525&amp;OFFSET(T$10,$A525*2,0),'Mapping A'!$B$6:$E$1011,4,0)=1,$E525,""),0)</f>
        <v>0</v>
      </c>
      <c r="Y525" s="534" t="str">
        <f t="shared" si="623"/>
        <v>MAT1101 MAT0Trustpower</v>
      </c>
      <c r="Z525" s="519" t="str">
        <f>Volumes!H36</f>
        <v>Trustpower</v>
      </c>
      <c r="AA525" s="519" t="str">
        <f>Volumes!I36</f>
        <v>MAT1101 MAT0</v>
      </c>
      <c r="AB525" s="519">
        <f>Volumes!J36</f>
        <v>161.48699857999966</v>
      </c>
      <c r="AC525" s="170"/>
      <c r="AE525" s="519">
        <f t="shared" ca="1" si="609"/>
        <v>0</v>
      </c>
      <c r="AF525" s="519">
        <f t="shared" ca="1" si="610"/>
        <v>0</v>
      </c>
      <c r="AG525" s="519">
        <f t="shared" ca="1" si="611"/>
        <v>0</v>
      </c>
      <c r="AH525" s="519">
        <f t="shared" ca="1" si="612"/>
        <v>0</v>
      </c>
      <c r="AI525" s="519">
        <f t="shared" ca="1" si="613"/>
        <v>0</v>
      </c>
      <c r="AJ525" s="519">
        <f t="shared" ca="1" si="614"/>
        <v>0</v>
      </c>
      <c r="AK525" s="519">
        <f t="shared" ca="1" si="615"/>
        <v>0</v>
      </c>
      <c r="AL525" s="519">
        <f t="shared" ca="1" si="616"/>
        <v>1.8699852756428111E-2</v>
      </c>
      <c r="AM525" s="519">
        <f t="shared" ca="1" si="617"/>
        <v>0</v>
      </c>
      <c r="AN525" s="519">
        <f t="shared" ca="1" si="618"/>
        <v>0</v>
      </c>
      <c r="AO525" s="519">
        <f t="shared" ca="1" si="619"/>
        <v>0</v>
      </c>
      <c r="AP525" s="519">
        <f t="shared" ca="1" si="620"/>
        <v>0</v>
      </c>
      <c r="AQ525" s="519">
        <f t="shared" ca="1" si="621"/>
        <v>0</v>
      </c>
    </row>
    <row r="526" spans="1:43" x14ac:dyDescent="0.3">
      <c r="A526" s="556">
        <f t="shared" si="608"/>
        <v>3</v>
      </c>
      <c r="B526" s="519" t="str">
        <f t="shared" si="622"/>
        <v>MAT</v>
      </c>
      <c r="C526" s="519" t="str">
        <f>Volumes!H37</f>
        <v>Trustpower</v>
      </c>
      <c r="D526" s="519" t="str">
        <f>Volumes!I37</f>
        <v>MAT1102 MAT0</v>
      </c>
      <c r="E526" s="519">
        <f>Volumes!J37</f>
        <v>16.482292375</v>
      </c>
      <c r="G526" s="525"/>
      <c r="H526" s="519">
        <f ca="1">_xlfn.IFNA(IF(VLOOKUP($B526&amp;OFFSET(H$10,$A526*2,0),'Mapping A'!$B$6:$E$1011,4,0)=1,$E526,""),0)</f>
        <v>0</v>
      </c>
      <c r="I526" s="519">
        <f ca="1">_xlfn.IFNA(IF(VLOOKUP($B526&amp;OFFSET(I$10,$A526*2,0),'Mapping A'!$B$6:$E$1011,4,0)=1,$E526,""),0)</f>
        <v>0</v>
      </c>
      <c r="J526" s="519">
        <f ca="1">_xlfn.IFNA(IF(VLOOKUP($B526&amp;OFFSET(J$10,$A526*2,0),'Mapping A'!$B$6:$E$1011,4,0)=1,$E526,""),0)</f>
        <v>0</v>
      </c>
      <c r="K526" s="519">
        <f ca="1">_xlfn.IFNA(IF(VLOOKUP($B526&amp;OFFSET(K$10,$A526*2,0),'Mapping A'!$B$6:$E$1011,4,0)=1,$E526,""),0)</f>
        <v>0</v>
      </c>
      <c r="L526" s="519">
        <f ca="1">_xlfn.IFNA(IF(VLOOKUP($B526&amp;OFFSET(L$10,$A526*2,0),'Mapping A'!$B$6:$E$1011,4,0)=1,$E526,""),0)</f>
        <v>0</v>
      </c>
      <c r="M526" s="519">
        <f ca="1">_xlfn.IFNA(IF(VLOOKUP($B526&amp;OFFSET(M$10,$A526*2,0),'Mapping A'!$B$6:$E$1011,4,0)=1,$E526,""),0)</f>
        <v>16.482292375</v>
      </c>
      <c r="N526" s="519">
        <f ca="1">_xlfn.IFNA(IF(VLOOKUP($B526&amp;OFFSET(N$10,$A526*2,0),'Mapping A'!$B$6:$E$1011,4,0)=1,$E526,""),0)</f>
        <v>0</v>
      </c>
      <c r="O526" s="519">
        <f ca="1">_xlfn.IFNA(IF(VLOOKUP($B526&amp;OFFSET(O$10,$A526*2,0),'Mapping A'!$B$6:$E$1011,4,0)=1,$E526,""),0)</f>
        <v>16.482292375</v>
      </c>
      <c r="P526" s="519">
        <f ca="1">_xlfn.IFNA(IF(VLOOKUP($B526&amp;OFFSET(P$10,$A526*2,0),'Mapping A'!$B$6:$E$1011,4,0)=1,$E526,""),0)</f>
        <v>0</v>
      </c>
      <c r="Q526" s="519">
        <f ca="1">_xlfn.IFNA(IF(VLOOKUP($B526&amp;OFFSET(Q$10,$A526*2,0),'Mapping A'!$B$6:$E$1011,4,0)=1,$E526,""),0)</f>
        <v>0</v>
      </c>
      <c r="R526" s="519">
        <f ca="1">_xlfn.IFNA(IF(VLOOKUP($B526&amp;OFFSET(R$10,$A526*2,0),'Mapping A'!$B$6:$E$1011,4,0)=1,$E526,""),0)</f>
        <v>0</v>
      </c>
      <c r="S526" s="519">
        <f ca="1">_xlfn.IFNA(IF(VLOOKUP($B526&amp;OFFSET(S$10,$A526*2,0),'Mapping A'!$B$6:$E$1011,4,0)=1,$E526,""),0)</f>
        <v>0</v>
      </c>
      <c r="T526" s="519">
        <f ca="1">_xlfn.IFNA(IF(VLOOKUP($B526&amp;OFFSET(T$10,$A526*2,0),'Mapping A'!$B$6:$E$1011,4,0)=1,$E526,""),0)</f>
        <v>0</v>
      </c>
      <c r="Y526" s="534" t="str">
        <f t="shared" si="623"/>
        <v>MAT1102 MAT0Trustpower</v>
      </c>
      <c r="Z526" s="519" t="str">
        <f>Volumes!H37</f>
        <v>Trustpower</v>
      </c>
      <c r="AA526" s="519" t="str">
        <f>Volumes!I37</f>
        <v>MAT1102 MAT0</v>
      </c>
      <c r="AB526" s="519">
        <f>Volumes!J37</f>
        <v>16.482292375</v>
      </c>
      <c r="AC526" s="170"/>
      <c r="AE526" s="519">
        <f t="shared" ca="1" si="609"/>
        <v>0</v>
      </c>
      <c r="AF526" s="519">
        <f t="shared" ca="1" si="610"/>
        <v>0</v>
      </c>
      <c r="AG526" s="519">
        <f t="shared" ca="1" si="611"/>
        <v>0</v>
      </c>
      <c r="AH526" s="519">
        <f t="shared" ca="1" si="612"/>
        <v>0</v>
      </c>
      <c r="AI526" s="519">
        <f t="shared" ca="1" si="613"/>
        <v>0</v>
      </c>
      <c r="AJ526" s="519">
        <f t="shared" ca="1" si="614"/>
        <v>0</v>
      </c>
      <c r="AK526" s="519">
        <f t="shared" ca="1" si="615"/>
        <v>0</v>
      </c>
      <c r="AL526" s="519">
        <f t="shared" ca="1" si="616"/>
        <v>1.9086145832861539E-3</v>
      </c>
      <c r="AM526" s="519">
        <f t="shared" ca="1" si="617"/>
        <v>0</v>
      </c>
      <c r="AN526" s="519">
        <f t="shared" ca="1" si="618"/>
        <v>0</v>
      </c>
      <c r="AO526" s="519">
        <f t="shared" ca="1" si="619"/>
        <v>0</v>
      </c>
      <c r="AP526" s="519">
        <f t="shared" ca="1" si="620"/>
        <v>0</v>
      </c>
      <c r="AQ526" s="519">
        <f t="shared" ca="1" si="621"/>
        <v>0</v>
      </c>
    </row>
    <row r="527" spans="1:43" x14ac:dyDescent="0.3">
      <c r="A527" s="556">
        <f t="shared" si="608"/>
        <v>3</v>
      </c>
      <c r="B527" s="519" t="str">
        <f t="shared" si="622"/>
        <v>MHO</v>
      </c>
      <c r="C527" s="519" t="str">
        <f>Volumes!H38</f>
        <v>Todd</v>
      </c>
      <c r="D527" s="519" t="str">
        <f>Volumes!I38</f>
        <v>MHO0331 MHO0</v>
      </c>
      <c r="E527" s="519">
        <f>Volumes!J38</f>
        <v>141.40069299999999</v>
      </c>
      <c r="G527" s="525"/>
      <c r="H527" s="519">
        <f ca="1">_xlfn.IFNA(IF(VLOOKUP($B527&amp;OFFSET(H$10,$A527*2,0),'Mapping A'!$B$6:$E$1011,4,0)=1,$E527,""),0)</f>
        <v>0</v>
      </c>
      <c r="I527" s="519">
        <f ca="1">_xlfn.IFNA(IF(VLOOKUP($B527&amp;OFFSET(I$10,$A527*2,0),'Mapping A'!$B$6:$E$1011,4,0)=1,$E527,""),0)</f>
        <v>0</v>
      </c>
      <c r="J527" s="519">
        <f ca="1">_xlfn.IFNA(IF(VLOOKUP($B527&amp;OFFSET(J$10,$A527*2,0),'Mapping A'!$B$6:$E$1011,4,0)=1,$E527,""),0)</f>
        <v>0</v>
      </c>
      <c r="K527" s="519">
        <f ca="1">_xlfn.IFNA(IF(VLOOKUP($B527&amp;OFFSET(K$10,$A527*2,0),'Mapping A'!$B$6:$E$1011,4,0)=1,$E527,""),0)</f>
        <v>0</v>
      </c>
      <c r="L527" s="519">
        <f ca="1">_xlfn.IFNA(IF(VLOOKUP($B527&amp;OFFSET(L$10,$A527*2,0),'Mapping A'!$B$6:$E$1011,4,0)=1,$E527,""),0)</f>
        <v>0</v>
      </c>
      <c r="M527" s="519">
        <f ca="1">_xlfn.IFNA(IF(VLOOKUP($B527&amp;OFFSET(M$10,$A527*2,0),'Mapping A'!$B$6:$E$1011,4,0)=1,$E527,""),0)</f>
        <v>0</v>
      </c>
      <c r="N527" s="519">
        <f ca="1">_xlfn.IFNA(IF(VLOOKUP($B527&amp;OFFSET(N$10,$A527*2,0),'Mapping A'!$B$6:$E$1011,4,0)=1,$E527,""),0)</f>
        <v>0</v>
      </c>
      <c r="O527" s="519">
        <f ca="1">_xlfn.IFNA(IF(VLOOKUP($B527&amp;OFFSET(O$10,$A527*2,0),'Mapping A'!$B$6:$E$1011,4,0)=1,$E527,""),0)</f>
        <v>141.40069299999999</v>
      </c>
      <c r="P527" s="519">
        <f ca="1">_xlfn.IFNA(IF(VLOOKUP($B527&amp;OFFSET(P$10,$A527*2,0),'Mapping A'!$B$6:$E$1011,4,0)=1,$E527,""),0)</f>
        <v>0</v>
      </c>
      <c r="Q527" s="519">
        <f ca="1">_xlfn.IFNA(IF(VLOOKUP($B527&amp;OFFSET(Q$10,$A527*2,0),'Mapping A'!$B$6:$E$1011,4,0)=1,$E527,""),0)</f>
        <v>0</v>
      </c>
      <c r="R527" s="519">
        <f ca="1">_xlfn.IFNA(IF(VLOOKUP($B527&amp;OFFSET(R$10,$A527*2,0),'Mapping A'!$B$6:$E$1011,4,0)=1,$E527,""),0)</f>
        <v>0</v>
      </c>
      <c r="S527" s="519">
        <f ca="1">_xlfn.IFNA(IF(VLOOKUP($B527&amp;OFFSET(S$10,$A527*2,0),'Mapping A'!$B$6:$E$1011,4,0)=1,$E527,""),0)</f>
        <v>0</v>
      </c>
      <c r="T527" s="519">
        <f ca="1">_xlfn.IFNA(IF(VLOOKUP($B527&amp;OFFSET(T$10,$A527*2,0),'Mapping A'!$B$6:$E$1011,4,0)=1,$E527,""),0)</f>
        <v>0</v>
      </c>
      <c r="Y527" s="534" t="str">
        <f t="shared" si="623"/>
        <v>MHO0331 MHO0Todd</v>
      </c>
      <c r="Z527" s="519" t="str">
        <f>Volumes!H38</f>
        <v>Todd</v>
      </c>
      <c r="AA527" s="519" t="str">
        <f>Volumes!I38</f>
        <v>MHO0331 MHO0</v>
      </c>
      <c r="AB527" s="519">
        <f>Volumes!J38</f>
        <v>141.40069299999999</v>
      </c>
      <c r="AC527" s="170"/>
      <c r="AE527" s="519">
        <f t="shared" ca="1" si="609"/>
        <v>0</v>
      </c>
      <c r="AF527" s="519">
        <f t="shared" ca="1" si="610"/>
        <v>0</v>
      </c>
      <c r="AG527" s="519">
        <f t="shared" ca="1" si="611"/>
        <v>0</v>
      </c>
      <c r="AH527" s="519">
        <f t="shared" ca="1" si="612"/>
        <v>0</v>
      </c>
      <c r="AI527" s="519">
        <f t="shared" ca="1" si="613"/>
        <v>0</v>
      </c>
      <c r="AJ527" s="519">
        <f t="shared" ca="1" si="614"/>
        <v>0</v>
      </c>
      <c r="AK527" s="519">
        <f t="shared" ca="1" si="615"/>
        <v>0</v>
      </c>
      <c r="AL527" s="519">
        <f t="shared" ca="1" si="616"/>
        <v>1.6373901069484477E-2</v>
      </c>
      <c r="AM527" s="519">
        <f t="shared" ca="1" si="617"/>
        <v>0</v>
      </c>
      <c r="AN527" s="519">
        <f t="shared" ca="1" si="618"/>
        <v>0</v>
      </c>
      <c r="AO527" s="519">
        <f t="shared" ca="1" si="619"/>
        <v>0</v>
      </c>
      <c r="AP527" s="519">
        <f t="shared" ca="1" si="620"/>
        <v>0</v>
      </c>
      <c r="AQ527" s="519">
        <f t="shared" ca="1" si="621"/>
        <v>0</v>
      </c>
    </row>
    <row r="528" spans="1:43" x14ac:dyDescent="0.3">
      <c r="A528" s="556">
        <f t="shared" si="608"/>
        <v>3</v>
      </c>
      <c r="B528" s="519" t="str">
        <f t="shared" si="622"/>
        <v>MKE</v>
      </c>
      <c r="C528" s="519" t="str">
        <f>Volumes!H39</f>
        <v>Todd</v>
      </c>
      <c r="D528" s="519" t="str">
        <f>Volumes!I39</f>
        <v>MKE1101 MKE1</v>
      </c>
      <c r="E528" s="519">
        <f>Volumes!J39</f>
        <v>177.38407537499825</v>
      </c>
      <c r="G528" s="525"/>
      <c r="H528" s="519">
        <f ca="1">_xlfn.IFNA(IF(VLOOKUP($B528&amp;OFFSET(H$10,$A528*2,0),'Mapping A'!$B$6:$E$1011,4,0)=1,$E528,""),0)</f>
        <v>0</v>
      </c>
      <c r="I528" s="519">
        <f ca="1">_xlfn.IFNA(IF(VLOOKUP($B528&amp;OFFSET(I$10,$A528*2,0),'Mapping A'!$B$6:$E$1011,4,0)=1,$E528,""),0)</f>
        <v>0</v>
      </c>
      <c r="J528" s="519">
        <f ca="1">_xlfn.IFNA(IF(VLOOKUP($B528&amp;OFFSET(J$10,$A528*2,0),'Mapping A'!$B$6:$E$1011,4,0)=1,$E528,""),0)</f>
        <v>0</v>
      </c>
      <c r="K528" s="519">
        <f ca="1">_xlfn.IFNA(IF(VLOOKUP($B528&amp;OFFSET(K$10,$A528*2,0),'Mapping A'!$B$6:$E$1011,4,0)=1,$E528,""),0)</f>
        <v>0</v>
      </c>
      <c r="L528" s="519">
        <f ca="1">_xlfn.IFNA(IF(VLOOKUP($B528&amp;OFFSET(L$10,$A528*2,0),'Mapping A'!$B$6:$E$1011,4,0)=1,$E528,""),0)</f>
        <v>0</v>
      </c>
      <c r="M528" s="519">
        <f ca="1">_xlfn.IFNA(IF(VLOOKUP($B528&amp;OFFSET(M$10,$A528*2,0),'Mapping A'!$B$6:$E$1011,4,0)=1,$E528,""),0)</f>
        <v>0</v>
      </c>
      <c r="N528" s="519">
        <f ca="1">_xlfn.IFNA(IF(VLOOKUP($B528&amp;OFFSET(N$10,$A528*2,0),'Mapping A'!$B$6:$E$1011,4,0)=1,$E528,""),0)</f>
        <v>0</v>
      </c>
      <c r="O528" s="519">
        <f ca="1">_xlfn.IFNA(IF(VLOOKUP($B528&amp;OFFSET(O$10,$A528*2,0),'Mapping A'!$B$6:$E$1011,4,0)=1,$E528,""),0)</f>
        <v>177.38407537499825</v>
      </c>
      <c r="P528" s="519">
        <f ca="1">_xlfn.IFNA(IF(VLOOKUP($B528&amp;OFFSET(P$10,$A528*2,0),'Mapping A'!$B$6:$E$1011,4,0)=1,$E528,""),0)</f>
        <v>0</v>
      </c>
      <c r="Q528" s="519">
        <f ca="1">_xlfn.IFNA(IF(VLOOKUP($B528&amp;OFFSET(Q$10,$A528*2,0),'Mapping A'!$B$6:$E$1011,4,0)=1,$E528,""),0)</f>
        <v>0</v>
      </c>
      <c r="R528" s="519">
        <f ca="1">_xlfn.IFNA(IF(VLOOKUP($B528&amp;OFFSET(R$10,$A528*2,0),'Mapping A'!$B$6:$E$1011,4,0)=1,$E528,""),0)</f>
        <v>0</v>
      </c>
      <c r="S528" s="519">
        <f ca="1">_xlfn.IFNA(IF(VLOOKUP($B528&amp;OFFSET(S$10,$A528*2,0),'Mapping A'!$B$6:$E$1011,4,0)=1,$E528,""),0)</f>
        <v>0</v>
      </c>
      <c r="T528" s="519">
        <f ca="1">_xlfn.IFNA(IF(VLOOKUP($B528&amp;OFFSET(T$10,$A528*2,0),'Mapping A'!$B$6:$E$1011,4,0)=1,$E528,""),0)</f>
        <v>0</v>
      </c>
      <c r="Y528" s="534" t="str">
        <f t="shared" si="623"/>
        <v>MKE1101 MKE1Todd</v>
      </c>
      <c r="Z528" s="519" t="str">
        <f>Volumes!H39</f>
        <v>Todd</v>
      </c>
      <c r="AA528" s="519" t="str">
        <f>Volumes!I39</f>
        <v>MKE1101 MKE1</v>
      </c>
      <c r="AB528" s="519">
        <f>Volumes!J39</f>
        <v>177.38407537499825</v>
      </c>
      <c r="AC528" s="170"/>
      <c r="AE528" s="519">
        <f t="shared" ca="1" si="609"/>
        <v>0</v>
      </c>
      <c r="AF528" s="519">
        <f t="shared" ca="1" si="610"/>
        <v>0</v>
      </c>
      <c r="AG528" s="519">
        <f t="shared" ca="1" si="611"/>
        <v>0</v>
      </c>
      <c r="AH528" s="519">
        <f t="shared" ca="1" si="612"/>
        <v>0</v>
      </c>
      <c r="AI528" s="519">
        <f t="shared" ca="1" si="613"/>
        <v>0</v>
      </c>
      <c r="AJ528" s="519">
        <f t="shared" ca="1" si="614"/>
        <v>0</v>
      </c>
      <c r="AK528" s="519">
        <f t="shared" ca="1" si="615"/>
        <v>0</v>
      </c>
      <c r="AL528" s="519">
        <f t="shared" ca="1" si="616"/>
        <v>2.054070061376714E-2</v>
      </c>
      <c r="AM528" s="519">
        <f t="shared" ca="1" si="617"/>
        <v>0</v>
      </c>
      <c r="AN528" s="519">
        <f t="shared" ca="1" si="618"/>
        <v>0</v>
      </c>
      <c r="AO528" s="519">
        <f t="shared" ca="1" si="619"/>
        <v>0</v>
      </c>
      <c r="AP528" s="519">
        <f t="shared" ca="1" si="620"/>
        <v>0</v>
      </c>
      <c r="AQ528" s="519">
        <f t="shared" ca="1" si="621"/>
        <v>0</v>
      </c>
    </row>
    <row r="529" spans="1:43" x14ac:dyDescent="0.3">
      <c r="A529" s="556">
        <f t="shared" si="608"/>
        <v>3</v>
      </c>
      <c r="B529" s="519" t="str">
        <f t="shared" si="622"/>
        <v>MTI</v>
      </c>
      <c r="C529" s="519" t="str">
        <f>Volumes!H40</f>
        <v>MRP</v>
      </c>
      <c r="D529" s="519" t="str">
        <f>Volumes!I40</f>
        <v>MTI2201 MTI0</v>
      </c>
      <c r="E529" s="519">
        <f>Volumes!J40</f>
        <v>744.59018896000111</v>
      </c>
      <c r="G529" s="525"/>
      <c r="H529" s="519">
        <f ca="1">_xlfn.IFNA(IF(VLOOKUP($B529&amp;OFFSET(H$10,$A529*2,0),'Mapping A'!$B$6:$E$1011,4,0)=1,$E529,""),0)</f>
        <v>0</v>
      </c>
      <c r="I529" s="519">
        <f ca="1">_xlfn.IFNA(IF(VLOOKUP($B529&amp;OFFSET(I$10,$A529*2,0),'Mapping A'!$B$6:$E$1011,4,0)=1,$E529,""),0)</f>
        <v>0</v>
      </c>
      <c r="J529" s="519">
        <f ca="1">_xlfn.IFNA(IF(VLOOKUP($B529&amp;OFFSET(J$10,$A529*2,0),'Mapping A'!$B$6:$E$1011,4,0)=1,$E529,""),0)</f>
        <v>0</v>
      </c>
      <c r="K529" s="519">
        <f ca="1">_xlfn.IFNA(IF(VLOOKUP($B529&amp;OFFSET(K$10,$A529*2,0),'Mapping A'!$B$6:$E$1011,4,0)=1,$E529,""),0)</f>
        <v>0</v>
      </c>
      <c r="L529" s="519">
        <f ca="1">_xlfn.IFNA(IF(VLOOKUP($B529&amp;OFFSET(L$10,$A529*2,0),'Mapping A'!$B$6:$E$1011,4,0)=1,$E529,""),0)</f>
        <v>0</v>
      </c>
      <c r="M529" s="519">
        <f ca="1">_xlfn.IFNA(IF(VLOOKUP($B529&amp;OFFSET(M$10,$A529*2,0),'Mapping A'!$B$6:$E$1011,4,0)=1,$E529,""),0)</f>
        <v>0</v>
      </c>
      <c r="N529" s="519">
        <f ca="1">_xlfn.IFNA(IF(VLOOKUP($B529&amp;OFFSET(N$10,$A529*2,0),'Mapping A'!$B$6:$E$1011,4,0)=1,$E529,""),0)</f>
        <v>0</v>
      </c>
      <c r="O529" s="519">
        <f ca="1">_xlfn.IFNA(IF(VLOOKUP($B529&amp;OFFSET(O$10,$A529*2,0),'Mapping A'!$B$6:$E$1011,4,0)=1,$E529,""),0)</f>
        <v>744.59018896000111</v>
      </c>
      <c r="P529" s="519">
        <f ca="1">_xlfn.IFNA(IF(VLOOKUP($B529&amp;OFFSET(P$10,$A529*2,0),'Mapping A'!$B$6:$E$1011,4,0)=1,$E529,""),0)</f>
        <v>0</v>
      </c>
      <c r="Q529" s="519">
        <f ca="1">_xlfn.IFNA(IF(VLOOKUP($B529&amp;OFFSET(Q$10,$A529*2,0),'Mapping A'!$B$6:$E$1011,4,0)=1,$E529,""),0)</f>
        <v>0</v>
      </c>
      <c r="R529" s="519">
        <f ca="1">_xlfn.IFNA(IF(VLOOKUP($B529&amp;OFFSET(R$10,$A529*2,0),'Mapping A'!$B$6:$E$1011,4,0)=1,$E529,""),0)</f>
        <v>0</v>
      </c>
      <c r="S529" s="519">
        <f ca="1">_xlfn.IFNA(IF(VLOOKUP($B529&amp;OFFSET(S$10,$A529*2,0),'Mapping A'!$B$6:$E$1011,4,0)=1,$E529,""),0)</f>
        <v>0</v>
      </c>
      <c r="T529" s="519">
        <f ca="1">_xlfn.IFNA(IF(VLOOKUP($B529&amp;OFFSET(T$10,$A529*2,0),'Mapping A'!$B$6:$E$1011,4,0)=1,$E529,""),0)</f>
        <v>0</v>
      </c>
      <c r="Y529" s="534" t="str">
        <f t="shared" si="623"/>
        <v>MTI2201 MTI0MRP</v>
      </c>
      <c r="Z529" s="519" t="str">
        <f>Volumes!H40</f>
        <v>MRP</v>
      </c>
      <c r="AA529" s="519" t="str">
        <f>Volumes!I40</f>
        <v>MTI2201 MTI0</v>
      </c>
      <c r="AB529" s="519">
        <f>Volumes!J40</f>
        <v>744.59018896000111</v>
      </c>
      <c r="AC529" s="170"/>
      <c r="AE529" s="519">
        <f t="shared" ca="1" si="609"/>
        <v>0</v>
      </c>
      <c r="AF529" s="519">
        <f t="shared" ca="1" si="610"/>
        <v>0</v>
      </c>
      <c r="AG529" s="519">
        <f t="shared" ca="1" si="611"/>
        <v>0</v>
      </c>
      <c r="AH529" s="519">
        <f t="shared" ca="1" si="612"/>
        <v>0</v>
      </c>
      <c r="AI529" s="519">
        <f t="shared" ca="1" si="613"/>
        <v>0</v>
      </c>
      <c r="AJ529" s="519">
        <f t="shared" ca="1" si="614"/>
        <v>0</v>
      </c>
      <c r="AK529" s="519">
        <f t="shared" ca="1" si="615"/>
        <v>0</v>
      </c>
      <c r="AL529" s="519">
        <f t="shared" ca="1" si="616"/>
        <v>8.6221968454849168E-2</v>
      </c>
      <c r="AM529" s="519">
        <f t="shared" ca="1" si="617"/>
        <v>0</v>
      </c>
      <c r="AN529" s="519">
        <f t="shared" ca="1" si="618"/>
        <v>0</v>
      </c>
      <c r="AO529" s="519">
        <f t="shared" ca="1" si="619"/>
        <v>0</v>
      </c>
      <c r="AP529" s="519">
        <f t="shared" ca="1" si="620"/>
        <v>0</v>
      </c>
      <c r="AQ529" s="519">
        <f t="shared" ca="1" si="621"/>
        <v>0</v>
      </c>
    </row>
    <row r="530" spans="1:43" x14ac:dyDescent="0.3">
      <c r="A530" s="556">
        <f t="shared" si="608"/>
        <v>3</v>
      </c>
      <c r="B530" s="519" t="str">
        <f t="shared" si="622"/>
        <v>NAP</v>
      </c>
      <c r="C530" s="519" t="str">
        <f>Volumes!H41</f>
        <v>NAP JV</v>
      </c>
      <c r="D530" s="519" t="str">
        <f>Volumes!I41</f>
        <v>NAP2201 NAP0</v>
      </c>
      <c r="E530" s="519">
        <f>Volumes!J41</f>
        <v>1078.7414309000001</v>
      </c>
      <c r="G530" s="525"/>
      <c r="H530" s="519">
        <f ca="1">_xlfn.IFNA(IF(VLOOKUP($B530&amp;OFFSET(H$10,$A530*2,0),'Mapping A'!$B$6:$E$1011,4,0)=1,$E530,""),0)</f>
        <v>0</v>
      </c>
      <c r="I530" s="519">
        <f ca="1">_xlfn.IFNA(IF(VLOOKUP($B530&amp;OFFSET(I$10,$A530*2,0),'Mapping A'!$B$6:$E$1011,4,0)=1,$E530,""),0)</f>
        <v>0</v>
      </c>
      <c r="J530" s="519">
        <f ca="1">_xlfn.IFNA(IF(VLOOKUP($B530&amp;OFFSET(J$10,$A530*2,0),'Mapping A'!$B$6:$E$1011,4,0)=1,$E530,""),0)</f>
        <v>0</v>
      </c>
      <c r="K530" s="519">
        <f ca="1">_xlfn.IFNA(IF(VLOOKUP($B530&amp;OFFSET(K$10,$A530*2,0),'Mapping A'!$B$6:$E$1011,4,0)=1,$E530,""),0)</f>
        <v>0</v>
      </c>
      <c r="L530" s="519">
        <f ca="1">_xlfn.IFNA(IF(VLOOKUP($B530&amp;OFFSET(L$10,$A530*2,0),'Mapping A'!$B$6:$E$1011,4,0)=1,$E530,""),0)</f>
        <v>0</v>
      </c>
      <c r="M530" s="519">
        <f ca="1">_xlfn.IFNA(IF(VLOOKUP($B530&amp;OFFSET(M$10,$A530*2,0),'Mapping A'!$B$6:$E$1011,4,0)=1,$E530,""),0)</f>
        <v>1078.7414309000001</v>
      </c>
      <c r="N530" s="519">
        <f ca="1">_xlfn.IFNA(IF(VLOOKUP($B530&amp;OFFSET(N$10,$A530*2,0),'Mapping A'!$B$6:$E$1011,4,0)=1,$E530,""),0)</f>
        <v>0</v>
      </c>
      <c r="O530" s="519">
        <f ca="1">_xlfn.IFNA(IF(VLOOKUP($B530&amp;OFFSET(O$10,$A530*2,0),'Mapping A'!$B$6:$E$1011,4,0)=1,$E530,""),0)</f>
        <v>1078.7414309000001</v>
      </c>
      <c r="P530" s="519">
        <f ca="1">_xlfn.IFNA(IF(VLOOKUP($B530&amp;OFFSET(P$10,$A530*2,0),'Mapping A'!$B$6:$E$1011,4,0)=1,$E530,""),0)</f>
        <v>0</v>
      </c>
      <c r="Q530" s="519">
        <f ca="1">_xlfn.IFNA(IF(VLOOKUP($B530&amp;OFFSET(Q$10,$A530*2,0),'Mapping A'!$B$6:$E$1011,4,0)=1,$E530,""),0)</f>
        <v>0</v>
      </c>
      <c r="R530" s="519">
        <f ca="1">_xlfn.IFNA(IF(VLOOKUP($B530&amp;OFFSET(R$10,$A530*2,0),'Mapping A'!$B$6:$E$1011,4,0)=1,$E530,""),0)</f>
        <v>0</v>
      </c>
      <c r="S530" s="519">
        <f ca="1">_xlfn.IFNA(IF(VLOOKUP($B530&amp;OFFSET(S$10,$A530*2,0),'Mapping A'!$B$6:$E$1011,4,0)=1,$E530,""),0)</f>
        <v>0</v>
      </c>
      <c r="T530" s="519">
        <f ca="1">_xlfn.IFNA(IF(VLOOKUP($B530&amp;OFFSET(T$10,$A530*2,0),'Mapping A'!$B$6:$E$1011,4,0)=1,$E530,""),0)</f>
        <v>0</v>
      </c>
      <c r="Y530" s="534" t="str">
        <f t="shared" si="623"/>
        <v>NAP2201 NAP0NAP JV</v>
      </c>
      <c r="Z530" s="519" t="str">
        <f>Volumes!H41</f>
        <v>NAP JV</v>
      </c>
      <c r="AA530" s="519" t="str">
        <f>Volumes!I41</f>
        <v>NAP2201 NAP0</v>
      </c>
      <c r="AB530" s="519">
        <f>Volumes!J41</f>
        <v>1078.7414309000001</v>
      </c>
      <c r="AC530" s="170"/>
      <c r="AE530" s="519">
        <f t="shared" ca="1" si="609"/>
        <v>0</v>
      </c>
      <c r="AF530" s="519">
        <f t="shared" ca="1" si="610"/>
        <v>0</v>
      </c>
      <c r="AG530" s="519">
        <f t="shared" ca="1" si="611"/>
        <v>0</v>
      </c>
      <c r="AH530" s="519">
        <f t="shared" ca="1" si="612"/>
        <v>0</v>
      </c>
      <c r="AI530" s="519">
        <f t="shared" ca="1" si="613"/>
        <v>0</v>
      </c>
      <c r="AJ530" s="519">
        <f t="shared" ca="1" si="614"/>
        <v>0</v>
      </c>
      <c r="AK530" s="519">
        <f t="shared" ca="1" si="615"/>
        <v>0</v>
      </c>
      <c r="AL530" s="519">
        <f t="shared" ca="1" si="616"/>
        <v>0.12491597526407261</v>
      </c>
      <c r="AM530" s="519">
        <f t="shared" ca="1" si="617"/>
        <v>0</v>
      </c>
      <c r="AN530" s="519">
        <f t="shared" ca="1" si="618"/>
        <v>0</v>
      </c>
      <c r="AO530" s="519">
        <f t="shared" ca="1" si="619"/>
        <v>0</v>
      </c>
      <c r="AP530" s="519">
        <f t="shared" ca="1" si="620"/>
        <v>0</v>
      </c>
      <c r="AQ530" s="519">
        <f t="shared" ca="1" si="621"/>
        <v>0</v>
      </c>
    </row>
    <row r="531" spans="1:43" x14ac:dyDescent="0.3">
      <c r="A531" s="556">
        <f t="shared" si="608"/>
        <v>3</v>
      </c>
      <c r="B531" s="519" t="str">
        <f t="shared" si="622"/>
        <v>NAP</v>
      </c>
      <c r="C531" s="519" t="str">
        <f>Volumes!H42</f>
        <v>Ngatamariki</v>
      </c>
      <c r="D531" s="519" t="str">
        <f>Volumes!I42</f>
        <v>NAP2202 NTM0</v>
      </c>
      <c r="E531" s="519">
        <f>Volumes!J42</f>
        <v>655.45440148</v>
      </c>
      <c r="G531" s="525"/>
      <c r="H531" s="519">
        <f ca="1">_xlfn.IFNA(IF(VLOOKUP($B531&amp;OFFSET(H$10,$A531*2,0),'Mapping A'!$B$6:$E$1011,4,0)=1,$E531,""),0)</f>
        <v>0</v>
      </c>
      <c r="I531" s="519">
        <f ca="1">_xlfn.IFNA(IF(VLOOKUP($B531&amp;OFFSET(I$10,$A531*2,0),'Mapping A'!$B$6:$E$1011,4,0)=1,$E531,""),0)</f>
        <v>0</v>
      </c>
      <c r="J531" s="519">
        <f ca="1">_xlfn.IFNA(IF(VLOOKUP($B531&amp;OFFSET(J$10,$A531*2,0),'Mapping A'!$B$6:$E$1011,4,0)=1,$E531,""),0)</f>
        <v>0</v>
      </c>
      <c r="K531" s="519">
        <f ca="1">_xlfn.IFNA(IF(VLOOKUP($B531&amp;OFFSET(K$10,$A531*2,0),'Mapping A'!$B$6:$E$1011,4,0)=1,$E531,""),0)</f>
        <v>0</v>
      </c>
      <c r="L531" s="519">
        <f ca="1">_xlfn.IFNA(IF(VLOOKUP($B531&amp;OFFSET(L$10,$A531*2,0),'Mapping A'!$B$6:$E$1011,4,0)=1,$E531,""),0)</f>
        <v>0</v>
      </c>
      <c r="M531" s="519">
        <f ca="1">_xlfn.IFNA(IF(VLOOKUP($B531&amp;OFFSET(M$10,$A531*2,0),'Mapping A'!$B$6:$E$1011,4,0)=1,$E531,""),0)</f>
        <v>655.45440148</v>
      </c>
      <c r="N531" s="519">
        <f ca="1">_xlfn.IFNA(IF(VLOOKUP($B531&amp;OFFSET(N$10,$A531*2,0),'Mapping A'!$B$6:$E$1011,4,0)=1,$E531,""),0)</f>
        <v>0</v>
      </c>
      <c r="O531" s="519">
        <f ca="1">_xlfn.IFNA(IF(VLOOKUP($B531&amp;OFFSET(O$10,$A531*2,0),'Mapping A'!$B$6:$E$1011,4,0)=1,$E531,""),0)</f>
        <v>655.45440148</v>
      </c>
      <c r="P531" s="519">
        <f ca="1">_xlfn.IFNA(IF(VLOOKUP($B531&amp;OFFSET(P$10,$A531*2,0),'Mapping A'!$B$6:$E$1011,4,0)=1,$E531,""),0)</f>
        <v>0</v>
      </c>
      <c r="Q531" s="519">
        <f ca="1">_xlfn.IFNA(IF(VLOOKUP($B531&amp;OFFSET(Q$10,$A531*2,0),'Mapping A'!$B$6:$E$1011,4,0)=1,$E531,""),0)</f>
        <v>0</v>
      </c>
      <c r="R531" s="519">
        <f ca="1">_xlfn.IFNA(IF(VLOOKUP($B531&amp;OFFSET(R$10,$A531*2,0),'Mapping A'!$B$6:$E$1011,4,0)=1,$E531,""),0)</f>
        <v>0</v>
      </c>
      <c r="S531" s="519">
        <f ca="1">_xlfn.IFNA(IF(VLOOKUP($B531&amp;OFFSET(S$10,$A531*2,0),'Mapping A'!$B$6:$E$1011,4,0)=1,$E531,""),0)</f>
        <v>0</v>
      </c>
      <c r="T531" s="519">
        <f ca="1">_xlfn.IFNA(IF(VLOOKUP($B531&amp;OFFSET(T$10,$A531*2,0),'Mapping A'!$B$6:$E$1011,4,0)=1,$E531,""),0)</f>
        <v>0</v>
      </c>
      <c r="Y531" s="534" t="str">
        <f t="shared" si="623"/>
        <v>NAP2202 NTM0Ngatamariki</v>
      </c>
      <c r="Z531" s="519" t="str">
        <f>Volumes!H42</f>
        <v>Ngatamariki</v>
      </c>
      <c r="AA531" s="519" t="str">
        <f>Volumes!I42</f>
        <v>NAP2202 NTM0</v>
      </c>
      <c r="AB531" s="519">
        <f>Volumes!J42</f>
        <v>655.45440148</v>
      </c>
      <c r="AC531" s="170"/>
      <c r="AE531" s="519">
        <f t="shared" ca="1" si="609"/>
        <v>0</v>
      </c>
      <c r="AF531" s="519">
        <f t="shared" ca="1" si="610"/>
        <v>0</v>
      </c>
      <c r="AG531" s="519">
        <f t="shared" ca="1" si="611"/>
        <v>0</v>
      </c>
      <c r="AH531" s="519">
        <f t="shared" ca="1" si="612"/>
        <v>0</v>
      </c>
      <c r="AI531" s="519">
        <f t="shared" ca="1" si="613"/>
        <v>0</v>
      </c>
      <c r="AJ531" s="519">
        <f t="shared" ca="1" si="614"/>
        <v>0</v>
      </c>
      <c r="AK531" s="519">
        <f t="shared" ca="1" si="615"/>
        <v>0</v>
      </c>
      <c r="AL531" s="519">
        <f t="shared" ca="1" si="616"/>
        <v>7.5900232860893271E-2</v>
      </c>
      <c r="AM531" s="519">
        <f t="shared" ca="1" si="617"/>
        <v>0</v>
      </c>
      <c r="AN531" s="519">
        <f t="shared" ca="1" si="618"/>
        <v>0</v>
      </c>
      <c r="AO531" s="519">
        <f t="shared" ca="1" si="619"/>
        <v>0</v>
      </c>
      <c r="AP531" s="519">
        <f t="shared" ca="1" si="620"/>
        <v>0</v>
      </c>
      <c r="AQ531" s="519">
        <f t="shared" ca="1" si="621"/>
        <v>0</v>
      </c>
    </row>
    <row r="532" spans="1:43" x14ac:dyDescent="0.3">
      <c r="A532" s="556">
        <f t="shared" si="608"/>
        <v>3</v>
      </c>
      <c r="B532" s="519" t="str">
        <f t="shared" si="622"/>
        <v>NSY</v>
      </c>
      <c r="C532" s="519" t="str">
        <f>Volumes!H43</f>
        <v>Trustpower</v>
      </c>
      <c r="D532" s="519" t="str">
        <f>Volumes!I43</f>
        <v>NSY0331 PAE0</v>
      </c>
      <c r="E532" s="519">
        <f>Volumes!J43</f>
        <v>69.330939999999998</v>
      </c>
      <c r="G532" s="525"/>
      <c r="H532" s="519">
        <f ca="1">_xlfn.IFNA(IF(VLOOKUP($B532&amp;OFFSET(H$10,$A532*2,0),'Mapping A'!$B$6:$E$1011,4,0)=1,$E532,""),0)</f>
        <v>0</v>
      </c>
      <c r="I532" s="519">
        <f ca="1">_xlfn.IFNA(IF(VLOOKUP($B532&amp;OFFSET(I$10,$A532*2,0),'Mapping A'!$B$6:$E$1011,4,0)=1,$E532,""),0)</f>
        <v>69.330939999999998</v>
      </c>
      <c r="J532" s="519">
        <f ca="1">_xlfn.IFNA(IF(VLOOKUP($B532&amp;OFFSET(J$10,$A532*2,0),'Mapping A'!$B$6:$E$1011,4,0)=1,$E532,""),0)</f>
        <v>69.330939999999998</v>
      </c>
      <c r="K532" s="519">
        <f ca="1">_xlfn.IFNA(IF(VLOOKUP($B532&amp;OFFSET(K$10,$A532*2,0),'Mapping A'!$B$6:$E$1011,4,0)=1,$E532,""),0)</f>
        <v>0</v>
      </c>
      <c r="L532" s="519">
        <f ca="1">_xlfn.IFNA(IF(VLOOKUP($B532&amp;OFFSET(L$10,$A532*2,0),'Mapping A'!$B$6:$E$1011,4,0)=1,$E532,""),0)</f>
        <v>69.330939999999998</v>
      </c>
      <c r="M532" s="519">
        <f ca="1">_xlfn.IFNA(IF(VLOOKUP($B532&amp;OFFSET(M$10,$A532*2,0),'Mapping A'!$B$6:$E$1011,4,0)=1,$E532,""),0)</f>
        <v>0</v>
      </c>
      <c r="N532" s="519">
        <f ca="1">_xlfn.IFNA(IF(VLOOKUP($B532&amp;OFFSET(N$10,$A532*2,0),'Mapping A'!$B$6:$E$1011,4,0)=1,$E532,""),0)</f>
        <v>0</v>
      </c>
      <c r="O532" s="519">
        <f ca="1">_xlfn.IFNA(IF(VLOOKUP($B532&amp;OFFSET(O$10,$A532*2,0),'Mapping A'!$B$6:$E$1011,4,0)=1,$E532,""),0)</f>
        <v>0</v>
      </c>
      <c r="P532" s="519">
        <f ca="1">_xlfn.IFNA(IF(VLOOKUP($B532&amp;OFFSET(P$10,$A532*2,0),'Mapping A'!$B$6:$E$1011,4,0)=1,$E532,""),0)</f>
        <v>0</v>
      </c>
      <c r="Q532" s="519">
        <f ca="1">_xlfn.IFNA(IF(VLOOKUP($B532&amp;OFFSET(Q$10,$A532*2,0),'Mapping A'!$B$6:$E$1011,4,0)=1,$E532,""),0)</f>
        <v>0</v>
      </c>
      <c r="R532" s="519">
        <f ca="1">_xlfn.IFNA(IF(VLOOKUP($B532&amp;OFFSET(R$10,$A532*2,0),'Mapping A'!$B$6:$E$1011,4,0)=1,$E532,""),0)</f>
        <v>0</v>
      </c>
      <c r="S532" s="519">
        <f ca="1">_xlfn.IFNA(IF(VLOOKUP($B532&amp;OFFSET(S$10,$A532*2,0),'Mapping A'!$B$6:$E$1011,4,0)=1,$E532,""),0)</f>
        <v>0</v>
      </c>
      <c r="T532" s="519">
        <f ca="1">_xlfn.IFNA(IF(VLOOKUP($B532&amp;OFFSET(T$10,$A532*2,0),'Mapping A'!$B$6:$E$1011,4,0)=1,$E532,""),0)</f>
        <v>0</v>
      </c>
      <c r="Y532" s="534" t="str">
        <f t="shared" si="623"/>
        <v>NSY0331 PAE0Trustpower</v>
      </c>
      <c r="Z532" s="519" t="str">
        <f>Volumes!H43</f>
        <v>Trustpower</v>
      </c>
      <c r="AA532" s="519" t="str">
        <f>Volumes!I43</f>
        <v>NSY0331 PAE0</v>
      </c>
      <c r="AB532" s="519">
        <f>Volumes!J43</f>
        <v>69.330939999999998</v>
      </c>
      <c r="AC532" s="170"/>
      <c r="AE532" s="519">
        <f t="shared" ca="1" si="609"/>
        <v>0</v>
      </c>
      <c r="AF532" s="519">
        <f t="shared" ca="1" si="610"/>
        <v>0</v>
      </c>
      <c r="AG532" s="519">
        <f t="shared" ca="1" si="611"/>
        <v>0</v>
      </c>
      <c r="AH532" s="519">
        <f t="shared" ca="1" si="612"/>
        <v>0</v>
      </c>
      <c r="AI532" s="519">
        <f t="shared" ca="1" si="613"/>
        <v>0</v>
      </c>
      <c r="AJ532" s="519">
        <f t="shared" ca="1" si="614"/>
        <v>0</v>
      </c>
      <c r="AK532" s="519">
        <f t="shared" ca="1" si="615"/>
        <v>0</v>
      </c>
      <c r="AL532" s="519">
        <f t="shared" ca="1" si="616"/>
        <v>0</v>
      </c>
      <c r="AM532" s="519">
        <f t="shared" ca="1" si="617"/>
        <v>0</v>
      </c>
      <c r="AN532" s="519">
        <f t="shared" ca="1" si="618"/>
        <v>0</v>
      </c>
      <c r="AO532" s="519">
        <f t="shared" ca="1" si="619"/>
        <v>0</v>
      </c>
      <c r="AP532" s="519">
        <f t="shared" ca="1" si="620"/>
        <v>0</v>
      </c>
      <c r="AQ532" s="519">
        <f t="shared" ca="1" si="621"/>
        <v>0</v>
      </c>
    </row>
    <row r="533" spans="1:43" x14ac:dyDescent="0.3">
      <c r="A533" s="556">
        <f t="shared" si="608"/>
        <v>3</v>
      </c>
      <c r="B533" s="519" t="str">
        <f t="shared" si="622"/>
        <v>OHA</v>
      </c>
      <c r="C533" s="519" t="str">
        <f>Volumes!H44</f>
        <v>Meridian</v>
      </c>
      <c r="D533" s="519" t="str">
        <f>Volumes!I44</f>
        <v>OHA2201 OHA0</v>
      </c>
      <c r="E533" s="519">
        <f>Volumes!J44</f>
        <v>1060.8467964600088</v>
      </c>
      <c r="G533" s="525"/>
      <c r="H533" s="519">
        <f ca="1">_xlfn.IFNA(IF(VLOOKUP($B533&amp;OFFSET(H$10,$A533*2,0),'Mapping A'!$B$6:$E$1011,4,0)=1,$E533,""),0)</f>
        <v>0</v>
      </c>
      <c r="I533" s="519">
        <f ca="1">_xlfn.IFNA(IF(VLOOKUP($B533&amp;OFFSET(I$10,$A533*2,0),'Mapping A'!$B$6:$E$1011,4,0)=1,$E533,""),0)</f>
        <v>1060.8467964600088</v>
      </c>
      <c r="J533" s="519">
        <f ca="1">_xlfn.IFNA(IF(VLOOKUP($B533&amp;OFFSET(J$10,$A533*2,0),'Mapping A'!$B$6:$E$1011,4,0)=1,$E533,""),0)</f>
        <v>1060.8467964600088</v>
      </c>
      <c r="K533" s="519">
        <f ca="1">_xlfn.IFNA(IF(VLOOKUP($B533&amp;OFFSET(K$10,$A533*2,0),'Mapping A'!$B$6:$E$1011,4,0)=1,$E533,""),0)</f>
        <v>0</v>
      </c>
      <c r="L533" s="519">
        <f ca="1">_xlfn.IFNA(IF(VLOOKUP($B533&amp;OFFSET(L$10,$A533*2,0),'Mapping A'!$B$6:$E$1011,4,0)=1,$E533,""),0)</f>
        <v>0</v>
      </c>
      <c r="M533" s="519">
        <f ca="1">_xlfn.IFNA(IF(VLOOKUP($B533&amp;OFFSET(M$10,$A533*2,0),'Mapping A'!$B$6:$E$1011,4,0)=1,$E533,""),0)</f>
        <v>0</v>
      </c>
      <c r="N533" s="519">
        <f ca="1">_xlfn.IFNA(IF(VLOOKUP($B533&amp;OFFSET(N$10,$A533*2,0),'Mapping A'!$B$6:$E$1011,4,0)=1,$E533,""),0)</f>
        <v>0</v>
      </c>
      <c r="O533" s="519">
        <f ca="1">_xlfn.IFNA(IF(VLOOKUP($B533&amp;OFFSET(O$10,$A533*2,0),'Mapping A'!$B$6:$E$1011,4,0)=1,$E533,""),0)</f>
        <v>0</v>
      </c>
      <c r="P533" s="519">
        <f ca="1">_xlfn.IFNA(IF(VLOOKUP($B533&amp;OFFSET(P$10,$A533*2,0),'Mapping A'!$B$6:$E$1011,4,0)=1,$E533,""),0)</f>
        <v>0</v>
      </c>
      <c r="Q533" s="519">
        <f ca="1">_xlfn.IFNA(IF(VLOOKUP($B533&amp;OFFSET(Q$10,$A533*2,0),'Mapping A'!$B$6:$E$1011,4,0)=1,$E533,""),0)</f>
        <v>0</v>
      </c>
      <c r="R533" s="519">
        <f ca="1">_xlfn.IFNA(IF(VLOOKUP($B533&amp;OFFSET(R$10,$A533*2,0),'Mapping A'!$B$6:$E$1011,4,0)=1,$E533,""),0)</f>
        <v>0</v>
      </c>
      <c r="S533" s="519">
        <f ca="1">_xlfn.IFNA(IF(VLOOKUP($B533&amp;OFFSET(S$10,$A533*2,0),'Mapping A'!$B$6:$E$1011,4,0)=1,$E533,""),0)</f>
        <v>0</v>
      </c>
      <c r="T533" s="519">
        <f ca="1">_xlfn.IFNA(IF(VLOOKUP($B533&amp;OFFSET(T$10,$A533*2,0),'Mapping A'!$B$6:$E$1011,4,0)=1,$E533,""),0)</f>
        <v>0</v>
      </c>
      <c r="Y533" s="534" t="str">
        <f t="shared" si="623"/>
        <v>OHA2201 OHA0Meridian</v>
      </c>
      <c r="Z533" s="519" t="str">
        <f>Volumes!H44</f>
        <v>Meridian</v>
      </c>
      <c r="AA533" s="519" t="str">
        <f>Volumes!I44</f>
        <v>OHA2201 OHA0</v>
      </c>
      <c r="AB533" s="519">
        <f>Volumes!J44</f>
        <v>1060.8467964600088</v>
      </c>
      <c r="AC533" s="170"/>
      <c r="AE533" s="519">
        <f t="shared" ca="1" si="609"/>
        <v>0</v>
      </c>
      <c r="AF533" s="519">
        <f t="shared" ca="1" si="610"/>
        <v>0</v>
      </c>
      <c r="AG533" s="519">
        <f t="shared" ca="1" si="611"/>
        <v>0</v>
      </c>
      <c r="AH533" s="519">
        <f t="shared" ca="1" si="612"/>
        <v>0</v>
      </c>
      <c r="AI533" s="519">
        <f t="shared" ca="1" si="613"/>
        <v>0</v>
      </c>
      <c r="AJ533" s="519">
        <f t="shared" ca="1" si="614"/>
        <v>0</v>
      </c>
      <c r="AK533" s="519">
        <f t="shared" ca="1" si="615"/>
        <v>0</v>
      </c>
      <c r="AL533" s="519">
        <f t="shared" ca="1" si="616"/>
        <v>0</v>
      </c>
      <c r="AM533" s="519">
        <f t="shared" ca="1" si="617"/>
        <v>0</v>
      </c>
      <c r="AN533" s="519">
        <f t="shared" ca="1" si="618"/>
        <v>0</v>
      </c>
      <c r="AO533" s="519">
        <f t="shared" ca="1" si="619"/>
        <v>0</v>
      </c>
      <c r="AP533" s="519">
        <f t="shared" ca="1" si="620"/>
        <v>0</v>
      </c>
      <c r="AQ533" s="519">
        <f t="shared" ca="1" si="621"/>
        <v>0</v>
      </c>
    </row>
    <row r="534" spans="1:43" x14ac:dyDescent="0.3">
      <c r="A534" s="556">
        <f t="shared" si="608"/>
        <v>3</v>
      </c>
      <c r="B534" s="519" t="str">
        <f t="shared" si="622"/>
        <v>OHB</v>
      </c>
      <c r="C534" s="519" t="str">
        <f>Volumes!H45</f>
        <v>Meridian</v>
      </c>
      <c r="D534" s="519" t="str">
        <f>Volumes!I45</f>
        <v>OHB2201 OHB0</v>
      </c>
      <c r="E534" s="519">
        <f>Volumes!J45</f>
        <v>903.8088298799961</v>
      </c>
      <c r="G534" s="525"/>
      <c r="H534" s="519">
        <f ca="1">_xlfn.IFNA(IF(VLOOKUP($B534&amp;OFFSET(H$10,$A534*2,0),'Mapping A'!$B$6:$E$1011,4,0)=1,$E534,""),0)</f>
        <v>0</v>
      </c>
      <c r="I534" s="519">
        <f ca="1">_xlfn.IFNA(IF(VLOOKUP($B534&amp;OFFSET(I$10,$A534*2,0),'Mapping A'!$B$6:$E$1011,4,0)=1,$E534,""),0)</f>
        <v>903.8088298799961</v>
      </c>
      <c r="J534" s="519">
        <f ca="1">_xlfn.IFNA(IF(VLOOKUP($B534&amp;OFFSET(J$10,$A534*2,0),'Mapping A'!$B$6:$E$1011,4,0)=1,$E534,""),0)</f>
        <v>903.8088298799961</v>
      </c>
      <c r="K534" s="519">
        <f ca="1">_xlfn.IFNA(IF(VLOOKUP($B534&amp;OFFSET(K$10,$A534*2,0),'Mapping A'!$B$6:$E$1011,4,0)=1,$E534,""),0)</f>
        <v>0</v>
      </c>
      <c r="L534" s="519">
        <f ca="1">_xlfn.IFNA(IF(VLOOKUP($B534&amp;OFFSET(L$10,$A534*2,0),'Mapping A'!$B$6:$E$1011,4,0)=1,$E534,""),0)</f>
        <v>0</v>
      </c>
      <c r="M534" s="519">
        <f ca="1">_xlfn.IFNA(IF(VLOOKUP($B534&amp;OFFSET(M$10,$A534*2,0),'Mapping A'!$B$6:$E$1011,4,0)=1,$E534,""),0)</f>
        <v>0</v>
      </c>
      <c r="N534" s="519">
        <f ca="1">_xlfn.IFNA(IF(VLOOKUP($B534&amp;OFFSET(N$10,$A534*2,0),'Mapping A'!$B$6:$E$1011,4,0)=1,$E534,""),0)</f>
        <v>0</v>
      </c>
      <c r="O534" s="519">
        <f ca="1">_xlfn.IFNA(IF(VLOOKUP($B534&amp;OFFSET(O$10,$A534*2,0),'Mapping A'!$B$6:$E$1011,4,0)=1,$E534,""),0)</f>
        <v>0</v>
      </c>
      <c r="P534" s="519">
        <f ca="1">_xlfn.IFNA(IF(VLOOKUP($B534&amp;OFFSET(P$10,$A534*2,0),'Mapping A'!$B$6:$E$1011,4,0)=1,$E534,""),0)</f>
        <v>0</v>
      </c>
      <c r="Q534" s="519">
        <f ca="1">_xlfn.IFNA(IF(VLOOKUP($B534&amp;OFFSET(Q$10,$A534*2,0),'Mapping A'!$B$6:$E$1011,4,0)=1,$E534,""),0)</f>
        <v>0</v>
      </c>
      <c r="R534" s="519">
        <f ca="1">_xlfn.IFNA(IF(VLOOKUP($B534&amp;OFFSET(R$10,$A534*2,0),'Mapping A'!$B$6:$E$1011,4,0)=1,$E534,""),0)</f>
        <v>0</v>
      </c>
      <c r="S534" s="519">
        <f ca="1">_xlfn.IFNA(IF(VLOOKUP($B534&amp;OFFSET(S$10,$A534*2,0),'Mapping A'!$B$6:$E$1011,4,0)=1,$E534,""),0)</f>
        <v>0</v>
      </c>
      <c r="T534" s="519">
        <f ca="1">_xlfn.IFNA(IF(VLOOKUP($B534&amp;OFFSET(T$10,$A534*2,0),'Mapping A'!$B$6:$E$1011,4,0)=1,$E534,""),0)</f>
        <v>0</v>
      </c>
      <c r="Y534" s="534" t="str">
        <f t="shared" si="623"/>
        <v>OHB2201 OHB0Meridian</v>
      </c>
      <c r="Z534" s="519" t="str">
        <f>Volumes!H45</f>
        <v>Meridian</v>
      </c>
      <c r="AA534" s="519" t="str">
        <f>Volumes!I45</f>
        <v>OHB2201 OHB0</v>
      </c>
      <c r="AB534" s="519">
        <f>Volumes!J45</f>
        <v>903.8088298799961</v>
      </c>
      <c r="AC534" s="170"/>
      <c r="AE534" s="519">
        <f t="shared" ca="1" si="609"/>
        <v>0</v>
      </c>
      <c r="AF534" s="519">
        <f t="shared" ca="1" si="610"/>
        <v>0</v>
      </c>
      <c r="AG534" s="519">
        <f t="shared" ca="1" si="611"/>
        <v>0</v>
      </c>
      <c r="AH534" s="519">
        <f t="shared" ca="1" si="612"/>
        <v>0</v>
      </c>
      <c r="AI534" s="519">
        <f t="shared" ca="1" si="613"/>
        <v>0</v>
      </c>
      <c r="AJ534" s="519">
        <f t="shared" ca="1" si="614"/>
        <v>0</v>
      </c>
      <c r="AK534" s="519">
        <f t="shared" ca="1" si="615"/>
        <v>0</v>
      </c>
      <c r="AL534" s="519">
        <f t="shared" ca="1" si="616"/>
        <v>0</v>
      </c>
      <c r="AM534" s="519">
        <f t="shared" ca="1" si="617"/>
        <v>0</v>
      </c>
      <c r="AN534" s="519">
        <f t="shared" ca="1" si="618"/>
        <v>0</v>
      </c>
      <c r="AO534" s="519">
        <f t="shared" ca="1" si="619"/>
        <v>0</v>
      </c>
      <c r="AP534" s="519">
        <f t="shared" ca="1" si="620"/>
        <v>0</v>
      </c>
      <c r="AQ534" s="519">
        <f t="shared" ca="1" si="621"/>
        <v>0</v>
      </c>
    </row>
    <row r="535" spans="1:43" x14ac:dyDescent="0.3">
      <c r="A535" s="556">
        <f t="shared" si="608"/>
        <v>3</v>
      </c>
      <c r="B535" s="519" t="str">
        <f t="shared" si="622"/>
        <v>OHC</v>
      </c>
      <c r="C535" s="519" t="str">
        <f>Volumes!H46</f>
        <v>Meridian</v>
      </c>
      <c r="D535" s="519" t="str">
        <f>Volumes!I46</f>
        <v>OHC2201 OHC0</v>
      </c>
      <c r="E535" s="519">
        <f>Volumes!J46</f>
        <v>883.75118181499374</v>
      </c>
      <c r="G535" s="525"/>
      <c r="H535" s="519">
        <f ca="1">_xlfn.IFNA(IF(VLOOKUP($B535&amp;OFFSET(H$10,$A535*2,0),'Mapping A'!$B$6:$E$1011,4,0)=1,$E535,""),0)</f>
        <v>0</v>
      </c>
      <c r="I535" s="519">
        <f ca="1">_xlfn.IFNA(IF(VLOOKUP($B535&amp;OFFSET(I$10,$A535*2,0),'Mapping A'!$B$6:$E$1011,4,0)=1,$E535,""),0)</f>
        <v>883.75118181499374</v>
      </c>
      <c r="J535" s="519">
        <f ca="1">_xlfn.IFNA(IF(VLOOKUP($B535&amp;OFFSET(J$10,$A535*2,0),'Mapping A'!$B$6:$E$1011,4,0)=1,$E535,""),0)</f>
        <v>883.75118181499374</v>
      </c>
      <c r="K535" s="519">
        <f ca="1">_xlfn.IFNA(IF(VLOOKUP($B535&amp;OFFSET(K$10,$A535*2,0),'Mapping A'!$B$6:$E$1011,4,0)=1,$E535,""),0)</f>
        <v>0</v>
      </c>
      <c r="L535" s="519">
        <f ca="1">_xlfn.IFNA(IF(VLOOKUP($B535&amp;OFFSET(L$10,$A535*2,0),'Mapping A'!$B$6:$E$1011,4,0)=1,$E535,""),0)</f>
        <v>0</v>
      </c>
      <c r="M535" s="519">
        <f ca="1">_xlfn.IFNA(IF(VLOOKUP($B535&amp;OFFSET(M$10,$A535*2,0),'Mapping A'!$B$6:$E$1011,4,0)=1,$E535,""),0)</f>
        <v>0</v>
      </c>
      <c r="N535" s="519">
        <f ca="1">_xlfn.IFNA(IF(VLOOKUP($B535&amp;OFFSET(N$10,$A535*2,0),'Mapping A'!$B$6:$E$1011,4,0)=1,$E535,""),0)</f>
        <v>0</v>
      </c>
      <c r="O535" s="519">
        <f ca="1">_xlfn.IFNA(IF(VLOOKUP($B535&amp;OFFSET(O$10,$A535*2,0),'Mapping A'!$B$6:$E$1011,4,0)=1,$E535,""),0)</f>
        <v>0</v>
      </c>
      <c r="P535" s="519">
        <f ca="1">_xlfn.IFNA(IF(VLOOKUP($B535&amp;OFFSET(P$10,$A535*2,0),'Mapping A'!$B$6:$E$1011,4,0)=1,$E535,""),0)</f>
        <v>0</v>
      </c>
      <c r="Q535" s="519">
        <f ca="1">_xlfn.IFNA(IF(VLOOKUP($B535&amp;OFFSET(Q$10,$A535*2,0),'Mapping A'!$B$6:$E$1011,4,0)=1,$E535,""),0)</f>
        <v>0</v>
      </c>
      <c r="R535" s="519">
        <f ca="1">_xlfn.IFNA(IF(VLOOKUP($B535&amp;OFFSET(R$10,$A535*2,0),'Mapping A'!$B$6:$E$1011,4,0)=1,$E535,""),0)</f>
        <v>0</v>
      </c>
      <c r="S535" s="519">
        <f ca="1">_xlfn.IFNA(IF(VLOOKUP($B535&amp;OFFSET(S$10,$A535*2,0),'Mapping A'!$B$6:$E$1011,4,0)=1,$E535,""),0)</f>
        <v>0</v>
      </c>
      <c r="T535" s="519">
        <f ca="1">_xlfn.IFNA(IF(VLOOKUP($B535&amp;OFFSET(T$10,$A535*2,0),'Mapping A'!$B$6:$E$1011,4,0)=1,$E535,""),0)</f>
        <v>0</v>
      </c>
      <c r="Y535" s="534" t="str">
        <f t="shared" si="623"/>
        <v>OHC2201 OHC0Meridian</v>
      </c>
      <c r="Z535" s="519" t="str">
        <f>Volumes!H46</f>
        <v>Meridian</v>
      </c>
      <c r="AA535" s="519" t="str">
        <f>Volumes!I46</f>
        <v>OHC2201 OHC0</v>
      </c>
      <c r="AB535" s="519">
        <f>Volumes!J46</f>
        <v>883.75118181499374</v>
      </c>
      <c r="AC535" s="170"/>
      <c r="AE535" s="519">
        <f t="shared" ca="1" si="609"/>
        <v>0</v>
      </c>
      <c r="AF535" s="519">
        <f t="shared" ca="1" si="610"/>
        <v>0</v>
      </c>
      <c r="AG535" s="519">
        <f t="shared" ca="1" si="611"/>
        <v>0</v>
      </c>
      <c r="AH535" s="519">
        <f t="shared" ca="1" si="612"/>
        <v>0</v>
      </c>
      <c r="AI535" s="519">
        <f t="shared" ca="1" si="613"/>
        <v>0</v>
      </c>
      <c r="AJ535" s="519">
        <f t="shared" ca="1" si="614"/>
        <v>0</v>
      </c>
      <c r="AK535" s="519">
        <f t="shared" ca="1" si="615"/>
        <v>0</v>
      </c>
      <c r="AL535" s="519">
        <f t="shared" ca="1" si="616"/>
        <v>0</v>
      </c>
      <c r="AM535" s="519">
        <f t="shared" ca="1" si="617"/>
        <v>0</v>
      </c>
      <c r="AN535" s="519">
        <f t="shared" ca="1" si="618"/>
        <v>0</v>
      </c>
      <c r="AO535" s="519">
        <f t="shared" ca="1" si="619"/>
        <v>0</v>
      </c>
      <c r="AP535" s="519">
        <f t="shared" ca="1" si="620"/>
        <v>0</v>
      </c>
      <c r="AQ535" s="519">
        <f t="shared" ca="1" si="621"/>
        <v>0</v>
      </c>
    </row>
    <row r="536" spans="1:43" x14ac:dyDescent="0.3">
      <c r="A536" s="556">
        <f t="shared" si="608"/>
        <v>3</v>
      </c>
      <c r="B536" s="519" t="str">
        <f t="shared" si="622"/>
        <v>OHK</v>
      </c>
      <c r="C536" s="519" t="str">
        <f>Volumes!H47</f>
        <v>MRP</v>
      </c>
      <c r="D536" s="519" t="str">
        <f>Volumes!I47</f>
        <v>OHK2201 OHK0</v>
      </c>
      <c r="E536" s="519">
        <f>Volumes!J47</f>
        <v>276.88390649499996</v>
      </c>
      <c r="G536" s="525"/>
      <c r="H536" s="519">
        <f ca="1">_xlfn.IFNA(IF(VLOOKUP($B536&amp;OFFSET(H$10,$A536*2,0),'Mapping A'!$B$6:$E$1011,4,0)=1,$E536,""),0)</f>
        <v>0</v>
      </c>
      <c r="I536" s="519">
        <f ca="1">_xlfn.IFNA(IF(VLOOKUP($B536&amp;OFFSET(I$10,$A536*2,0),'Mapping A'!$B$6:$E$1011,4,0)=1,$E536,""),0)</f>
        <v>0</v>
      </c>
      <c r="J536" s="519">
        <f ca="1">_xlfn.IFNA(IF(VLOOKUP($B536&amp;OFFSET(J$10,$A536*2,0),'Mapping A'!$B$6:$E$1011,4,0)=1,$E536,""),0)</f>
        <v>0</v>
      </c>
      <c r="K536" s="519">
        <f ca="1">_xlfn.IFNA(IF(VLOOKUP($B536&amp;OFFSET(K$10,$A536*2,0),'Mapping A'!$B$6:$E$1011,4,0)=1,$E536,""),0)</f>
        <v>0</v>
      </c>
      <c r="L536" s="519">
        <f ca="1">_xlfn.IFNA(IF(VLOOKUP($B536&amp;OFFSET(L$10,$A536*2,0),'Mapping A'!$B$6:$E$1011,4,0)=1,$E536,""),0)</f>
        <v>0</v>
      </c>
      <c r="M536" s="519">
        <f ca="1">_xlfn.IFNA(IF(VLOOKUP($B536&amp;OFFSET(M$10,$A536*2,0),'Mapping A'!$B$6:$E$1011,4,0)=1,$E536,""),0)</f>
        <v>276.88390649499996</v>
      </c>
      <c r="N536" s="519">
        <f ca="1">_xlfn.IFNA(IF(VLOOKUP($B536&amp;OFFSET(N$10,$A536*2,0),'Mapping A'!$B$6:$E$1011,4,0)=1,$E536,""),0)</f>
        <v>0</v>
      </c>
      <c r="O536" s="519">
        <f ca="1">_xlfn.IFNA(IF(VLOOKUP($B536&amp;OFFSET(O$10,$A536*2,0),'Mapping A'!$B$6:$E$1011,4,0)=1,$E536,""),0)</f>
        <v>276.88390649499996</v>
      </c>
      <c r="P536" s="519">
        <f ca="1">_xlfn.IFNA(IF(VLOOKUP($B536&amp;OFFSET(P$10,$A536*2,0),'Mapping A'!$B$6:$E$1011,4,0)=1,$E536,""),0)</f>
        <v>0</v>
      </c>
      <c r="Q536" s="519">
        <f ca="1">_xlfn.IFNA(IF(VLOOKUP($B536&amp;OFFSET(Q$10,$A536*2,0),'Mapping A'!$B$6:$E$1011,4,0)=1,$E536,""),0)</f>
        <v>0</v>
      </c>
      <c r="R536" s="519">
        <f ca="1">_xlfn.IFNA(IF(VLOOKUP($B536&amp;OFFSET(R$10,$A536*2,0),'Mapping A'!$B$6:$E$1011,4,0)=1,$E536,""),0)</f>
        <v>0</v>
      </c>
      <c r="S536" s="519">
        <f ca="1">_xlfn.IFNA(IF(VLOOKUP($B536&amp;OFFSET(S$10,$A536*2,0),'Mapping A'!$B$6:$E$1011,4,0)=1,$E536,""),0)</f>
        <v>0</v>
      </c>
      <c r="T536" s="519">
        <f ca="1">_xlfn.IFNA(IF(VLOOKUP($B536&amp;OFFSET(T$10,$A536*2,0),'Mapping A'!$B$6:$E$1011,4,0)=1,$E536,""),0)</f>
        <v>0</v>
      </c>
      <c r="Y536" s="534" t="str">
        <f t="shared" si="623"/>
        <v>OHK2201 OHK0MRP</v>
      </c>
      <c r="Z536" s="519" t="str">
        <f>Volumes!H47</f>
        <v>MRP</v>
      </c>
      <c r="AA536" s="519" t="str">
        <f>Volumes!I47</f>
        <v>OHK2201 OHK0</v>
      </c>
      <c r="AB536" s="519">
        <f>Volumes!J47</f>
        <v>276.88390649499996</v>
      </c>
      <c r="AC536" s="170"/>
      <c r="AE536" s="519">
        <f t="shared" ca="1" si="609"/>
        <v>0</v>
      </c>
      <c r="AF536" s="519">
        <f t="shared" ca="1" si="610"/>
        <v>0</v>
      </c>
      <c r="AG536" s="519">
        <f t="shared" ca="1" si="611"/>
        <v>0</v>
      </c>
      <c r="AH536" s="519">
        <f t="shared" ca="1" si="612"/>
        <v>0</v>
      </c>
      <c r="AI536" s="519">
        <f t="shared" ca="1" si="613"/>
        <v>0</v>
      </c>
      <c r="AJ536" s="519">
        <f t="shared" ca="1" si="614"/>
        <v>0</v>
      </c>
      <c r="AK536" s="519">
        <f t="shared" ca="1" si="615"/>
        <v>0</v>
      </c>
      <c r="AL536" s="519">
        <f t="shared" ca="1" si="616"/>
        <v>3.2062570532674264E-2</v>
      </c>
      <c r="AM536" s="519">
        <f t="shared" ca="1" si="617"/>
        <v>0</v>
      </c>
      <c r="AN536" s="519">
        <f t="shared" ca="1" si="618"/>
        <v>0</v>
      </c>
      <c r="AO536" s="519">
        <f t="shared" ca="1" si="619"/>
        <v>0</v>
      </c>
      <c r="AP536" s="519">
        <f t="shared" ca="1" si="620"/>
        <v>0</v>
      </c>
      <c r="AQ536" s="519">
        <f t="shared" ca="1" si="621"/>
        <v>0</v>
      </c>
    </row>
    <row r="537" spans="1:43" x14ac:dyDescent="0.3">
      <c r="A537" s="556">
        <f t="shared" si="608"/>
        <v>3</v>
      </c>
      <c r="B537" s="519" t="str">
        <f t="shared" si="622"/>
        <v>OKI</v>
      </c>
      <c r="C537" s="519" t="str">
        <f>Volumes!H48</f>
        <v>Contact</v>
      </c>
      <c r="D537" s="519" t="str">
        <f>Volumes!I48</f>
        <v>OKI2201 OKI0</v>
      </c>
      <c r="E537" s="519">
        <f>Volumes!J48</f>
        <v>272.732505</v>
      </c>
      <c r="G537" s="525"/>
      <c r="H537" s="519">
        <f ca="1">_xlfn.IFNA(IF(VLOOKUP($B537&amp;OFFSET(H$10,$A537*2,0),'Mapping A'!$B$6:$E$1011,4,0)=1,$E537,""),0)</f>
        <v>0</v>
      </c>
      <c r="I537" s="519">
        <f ca="1">_xlfn.IFNA(IF(VLOOKUP($B537&amp;OFFSET(I$10,$A537*2,0),'Mapping A'!$B$6:$E$1011,4,0)=1,$E537,""),0)</f>
        <v>0</v>
      </c>
      <c r="J537" s="519">
        <f ca="1">_xlfn.IFNA(IF(VLOOKUP($B537&amp;OFFSET(J$10,$A537*2,0),'Mapping A'!$B$6:$E$1011,4,0)=1,$E537,""),0)</f>
        <v>0</v>
      </c>
      <c r="K537" s="519">
        <f ca="1">_xlfn.IFNA(IF(VLOOKUP($B537&amp;OFFSET(K$10,$A537*2,0),'Mapping A'!$B$6:$E$1011,4,0)=1,$E537,""),0)</f>
        <v>0</v>
      </c>
      <c r="L537" s="519">
        <f ca="1">_xlfn.IFNA(IF(VLOOKUP($B537&amp;OFFSET(L$10,$A537*2,0),'Mapping A'!$B$6:$E$1011,4,0)=1,$E537,""),0)</f>
        <v>0</v>
      </c>
      <c r="M537" s="519">
        <f ca="1">_xlfn.IFNA(IF(VLOOKUP($B537&amp;OFFSET(M$10,$A537*2,0),'Mapping A'!$B$6:$E$1011,4,0)=1,$E537,""),0)</f>
        <v>272.732505</v>
      </c>
      <c r="N537" s="519">
        <f ca="1">_xlfn.IFNA(IF(VLOOKUP($B537&amp;OFFSET(N$10,$A537*2,0),'Mapping A'!$B$6:$E$1011,4,0)=1,$E537,""),0)</f>
        <v>0</v>
      </c>
      <c r="O537" s="519">
        <f ca="1">_xlfn.IFNA(IF(VLOOKUP($B537&amp;OFFSET(O$10,$A537*2,0),'Mapping A'!$B$6:$E$1011,4,0)=1,$E537,""),0)</f>
        <v>272.732505</v>
      </c>
      <c r="P537" s="519">
        <f ca="1">_xlfn.IFNA(IF(VLOOKUP($B537&amp;OFFSET(P$10,$A537*2,0),'Mapping A'!$B$6:$E$1011,4,0)=1,$E537,""),0)</f>
        <v>0</v>
      </c>
      <c r="Q537" s="519">
        <f ca="1">_xlfn.IFNA(IF(VLOOKUP($B537&amp;OFFSET(Q$10,$A537*2,0),'Mapping A'!$B$6:$E$1011,4,0)=1,$E537,""),0)</f>
        <v>0</v>
      </c>
      <c r="R537" s="519">
        <f ca="1">_xlfn.IFNA(IF(VLOOKUP($B537&amp;OFFSET(R$10,$A537*2,0),'Mapping A'!$B$6:$E$1011,4,0)=1,$E537,""),0)</f>
        <v>0</v>
      </c>
      <c r="S537" s="519">
        <f ca="1">_xlfn.IFNA(IF(VLOOKUP($B537&amp;OFFSET(S$10,$A537*2,0),'Mapping A'!$B$6:$E$1011,4,0)=1,$E537,""),0)</f>
        <v>0</v>
      </c>
      <c r="T537" s="519">
        <f ca="1">_xlfn.IFNA(IF(VLOOKUP($B537&amp;OFFSET(T$10,$A537*2,0),'Mapping A'!$B$6:$E$1011,4,0)=1,$E537,""),0)</f>
        <v>0</v>
      </c>
      <c r="Y537" s="534" t="str">
        <f t="shared" si="623"/>
        <v>OKI2201 OKI0Contact</v>
      </c>
      <c r="Z537" s="519" t="str">
        <f>Volumes!H48</f>
        <v>Contact</v>
      </c>
      <c r="AA537" s="519" t="str">
        <f>Volumes!I48</f>
        <v>OKI2201 OKI0</v>
      </c>
      <c r="AB537" s="519">
        <f>Volumes!J48</f>
        <v>272.732505</v>
      </c>
      <c r="AC537" s="170"/>
      <c r="AE537" s="519">
        <f t="shared" ca="1" si="609"/>
        <v>0</v>
      </c>
      <c r="AF537" s="519">
        <f t="shared" ca="1" si="610"/>
        <v>0</v>
      </c>
      <c r="AG537" s="519">
        <f t="shared" ca="1" si="611"/>
        <v>0</v>
      </c>
      <c r="AH537" s="519">
        <f t="shared" ca="1" si="612"/>
        <v>0</v>
      </c>
      <c r="AI537" s="519">
        <f t="shared" ca="1" si="613"/>
        <v>0</v>
      </c>
      <c r="AJ537" s="519">
        <f t="shared" ca="1" si="614"/>
        <v>0</v>
      </c>
      <c r="AK537" s="519">
        <f t="shared" ca="1" si="615"/>
        <v>0</v>
      </c>
      <c r="AL537" s="519">
        <f t="shared" ca="1" si="616"/>
        <v>3.1581847023215655E-2</v>
      </c>
      <c r="AM537" s="519">
        <f t="shared" ca="1" si="617"/>
        <v>0</v>
      </c>
      <c r="AN537" s="519">
        <f t="shared" ca="1" si="618"/>
        <v>0</v>
      </c>
      <c r="AO537" s="519">
        <f t="shared" ca="1" si="619"/>
        <v>0</v>
      </c>
      <c r="AP537" s="519">
        <f t="shared" ca="1" si="620"/>
        <v>0</v>
      </c>
      <c r="AQ537" s="519">
        <f t="shared" ca="1" si="621"/>
        <v>0</v>
      </c>
    </row>
    <row r="538" spans="1:43" x14ac:dyDescent="0.3">
      <c r="A538" s="556">
        <f t="shared" si="608"/>
        <v>3</v>
      </c>
      <c r="B538" s="519" t="str">
        <f t="shared" si="622"/>
        <v>OTA</v>
      </c>
      <c r="C538" s="519" t="str">
        <f>Volumes!H49</f>
        <v>Contact</v>
      </c>
      <c r="D538" s="519" t="str">
        <f>Volumes!I49</f>
        <v>OTA2202 OTC0</v>
      </c>
      <c r="E538" s="519">
        <f>Volumes!J49</f>
        <v>0</v>
      </c>
      <c r="G538" s="525"/>
      <c r="H538" s="519">
        <f ca="1">_xlfn.IFNA(IF(VLOOKUP($B538&amp;OFFSET(H$10,$A538*2,0),'Mapping A'!$B$6:$E$1011,4,0)=1,$E538,""),0)</f>
        <v>0</v>
      </c>
      <c r="I538" s="519">
        <f ca="1">_xlfn.IFNA(IF(VLOOKUP($B538&amp;OFFSET(I$10,$A538*2,0),'Mapping A'!$B$6:$E$1011,4,0)=1,$E538,""),0)</f>
        <v>0</v>
      </c>
      <c r="J538" s="519">
        <f ca="1">_xlfn.IFNA(IF(VLOOKUP($B538&amp;OFFSET(J$10,$A538*2,0),'Mapping A'!$B$6:$E$1011,4,0)=1,$E538,""),0)</f>
        <v>0</v>
      </c>
      <c r="K538" s="519">
        <f ca="1">_xlfn.IFNA(IF(VLOOKUP($B538&amp;OFFSET(K$10,$A538*2,0),'Mapping A'!$B$6:$E$1011,4,0)=1,$E538,""),0)</f>
        <v>0</v>
      </c>
      <c r="L538" s="519">
        <f ca="1">_xlfn.IFNA(IF(VLOOKUP($B538&amp;OFFSET(L$10,$A538*2,0),'Mapping A'!$B$6:$E$1011,4,0)=1,$E538,""),0)</f>
        <v>0</v>
      </c>
      <c r="M538" s="519">
        <f ca="1">_xlfn.IFNA(IF(VLOOKUP($B538&amp;OFFSET(M$10,$A538*2,0),'Mapping A'!$B$6:$E$1011,4,0)=1,$E538,""),0)</f>
        <v>0</v>
      </c>
      <c r="N538" s="519">
        <f ca="1">_xlfn.IFNA(IF(VLOOKUP($B538&amp;OFFSET(N$10,$A538*2,0),'Mapping A'!$B$6:$E$1011,4,0)=1,$E538,""),0)</f>
        <v>0</v>
      </c>
      <c r="O538" s="519">
        <f ca="1">_xlfn.IFNA(IF(VLOOKUP($B538&amp;OFFSET(O$10,$A538*2,0),'Mapping A'!$B$6:$E$1011,4,0)=1,$E538,""),0)</f>
        <v>0</v>
      </c>
      <c r="P538" s="519">
        <f ca="1">_xlfn.IFNA(IF(VLOOKUP($B538&amp;OFFSET(P$10,$A538*2,0),'Mapping A'!$B$6:$E$1011,4,0)=1,$E538,""),0)</f>
        <v>0</v>
      </c>
      <c r="Q538" s="519">
        <f ca="1">_xlfn.IFNA(IF(VLOOKUP($B538&amp;OFFSET(Q$10,$A538*2,0),'Mapping A'!$B$6:$E$1011,4,0)=1,$E538,""),0)</f>
        <v>0</v>
      </c>
      <c r="R538" s="519">
        <f ca="1">_xlfn.IFNA(IF(VLOOKUP($B538&amp;OFFSET(R$10,$A538*2,0),'Mapping A'!$B$6:$E$1011,4,0)=1,$E538,""),0)</f>
        <v>0</v>
      </c>
      <c r="S538" s="519">
        <f ca="1">_xlfn.IFNA(IF(VLOOKUP($B538&amp;OFFSET(S$10,$A538*2,0),'Mapping A'!$B$6:$E$1011,4,0)=1,$E538,""),0)</f>
        <v>0</v>
      </c>
      <c r="T538" s="519">
        <f ca="1">_xlfn.IFNA(IF(VLOOKUP($B538&amp;OFFSET(T$10,$A538*2,0),'Mapping A'!$B$6:$E$1011,4,0)=1,$E538,""),0)</f>
        <v>0</v>
      </c>
      <c r="Y538" s="534" t="str">
        <f t="shared" si="623"/>
        <v>OTA2202 OTC0Contact</v>
      </c>
      <c r="Z538" s="519" t="str">
        <f>Volumes!H49</f>
        <v>Contact</v>
      </c>
      <c r="AA538" s="519" t="str">
        <f>Volumes!I49</f>
        <v>OTA2202 OTC0</v>
      </c>
      <c r="AB538" s="519">
        <f>Volumes!J49</f>
        <v>0</v>
      </c>
      <c r="AC538" s="170"/>
      <c r="AE538" s="519">
        <f t="shared" ca="1" si="609"/>
        <v>0</v>
      </c>
      <c r="AF538" s="519">
        <f t="shared" ca="1" si="610"/>
        <v>0</v>
      </c>
      <c r="AG538" s="519">
        <f t="shared" ca="1" si="611"/>
        <v>0</v>
      </c>
      <c r="AH538" s="519">
        <f t="shared" ca="1" si="612"/>
        <v>0</v>
      </c>
      <c r="AI538" s="519">
        <f t="shared" ca="1" si="613"/>
        <v>0</v>
      </c>
      <c r="AJ538" s="519">
        <f t="shared" ca="1" si="614"/>
        <v>0</v>
      </c>
      <c r="AK538" s="519">
        <f t="shared" ca="1" si="615"/>
        <v>0</v>
      </c>
      <c r="AL538" s="519">
        <f t="shared" ca="1" si="616"/>
        <v>0</v>
      </c>
      <c r="AM538" s="519">
        <f t="shared" ca="1" si="617"/>
        <v>0</v>
      </c>
      <c r="AN538" s="519">
        <f t="shared" ca="1" si="618"/>
        <v>0</v>
      </c>
      <c r="AO538" s="519">
        <f t="shared" ca="1" si="619"/>
        <v>0</v>
      </c>
      <c r="AP538" s="519">
        <f t="shared" ca="1" si="620"/>
        <v>0</v>
      </c>
      <c r="AQ538" s="519">
        <f t="shared" ca="1" si="621"/>
        <v>0</v>
      </c>
    </row>
    <row r="539" spans="1:43" x14ac:dyDescent="0.3">
      <c r="A539" s="556">
        <f t="shared" si="608"/>
        <v>3</v>
      </c>
      <c r="B539" s="519" t="str">
        <f t="shared" si="622"/>
        <v>PPI</v>
      </c>
      <c r="C539" s="519" t="str">
        <f>Volumes!H50</f>
        <v>Contact</v>
      </c>
      <c r="D539" s="519" t="str">
        <f>Volumes!I50</f>
        <v>PPI2201 PPI0</v>
      </c>
      <c r="E539" s="519">
        <f>Volumes!J50</f>
        <v>394.27901500000002</v>
      </c>
      <c r="G539" s="525"/>
      <c r="H539" s="519">
        <f ca="1">_xlfn.IFNA(IF(VLOOKUP($B539&amp;OFFSET(H$10,$A539*2,0),'Mapping A'!$B$6:$E$1011,4,0)=1,$E539,""),0)</f>
        <v>0</v>
      </c>
      <c r="I539" s="519">
        <f ca="1">_xlfn.IFNA(IF(VLOOKUP($B539&amp;OFFSET(I$10,$A539*2,0),'Mapping A'!$B$6:$E$1011,4,0)=1,$E539,""),0)</f>
        <v>0</v>
      </c>
      <c r="J539" s="519">
        <f ca="1">_xlfn.IFNA(IF(VLOOKUP($B539&amp;OFFSET(J$10,$A539*2,0),'Mapping A'!$B$6:$E$1011,4,0)=1,$E539,""),0)</f>
        <v>0</v>
      </c>
      <c r="K539" s="519">
        <f ca="1">_xlfn.IFNA(IF(VLOOKUP($B539&amp;OFFSET(K$10,$A539*2,0),'Mapping A'!$B$6:$E$1011,4,0)=1,$E539,""),0)</f>
        <v>0</v>
      </c>
      <c r="L539" s="519">
        <f ca="1">_xlfn.IFNA(IF(VLOOKUP($B539&amp;OFFSET(L$10,$A539*2,0),'Mapping A'!$B$6:$E$1011,4,0)=1,$E539,""),0)</f>
        <v>0</v>
      </c>
      <c r="M539" s="519">
        <f ca="1">_xlfn.IFNA(IF(VLOOKUP($B539&amp;OFFSET(M$10,$A539*2,0),'Mapping A'!$B$6:$E$1011,4,0)=1,$E539,""),0)</f>
        <v>394.27901500000002</v>
      </c>
      <c r="N539" s="519">
        <f ca="1">_xlfn.IFNA(IF(VLOOKUP($B539&amp;OFFSET(N$10,$A539*2,0),'Mapping A'!$B$6:$E$1011,4,0)=1,$E539,""),0)</f>
        <v>0</v>
      </c>
      <c r="O539" s="519">
        <f ca="1">_xlfn.IFNA(IF(VLOOKUP($B539&amp;OFFSET(O$10,$A539*2,0),'Mapping A'!$B$6:$E$1011,4,0)=1,$E539,""),0)</f>
        <v>394.27901500000002</v>
      </c>
      <c r="P539" s="519">
        <f ca="1">_xlfn.IFNA(IF(VLOOKUP($B539&amp;OFFSET(P$10,$A539*2,0),'Mapping A'!$B$6:$E$1011,4,0)=1,$E539,""),0)</f>
        <v>0</v>
      </c>
      <c r="Q539" s="519">
        <f ca="1">_xlfn.IFNA(IF(VLOOKUP($B539&amp;OFFSET(Q$10,$A539*2,0),'Mapping A'!$B$6:$E$1011,4,0)=1,$E539,""),0)</f>
        <v>0</v>
      </c>
      <c r="R539" s="519">
        <f ca="1">_xlfn.IFNA(IF(VLOOKUP($B539&amp;OFFSET(R$10,$A539*2,0),'Mapping A'!$B$6:$E$1011,4,0)=1,$E539,""),0)</f>
        <v>0</v>
      </c>
      <c r="S539" s="519">
        <f ca="1">_xlfn.IFNA(IF(VLOOKUP($B539&amp;OFFSET(S$10,$A539*2,0),'Mapping A'!$B$6:$E$1011,4,0)=1,$E539,""),0)</f>
        <v>0</v>
      </c>
      <c r="T539" s="519">
        <f ca="1">_xlfn.IFNA(IF(VLOOKUP($B539&amp;OFFSET(T$10,$A539*2,0),'Mapping A'!$B$6:$E$1011,4,0)=1,$E539,""),0)</f>
        <v>0</v>
      </c>
      <c r="Y539" s="534" t="str">
        <f t="shared" si="623"/>
        <v>PPI2201 PPI0Contact</v>
      </c>
      <c r="Z539" s="519" t="str">
        <f>Volumes!H50</f>
        <v>Contact</v>
      </c>
      <c r="AA539" s="519" t="str">
        <f>Volumes!I50</f>
        <v>PPI2201 PPI0</v>
      </c>
      <c r="AB539" s="519">
        <f>Volumes!J50</f>
        <v>394.27901500000002</v>
      </c>
      <c r="AC539" s="170"/>
      <c r="AE539" s="519">
        <f t="shared" ca="1" si="609"/>
        <v>0</v>
      </c>
      <c r="AF539" s="519">
        <f t="shared" ca="1" si="610"/>
        <v>0</v>
      </c>
      <c r="AG539" s="519">
        <f t="shared" ca="1" si="611"/>
        <v>0</v>
      </c>
      <c r="AH539" s="519">
        <f t="shared" ca="1" si="612"/>
        <v>0</v>
      </c>
      <c r="AI539" s="519">
        <f t="shared" ca="1" si="613"/>
        <v>0</v>
      </c>
      <c r="AJ539" s="519">
        <f t="shared" ca="1" si="614"/>
        <v>0</v>
      </c>
      <c r="AK539" s="519">
        <f t="shared" ca="1" si="615"/>
        <v>0</v>
      </c>
      <c r="AL539" s="519">
        <f t="shared" ca="1" si="616"/>
        <v>4.5656675709388403E-2</v>
      </c>
      <c r="AM539" s="519">
        <f t="shared" ca="1" si="617"/>
        <v>0</v>
      </c>
      <c r="AN539" s="519">
        <f t="shared" ca="1" si="618"/>
        <v>0</v>
      </c>
      <c r="AO539" s="519">
        <f t="shared" ca="1" si="619"/>
        <v>0</v>
      </c>
      <c r="AP539" s="519">
        <f t="shared" ca="1" si="620"/>
        <v>0</v>
      </c>
      <c r="AQ539" s="519">
        <f t="shared" ca="1" si="621"/>
        <v>0</v>
      </c>
    </row>
    <row r="540" spans="1:43" x14ac:dyDescent="0.3">
      <c r="A540" s="556">
        <f t="shared" si="608"/>
        <v>3</v>
      </c>
      <c r="B540" s="519" t="str">
        <f t="shared" si="622"/>
        <v>ROT</v>
      </c>
      <c r="C540" s="519" t="str">
        <f>Volumes!H51</f>
        <v>Trustpower</v>
      </c>
      <c r="D540" s="519" t="str">
        <f>Volumes!I51</f>
        <v>ROT1101 WHE0</v>
      </c>
      <c r="E540" s="519">
        <f>Volumes!J51</f>
        <v>56.036099999999998</v>
      </c>
      <c r="G540" s="525"/>
      <c r="H540" s="519">
        <f ca="1">_xlfn.IFNA(IF(VLOOKUP($B540&amp;OFFSET(H$10,$A540*2,0),'Mapping A'!$B$6:$E$1011,4,0)=1,$E540,""),0)</f>
        <v>0</v>
      </c>
      <c r="I540" s="519">
        <f ca="1">_xlfn.IFNA(IF(VLOOKUP($B540&amp;OFFSET(I$10,$A540*2,0),'Mapping A'!$B$6:$E$1011,4,0)=1,$E540,""),0)</f>
        <v>0</v>
      </c>
      <c r="J540" s="519">
        <f ca="1">_xlfn.IFNA(IF(VLOOKUP($B540&amp;OFFSET(J$10,$A540*2,0),'Mapping A'!$B$6:$E$1011,4,0)=1,$E540,""),0)</f>
        <v>0</v>
      </c>
      <c r="K540" s="519">
        <f ca="1">_xlfn.IFNA(IF(VLOOKUP($B540&amp;OFFSET(K$10,$A540*2,0),'Mapping A'!$B$6:$E$1011,4,0)=1,$E540,""),0)</f>
        <v>0</v>
      </c>
      <c r="L540" s="519">
        <f ca="1">_xlfn.IFNA(IF(VLOOKUP($B540&amp;OFFSET(L$10,$A540*2,0),'Mapping A'!$B$6:$E$1011,4,0)=1,$E540,""),0)</f>
        <v>0</v>
      </c>
      <c r="M540" s="519">
        <f ca="1">_xlfn.IFNA(IF(VLOOKUP($B540&amp;OFFSET(M$10,$A540*2,0),'Mapping A'!$B$6:$E$1011,4,0)=1,$E540,""),0)</f>
        <v>56.036099999999998</v>
      </c>
      <c r="N540" s="519">
        <f ca="1">_xlfn.IFNA(IF(VLOOKUP($B540&amp;OFFSET(N$10,$A540*2,0),'Mapping A'!$B$6:$E$1011,4,0)=1,$E540,""),0)</f>
        <v>0</v>
      </c>
      <c r="O540" s="519">
        <f ca="1">_xlfn.IFNA(IF(VLOOKUP($B540&amp;OFFSET(O$10,$A540*2,0),'Mapping A'!$B$6:$E$1011,4,0)=1,$E540,""),0)</f>
        <v>56.036099999999998</v>
      </c>
      <c r="P540" s="519">
        <f ca="1">_xlfn.IFNA(IF(VLOOKUP($B540&amp;OFFSET(P$10,$A540*2,0),'Mapping A'!$B$6:$E$1011,4,0)=1,$E540,""),0)</f>
        <v>0</v>
      </c>
      <c r="Q540" s="519">
        <f ca="1">_xlfn.IFNA(IF(VLOOKUP($B540&amp;OFFSET(Q$10,$A540*2,0),'Mapping A'!$B$6:$E$1011,4,0)=1,$E540,""),0)</f>
        <v>0</v>
      </c>
      <c r="R540" s="519">
        <f ca="1">_xlfn.IFNA(IF(VLOOKUP($B540&amp;OFFSET(R$10,$A540*2,0),'Mapping A'!$B$6:$E$1011,4,0)=1,$E540,""),0)</f>
        <v>0</v>
      </c>
      <c r="S540" s="519">
        <f ca="1">_xlfn.IFNA(IF(VLOOKUP($B540&amp;OFFSET(S$10,$A540*2,0),'Mapping A'!$B$6:$E$1011,4,0)=1,$E540,""),0)</f>
        <v>0</v>
      </c>
      <c r="T540" s="519">
        <f ca="1">_xlfn.IFNA(IF(VLOOKUP($B540&amp;OFFSET(T$10,$A540*2,0),'Mapping A'!$B$6:$E$1011,4,0)=1,$E540,""),0)</f>
        <v>0</v>
      </c>
      <c r="Y540" s="534" t="str">
        <f t="shared" si="623"/>
        <v>ROT1101 WHE0Trustpower</v>
      </c>
      <c r="Z540" s="519" t="str">
        <f>Volumes!H51</f>
        <v>Trustpower</v>
      </c>
      <c r="AA540" s="519" t="str">
        <f>Volumes!I51</f>
        <v>ROT1101 WHE0</v>
      </c>
      <c r="AB540" s="519">
        <f>Volumes!J51</f>
        <v>56.036099999999998</v>
      </c>
      <c r="AC540" s="170"/>
      <c r="AE540" s="519">
        <f t="shared" ca="1" si="609"/>
        <v>0</v>
      </c>
      <c r="AF540" s="519">
        <f t="shared" ca="1" si="610"/>
        <v>0</v>
      </c>
      <c r="AG540" s="519">
        <f t="shared" ca="1" si="611"/>
        <v>0</v>
      </c>
      <c r="AH540" s="519">
        <f t="shared" ca="1" si="612"/>
        <v>0</v>
      </c>
      <c r="AI540" s="519">
        <f t="shared" ca="1" si="613"/>
        <v>0</v>
      </c>
      <c r="AJ540" s="519">
        <f t="shared" ca="1" si="614"/>
        <v>0</v>
      </c>
      <c r="AK540" s="519">
        <f t="shared" ca="1" si="615"/>
        <v>0</v>
      </c>
      <c r="AL540" s="519">
        <f t="shared" ca="1" si="616"/>
        <v>6.4888618171039586E-3</v>
      </c>
      <c r="AM540" s="519">
        <f t="shared" ca="1" si="617"/>
        <v>0</v>
      </c>
      <c r="AN540" s="519">
        <f t="shared" ca="1" si="618"/>
        <v>0</v>
      </c>
      <c r="AO540" s="519">
        <f t="shared" ca="1" si="619"/>
        <v>0</v>
      </c>
      <c r="AP540" s="519">
        <f t="shared" ca="1" si="620"/>
        <v>0</v>
      </c>
      <c r="AQ540" s="519">
        <f t="shared" ca="1" si="621"/>
        <v>0</v>
      </c>
    </row>
    <row r="541" spans="1:43" x14ac:dyDescent="0.3">
      <c r="A541" s="556">
        <f t="shared" si="608"/>
        <v>3</v>
      </c>
      <c r="B541" s="519" t="str">
        <f t="shared" si="622"/>
        <v>ROX</v>
      </c>
      <c r="C541" s="519" t="str">
        <f>Volumes!H52</f>
        <v>Contact</v>
      </c>
      <c r="D541" s="519" t="str">
        <f>Volumes!I52</f>
        <v>ROX1101 ROX0</v>
      </c>
      <c r="E541" s="519">
        <f>Volumes!J52</f>
        <v>498.34228905003818</v>
      </c>
      <c r="G541" s="525"/>
      <c r="H541" s="519">
        <f ca="1">_xlfn.IFNA(IF(VLOOKUP($B541&amp;OFFSET(H$10,$A541*2,0),'Mapping A'!$B$6:$E$1011,4,0)=1,$E541,""),0)</f>
        <v>0</v>
      </c>
      <c r="I541" s="519">
        <f ca="1">_xlfn.IFNA(IF(VLOOKUP($B541&amp;OFFSET(I$10,$A541*2,0),'Mapping A'!$B$6:$E$1011,4,0)=1,$E541,""),0)</f>
        <v>498.34228905003818</v>
      </c>
      <c r="J541" s="519">
        <f ca="1">_xlfn.IFNA(IF(VLOOKUP($B541&amp;OFFSET(J$10,$A541*2,0),'Mapping A'!$B$6:$E$1011,4,0)=1,$E541,""),0)</f>
        <v>498.34228905003818</v>
      </c>
      <c r="K541" s="519">
        <f ca="1">_xlfn.IFNA(IF(VLOOKUP($B541&amp;OFFSET(K$10,$A541*2,0),'Mapping A'!$B$6:$E$1011,4,0)=1,$E541,""),0)</f>
        <v>0</v>
      </c>
      <c r="L541" s="519">
        <f ca="1">_xlfn.IFNA(IF(VLOOKUP($B541&amp;OFFSET(L$10,$A541*2,0),'Mapping A'!$B$6:$E$1011,4,0)=1,$E541,""),0)</f>
        <v>498.34228905003818</v>
      </c>
      <c r="M541" s="519">
        <f ca="1">_xlfn.IFNA(IF(VLOOKUP($B541&amp;OFFSET(M$10,$A541*2,0),'Mapping A'!$B$6:$E$1011,4,0)=1,$E541,""),0)</f>
        <v>0</v>
      </c>
      <c r="N541" s="519">
        <f ca="1">_xlfn.IFNA(IF(VLOOKUP($B541&amp;OFFSET(N$10,$A541*2,0),'Mapping A'!$B$6:$E$1011,4,0)=1,$E541,""),0)</f>
        <v>0</v>
      </c>
      <c r="O541" s="519">
        <f ca="1">_xlfn.IFNA(IF(VLOOKUP($B541&amp;OFFSET(O$10,$A541*2,0),'Mapping A'!$B$6:$E$1011,4,0)=1,$E541,""),0)</f>
        <v>0</v>
      </c>
      <c r="P541" s="519">
        <f ca="1">_xlfn.IFNA(IF(VLOOKUP($B541&amp;OFFSET(P$10,$A541*2,0),'Mapping A'!$B$6:$E$1011,4,0)=1,$E541,""),0)</f>
        <v>0</v>
      </c>
      <c r="Q541" s="519">
        <f ca="1">_xlfn.IFNA(IF(VLOOKUP($B541&amp;OFFSET(Q$10,$A541*2,0),'Mapping A'!$B$6:$E$1011,4,0)=1,$E541,""),0)</f>
        <v>0</v>
      </c>
      <c r="R541" s="519">
        <f ca="1">_xlfn.IFNA(IF(VLOOKUP($B541&amp;OFFSET(R$10,$A541*2,0),'Mapping A'!$B$6:$E$1011,4,0)=1,$E541,""),0)</f>
        <v>0</v>
      </c>
      <c r="S541" s="519">
        <f ca="1">_xlfn.IFNA(IF(VLOOKUP($B541&amp;OFFSET(S$10,$A541*2,0),'Mapping A'!$B$6:$E$1011,4,0)=1,$E541,""),0)</f>
        <v>0</v>
      </c>
      <c r="T541" s="519">
        <f ca="1">_xlfn.IFNA(IF(VLOOKUP($B541&amp;OFFSET(T$10,$A541*2,0),'Mapping A'!$B$6:$E$1011,4,0)=1,$E541,""),0)</f>
        <v>0</v>
      </c>
      <c r="Y541" s="534" t="str">
        <f t="shared" si="623"/>
        <v>ROX1101 ROX0Contact</v>
      </c>
      <c r="Z541" s="519" t="str">
        <f>Volumes!H52</f>
        <v>Contact</v>
      </c>
      <c r="AA541" s="519" t="str">
        <f>Volumes!I52</f>
        <v>ROX1101 ROX0</v>
      </c>
      <c r="AB541" s="519">
        <f>Volumes!J52</f>
        <v>498.34228905003818</v>
      </c>
      <c r="AC541" s="170"/>
      <c r="AE541" s="519">
        <f t="shared" ca="1" si="609"/>
        <v>0</v>
      </c>
      <c r="AF541" s="519">
        <f t="shared" ca="1" si="610"/>
        <v>0</v>
      </c>
      <c r="AG541" s="519">
        <f t="shared" ca="1" si="611"/>
        <v>0</v>
      </c>
      <c r="AH541" s="519">
        <f t="shared" ca="1" si="612"/>
        <v>0</v>
      </c>
      <c r="AI541" s="519">
        <f t="shared" ca="1" si="613"/>
        <v>0</v>
      </c>
      <c r="AJ541" s="519">
        <f t="shared" ca="1" si="614"/>
        <v>0</v>
      </c>
      <c r="AK541" s="519">
        <f t="shared" ca="1" si="615"/>
        <v>0</v>
      </c>
      <c r="AL541" s="519">
        <f t="shared" ca="1" si="616"/>
        <v>0</v>
      </c>
      <c r="AM541" s="519">
        <f t="shared" ca="1" si="617"/>
        <v>0</v>
      </c>
      <c r="AN541" s="519">
        <f t="shared" ca="1" si="618"/>
        <v>0</v>
      </c>
      <c r="AO541" s="519">
        <f t="shared" ca="1" si="619"/>
        <v>0</v>
      </c>
      <c r="AP541" s="519">
        <f t="shared" ca="1" si="620"/>
        <v>0</v>
      </c>
      <c r="AQ541" s="519">
        <f t="shared" ca="1" si="621"/>
        <v>0</v>
      </c>
    </row>
    <row r="542" spans="1:43" x14ac:dyDescent="0.3">
      <c r="A542" s="556">
        <f t="shared" si="608"/>
        <v>3</v>
      </c>
      <c r="B542" s="519" t="str">
        <f t="shared" si="622"/>
        <v>ROX</v>
      </c>
      <c r="C542" s="519" t="str">
        <f>Volumes!H53</f>
        <v>Contact</v>
      </c>
      <c r="D542" s="519" t="str">
        <f>Volumes!I53</f>
        <v>ROX2201 ROX0</v>
      </c>
      <c r="E542" s="519">
        <f>Volumes!J53</f>
        <v>1267.0147090499938</v>
      </c>
      <c r="G542" s="525"/>
      <c r="H542" s="519">
        <f ca="1">_xlfn.IFNA(IF(VLOOKUP($B542&amp;OFFSET(H$10,$A542*2,0),'Mapping A'!$B$6:$E$1011,4,0)=1,$E542,""),0)</f>
        <v>0</v>
      </c>
      <c r="I542" s="519">
        <f ca="1">_xlfn.IFNA(IF(VLOOKUP($B542&amp;OFFSET(I$10,$A542*2,0),'Mapping A'!$B$6:$E$1011,4,0)=1,$E542,""),0)</f>
        <v>1267.0147090499938</v>
      </c>
      <c r="J542" s="519">
        <f ca="1">_xlfn.IFNA(IF(VLOOKUP($B542&amp;OFFSET(J$10,$A542*2,0),'Mapping A'!$B$6:$E$1011,4,0)=1,$E542,""),0)</f>
        <v>1267.0147090499938</v>
      </c>
      <c r="K542" s="519">
        <f ca="1">_xlfn.IFNA(IF(VLOOKUP($B542&amp;OFFSET(K$10,$A542*2,0),'Mapping A'!$B$6:$E$1011,4,0)=1,$E542,""),0)</f>
        <v>0</v>
      </c>
      <c r="L542" s="519">
        <f ca="1">_xlfn.IFNA(IF(VLOOKUP($B542&amp;OFFSET(L$10,$A542*2,0),'Mapping A'!$B$6:$E$1011,4,0)=1,$E542,""),0)</f>
        <v>1267.0147090499938</v>
      </c>
      <c r="M542" s="519">
        <f ca="1">_xlfn.IFNA(IF(VLOOKUP($B542&amp;OFFSET(M$10,$A542*2,0),'Mapping A'!$B$6:$E$1011,4,0)=1,$E542,""),0)</f>
        <v>0</v>
      </c>
      <c r="N542" s="519">
        <f ca="1">_xlfn.IFNA(IF(VLOOKUP($B542&amp;OFFSET(N$10,$A542*2,0),'Mapping A'!$B$6:$E$1011,4,0)=1,$E542,""),0)</f>
        <v>0</v>
      </c>
      <c r="O542" s="519">
        <f ca="1">_xlfn.IFNA(IF(VLOOKUP($B542&amp;OFFSET(O$10,$A542*2,0),'Mapping A'!$B$6:$E$1011,4,0)=1,$E542,""),0)</f>
        <v>0</v>
      </c>
      <c r="P542" s="519">
        <f ca="1">_xlfn.IFNA(IF(VLOOKUP($B542&amp;OFFSET(P$10,$A542*2,0),'Mapping A'!$B$6:$E$1011,4,0)=1,$E542,""),0)</f>
        <v>0</v>
      </c>
      <c r="Q542" s="519">
        <f ca="1">_xlfn.IFNA(IF(VLOOKUP($B542&amp;OFFSET(Q$10,$A542*2,0),'Mapping A'!$B$6:$E$1011,4,0)=1,$E542,""),0)</f>
        <v>0</v>
      </c>
      <c r="R542" s="519">
        <f ca="1">_xlfn.IFNA(IF(VLOOKUP($B542&amp;OFFSET(R$10,$A542*2,0),'Mapping A'!$B$6:$E$1011,4,0)=1,$E542,""),0)</f>
        <v>0</v>
      </c>
      <c r="S542" s="519">
        <f ca="1">_xlfn.IFNA(IF(VLOOKUP($B542&amp;OFFSET(S$10,$A542*2,0),'Mapping A'!$B$6:$E$1011,4,0)=1,$E542,""),0)</f>
        <v>0</v>
      </c>
      <c r="T542" s="519">
        <f ca="1">_xlfn.IFNA(IF(VLOOKUP($B542&amp;OFFSET(T$10,$A542*2,0),'Mapping A'!$B$6:$E$1011,4,0)=1,$E542,""),0)</f>
        <v>0</v>
      </c>
      <c r="Y542" s="534" t="str">
        <f t="shared" si="623"/>
        <v>ROX2201 ROX0Contact</v>
      </c>
      <c r="Z542" s="519" t="str">
        <f>Volumes!H53</f>
        <v>Contact</v>
      </c>
      <c r="AA542" s="519" t="str">
        <f>Volumes!I53</f>
        <v>ROX2201 ROX0</v>
      </c>
      <c r="AB542" s="519">
        <f>Volumes!J53</f>
        <v>1267.0147090499938</v>
      </c>
      <c r="AC542" s="170"/>
      <c r="AE542" s="519">
        <f t="shared" ca="1" si="609"/>
        <v>0</v>
      </c>
      <c r="AF542" s="519">
        <f t="shared" ca="1" si="610"/>
        <v>0</v>
      </c>
      <c r="AG542" s="519">
        <f t="shared" ca="1" si="611"/>
        <v>0</v>
      </c>
      <c r="AH542" s="519">
        <f t="shared" ca="1" si="612"/>
        <v>0</v>
      </c>
      <c r="AI542" s="519">
        <f t="shared" ca="1" si="613"/>
        <v>0</v>
      </c>
      <c r="AJ542" s="519">
        <f t="shared" ca="1" si="614"/>
        <v>0</v>
      </c>
      <c r="AK542" s="519">
        <f t="shared" ca="1" si="615"/>
        <v>0</v>
      </c>
      <c r="AL542" s="519">
        <f t="shared" ca="1" si="616"/>
        <v>0</v>
      </c>
      <c r="AM542" s="519">
        <f t="shared" ca="1" si="617"/>
        <v>0</v>
      </c>
      <c r="AN542" s="519">
        <f t="shared" ca="1" si="618"/>
        <v>0</v>
      </c>
      <c r="AO542" s="519">
        <f t="shared" ca="1" si="619"/>
        <v>0</v>
      </c>
      <c r="AP542" s="519">
        <f t="shared" ca="1" si="620"/>
        <v>0</v>
      </c>
      <c r="AQ542" s="519">
        <f t="shared" ca="1" si="621"/>
        <v>0</v>
      </c>
    </row>
    <row r="543" spans="1:43" x14ac:dyDescent="0.3">
      <c r="A543" s="556">
        <f t="shared" si="608"/>
        <v>3</v>
      </c>
      <c r="B543" s="519" t="str">
        <f t="shared" si="622"/>
        <v>RPO</v>
      </c>
      <c r="C543" s="519" t="str">
        <f>Volumes!H54</f>
        <v>Genesis</v>
      </c>
      <c r="D543" s="519" t="str">
        <f>Volumes!I54</f>
        <v>RPO2201 RPO0</v>
      </c>
      <c r="E543" s="519">
        <f>Volumes!J54</f>
        <v>530.56640910000021</v>
      </c>
      <c r="G543" s="525"/>
      <c r="H543" s="519">
        <f ca="1">_xlfn.IFNA(IF(VLOOKUP($B543&amp;OFFSET(H$10,$A543*2,0),'Mapping A'!$B$6:$E$1011,4,0)=1,$E543,""),0)</f>
        <v>0</v>
      </c>
      <c r="I543" s="519">
        <f ca="1">_xlfn.IFNA(IF(VLOOKUP($B543&amp;OFFSET(I$10,$A543*2,0),'Mapping A'!$B$6:$E$1011,4,0)=1,$E543,""),0)</f>
        <v>0</v>
      </c>
      <c r="J543" s="519">
        <f ca="1">_xlfn.IFNA(IF(VLOOKUP($B543&amp;OFFSET(J$10,$A543*2,0),'Mapping A'!$B$6:$E$1011,4,0)=1,$E543,""),0)</f>
        <v>0</v>
      </c>
      <c r="K543" s="519">
        <f ca="1">_xlfn.IFNA(IF(VLOOKUP($B543&amp;OFFSET(K$10,$A543*2,0),'Mapping A'!$B$6:$E$1011,4,0)=1,$E543,""),0)</f>
        <v>0</v>
      </c>
      <c r="L543" s="519">
        <f ca="1">_xlfn.IFNA(IF(VLOOKUP($B543&amp;OFFSET(L$10,$A543*2,0),'Mapping A'!$B$6:$E$1011,4,0)=1,$E543,""),0)</f>
        <v>0</v>
      </c>
      <c r="M543" s="519">
        <f ca="1">_xlfn.IFNA(IF(VLOOKUP($B543&amp;OFFSET(M$10,$A543*2,0),'Mapping A'!$B$6:$E$1011,4,0)=1,$E543,""),0)</f>
        <v>0</v>
      </c>
      <c r="N543" s="519">
        <f ca="1">_xlfn.IFNA(IF(VLOOKUP($B543&amp;OFFSET(N$10,$A543*2,0),'Mapping A'!$B$6:$E$1011,4,0)=1,$E543,""),0)</f>
        <v>0</v>
      </c>
      <c r="O543" s="519">
        <f ca="1">_xlfn.IFNA(IF(VLOOKUP($B543&amp;OFFSET(O$10,$A543*2,0),'Mapping A'!$B$6:$E$1011,4,0)=1,$E543,""),0)</f>
        <v>530.56640910000021</v>
      </c>
      <c r="P543" s="519">
        <f ca="1">_xlfn.IFNA(IF(VLOOKUP($B543&amp;OFFSET(P$10,$A543*2,0),'Mapping A'!$B$6:$E$1011,4,0)=1,$E543,""),0)</f>
        <v>0</v>
      </c>
      <c r="Q543" s="519">
        <f ca="1">_xlfn.IFNA(IF(VLOOKUP($B543&amp;OFFSET(Q$10,$A543*2,0),'Mapping A'!$B$6:$E$1011,4,0)=1,$E543,""),0)</f>
        <v>0</v>
      </c>
      <c r="R543" s="519">
        <f ca="1">_xlfn.IFNA(IF(VLOOKUP($B543&amp;OFFSET(R$10,$A543*2,0),'Mapping A'!$B$6:$E$1011,4,0)=1,$E543,""),0)</f>
        <v>0</v>
      </c>
      <c r="S543" s="519">
        <f ca="1">_xlfn.IFNA(IF(VLOOKUP($B543&amp;OFFSET(S$10,$A543*2,0),'Mapping A'!$B$6:$E$1011,4,0)=1,$E543,""),0)</f>
        <v>0</v>
      </c>
      <c r="T543" s="519">
        <f ca="1">_xlfn.IFNA(IF(VLOOKUP($B543&amp;OFFSET(T$10,$A543*2,0),'Mapping A'!$B$6:$E$1011,4,0)=1,$E543,""),0)</f>
        <v>0</v>
      </c>
      <c r="Y543" s="534" t="str">
        <f t="shared" si="623"/>
        <v>RPO2201 RPO0Genesis</v>
      </c>
      <c r="Z543" s="519" t="str">
        <f>Volumes!H54</f>
        <v>Genesis</v>
      </c>
      <c r="AA543" s="519" t="str">
        <f>Volumes!I54</f>
        <v>RPO2201 RPO0</v>
      </c>
      <c r="AB543" s="519">
        <f>Volumes!J54</f>
        <v>530.56640910000021</v>
      </c>
      <c r="AC543" s="170"/>
      <c r="AE543" s="519">
        <f t="shared" ca="1" si="609"/>
        <v>0</v>
      </c>
      <c r="AF543" s="519">
        <f t="shared" ca="1" si="610"/>
        <v>0</v>
      </c>
      <c r="AG543" s="519">
        <f t="shared" ca="1" si="611"/>
        <v>0</v>
      </c>
      <c r="AH543" s="519">
        <f t="shared" ca="1" si="612"/>
        <v>0</v>
      </c>
      <c r="AI543" s="519">
        <f t="shared" ca="1" si="613"/>
        <v>0</v>
      </c>
      <c r="AJ543" s="519">
        <f t="shared" ca="1" si="614"/>
        <v>0</v>
      </c>
      <c r="AK543" s="519">
        <f t="shared" ca="1" si="615"/>
        <v>0</v>
      </c>
      <c r="AL543" s="519">
        <f t="shared" ca="1" si="616"/>
        <v>6.143846758512727E-2</v>
      </c>
      <c r="AM543" s="519">
        <f t="shared" ca="1" si="617"/>
        <v>0</v>
      </c>
      <c r="AN543" s="519">
        <f t="shared" ca="1" si="618"/>
        <v>0</v>
      </c>
      <c r="AO543" s="519">
        <f t="shared" ca="1" si="619"/>
        <v>0</v>
      </c>
      <c r="AP543" s="519">
        <f t="shared" ca="1" si="620"/>
        <v>0</v>
      </c>
      <c r="AQ543" s="519">
        <f t="shared" ca="1" si="621"/>
        <v>0</v>
      </c>
    </row>
    <row r="544" spans="1:43" x14ac:dyDescent="0.3">
      <c r="A544" s="556">
        <f t="shared" si="608"/>
        <v>3</v>
      </c>
      <c r="B544" s="519" t="str">
        <f t="shared" si="622"/>
        <v>SFD</v>
      </c>
      <c r="C544" s="519" t="str">
        <f>Volumes!H55</f>
        <v>Contact</v>
      </c>
      <c r="D544" s="519" t="str">
        <f>Volumes!I55</f>
        <v>SFD2201 SFD21</v>
      </c>
      <c r="E544" s="519">
        <f>Volumes!J55</f>
        <v>163.12063279999975</v>
      </c>
      <c r="G544" s="525"/>
      <c r="H544" s="519">
        <f ca="1">_xlfn.IFNA(IF(VLOOKUP($B544&amp;OFFSET(H$10,$A544*2,0),'Mapping A'!$B$6:$E$1011,4,0)=1,$E544,""),0)</f>
        <v>0</v>
      </c>
      <c r="I544" s="519">
        <f ca="1">_xlfn.IFNA(IF(VLOOKUP($B544&amp;OFFSET(I$10,$A544*2,0),'Mapping A'!$B$6:$E$1011,4,0)=1,$E544,""),0)</f>
        <v>0</v>
      </c>
      <c r="J544" s="519">
        <f ca="1">_xlfn.IFNA(IF(VLOOKUP($B544&amp;OFFSET(J$10,$A544*2,0),'Mapping A'!$B$6:$E$1011,4,0)=1,$E544,""),0)</f>
        <v>0</v>
      </c>
      <c r="K544" s="519">
        <f ca="1">_xlfn.IFNA(IF(VLOOKUP($B544&amp;OFFSET(K$10,$A544*2,0),'Mapping A'!$B$6:$E$1011,4,0)=1,$E544,""),0)</f>
        <v>0</v>
      </c>
      <c r="L544" s="519">
        <f ca="1">_xlfn.IFNA(IF(VLOOKUP($B544&amp;OFFSET(L$10,$A544*2,0),'Mapping A'!$B$6:$E$1011,4,0)=1,$E544,""),0)</f>
        <v>0</v>
      </c>
      <c r="M544" s="519">
        <f ca="1">_xlfn.IFNA(IF(VLOOKUP($B544&amp;OFFSET(M$10,$A544*2,0),'Mapping A'!$B$6:$E$1011,4,0)=1,$E544,""),0)</f>
        <v>0</v>
      </c>
      <c r="N544" s="519">
        <f ca="1">_xlfn.IFNA(IF(VLOOKUP($B544&amp;OFFSET(N$10,$A544*2,0),'Mapping A'!$B$6:$E$1011,4,0)=1,$E544,""),0)</f>
        <v>0</v>
      </c>
      <c r="O544" s="519">
        <f ca="1">_xlfn.IFNA(IF(VLOOKUP($B544&amp;OFFSET(O$10,$A544*2,0),'Mapping A'!$B$6:$E$1011,4,0)=1,$E544,""),0)</f>
        <v>163.12063279999975</v>
      </c>
      <c r="P544" s="519">
        <f ca="1">_xlfn.IFNA(IF(VLOOKUP($B544&amp;OFFSET(P$10,$A544*2,0),'Mapping A'!$B$6:$E$1011,4,0)=1,$E544,""),0)</f>
        <v>0</v>
      </c>
      <c r="Q544" s="519">
        <f ca="1">_xlfn.IFNA(IF(VLOOKUP($B544&amp;OFFSET(Q$10,$A544*2,0),'Mapping A'!$B$6:$E$1011,4,0)=1,$E544,""),0)</f>
        <v>0</v>
      </c>
      <c r="R544" s="519">
        <f ca="1">_xlfn.IFNA(IF(VLOOKUP($B544&amp;OFFSET(R$10,$A544*2,0),'Mapping A'!$B$6:$E$1011,4,0)=1,$E544,""),0)</f>
        <v>0</v>
      </c>
      <c r="S544" s="519">
        <f ca="1">_xlfn.IFNA(IF(VLOOKUP($B544&amp;OFFSET(S$10,$A544*2,0),'Mapping A'!$B$6:$E$1011,4,0)=1,$E544,""),0)</f>
        <v>0</v>
      </c>
      <c r="T544" s="519">
        <f ca="1">_xlfn.IFNA(IF(VLOOKUP($B544&amp;OFFSET(T$10,$A544*2,0),'Mapping A'!$B$6:$E$1011,4,0)=1,$E544,""),0)</f>
        <v>0</v>
      </c>
      <c r="Y544" s="534" t="str">
        <f t="shared" si="623"/>
        <v>SFD2201 SFD21Contact</v>
      </c>
      <c r="Z544" s="519" t="str">
        <f>Volumes!H55</f>
        <v>Contact</v>
      </c>
      <c r="AA544" s="519" t="str">
        <f>Volumes!I55</f>
        <v>SFD2201 SFD21</v>
      </c>
      <c r="AB544" s="519">
        <f>Volumes!J55</f>
        <v>163.12063279999975</v>
      </c>
      <c r="AC544" s="170"/>
      <c r="AE544" s="519">
        <f t="shared" ca="1" si="609"/>
        <v>0</v>
      </c>
      <c r="AF544" s="519">
        <f t="shared" ca="1" si="610"/>
        <v>0</v>
      </c>
      <c r="AG544" s="519">
        <f t="shared" ca="1" si="611"/>
        <v>0</v>
      </c>
      <c r="AH544" s="519">
        <f t="shared" ca="1" si="612"/>
        <v>0</v>
      </c>
      <c r="AI544" s="519">
        <f t="shared" ca="1" si="613"/>
        <v>0</v>
      </c>
      <c r="AJ544" s="519">
        <f t="shared" ca="1" si="614"/>
        <v>0</v>
      </c>
      <c r="AK544" s="519">
        <f t="shared" ca="1" si="615"/>
        <v>0</v>
      </c>
      <c r="AL544" s="519">
        <f t="shared" ca="1" si="616"/>
        <v>1.888902414261082E-2</v>
      </c>
      <c r="AM544" s="519">
        <f t="shared" ca="1" si="617"/>
        <v>0</v>
      </c>
      <c r="AN544" s="519">
        <f t="shared" ca="1" si="618"/>
        <v>0</v>
      </c>
      <c r="AO544" s="519">
        <f t="shared" ca="1" si="619"/>
        <v>0</v>
      </c>
      <c r="AP544" s="519">
        <f t="shared" ca="1" si="620"/>
        <v>0</v>
      </c>
      <c r="AQ544" s="519">
        <f t="shared" ca="1" si="621"/>
        <v>0</v>
      </c>
    </row>
    <row r="545" spans="1:43" x14ac:dyDescent="0.3">
      <c r="A545" s="556">
        <f t="shared" si="608"/>
        <v>3</v>
      </c>
      <c r="B545" s="519" t="str">
        <f t="shared" si="622"/>
        <v>SFD</v>
      </c>
      <c r="C545" s="519" t="str">
        <f>Volumes!H56</f>
        <v>Contact</v>
      </c>
      <c r="D545" s="519" t="str">
        <f>Volumes!I56</f>
        <v>SFD2201 SFD22</v>
      </c>
      <c r="E545" s="519">
        <f>Volumes!J56</f>
        <v>166.54496210500017</v>
      </c>
      <c r="G545" s="525"/>
      <c r="H545" s="519">
        <f ca="1">_xlfn.IFNA(IF(VLOOKUP($B545&amp;OFFSET(H$10,$A545*2,0),'Mapping A'!$B$6:$E$1011,4,0)=1,$E545,""),0)</f>
        <v>0</v>
      </c>
      <c r="I545" s="519">
        <f ca="1">_xlfn.IFNA(IF(VLOOKUP($B545&amp;OFFSET(I$10,$A545*2,0),'Mapping A'!$B$6:$E$1011,4,0)=1,$E545,""),0)</f>
        <v>0</v>
      </c>
      <c r="J545" s="519">
        <f ca="1">_xlfn.IFNA(IF(VLOOKUP($B545&amp;OFFSET(J$10,$A545*2,0),'Mapping A'!$B$6:$E$1011,4,0)=1,$E545,""),0)</f>
        <v>0</v>
      </c>
      <c r="K545" s="519">
        <f ca="1">_xlfn.IFNA(IF(VLOOKUP($B545&amp;OFFSET(K$10,$A545*2,0),'Mapping A'!$B$6:$E$1011,4,0)=1,$E545,""),0)</f>
        <v>0</v>
      </c>
      <c r="L545" s="519">
        <f ca="1">_xlfn.IFNA(IF(VLOOKUP($B545&amp;OFFSET(L$10,$A545*2,0),'Mapping A'!$B$6:$E$1011,4,0)=1,$E545,""),0)</f>
        <v>0</v>
      </c>
      <c r="M545" s="519">
        <f ca="1">_xlfn.IFNA(IF(VLOOKUP($B545&amp;OFFSET(M$10,$A545*2,0),'Mapping A'!$B$6:$E$1011,4,0)=1,$E545,""),0)</f>
        <v>0</v>
      </c>
      <c r="N545" s="519">
        <f ca="1">_xlfn.IFNA(IF(VLOOKUP($B545&amp;OFFSET(N$10,$A545*2,0),'Mapping A'!$B$6:$E$1011,4,0)=1,$E545,""),0)</f>
        <v>0</v>
      </c>
      <c r="O545" s="519">
        <f ca="1">_xlfn.IFNA(IF(VLOOKUP($B545&amp;OFFSET(O$10,$A545*2,0),'Mapping A'!$B$6:$E$1011,4,0)=1,$E545,""),0)</f>
        <v>166.54496210500017</v>
      </c>
      <c r="P545" s="519">
        <f ca="1">_xlfn.IFNA(IF(VLOOKUP($B545&amp;OFFSET(P$10,$A545*2,0),'Mapping A'!$B$6:$E$1011,4,0)=1,$E545,""),0)</f>
        <v>0</v>
      </c>
      <c r="Q545" s="519">
        <f ca="1">_xlfn.IFNA(IF(VLOOKUP($B545&amp;OFFSET(Q$10,$A545*2,0),'Mapping A'!$B$6:$E$1011,4,0)=1,$E545,""),0)</f>
        <v>0</v>
      </c>
      <c r="R545" s="519">
        <f ca="1">_xlfn.IFNA(IF(VLOOKUP($B545&amp;OFFSET(R$10,$A545*2,0),'Mapping A'!$B$6:$E$1011,4,0)=1,$E545,""),0)</f>
        <v>0</v>
      </c>
      <c r="S545" s="519">
        <f ca="1">_xlfn.IFNA(IF(VLOOKUP($B545&amp;OFFSET(S$10,$A545*2,0),'Mapping A'!$B$6:$E$1011,4,0)=1,$E545,""),0)</f>
        <v>0</v>
      </c>
      <c r="T545" s="519">
        <f ca="1">_xlfn.IFNA(IF(VLOOKUP($B545&amp;OFFSET(T$10,$A545*2,0),'Mapping A'!$B$6:$E$1011,4,0)=1,$E545,""),0)</f>
        <v>0</v>
      </c>
      <c r="Y545" s="534" t="str">
        <f t="shared" si="623"/>
        <v>SFD2201 SFD22Contact</v>
      </c>
      <c r="Z545" s="519" t="str">
        <f>Volumes!H56</f>
        <v>Contact</v>
      </c>
      <c r="AA545" s="519" t="str">
        <f>Volumes!I56</f>
        <v>SFD2201 SFD22</v>
      </c>
      <c r="AB545" s="519">
        <f>Volumes!J56</f>
        <v>166.54496210500017</v>
      </c>
      <c r="AC545" s="170"/>
      <c r="AE545" s="519">
        <f t="shared" ca="1" si="609"/>
        <v>0</v>
      </c>
      <c r="AF545" s="519">
        <f t="shared" ca="1" si="610"/>
        <v>0</v>
      </c>
      <c r="AG545" s="519">
        <f t="shared" ca="1" si="611"/>
        <v>0</v>
      </c>
      <c r="AH545" s="519">
        <f t="shared" ca="1" si="612"/>
        <v>0</v>
      </c>
      <c r="AI545" s="519">
        <f t="shared" ca="1" si="613"/>
        <v>0</v>
      </c>
      <c r="AJ545" s="519">
        <f t="shared" ca="1" si="614"/>
        <v>0</v>
      </c>
      <c r="AK545" s="519">
        <f t="shared" ca="1" si="615"/>
        <v>0</v>
      </c>
      <c r="AL545" s="519">
        <f t="shared" ca="1" si="616"/>
        <v>1.9285554230829081E-2</v>
      </c>
      <c r="AM545" s="519">
        <f t="shared" ca="1" si="617"/>
        <v>0</v>
      </c>
      <c r="AN545" s="519">
        <f t="shared" ca="1" si="618"/>
        <v>0</v>
      </c>
      <c r="AO545" s="519">
        <f t="shared" ca="1" si="619"/>
        <v>0</v>
      </c>
      <c r="AP545" s="519">
        <f t="shared" ca="1" si="620"/>
        <v>0</v>
      </c>
      <c r="AQ545" s="519">
        <f t="shared" ca="1" si="621"/>
        <v>0</v>
      </c>
    </row>
    <row r="546" spans="1:43" x14ac:dyDescent="0.3">
      <c r="A546" s="556">
        <f t="shared" si="608"/>
        <v>3</v>
      </c>
      <c r="B546" s="519" t="str">
        <f t="shared" si="622"/>
        <v>SFD</v>
      </c>
      <c r="C546" s="519" t="str">
        <f>Volumes!H57</f>
        <v>Contact</v>
      </c>
      <c r="D546" s="519" t="str">
        <f>Volumes!I57</f>
        <v>SFD2201 SPL0</v>
      </c>
      <c r="E546" s="519">
        <f>Volumes!J57</f>
        <v>2606.2560129000017</v>
      </c>
      <c r="G546" s="525"/>
      <c r="H546" s="519">
        <f ca="1">_xlfn.IFNA(IF(VLOOKUP($B546&amp;OFFSET(H$10,$A546*2,0),'Mapping A'!$B$6:$E$1011,4,0)=1,$E546,""),0)</f>
        <v>0</v>
      </c>
      <c r="I546" s="519">
        <f ca="1">_xlfn.IFNA(IF(VLOOKUP($B546&amp;OFFSET(I$10,$A546*2,0),'Mapping A'!$B$6:$E$1011,4,0)=1,$E546,""),0)</f>
        <v>0</v>
      </c>
      <c r="J546" s="519">
        <f ca="1">_xlfn.IFNA(IF(VLOOKUP($B546&amp;OFFSET(J$10,$A546*2,0),'Mapping A'!$B$6:$E$1011,4,0)=1,$E546,""),0)</f>
        <v>0</v>
      </c>
      <c r="K546" s="519">
        <f ca="1">_xlfn.IFNA(IF(VLOOKUP($B546&amp;OFFSET(K$10,$A546*2,0),'Mapping A'!$B$6:$E$1011,4,0)=1,$E546,""),0)</f>
        <v>0</v>
      </c>
      <c r="L546" s="519">
        <f ca="1">_xlfn.IFNA(IF(VLOOKUP($B546&amp;OFFSET(L$10,$A546*2,0),'Mapping A'!$B$6:$E$1011,4,0)=1,$E546,""),0)</f>
        <v>0</v>
      </c>
      <c r="M546" s="519">
        <f ca="1">_xlfn.IFNA(IF(VLOOKUP($B546&amp;OFFSET(M$10,$A546*2,0),'Mapping A'!$B$6:$E$1011,4,0)=1,$E546,""),0)</f>
        <v>0</v>
      </c>
      <c r="N546" s="519">
        <f ca="1">_xlfn.IFNA(IF(VLOOKUP($B546&amp;OFFSET(N$10,$A546*2,0),'Mapping A'!$B$6:$E$1011,4,0)=1,$E546,""),0)</f>
        <v>0</v>
      </c>
      <c r="O546" s="519">
        <f ca="1">_xlfn.IFNA(IF(VLOOKUP($B546&amp;OFFSET(O$10,$A546*2,0),'Mapping A'!$B$6:$E$1011,4,0)=1,$E546,""),0)</f>
        <v>2606.2560129000017</v>
      </c>
      <c r="P546" s="519">
        <f ca="1">_xlfn.IFNA(IF(VLOOKUP($B546&amp;OFFSET(P$10,$A546*2,0),'Mapping A'!$B$6:$E$1011,4,0)=1,$E546,""),0)</f>
        <v>0</v>
      </c>
      <c r="Q546" s="519">
        <f ca="1">_xlfn.IFNA(IF(VLOOKUP($B546&amp;OFFSET(Q$10,$A546*2,0),'Mapping A'!$B$6:$E$1011,4,0)=1,$E546,""),0)</f>
        <v>0</v>
      </c>
      <c r="R546" s="519">
        <f ca="1">_xlfn.IFNA(IF(VLOOKUP($B546&amp;OFFSET(R$10,$A546*2,0),'Mapping A'!$B$6:$E$1011,4,0)=1,$E546,""),0)</f>
        <v>0</v>
      </c>
      <c r="S546" s="519">
        <f ca="1">_xlfn.IFNA(IF(VLOOKUP($B546&amp;OFFSET(S$10,$A546*2,0),'Mapping A'!$B$6:$E$1011,4,0)=1,$E546,""),0)</f>
        <v>0</v>
      </c>
      <c r="T546" s="519">
        <f ca="1">_xlfn.IFNA(IF(VLOOKUP($B546&amp;OFFSET(T$10,$A546*2,0),'Mapping A'!$B$6:$E$1011,4,0)=1,$E546,""),0)</f>
        <v>0</v>
      </c>
      <c r="Y546" s="534" t="str">
        <f t="shared" si="623"/>
        <v>SFD2201 SPL0Contact</v>
      </c>
      <c r="Z546" s="519" t="str">
        <f>Volumes!H57</f>
        <v>Contact</v>
      </c>
      <c r="AA546" s="519" t="str">
        <f>Volumes!I57</f>
        <v>SFD2201 SPL0</v>
      </c>
      <c r="AB546" s="519">
        <f>Volumes!J57</f>
        <v>2606.2560129000017</v>
      </c>
      <c r="AC546" s="170"/>
      <c r="AE546" s="519">
        <f t="shared" ca="1" si="609"/>
        <v>0</v>
      </c>
      <c r="AF546" s="519">
        <f t="shared" ca="1" si="610"/>
        <v>0</v>
      </c>
      <c r="AG546" s="519">
        <f t="shared" ca="1" si="611"/>
        <v>0</v>
      </c>
      <c r="AH546" s="519">
        <f t="shared" ca="1" si="612"/>
        <v>0</v>
      </c>
      <c r="AI546" s="519">
        <f t="shared" ca="1" si="613"/>
        <v>0</v>
      </c>
      <c r="AJ546" s="519">
        <f t="shared" ca="1" si="614"/>
        <v>0</v>
      </c>
      <c r="AK546" s="519">
        <f t="shared" ca="1" si="615"/>
        <v>0</v>
      </c>
      <c r="AL546" s="519">
        <f t="shared" ca="1" si="616"/>
        <v>0.30179893189755219</v>
      </c>
      <c r="AM546" s="519">
        <f t="shared" ca="1" si="617"/>
        <v>0</v>
      </c>
      <c r="AN546" s="519">
        <f t="shared" ca="1" si="618"/>
        <v>0</v>
      </c>
      <c r="AO546" s="519">
        <f t="shared" ca="1" si="619"/>
        <v>0</v>
      </c>
      <c r="AP546" s="519">
        <f t="shared" ca="1" si="620"/>
        <v>0</v>
      </c>
      <c r="AQ546" s="519">
        <f t="shared" ca="1" si="621"/>
        <v>0</v>
      </c>
    </row>
    <row r="547" spans="1:43" x14ac:dyDescent="0.3">
      <c r="A547" s="556">
        <f t="shared" si="608"/>
        <v>3</v>
      </c>
      <c r="B547" s="519" t="str">
        <f t="shared" si="622"/>
        <v>STK</v>
      </c>
      <c r="C547" s="519" t="str">
        <f>Volumes!H58</f>
        <v>Trustpower</v>
      </c>
      <c r="D547" s="519" t="str">
        <f>Volumes!I58</f>
        <v>STK0661 COB0</v>
      </c>
      <c r="E547" s="519">
        <f>Volumes!J58</f>
        <v>178.12703954000008</v>
      </c>
      <c r="G547" s="525"/>
      <c r="H547" s="519">
        <f ca="1">_xlfn.IFNA(IF(VLOOKUP($B547&amp;OFFSET(H$10,$A547*2,0),'Mapping A'!$B$6:$E$1011,4,0)=1,$E547,""),0)</f>
        <v>0</v>
      </c>
      <c r="I547" s="519">
        <f ca="1">_xlfn.IFNA(IF(VLOOKUP($B547&amp;OFFSET(I$10,$A547*2,0),'Mapping A'!$B$6:$E$1011,4,0)=1,$E547,""),0)</f>
        <v>178.12703954000008</v>
      </c>
      <c r="J547" s="519">
        <f ca="1">_xlfn.IFNA(IF(VLOOKUP($B547&amp;OFFSET(J$10,$A547*2,0),'Mapping A'!$B$6:$E$1011,4,0)=1,$E547,""),0)</f>
        <v>178.12703954000008</v>
      </c>
      <c r="K547" s="519">
        <f ca="1">_xlfn.IFNA(IF(VLOOKUP($B547&amp;OFFSET(K$10,$A547*2,0),'Mapping A'!$B$6:$E$1011,4,0)=1,$E547,""),0)</f>
        <v>0</v>
      </c>
      <c r="L547" s="519">
        <f ca="1">_xlfn.IFNA(IF(VLOOKUP($B547&amp;OFFSET(L$10,$A547*2,0),'Mapping A'!$B$6:$E$1011,4,0)=1,$E547,""),0)</f>
        <v>0</v>
      </c>
      <c r="M547" s="519">
        <f ca="1">_xlfn.IFNA(IF(VLOOKUP($B547&amp;OFFSET(M$10,$A547*2,0),'Mapping A'!$B$6:$E$1011,4,0)=1,$E547,""),0)</f>
        <v>0</v>
      </c>
      <c r="N547" s="519">
        <f ca="1">_xlfn.IFNA(IF(VLOOKUP($B547&amp;OFFSET(N$10,$A547*2,0),'Mapping A'!$B$6:$E$1011,4,0)=1,$E547,""),0)</f>
        <v>0</v>
      </c>
      <c r="O547" s="519">
        <f ca="1">_xlfn.IFNA(IF(VLOOKUP($B547&amp;OFFSET(O$10,$A547*2,0),'Mapping A'!$B$6:$E$1011,4,0)=1,$E547,""),0)</f>
        <v>0</v>
      </c>
      <c r="P547" s="519">
        <f ca="1">_xlfn.IFNA(IF(VLOOKUP($B547&amp;OFFSET(P$10,$A547*2,0),'Mapping A'!$B$6:$E$1011,4,0)=1,$E547,""),0)</f>
        <v>0</v>
      </c>
      <c r="Q547" s="519">
        <f ca="1">_xlfn.IFNA(IF(VLOOKUP($B547&amp;OFFSET(Q$10,$A547*2,0),'Mapping A'!$B$6:$E$1011,4,0)=1,$E547,""),0)</f>
        <v>0</v>
      </c>
      <c r="R547" s="519">
        <f ca="1">_xlfn.IFNA(IF(VLOOKUP($B547&amp;OFFSET(R$10,$A547*2,0),'Mapping A'!$B$6:$E$1011,4,0)=1,$E547,""),0)</f>
        <v>0</v>
      </c>
      <c r="S547" s="519">
        <f ca="1">_xlfn.IFNA(IF(VLOOKUP($B547&amp;OFFSET(S$10,$A547*2,0),'Mapping A'!$B$6:$E$1011,4,0)=1,$E547,""),0)</f>
        <v>0</v>
      </c>
      <c r="T547" s="519">
        <f ca="1">_xlfn.IFNA(IF(VLOOKUP($B547&amp;OFFSET(T$10,$A547*2,0),'Mapping A'!$B$6:$E$1011,4,0)=1,$E547,""),0)</f>
        <v>0</v>
      </c>
      <c r="Y547" s="534" t="str">
        <f t="shared" si="623"/>
        <v>STK0661 COB0Trustpower</v>
      </c>
      <c r="Z547" s="519" t="str">
        <f>Volumes!H58</f>
        <v>Trustpower</v>
      </c>
      <c r="AA547" s="519" t="str">
        <f>Volumes!I58</f>
        <v>STK0661 COB0</v>
      </c>
      <c r="AB547" s="519">
        <f>Volumes!J58</f>
        <v>178.12703954000008</v>
      </c>
      <c r="AC547" s="170"/>
      <c r="AE547" s="519">
        <f t="shared" ca="1" si="609"/>
        <v>0</v>
      </c>
      <c r="AF547" s="519">
        <f t="shared" ca="1" si="610"/>
        <v>0</v>
      </c>
      <c r="AG547" s="519">
        <f t="shared" ca="1" si="611"/>
        <v>0</v>
      </c>
      <c r="AH547" s="519">
        <f t="shared" ca="1" si="612"/>
        <v>0</v>
      </c>
      <c r="AI547" s="519">
        <f t="shared" ca="1" si="613"/>
        <v>0</v>
      </c>
      <c r="AJ547" s="519">
        <f t="shared" ca="1" si="614"/>
        <v>0</v>
      </c>
      <c r="AK547" s="519">
        <f t="shared" ca="1" si="615"/>
        <v>0</v>
      </c>
      <c r="AL547" s="519">
        <f t="shared" ca="1" si="616"/>
        <v>0</v>
      </c>
      <c r="AM547" s="519">
        <f t="shared" ca="1" si="617"/>
        <v>0</v>
      </c>
      <c r="AN547" s="519">
        <f t="shared" ca="1" si="618"/>
        <v>0</v>
      </c>
      <c r="AO547" s="519">
        <f t="shared" ca="1" si="619"/>
        <v>0</v>
      </c>
      <c r="AP547" s="519">
        <f t="shared" ca="1" si="620"/>
        <v>0</v>
      </c>
      <c r="AQ547" s="519">
        <f t="shared" ca="1" si="621"/>
        <v>0</v>
      </c>
    </row>
    <row r="548" spans="1:43" x14ac:dyDescent="0.3">
      <c r="A548" s="556">
        <f t="shared" si="608"/>
        <v>3</v>
      </c>
      <c r="B548" s="519" t="str">
        <f t="shared" si="622"/>
        <v>SWN</v>
      </c>
      <c r="C548" s="519" t="str">
        <f>Volumes!H59</f>
        <v>MRP</v>
      </c>
      <c r="D548" s="519" t="str">
        <f>Volumes!I59</f>
        <v>SWN2201 SWN0</v>
      </c>
      <c r="E548" s="519">
        <f>Volumes!J59</f>
        <v>0</v>
      </c>
      <c r="G548" s="525"/>
      <c r="H548" s="519">
        <f ca="1">_xlfn.IFNA(IF(VLOOKUP($B548&amp;OFFSET(H$10,$A548*2,0),'Mapping A'!$B$6:$E$1011,4,0)=1,$E548,""),0)</f>
        <v>0</v>
      </c>
      <c r="I548" s="519">
        <f ca="1">_xlfn.IFNA(IF(VLOOKUP($B548&amp;OFFSET(I$10,$A548*2,0),'Mapping A'!$B$6:$E$1011,4,0)=1,$E548,""),0)</f>
        <v>0</v>
      </c>
      <c r="J548" s="519">
        <f ca="1">_xlfn.IFNA(IF(VLOOKUP($B548&amp;OFFSET(J$10,$A548*2,0),'Mapping A'!$B$6:$E$1011,4,0)=1,$E548,""),0)</f>
        <v>0</v>
      </c>
      <c r="K548" s="519">
        <f ca="1">_xlfn.IFNA(IF(VLOOKUP($B548&amp;OFFSET(K$10,$A548*2,0),'Mapping A'!$B$6:$E$1011,4,0)=1,$E548,""),0)</f>
        <v>0</v>
      </c>
      <c r="L548" s="519">
        <f ca="1">_xlfn.IFNA(IF(VLOOKUP($B548&amp;OFFSET(L$10,$A548*2,0),'Mapping A'!$B$6:$E$1011,4,0)=1,$E548,""),0)</f>
        <v>0</v>
      </c>
      <c r="M548" s="519">
        <f ca="1">_xlfn.IFNA(IF(VLOOKUP($B548&amp;OFFSET(M$10,$A548*2,0),'Mapping A'!$B$6:$E$1011,4,0)=1,$E548,""),0)</f>
        <v>0</v>
      </c>
      <c r="N548" s="519">
        <f ca="1">_xlfn.IFNA(IF(VLOOKUP($B548&amp;OFFSET(N$10,$A548*2,0),'Mapping A'!$B$6:$E$1011,4,0)=1,$E548,""),0)</f>
        <v>0</v>
      </c>
      <c r="O548" s="519">
        <f ca="1">_xlfn.IFNA(IF(VLOOKUP($B548&amp;OFFSET(O$10,$A548*2,0),'Mapping A'!$B$6:$E$1011,4,0)=1,$E548,""),0)</f>
        <v>0</v>
      </c>
      <c r="P548" s="519">
        <f ca="1">_xlfn.IFNA(IF(VLOOKUP($B548&amp;OFFSET(P$10,$A548*2,0),'Mapping A'!$B$6:$E$1011,4,0)=1,$E548,""),0)</f>
        <v>0</v>
      </c>
      <c r="Q548" s="519">
        <f ca="1">_xlfn.IFNA(IF(VLOOKUP($B548&amp;OFFSET(Q$10,$A548*2,0),'Mapping A'!$B$6:$E$1011,4,0)=1,$E548,""),0)</f>
        <v>0</v>
      </c>
      <c r="R548" s="519">
        <f ca="1">_xlfn.IFNA(IF(VLOOKUP($B548&amp;OFFSET(R$10,$A548*2,0),'Mapping A'!$B$6:$E$1011,4,0)=1,$E548,""),0)</f>
        <v>0</v>
      </c>
      <c r="S548" s="519">
        <f ca="1">_xlfn.IFNA(IF(VLOOKUP($B548&amp;OFFSET(S$10,$A548*2,0),'Mapping A'!$B$6:$E$1011,4,0)=1,$E548,""),0)</f>
        <v>0</v>
      </c>
      <c r="T548" s="519">
        <f ca="1">_xlfn.IFNA(IF(VLOOKUP($B548&amp;OFFSET(T$10,$A548*2,0),'Mapping A'!$B$6:$E$1011,4,0)=1,$E548,""),0)</f>
        <v>0</v>
      </c>
      <c r="Y548" s="534" t="str">
        <f t="shared" si="623"/>
        <v>SWN2201 SWN0MRP</v>
      </c>
      <c r="Z548" s="519" t="str">
        <f>Volumes!H59</f>
        <v>MRP</v>
      </c>
      <c r="AA548" s="519" t="str">
        <f>Volumes!I59</f>
        <v>SWN2201 SWN0</v>
      </c>
      <c r="AB548" s="519">
        <f>Volumes!J59</f>
        <v>0</v>
      </c>
      <c r="AC548" s="170"/>
      <c r="AE548" s="519">
        <f t="shared" ca="1" si="609"/>
        <v>0</v>
      </c>
      <c r="AF548" s="519">
        <f t="shared" ca="1" si="610"/>
        <v>0</v>
      </c>
      <c r="AG548" s="519">
        <f t="shared" ca="1" si="611"/>
        <v>0</v>
      </c>
      <c r="AH548" s="519">
        <f t="shared" ca="1" si="612"/>
        <v>0</v>
      </c>
      <c r="AI548" s="519">
        <f t="shared" ca="1" si="613"/>
        <v>0</v>
      </c>
      <c r="AJ548" s="519">
        <f t="shared" ca="1" si="614"/>
        <v>0</v>
      </c>
      <c r="AK548" s="519">
        <f t="shared" ca="1" si="615"/>
        <v>0</v>
      </c>
      <c r="AL548" s="519">
        <f t="shared" ca="1" si="616"/>
        <v>0</v>
      </c>
      <c r="AM548" s="519">
        <f t="shared" ca="1" si="617"/>
        <v>0</v>
      </c>
      <c r="AN548" s="519">
        <f t="shared" ca="1" si="618"/>
        <v>0</v>
      </c>
      <c r="AO548" s="519">
        <f t="shared" ca="1" si="619"/>
        <v>0</v>
      </c>
      <c r="AP548" s="519">
        <f t="shared" ca="1" si="620"/>
        <v>0</v>
      </c>
      <c r="AQ548" s="519">
        <f t="shared" ca="1" si="621"/>
        <v>0</v>
      </c>
    </row>
    <row r="549" spans="1:43" x14ac:dyDescent="0.3">
      <c r="A549" s="556">
        <f t="shared" si="608"/>
        <v>3</v>
      </c>
      <c r="B549" s="519" t="str">
        <f t="shared" si="622"/>
        <v>SWN</v>
      </c>
      <c r="C549" s="519" t="str">
        <f>Volumes!H60</f>
        <v>MRP</v>
      </c>
      <c r="D549" s="519" t="str">
        <f>Volumes!I60</f>
        <v>SWN2201 SWN5</v>
      </c>
      <c r="E549" s="519">
        <f>Volumes!J60</f>
        <v>27.377792149999994</v>
      </c>
      <c r="G549" s="525"/>
      <c r="H549" s="519">
        <f ca="1">_xlfn.IFNA(IF(VLOOKUP($B549&amp;OFFSET(H$10,$A549*2,0),'Mapping A'!$B$6:$E$1011,4,0)=1,$E549,""),0)</f>
        <v>0</v>
      </c>
      <c r="I549" s="519">
        <f ca="1">_xlfn.IFNA(IF(VLOOKUP($B549&amp;OFFSET(I$10,$A549*2,0),'Mapping A'!$B$6:$E$1011,4,0)=1,$E549,""),0)</f>
        <v>0</v>
      </c>
      <c r="J549" s="519">
        <f ca="1">_xlfn.IFNA(IF(VLOOKUP($B549&amp;OFFSET(J$10,$A549*2,0),'Mapping A'!$B$6:$E$1011,4,0)=1,$E549,""),0)</f>
        <v>0</v>
      </c>
      <c r="K549" s="519">
        <f ca="1">_xlfn.IFNA(IF(VLOOKUP($B549&amp;OFFSET(K$10,$A549*2,0),'Mapping A'!$B$6:$E$1011,4,0)=1,$E549,""),0)</f>
        <v>0</v>
      </c>
      <c r="L549" s="519">
        <f ca="1">_xlfn.IFNA(IF(VLOOKUP($B549&amp;OFFSET(L$10,$A549*2,0),'Mapping A'!$B$6:$E$1011,4,0)=1,$E549,""),0)</f>
        <v>0</v>
      </c>
      <c r="M549" s="519">
        <f ca="1">_xlfn.IFNA(IF(VLOOKUP($B549&amp;OFFSET(M$10,$A549*2,0),'Mapping A'!$B$6:$E$1011,4,0)=1,$E549,""),0)</f>
        <v>0</v>
      </c>
      <c r="N549" s="519">
        <f ca="1">_xlfn.IFNA(IF(VLOOKUP($B549&amp;OFFSET(N$10,$A549*2,0),'Mapping A'!$B$6:$E$1011,4,0)=1,$E549,""),0)</f>
        <v>0</v>
      </c>
      <c r="O549" s="519">
        <f ca="1">_xlfn.IFNA(IF(VLOOKUP($B549&amp;OFFSET(O$10,$A549*2,0),'Mapping A'!$B$6:$E$1011,4,0)=1,$E549,""),0)</f>
        <v>27.377792149999994</v>
      </c>
      <c r="P549" s="519">
        <f ca="1">_xlfn.IFNA(IF(VLOOKUP($B549&amp;OFFSET(P$10,$A549*2,0),'Mapping A'!$B$6:$E$1011,4,0)=1,$E549,""),0)</f>
        <v>0</v>
      </c>
      <c r="Q549" s="519">
        <f ca="1">_xlfn.IFNA(IF(VLOOKUP($B549&amp;OFFSET(Q$10,$A549*2,0),'Mapping A'!$B$6:$E$1011,4,0)=1,$E549,""),0)</f>
        <v>0</v>
      </c>
      <c r="R549" s="519">
        <f ca="1">_xlfn.IFNA(IF(VLOOKUP($B549&amp;OFFSET(R$10,$A549*2,0),'Mapping A'!$B$6:$E$1011,4,0)=1,$E549,""),0)</f>
        <v>0</v>
      </c>
      <c r="S549" s="519">
        <f ca="1">_xlfn.IFNA(IF(VLOOKUP($B549&amp;OFFSET(S$10,$A549*2,0),'Mapping A'!$B$6:$E$1011,4,0)=1,$E549,""),0)</f>
        <v>0</v>
      </c>
      <c r="T549" s="519">
        <f ca="1">_xlfn.IFNA(IF(VLOOKUP($B549&amp;OFFSET(T$10,$A549*2,0),'Mapping A'!$B$6:$E$1011,4,0)=1,$E549,""),0)</f>
        <v>0</v>
      </c>
      <c r="Y549" s="534" t="str">
        <f t="shared" si="623"/>
        <v>SWN2201 SWN5MRP</v>
      </c>
      <c r="Z549" s="519" t="str">
        <f>Volumes!H60</f>
        <v>MRP</v>
      </c>
      <c r="AA549" s="519" t="str">
        <f>Volumes!I60</f>
        <v>SWN2201 SWN5</v>
      </c>
      <c r="AB549" s="519">
        <f>Volumes!J60</f>
        <v>27.377792149999994</v>
      </c>
      <c r="AC549" s="170"/>
      <c r="AE549" s="519">
        <f t="shared" ca="1" si="609"/>
        <v>0</v>
      </c>
      <c r="AF549" s="519">
        <f t="shared" ca="1" si="610"/>
        <v>0</v>
      </c>
      <c r="AG549" s="519">
        <f t="shared" ca="1" si="611"/>
        <v>0</v>
      </c>
      <c r="AH549" s="519">
        <f t="shared" ca="1" si="612"/>
        <v>0</v>
      </c>
      <c r="AI549" s="519">
        <f t="shared" ca="1" si="613"/>
        <v>0</v>
      </c>
      <c r="AJ549" s="519">
        <f t="shared" ca="1" si="614"/>
        <v>0</v>
      </c>
      <c r="AK549" s="519">
        <f t="shared" ca="1" si="615"/>
        <v>0</v>
      </c>
      <c r="AL549" s="519">
        <f t="shared" ca="1" si="616"/>
        <v>3.1702904041991413E-3</v>
      </c>
      <c r="AM549" s="519">
        <f t="shared" ca="1" si="617"/>
        <v>0</v>
      </c>
      <c r="AN549" s="519">
        <f t="shared" ca="1" si="618"/>
        <v>0</v>
      </c>
      <c r="AO549" s="519">
        <f t="shared" ca="1" si="619"/>
        <v>0</v>
      </c>
      <c r="AP549" s="519">
        <f t="shared" ca="1" si="620"/>
        <v>0</v>
      </c>
      <c r="AQ549" s="519">
        <f t="shared" ca="1" si="621"/>
        <v>0</v>
      </c>
    </row>
    <row r="550" spans="1:43" x14ac:dyDescent="0.3">
      <c r="A550" s="556">
        <f t="shared" si="608"/>
        <v>3</v>
      </c>
      <c r="B550" s="519" t="str">
        <f t="shared" si="622"/>
        <v>TGA</v>
      </c>
      <c r="C550" s="519" t="str">
        <f>Volumes!H61</f>
        <v>Trustpower</v>
      </c>
      <c r="D550" s="519" t="str">
        <f>Volumes!I61</f>
        <v>TGA0331 KMI0</v>
      </c>
      <c r="E550" s="519">
        <f>Volumes!J61</f>
        <v>153.24485000000004</v>
      </c>
      <c r="G550" s="525"/>
      <c r="H550" s="519">
        <f ca="1">_xlfn.IFNA(IF(VLOOKUP($B550&amp;OFFSET(H$10,$A550*2,0),'Mapping A'!$B$6:$E$1011,4,0)=1,$E550,""),0)</f>
        <v>0</v>
      </c>
      <c r="I550" s="519">
        <f ca="1">_xlfn.IFNA(IF(VLOOKUP($B550&amp;OFFSET(I$10,$A550*2,0),'Mapping A'!$B$6:$E$1011,4,0)=1,$E550,""),0)</f>
        <v>0</v>
      </c>
      <c r="J550" s="519">
        <f ca="1">_xlfn.IFNA(IF(VLOOKUP($B550&amp;OFFSET(J$10,$A550*2,0),'Mapping A'!$B$6:$E$1011,4,0)=1,$E550,""),0)</f>
        <v>0</v>
      </c>
      <c r="K550" s="519">
        <f ca="1">_xlfn.IFNA(IF(VLOOKUP($B550&amp;OFFSET(K$10,$A550*2,0),'Mapping A'!$B$6:$E$1011,4,0)=1,$E550,""),0)</f>
        <v>0</v>
      </c>
      <c r="L550" s="519">
        <f ca="1">_xlfn.IFNA(IF(VLOOKUP($B550&amp;OFFSET(L$10,$A550*2,0),'Mapping A'!$B$6:$E$1011,4,0)=1,$E550,""),0)</f>
        <v>0</v>
      </c>
      <c r="M550" s="519">
        <f ca="1">_xlfn.IFNA(IF(VLOOKUP($B550&amp;OFFSET(M$10,$A550*2,0),'Mapping A'!$B$6:$E$1011,4,0)=1,$E550,""),0)</f>
        <v>153.24485000000004</v>
      </c>
      <c r="N550" s="519">
        <f ca="1">_xlfn.IFNA(IF(VLOOKUP($B550&amp;OFFSET(N$10,$A550*2,0),'Mapping A'!$B$6:$E$1011,4,0)=1,$E550,""),0)</f>
        <v>0</v>
      </c>
      <c r="O550" s="519">
        <f ca="1">_xlfn.IFNA(IF(VLOOKUP($B550&amp;OFFSET(O$10,$A550*2,0),'Mapping A'!$B$6:$E$1011,4,0)=1,$E550,""),0)</f>
        <v>153.24485000000004</v>
      </c>
      <c r="P550" s="519">
        <f ca="1">_xlfn.IFNA(IF(VLOOKUP($B550&amp;OFFSET(P$10,$A550*2,0),'Mapping A'!$B$6:$E$1011,4,0)=1,$E550,""),0)</f>
        <v>0</v>
      </c>
      <c r="Q550" s="519">
        <f ca="1">_xlfn.IFNA(IF(VLOOKUP($B550&amp;OFFSET(Q$10,$A550*2,0),'Mapping A'!$B$6:$E$1011,4,0)=1,$E550,""),0)</f>
        <v>0</v>
      </c>
      <c r="R550" s="519">
        <f ca="1">_xlfn.IFNA(IF(VLOOKUP($B550&amp;OFFSET(R$10,$A550*2,0),'Mapping A'!$B$6:$E$1011,4,0)=1,$E550,""),0)</f>
        <v>0</v>
      </c>
      <c r="S550" s="519">
        <f ca="1">_xlfn.IFNA(IF(VLOOKUP($B550&amp;OFFSET(S$10,$A550*2,0),'Mapping A'!$B$6:$E$1011,4,0)=1,$E550,""),0)</f>
        <v>0</v>
      </c>
      <c r="T550" s="519">
        <f ca="1">_xlfn.IFNA(IF(VLOOKUP($B550&amp;OFFSET(T$10,$A550*2,0),'Mapping A'!$B$6:$E$1011,4,0)=1,$E550,""),0)</f>
        <v>0</v>
      </c>
      <c r="Y550" s="534" t="str">
        <f t="shared" si="623"/>
        <v>TGA0331 KMI0Trustpower</v>
      </c>
      <c r="Z550" s="519" t="str">
        <f>Volumes!H61</f>
        <v>Trustpower</v>
      </c>
      <c r="AA550" s="519" t="str">
        <f>Volumes!I61</f>
        <v>TGA0331 KMI0</v>
      </c>
      <c r="AB550" s="519">
        <f>Volumes!J61</f>
        <v>153.24485000000004</v>
      </c>
      <c r="AC550" s="170"/>
      <c r="AE550" s="519">
        <f t="shared" ca="1" si="609"/>
        <v>0</v>
      </c>
      <c r="AF550" s="519">
        <f t="shared" ca="1" si="610"/>
        <v>0</v>
      </c>
      <c r="AG550" s="519">
        <f t="shared" ca="1" si="611"/>
        <v>0</v>
      </c>
      <c r="AH550" s="519">
        <f t="shared" ca="1" si="612"/>
        <v>0</v>
      </c>
      <c r="AI550" s="519">
        <f t="shared" ca="1" si="613"/>
        <v>0</v>
      </c>
      <c r="AJ550" s="519">
        <f t="shared" ca="1" si="614"/>
        <v>0</v>
      </c>
      <c r="AK550" s="519">
        <f t="shared" ca="1" si="615"/>
        <v>0</v>
      </c>
      <c r="AL550" s="519">
        <f t="shared" ca="1" si="616"/>
        <v>1.7745429389854468E-2</v>
      </c>
      <c r="AM550" s="519">
        <f t="shared" ca="1" si="617"/>
        <v>0</v>
      </c>
      <c r="AN550" s="519">
        <f t="shared" ca="1" si="618"/>
        <v>0</v>
      </c>
      <c r="AO550" s="519">
        <f t="shared" ca="1" si="619"/>
        <v>0</v>
      </c>
      <c r="AP550" s="519">
        <f t="shared" ca="1" si="620"/>
        <v>0</v>
      </c>
      <c r="AQ550" s="519">
        <f t="shared" ca="1" si="621"/>
        <v>0</v>
      </c>
    </row>
    <row r="551" spans="1:43" x14ac:dyDescent="0.3">
      <c r="A551" s="556">
        <f t="shared" si="608"/>
        <v>3</v>
      </c>
      <c r="B551" s="519" t="str">
        <f t="shared" si="622"/>
        <v>THI</v>
      </c>
      <c r="C551" s="519" t="str">
        <f>Volumes!H62</f>
        <v>Contact</v>
      </c>
      <c r="D551" s="519" t="str">
        <f>Volumes!I62</f>
        <v>THI2201 THI1</v>
      </c>
      <c r="E551" s="519">
        <f>Volumes!J62</f>
        <v>459.44272626500003</v>
      </c>
      <c r="G551" s="525"/>
      <c r="H551" s="519">
        <f ca="1">_xlfn.IFNA(IF(VLOOKUP($B551&amp;OFFSET(H$10,$A551*2,0),'Mapping A'!$B$6:$E$1011,4,0)=1,$E551,""),0)</f>
        <v>0</v>
      </c>
      <c r="I551" s="519">
        <f ca="1">_xlfn.IFNA(IF(VLOOKUP($B551&amp;OFFSET(I$10,$A551*2,0),'Mapping A'!$B$6:$E$1011,4,0)=1,$E551,""),0)</f>
        <v>0</v>
      </c>
      <c r="J551" s="519">
        <f ca="1">_xlfn.IFNA(IF(VLOOKUP($B551&amp;OFFSET(J$10,$A551*2,0),'Mapping A'!$B$6:$E$1011,4,0)=1,$E551,""),0)</f>
        <v>0</v>
      </c>
      <c r="K551" s="519">
        <f ca="1">_xlfn.IFNA(IF(VLOOKUP($B551&amp;OFFSET(K$10,$A551*2,0),'Mapping A'!$B$6:$E$1011,4,0)=1,$E551,""),0)</f>
        <v>0</v>
      </c>
      <c r="L551" s="519">
        <f ca="1">_xlfn.IFNA(IF(VLOOKUP($B551&amp;OFFSET(L$10,$A551*2,0),'Mapping A'!$B$6:$E$1011,4,0)=1,$E551,""),0)</f>
        <v>0</v>
      </c>
      <c r="M551" s="519">
        <f ca="1">_xlfn.IFNA(IF(VLOOKUP($B551&amp;OFFSET(M$10,$A551*2,0),'Mapping A'!$B$6:$E$1011,4,0)=1,$E551,""),0)</f>
        <v>459.44272626500003</v>
      </c>
      <c r="N551" s="519">
        <f ca="1">_xlfn.IFNA(IF(VLOOKUP($B551&amp;OFFSET(N$10,$A551*2,0),'Mapping A'!$B$6:$E$1011,4,0)=1,$E551,""),0)</f>
        <v>0</v>
      </c>
      <c r="O551" s="519">
        <f ca="1">_xlfn.IFNA(IF(VLOOKUP($B551&amp;OFFSET(O$10,$A551*2,0),'Mapping A'!$B$6:$E$1011,4,0)=1,$E551,""),0)</f>
        <v>459.44272626500003</v>
      </c>
      <c r="P551" s="519">
        <f ca="1">_xlfn.IFNA(IF(VLOOKUP($B551&amp;OFFSET(P$10,$A551*2,0),'Mapping A'!$B$6:$E$1011,4,0)=1,$E551,""),0)</f>
        <v>0</v>
      </c>
      <c r="Q551" s="519">
        <f ca="1">_xlfn.IFNA(IF(VLOOKUP($B551&amp;OFFSET(Q$10,$A551*2,0),'Mapping A'!$B$6:$E$1011,4,0)=1,$E551,""),0)</f>
        <v>0</v>
      </c>
      <c r="R551" s="519">
        <f ca="1">_xlfn.IFNA(IF(VLOOKUP($B551&amp;OFFSET(R$10,$A551*2,0),'Mapping A'!$B$6:$E$1011,4,0)=1,$E551,""),0)</f>
        <v>0</v>
      </c>
      <c r="S551" s="519">
        <f ca="1">_xlfn.IFNA(IF(VLOOKUP($B551&amp;OFFSET(S$10,$A551*2,0),'Mapping A'!$B$6:$E$1011,4,0)=1,$E551,""),0)</f>
        <v>0</v>
      </c>
      <c r="T551" s="519">
        <f ca="1">_xlfn.IFNA(IF(VLOOKUP($B551&amp;OFFSET(T$10,$A551*2,0),'Mapping A'!$B$6:$E$1011,4,0)=1,$E551,""),0)</f>
        <v>0</v>
      </c>
      <c r="Y551" s="534" t="str">
        <f t="shared" si="623"/>
        <v>THI2201 THI1Contact</v>
      </c>
      <c r="Z551" s="519" t="str">
        <f>Volumes!H62</f>
        <v>Contact</v>
      </c>
      <c r="AA551" s="519" t="str">
        <f>Volumes!I62</f>
        <v>THI2201 THI1</v>
      </c>
      <c r="AB551" s="519">
        <f>Volumes!J62</f>
        <v>459.44272626500003</v>
      </c>
      <c r="AC551" s="170"/>
      <c r="AE551" s="519">
        <f t="shared" ca="1" si="609"/>
        <v>0</v>
      </c>
      <c r="AF551" s="519">
        <f t="shared" ca="1" si="610"/>
        <v>0</v>
      </c>
      <c r="AG551" s="519">
        <f t="shared" ca="1" si="611"/>
        <v>0</v>
      </c>
      <c r="AH551" s="519">
        <f t="shared" ca="1" si="612"/>
        <v>0</v>
      </c>
      <c r="AI551" s="519">
        <f t="shared" ca="1" si="613"/>
        <v>0</v>
      </c>
      <c r="AJ551" s="519">
        <f t="shared" ca="1" si="614"/>
        <v>0</v>
      </c>
      <c r="AK551" s="519">
        <f t="shared" ca="1" si="615"/>
        <v>0</v>
      </c>
      <c r="AL551" s="519">
        <f t="shared" ca="1" si="616"/>
        <v>5.3202495598499988E-2</v>
      </c>
      <c r="AM551" s="519">
        <f t="shared" ca="1" si="617"/>
        <v>0</v>
      </c>
      <c r="AN551" s="519">
        <f t="shared" ca="1" si="618"/>
        <v>0</v>
      </c>
      <c r="AO551" s="519">
        <f t="shared" ca="1" si="619"/>
        <v>0</v>
      </c>
      <c r="AP551" s="519">
        <f t="shared" ca="1" si="620"/>
        <v>0</v>
      </c>
      <c r="AQ551" s="519">
        <f t="shared" ca="1" si="621"/>
        <v>0</v>
      </c>
    </row>
    <row r="552" spans="1:43" x14ac:dyDescent="0.3">
      <c r="A552" s="556">
        <f t="shared" si="608"/>
        <v>3</v>
      </c>
      <c r="B552" s="519" t="str">
        <f t="shared" si="622"/>
        <v>THI</v>
      </c>
      <c r="C552" s="519" t="str">
        <f>Volumes!H63</f>
        <v>Contact</v>
      </c>
      <c r="D552" s="519" t="str">
        <f>Volumes!I63</f>
        <v>THI2201 THI2</v>
      </c>
      <c r="E552" s="519">
        <f>Volumes!J63</f>
        <v>459.3073273</v>
      </c>
      <c r="G552" s="525"/>
      <c r="H552" s="519">
        <f ca="1">_xlfn.IFNA(IF(VLOOKUP($B552&amp;OFFSET(H$10,$A552*2,0),'Mapping A'!$B$6:$E$1011,4,0)=1,$E552,""),0)</f>
        <v>0</v>
      </c>
      <c r="I552" s="519">
        <f ca="1">_xlfn.IFNA(IF(VLOOKUP($B552&amp;OFFSET(I$10,$A552*2,0),'Mapping A'!$B$6:$E$1011,4,0)=1,$E552,""),0)</f>
        <v>0</v>
      </c>
      <c r="J552" s="519">
        <f ca="1">_xlfn.IFNA(IF(VLOOKUP($B552&amp;OFFSET(J$10,$A552*2,0),'Mapping A'!$B$6:$E$1011,4,0)=1,$E552,""),0)</f>
        <v>0</v>
      </c>
      <c r="K552" s="519">
        <f ca="1">_xlfn.IFNA(IF(VLOOKUP($B552&amp;OFFSET(K$10,$A552*2,0),'Mapping A'!$B$6:$E$1011,4,0)=1,$E552,""),0)</f>
        <v>0</v>
      </c>
      <c r="L552" s="519">
        <f ca="1">_xlfn.IFNA(IF(VLOOKUP($B552&amp;OFFSET(L$10,$A552*2,0),'Mapping A'!$B$6:$E$1011,4,0)=1,$E552,""),0)</f>
        <v>0</v>
      </c>
      <c r="M552" s="519">
        <f ca="1">_xlfn.IFNA(IF(VLOOKUP($B552&amp;OFFSET(M$10,$A552*2,0),'Mapping A'!$B$6:$E$1011,4,0)=1,$E552,""),0)</f>
        <v>459.3073273</v>
      </c>
      <c r="N552" s="519">
        <f ca="1">_xlfn.IFNA(IF(VLOOKUP($B552&amp;OFFSET(N$10,$A552*2,0),'Mapping A'!$B$6:$E$1011,4,0)=1,$E552,""),0)</f>
        <v>0</v>
      </c>
      <c r="O552" s="519">
        <f ca="1">_xlfn.IFNA(IF(VLOOKUP($B552&amp;OFFSET(O$10,$A552*2,0),'Mapping A'!$B$6:$E$1011,4,0)=1,$E552,""),0)</f>
        <v>459.3073273</v>
      </c>
      <c r="P552" s="519">
        <f ca="1">_xlfn.IFNA(IF(VLOOKUP($B552&amp;OFFSET(P$10,$A552*2,0),'Mapping A'!$B$6:$E$1011,4,0)=1,$E552,""),0)</f>
        <v>0</v>
      </c>
      <c r="Q552" s="519">
        <f ca="1">_xlfn.IFNA(IF(VLOOKUP($B552&amp;OFFSET(Q$10,$A552*2,0),'Mapping A'!$B$6:$E$1011,4,0)=1,$E552,""),0)</f>
        <v>0</v>
      </c>
      <c r="R552" s="519">
        <f ca="1">_xlfn.IFNA(IF(VLOOKUP($B552&amp;OFFSET(R$10,$A552*2,0),'Mapping A'!$B$6:$E$1011,4,0)=1,$E552,""),0)</f>
        <v>0</v>
      </c>
      <c r="S552" s="519">
        <f ca="1">_xlfn.IFNA(IF(VLOOKUP($B552&amp;OFFSET(S$10,$A552*2,0),'Mapping A'!$B$6:$E$1011,4,0)=1,$E552,""),0)</f>
        <v>0</v>
      </c>
      <c r="T552" s="519">
        <f ca="1">_xlfn.IFNA(IF(VLOOKUP($B552&amp;OFFSET(T$10,$A552*2,0),'Mapping A'!$B$6:$E$1011,4,0)=1,$E552,""),0)</f>
        <v>0</v>
      </c>
      <c r="Y552" s="534" t="str">
        <f t="shared" si="623"/>
        <v>THI2201 THI2Contact</v>
      </c>
      <c r="Z552" s="519" t="str">
        <f>Volumes!H63</f>
        <v>Contact</v>
      </c>
      <c r="AA552" s="519" t="str">
        <f>Volumes!I63</f>
        <v>THI2201 THI2</v>
      </c>
      <c r="AB552" s="519">
        <f>Volumes!J63</f>
        <v>459.3073273</v>
      </c>
      <c r="AC552" s="170"/>
      <c r="AE552" s="519">
        <f t="shared" ca="1" si="609"/>
        <v>0</v>
      </c>
      <c r="AF552" s="519">
        <f t="shared" ca="1" si="610"/>
        <v>0</v>
      </c>
      <c r="AG552" s="519">
        <f t="shared" ca="1" si="611"/>
        <v>0</v>
      </c>
      <c r="AH552" s="519">
        <f t="shared" ca="1" si="612"/>
        <v>0</v>
      </c>
      <c r="AI552" s="519">
        <f t="shared" ca="1" si="613"/>
        <v>0</v>
      </c>
      <c r="AJ552" s="519">
        <f t="shared" ca="1" si="614"/>
        <v>0</v>
      </c>
      <c r="AK552" s="519">
        <f t="shared" ca="1" si="615"/>
        <v>0</v>
      </c>
      <c r="AL552" s="519">
        <f t="shared" ca="1" si="616"/>
        <v>5.3186816684834257E-2</v>
      </c>
      <c r="AM552" s="519">
        <f t="shared" ca="1" si="617"/>
        <v>0</v>
      </c>
      <c r="AN552" s="519">
        <f t="shared" ca="1" si="618"/>
        <v>0</v>
      </c>
      <c r="AO552" s="519">
        <f t="shared" ca="1" si="619"/>
        <v>0</v>
      </c>
      <c r="AP552" s="519">
        <f t="shared" ca="1" si="620"/>
        <v>0</v>
      </c>
      <c r="AQ552" s="519">
        <f t="shared" ca="1" si="621"/>
        <v>0</v>
      </c>
    </row>
    <row r="553" spans="1:43" x14ac:dyDescent="0.3">
      <c r="A553" s="556">
        <f t="shared" si="608"/>
        <v>3</v>
      </c>
      <c r="B553" s="519" t="str">
        <f t="shared" si="622"/>
        <v>TKA</v>
      </c>
      <c r="C553" s="519" t="str">
        <f>Volumes!H64</f>
        <v>Genesis</v>
      </c>
      <c r="D553" s="519" t="str">
        <f>Volumes!I64</f>
        <v>TKA0111 TKA0</v>
      </c>
      <c r="E553" s="519">
        <f>Volumes!J64</f>
        <v>0</v>
      </c>
      <c r="G553" s="525"/>
      <c r="H553" s="519">
        <f ca="1">_xlfn.IFNA(IF(VLOOKUP($B553&amp;OFFSET(H$10,$A553*2,0),'Mapping A'!$B$6:$E$1011,4,0)=1,$E553,""),0)</f>
        <v>0</v>
      </c>
      <c r="I553" s="519">
        <f ca="1">_xlfn.IFNA(IF(VLOOKUP($B553&amp;OFFSET(I$10,$A553*2,0),'Mapping A'!$B$6:$E$1011,4,0)=1,$E553,""),0)</f>
        <v>0</v>
      </c>
      <c r="J553" s="519">
        <f ca="1">_xlfn.IFNA(IF(VLOOKUP($B553&amp;OFFSET(J$10,$A553*2,0),'Mapping A'!$B$6:$E$1011,4,0)=1,$E553,""),0)</f>
        <v>0</v>
      </c>
      <c r="K553" s="519">
        <f ca="1">_xlfn.IFNA(IF(VLOOKUP($B553&amp;OFFSET(K$10,$A553*2,0),'Mapping A'!$B$6:$E$1011,4,0)=1,$E553,""),0)</f>
        <v>0</v>
      </c>
      <c r="L553" s="519">
        <f ca="1">_xlfn.IFNA(IF(VLOOKUP($B553&amp;OFFSET(L$10,$A553*2,0),'Mapping A'!$B$6:$E$1011,4,0)=1,$E553,""),0)</f>
        <v>0</v>
      </c>
      <c r="M553" s="519">
        <f ca="1">_xlfn.IFNA(IF(VLOOKUP($B553&amp;OFFSET(M$10,$A553*2,0),'Mapping A'!$B$6:$E$1011,4,0)=1,$E553,""),0)</f>
        <v>0</v>
      </c>
      <c r="N553" s="519">
        <f ca="1">_xlfn.IFNA(IF(VLOOKUP($B553&amp;OFFSET(N$10,$A553*2,0),'Mapping A'!$B$6:$E$1011,4,0)=1,$E553,""),0)</f>
        <v>0</v>
      </c>
      <c r="O553" s="519">
        <f ca="1">_xlfn.IFNA(IF(VLOOKUP($B553&amp;OFFSET(O$10,$A553*2,0),'Mapping A'!$B$6:$E$1011,4,0)=1,$E553,""),0)</f>
        <v>0</v>
      </c>
      <c r="P553" s="519">
        <f ca="1">_xlfn.IFNA(IF(VLOOKUP($B553&amp;OFFSET(P$10,$A553*2,0),'Mapping A'!$B$6:$E$1011,4,0)=1,$E553,""),0)</f>
        <v>0</v>
      </c>
      <c r="Q553" s="519">
        <f ca="1">_xlfn.IFNA(IF(VLOOKUP($B553&amp;OFFSET(Q$10,$A553*2,0),'Mapping A'!$B$6:$E$1011,4,0)=1,$E553,""),0)</f>
        <v>0</v>
      </c>
      <c r="R553" s="519">
        <f ca="1">_xlfn.IFNA(IF(VLOOKUP($B553&amp;OFFSET(R$10,$A553*2,0),'Mapping A'!$B$6:$E$1011,4,0)=1,$E553,""),0)</f>
        <v>0</v>
      </c>
      <c r="S553" s="519">
        <f ca="1">_xlfn.IFNA(IF(VLOOKUP($B553&amp;OFFSET(S$10,$A553*2,0),'Mapping A'!$B$6:$E$1011,4,0)=1,$E553,""),0)</f>
        <v>0</v>
      </c>
      <c r="T553" s="519">
        <f ca="1">_xlfn.IFNA(IF(VLOOKUP($B553&amp;OFFSET(T$10,$A553*2,0),'Mapping A'!$B$6:$E$1011,4,0)=1,$E553,""),0)</f>
        <v>0</v>
      </c>
      <c r="Y553" s="534" t="str">
        <f t="shared" si="623"/>
        <v>TKA0111 TKA0Genesis</v>
      </c>
      <c r="Z553" s="519" t="str">
        <f>Volumes!H64</f>
        <v>Genesis</v>
      </c>
      <c r="AA553" s="519" t="str">
        <f>Volumes!I64</f>
        <v>TKA0111 TKA0</v>
      </c>
      <c r="AB553" s="519">
        <f>Volumes!J64</f>
        <v>0</v>
      </c>
      <c r="AC553" s="170"/>
      <c r="AE553" s="519">
        <f t="shared" ca="1" si="609"/>
        <v>0</v>
      </c>
      <c r="AF553" s="519">
        <f t="shared" ca="1" si="610"/>
        <v>0</v>
      </c>
      <c r="AG553" s="519">
        <f t="shared" ca="1" si="611"/>
        <v>0</v>
      </c>
      <c r="AH553" s="519">
        <f t="shared" ca="1" si="612"/>
        <v>0</v>
      </c>
      <c r="AI553" s="519">
        <f t="shared" ca="1" si="613"/>
        <v>0</v>
      </c>
      <c r="AJ553" s="519">
        <f t="shared" ca="1" si="614"/>
        <v>0</v>
      </c>
      <c r="AK553" s="519">
        <f t="shared" ca="1" si="615"/>
        <v>0</v>
      </c>
      <c r="AL553" s="519">
        <f t="shared" ca="1" si="616"/>
        <v>0</v>
      </c>
      <c r="AM553" s="519">
        <f t="shared" ca="1" si="617"/>
        <v>0</v>
      </c>
      <c r="AN553" s="519">
        <f t="shared" ca="1" si="618"/>
        <v>0</v>
      </c>
      <c r="AO553" s="519">
        <f t="shared" ca="1" si="619"/>
        <v>0</v>
      </c>
      <c r="AP553" s="519">
        <f t="shared" ca="1" si="620"/>
        <v>0</v>
      </c>
      <c r="AQ553" s="519">
        <f t="shared" ca="1" si="621"/>
        <v>0</v>
      </c>
    </row>
    <row r="554" spans="1:43" x14ac:dyDescent="0.3">
      <c r="A554" s="556">
        <f t="shared" si="608"/>
        <v>3</v>
      </c>
      <c r="B554" s="519" t="str">
        <f t="shared" si="622"/>
        <v>TKA</v>
      </c>
      <c r="C554" s="519" t="str">
        <f>Volumes!H65</f>
        <v>Genesis</v>
      </c>
      <c r="D554" s="519" t="str">
        <f>Volumes!I65</f>
        <v>TKA0111 TKA1</v>
      </c>
      <c r="E554" s="519">
        <f>Volumes!J65</f>
        <v>51.151683320001034</v>
      </c>
      <c r="G554" s="525"/>
      <c r="H554" s="519">
        <f ca="1">_xlfn.IFNA(IF(VLOOKUP($B554&amp;OFFSET(H$10,$A554*2,0),'Mapping A'!$B$6:$E$1011,4,0)=1,$E554,""),0)</f>
        <v>0</v>
      </c>
      <c r="I554" s="519">
        <f ca="1">_xlfn.IFNA(IF(VLOOKUP($B554&amp;OFFSET(I$10,$A554*2,0),'Mapping A'!$B$6:$E$1011,4,0)=1,$E554,""),0)</f>
        <v>51.151683320001034</v>
      </c>
      <c r="J554" s="519">
        <f ca="1">_xlfn.IFNA(IF(VLOOKUP($B554&amp;OFFSET(J$10,$A554*2,0),'Mapping A'!$B$6:$E$1011,4,0)=1,$E554,""),0)</f>
        <v>51.151683320001034</v>
      </c>
      <c r="K554" s="519">
        <f ca="1">_xlfn.IFNA(IF(VLOOKUP($B554&amp;OFFSET(K$10,$A554*2,0),'Mapping A'!$B$6:$E$1011,4,0)=1,$E554,""),0)</f>
        <v>0</v>
      </c>
      <c r="L554" s="519">
        <f ca="1">_xlfn.IFNA(IF(VLOOKUP($B554&amp;OFFSET(L$10,$A554*2,0),'Mapping A'!$B$6:$E$1011,4,0)=1,$E554,""),0)</f>
        <v>0</v>
      </c>
      <c r="M554" s="519">
        <f ca="1">_xlfn.IFNA(IF(VLOOKUP($B554&amp;OFFSET(M$10,$A554*2,0),'Mapping A'!$B$6:$E$1011,4,0)=1,$E554,""),0)</f>
        <v>0</v>
      </c>
      <c r="N554" s="519">
        <f ca="1">_xlfn.IFNA(IF(VLOOKUP($B554&amp;OFFSET(N$10,$A554*2,0),'Mapping A'!$B$6:$E$1011,4,0)=1,$E554,""),0)</f>
        <v>0</v>
      </c>
      <c r="O554" s="519">
        <f ca="1">_xlfn.IFNA(IF(VLOOKUP($B554&amp;OFFSET(O$10,$A554*2,0),'Mapping A'!$B$6:$E$1011,4,0)=1,$E554,""),0)</f>
        <v>0</v>
      </c>
      <c r="P554" s="519">
        <f ca="1">_xlfn.IFNA(IF(VLOOKUP($B554&amp;OFFSET(P$10,$A554*2,0),'Mapping A'!$B$6:$E$1011,4,0)=1,$E554,""),0)</f>
        <v>0</v>
      </c>
      <c r="Q554" s="519">
        <f ca="1">_xlfn.IFNA(IF(VLOOKUP($B554&amp;OFFSET(Q$10,$A554*2,0),'Mapping A'!$B$6:$E$1011,4,0)=1,$E554,""),0)</f>
        <v>0</v>
      </c>
      <c r="R554" s="519">
        <f ca="1">_xlfn.IFNA(IF(VLOOKUP($B554&amp;OFFSET(R$10,$A554*2,0),'Mapping A'!$B$6:$E$1011,4,0)=1,$E554,""),0)</f>
        <v>0</v>
      </c>
      <c r="S554" s="519">
        <f ca="1">_xlfn.IFNA(IF(VLOOKUP($B554&amp;OFFSET(S$10,$A554*2,0),'Mapping A'!$B$6:$E$1011,4,0)=1,$E554,""),0)</f>
        <v>0</v>
      </c>
      <c r="T554" s="519">
        <f ca="1">_xlfn.IFNA(IF(VLOOKUP($B554&amp;OFFSET(T$10,$A554*2,0),'Mapping A'!$B$6:$E$1011,4,0)=1,$E554,""),0)</f>
        <v>0</v>
      </c>
      <c r="Y554" s="534" t="str">
        <f t="shared" si="623"/>
        <v>TKA0111 TKA1Genesis</v>
      </c>
      <c r="Z554" s="519" t="str">
        <f>Volumes!H65</f>
        <v>Genesis</v>
      </c>
      <c r="AA554" s="519" t="str">
        <f>Volumes!I65</f>
        <v>TKA0111 TKA1</v>
      </c>
      <c r="AB554" s="519">
        <f>Volumes!J65</f>
        <v>51.151683320001034</v>
      </c>
      <c r="AC554" s="170"/>
      <c r="AE554" s="519">
        <f t="shared" ca="1" si="609"/>
        <v>0</v>
      </c>
      <c r="AF554" s="519">
        <f t="shared" ca="1" si="610"/>
        <v>0</v>
      </c>
      <c r="AG554" s="519">
        <f t="shared" ca="1" si="611"/>
        <v>0</v>
      </c>
      <c r="AH554" s="519">
        <f t="shared" ca="1" si="612"/>
        <v>0</v>
      </c>
      <c r="AI554" s="519">
        <f t="shared" ca="1" si="613"/>
        <v>0</v>
      </c>
      <c r="AJ554" s="519">
        <f t="shared" ca="1" si="614"/>
        <v>0</v>
      </c>
      <c r="AK554" s="519">
        <f t="shared" ca="1" si="615"/>
        <v>0</v>
      </c>
      <c r="AL554" s="519">
        <f t="shared" ca="1" si="616"/>
        <v>0</v>
      </c>
      <c r="AM554" s="519">
        <f t="shared" ca="1" si="617"/>
        <v>0</v>
      </c>
      <c r="AN554" s="519">
        <f t="shared" ca="1" si="618"/>
        <v>0</v>
      </c>
      <c r="AO554" s="519">
        <f t="shared" ca="1" si="619"/>
        <v>0</v>
      </c>
      <c r="AP554" s="519">
        <f t="shared" ca="1" si="620"/>
        <v>0</v>
      </c>
      <c r="AQ554" s="519">
        <f t="shared" ca="1" si="621"/>
        <v>0</v>
      </c>
    </row>
    <row r="555" spans="1:43" x14ac:dyDescent="0.3">
      <c r="A555" s="556">
        <f t="shared" si="608"/>
        <v>3</v>
      </c>
      <c r="B555" s="519" t="str">
        <f t="shared" si="622"/>
        <v>TKB</v>
      </c>
      <c r="C555" s="519" t="str">
        <f>Volumes!H66</f>
        <v>Genesis</v>
      </c>
      <c r="D555" s="519" t="str">
        <f>Volumes!I66</f>
        <v>TKB2201 TKB0</v>
      </c>
      <c r="E555" s="519">
        <f>Volumes!J66</f>
        <v>0</v>
      </c>
      <c r="G555" s="525"/>
      <c r="H555" s="519">
        <f ca="1">_xlfn.IFNA(IF(VLOOKUP($B555&amp;OFFSET(H$10,$A555*2,0),'Mapping A'!$B$6:$E$1011,4,0)=1,$E555,""),0)</f>
        <v>0</v>
      </c>
      <c r="I555" s="519">
        <f ca="1">_xlfn.IFNA(IF(VLOOKUP($B555&amp;OFFSET(I$10,$A555*2,0),'Mapping A'!$B$6:$E$1011,4,0)=1,$E555,""),0)</f>
        <v>0</v>
      </c>
      <c r="J555" s="519">
        <f ca="1">_xlfn.IFNA(IF(VLOOKUP($B555&amp;OFFSET(J$10,$A555*2,0),'Mapping A'!$B$6:$E$1011,4,0)=1,$E555,""),0)</f>
        <v>0</v>
      </c>
      <c r="K555" s="519">
        <f ca="1">_xlfn.IFNA(IF(VLOOKUP($B555&amp;OFFSET(K$10,$A555*2,0),'Mapping A'!$B$6:$E$1011,4,0)=1,$E555,""),0)</f>
        <v>0</v>
      </c>
      <c r="L555" s="519">
        <f ca="1">_xlfn.IFNA(IF(VLOOKUP($B555&amp;OFFSET(L$10,$A555*2,0),'Mapping A'!$B$6:$E$1011,4,0)=1,$E555,""),0)</f>
        <v>0</v>
      </c>
      <c r="M555" s="519">
        <f ca="1">_xlfn.IFNA(IF(VLOOKUP($B555&amp;OFFSET(M$10,$A555*2,0),'Mapping A'!$B$6:$E$1011,4,0)=1,$E555,""),0)</f>
        <v>0</v>
      </c>
      <c r="N555" s="519">
        <f ca="1">_xlfn.IFNA(IF(VLOOKUP($B555&amp;OFFSET(N$10,$A555*2,0),'Mapping A'!$B$6:$E$1011,4,0)=1,$E555,""),0)</f>
        <v>0</v>
      </c>
      <c r="O555" s="519">
        <f ca="1">_xlfn.IFNA(IF(VLOOKUP($B555&amp;OFFSET(O$10,$A555*2,0),'Mapping A'!$B$6:$E$1011,4,0)=1,$E555,""),0)</f>
        <v>0</v>
      </c>
      <c r="P555" s="519">
        <f ca="1">_xlfn.IFNA(IF(VLOOKUP($B555&amp;OFFSET(P$10,$A555*2,0),'Mapping A'!$B$6:$E$1011,4,0)=1,$E555,""),0)</f>
        <v>0</v>
      </c>
      <c r="Q555" s="519">
        <f ca="1">_xlfn.IFNA(IF(VLOOKUP($B555&amp;OFFSET(Q$10,$A555*2,0),'Mapping A'!$B$6:$E$1011,4,0)=1,$E555,""),0)</f>
        <v>0</v>
      </c>
      <c r="R555" s="519">
        <f ca="1">_xlfn.IFNA(IF(VLOOKUP($B555&amp;OFFSET(R$10,$A555*2,0),'Mapping A'!$B$6:$E$1011,4,0)=1,$E555,""),0)</f>
        <v>0</v>
      </c>
      <c r="S555" s="519">
        <f ca="1">_xlfn.IFNA(IF(VLOOKUP($B555&amp;OFFSET(S$10,$A555*2,0),'Mapping A'!$B$6:$E$1011,4,0)=1,$E555,""),0)</f>
        <v>0</v>
      </c>
      <c r="T555" s="519">
        <f ca="1">_xlfn.IFNA(IF(VLOOKUP($B555&amp;OFFSET(T$10,$A555*2,0),'Mapping A'!$B$6:$E$1011,4,0)=1,$E555,""),0)</f>
        <v>0</v>
      </c>
      <c r="Y555" s="534" t="str">
        <f t="shared" si="623"/>
        <v>TKB2201 TKB0Genesis</v>
      </c>
      <c r="Z555" s="519" t="str">
        <f>Volumes!H66</f>
        <v>Genesis</v>
      </c>
      <c r="AA555" s="519" t="str">
        <f>Volumes!I66</f>
        <v>TKB2201 TKB0</v>
      </c>
      <c r="AB555" s="519">
        <f>Volumes!J66</f>
        <v>0</v>
      </c>
      <c r="AC555" s="170"/>
      <c r="AE555" s="519">
        <f t="shared" ca="1" si="609"/>
        <v>0</v>
      </c>
      <c r="AF555" s="519">
        <f t="shared" ca="1" si="610"/>
        <v>0</v>
      </c>
      <c r="AG555" s="519">
        <f t="shared" ca="1" si="611"/>
        <v>0</v>
      </c>
      <c r="AH555" s="519">
        <f t="shared" ca="1" si="612"/>
        <v>0</v>
      </c>
      <c r="AI555" s="519">
        <f t="shared" ca="1" si="613"/>
        <v>0</v>
      </c>
      <c r="AJ555" s="519">
        <f t="shared" ca="1" si="614"/>
        <v>0</v>
      </c>
      <c r="AK555" s="519">
        <f t="shared" ca="1" si="615"/>
        <v>0</v>
      </c>
      <c r="AL555" s="519">
        <f t="shared" ca="1" si="616"/>
        <v>0</v>
      </c>
      <c r="AM555" s="519">
        <f t="shared" ca="1" si="617"/>
        <v>0</v>
      </c>
      <c r="AN555" s="519">
        <f t="shared" ca="1" si="618"/>
        <v>0</v>
      </c>
      <c r="AO555" s="519">
        <f t="shared" ca="1" si="619"/>
        <v>0</v>
      </c>
      <c r="AP555" s="519">
        <f t="shared" ca="1" si="620"/>
        <v>0</v>
      </c>
      <c r="AQ555" s="519">
        <f t="shared" ca="1" si="621"/>
        <v>0</v>
      </c>
    </row>
    <row r="556" spans="1:43" x14ac:dyDescent="0.3">
      <c r="A556" s="556">
        <f t="shared" ref="A556:A569" si="624">A322+1</f>
        <v>3</v>
      </c>
      <c r="B556" s="519" t="str">
        <f t="shared" si="622"/>
        <v>TKB</v>
      </c>
      <c r="C556" s="519" t="str">
        <f>Volumes!H67</f>
        <v>Genesis</v>
      </c>
      <c r="D556" s="519" t="str">
        <f>Volumes!I67</f>
        <v>TKB2201 TKB1</v>
      </c>
      <c r="E556" s="519">
        <f>Volumes!J67</f>
        <v>795.29663079998124</v>
      </c>
      <c r="G556" s="525"/>
      <c r="H556" s="519">
        <f ca="1">_xlfn.IFNA(IF(VLOOKUP($B556&amp;OFFSET(H$10,$A556*2,0),'Mapping A'!$B$6:$E$1011,4,0)=1,$E556,""),0)</f>
        <v>0</v>
      </c>
      <c r="I556" s="519">
        <f ca="1">_xlfn.IFNA(IF(VLOOKUP($B556&amp;OFFSET(I$10,$A556*2,0),'Mapping A'!$B$6:$E$1011,4,0)=1,$E556,""),0)</f>
        <v>795.29663079998124</v>
      </c>
      <c r="J556" s="519">
        <f ca="1">_xlfn.IFNA(IF(VLOOKUP($B556&amp;OFFSET(J$10,$A556*2,0),'Mapping A'!$B$6:$E$1011,4,0)=1,$E556,""),0)</f>
        <v>795.29663079998124</v>
      </c>
      <c r="K556" s="519">
        <f ca="1">_xlfn.IFNA(IF(VLOOKUP($B556&amp;OFFSET(K$10,$A556*2,0),'Mapping A'!$B$6:$E$1011,4,0)=1,$E556,""),0)</f>
        <v>0</v>
      </c>
      <c r="L556" s="519">
        <f ca="1">_xlfn.IFNA(IF(VLOOKUP($B556&amp;OFFSET(L$10,$A556*2,0),'Mapping A'!$B$6:$E$1011,4,0)=1,$E556,""),0)</f>
        <v>0</v>
      </c>
      <c r="M556" s="519">
        <f ca="1">_xlfn.IFNA(IF(VLOOKUP($B556&amp;OFFSET(M$10,$A556*2,0),'Mapping A'!$B$6:$E$1011,4,0)=1,$E556,""),0)</f>
        <v>0</v>
      </c>
      <c r="N556" s="519">
        <f ca="1">_xlfn.IFNA(IF(VLOOKUP($B556&amp;OFFSET(N$10,$A556*2,0),'Mapping A'!$B$6:$E$1011,4,0)=1,$E556,""),0)</f>
        <v>0</v>
      </c>
      <c r="O556" s="519">
        <f ca="1">_xlfn.IFNA(IF(VLOOKUP($B556&amp;OFFSET(O$10,$A556*2,0),'Mapping A'!$B$6:$E$1011,4,0)=1,$E556,""),0)</f>
        <v>0</v>
      </c>
      <c r="P556" s="519">
        <f ca="1">_xlfn.IFNA(IF(VLOOKUP($B556&amp;OFFSET(P$10,$A556*2,0),'Mapping A'!$B$6:$E$1011,4,0)=1,$E556,""),0)</f>
        <v>0</v>
      </c>
      <c r="Q556" s="519">
        <f ca="1">_xlfn.IFNA(IF(VLOOKUP($B556&amp;OFFSET(Q$10,$A556*2,0),'Mapping A'!$B$6:$E$1011,4,0)=1,$E556,""),0)</f>
        <v>0</v>
      </c>
      <c r="R556" s="519">
        <f ca="1">_xlfn.IFNA(IF(VLOOKUP($B556&amp;OFFSET(R$10,$A556*2,0),'Mapping A'!$B$6:$E$1011,4,0)=1,$E556,""),0)</f>
        <v>0</v>
      </c>
      <c r="S556" s="519">
        <f ca="1">_xlfn.IFNA(IF(VLOOKUP($B556&amp;OFFSET(S$10,$A556*2,0),'Mapping A'!$B$6:$E$1011,4,0)=1,$E556,""),0)</f>
        <v>0</v>
      </c>
      <c r="T556" s="519">
        <f ca="1">_xlfn.IFNA(IF(VLOOKUP($B556&amp;OFFSET(T$10,$A556*2,0),'Mapping A'!$B$6:$E$1011,4,0)=1,$E556,""),0)</f>
        <v>0</v>
      </c>
      <c r="Y556" s="534" t="str">
        <f t="shared" si="623"/>
        <v>TKB2201 TKB1Genesis</v>
      </c>
      <c r="Z556" s="519" t="str">
        <f>Volumes!H67</f>
        <v>Genesis</v>
      </c>
      <c r="AA556" s="519" t="str">
        <f>Volumes!I67</f>
        <v>TKB2201 TKB1</v>
      </c>
      <c r="AB556" s="519">
        <f>Volumes!J67</f>
        <v>795.29663079998124</v>
      </c>
      <c r="AC556" s="170"/>
      <c r="AE556" s="519">
        <f t="shared" ref="AE556:AE569" ca="1" si="625">IF(SUMIF($A$22:$A$652,$A556,H$22:H$652)=0,0,OFFSET(H$11,$A556*2,0)*H$7*H556/SUMIF($A$22:$A$652,$A556,H$22:H$652))</f>
        <v>0</v>
      </c>
      <c r="AF556" s="519">
        <f t="shared" ref="AF556:AF569" ca="1" si="626">IF(SUMIF($A$22:$A$652,$A556,I$22:I$652)=0,0,OFFSET(I$11,$A556*2,0)*I$7*I556/SUMIF($A$22:$A$652,$A556,I$22:I$652))</f>
        <v>0</v>
      </c>
      <c r="AG556" s="519">
        <f t="shared" ref="AG556:AG569" ca="1" si="627">IF(SUMIF($A$22:$A$652,$A556,J$22:J$652)=0,0,OFFSET(J$11,$A556*2,0)*J$7*J556/SUMIF($A$22:$A$652,$A556,J$22:J$652))</f>
        <v>0</v>
      </c>
      <c r="AH556" s="519">
        <f t="shared" ref="AH556:AH569" ca="1" si="628">IF(SUMIF($A$22:$A$652,$A556,K$22:K$652)=0,0,OFFSET(K$11,$A556*2,0)*K$7*K556/SUMIF($A$22:$A$652,$A556,K$22:K$652))</f>
        <v>0</v>
      </c>
      <c r="AI556" s="519">
        <f t="shared" ref="AI556:AI569" ca="1" si="629">IF(SUMIF($A$22:$A$652,$A556,L$22:L$652)=0,0,OFFSET(L$11,$A556*2,0)*L$7*L556/SUMIF($A$22:$A$652,$A556,L$22:L$652))</f>
        <v>0</v>
      </c>
      <c r="AJ556" s="519">
        <f t="shared" ref="AJ556:AJ569" ca="1" si="630">IF(SUMIF($A$22:$A$652,$A556,M$22:M$652)=0,0,OFFSET(M$11,$A556*2,0)*M$7*M556/SUMIF($A$22:$A$652,$A556,M$22:M$652))</f>
        <v>0</v>
      </c>
      <c r="AK556" s="519">
        <f t="shared" ref="AK556:AK569" ca="1" si="631">IF(SUMIF($A$22:$A$652,$A556,N$22:N$652)=0,0,OFFSET(N$11,$A556*2,0)*N$7*N556/SUMIF($A$22:$A$652,$A556,N$22:N$652))</f>
        <v>0</v>
      </c>
      <c r="AL556" s="519">
        <f t="shared" ref="AL556:AL569" ca="1" si="632">IF(SUMIF($A$22:$A$652,$A556,O$22:O$652)=0,0,OFFSET(O$11,$A556*2,0)*O$7*O556/SUMIF($A$22:$A$652,$A556,O$22:O$652))</f>
        <v>0</v>
      </c>
      <c r="AM556" s="519">
        <f t="shared" ref="AM556:AM569" ca="1" si="633">IF(SUMIF($A$22:$A$652,$A556,P$22:P$652)=0,0,OFFSET(P$11,$A556*2,0)*P$7*P556/SUMIF($A$22:$A$652,$A556,P$22:P$652))</f>
        <v>0</v>
      </c>
      <c r="AN556" s="519">
        <f t="shared" ref="AN556:AN569" ca="1" si="634">IF(SUMIF($A$22:$A$652,$A556,Q$22:Q$652)=0,0,OFFSET(Q$11,$A556*2,0)*Q$7*Q556/SUMIF($A$22:$A$652,$A556,Q$22:Q$652))</f>
        <v>0</v>
      </c>
      <c r="AO556" s="519">
        <f t="shared" ref="AO556:AO569" ca="1" si="635">IF(SUMIF($A$22:$A$652,$A556,R$22:R$652)=0,0,OFFSET(R$11,$A556*2,0)*R$7*R556/SUMIF($A$22:$A$652,$A556,R$22:R$652))</f>
        <v>0</v>
      </c>
      <c r="AP556" s="519">
        <f t="shared" ref="AP556:AP569" ca="1" si="636">IF(SUMIF($A$22:$A$652,$A556,S$22:S$652)=0,0,OFFSET(S$11,$A556*2,0)*S$7*S556/SUMIF($A$22:$A$652,$A556,S$22:S$652))</f>
        <v>0</v>
      </c>
      <c r="AQ556" s="519">
        <f t="shared" ref="AQ556:AQ569" ca="1" si="637">IF(SUMIF($A$22:$A$652,$A556,T$22:T$652)=0,0,OFFSET(T$11,$A556*2,0)*T$7*T556/SUMIF($A$22:$A$652,$A556,T$22:T$652))</f>
        <v>0</v>
      </c>
    </row>
    <row r="557" spans="1:43" x14ac:dyDescent="0.3">
      <c r="A557" s="556">
        <f t="shared" si="624"/>
        <v>3</v>
      </c>
      <c r="B557" s="519" t="str">
        <f t="shared" ref="B557:B569" si="638">LEFT(D557,3)</f>
        <v>TKU</v>
      </c>
      <c r="C557" s="519" t="str">
        <f>Volumes!H68</f>
        <v>Genesis</v>
      </c>
      <c r="D557" s="519" t="str">
        <f>Volumes!I68</f>
        <v>TKU2201 TKU0</v>
      </c>
      <c r="E557" s="519">
        <f>Volumes!J68</f>
        <v>599.30407976499782</v>
      </c>
      <c r="G557" s="525"/>
      <c r="H557" s="519">
        <f ca="1">_xlfn.IFNA(IF(VLOOKUP($B557&amp;OFFSET(H$10,$A557*2,0),'Mapping A'!$B$6:$E$1011,4,0)=1,$E557,""),0)</f>
        <v>0</v>
      </c>
      <c r="I557" s="519">
        <f ca="1">_xlfn.IFNA(IF(VLOOKUP($B557&amp;OFFSET(I$10,$A557*2,0),'Mapping A'!$B$6:$E$1011,4,0)=1,$E557,""),0)</f>
        <v>0</v>
      </c>
      <c r="J557" s="519">
        <f ca="1">_xlfn.IFNA(IF(VLOOKUP($B557&amp;OFFSET(J$10,$A557*2,0),'Mapping A'!$B$6:$E$1011,4,0)=1,$E557,""),0)</f>
        <v>0</v>
      </c>
      <c r="K557" s="519">
        <f ca="1">_xlfn.IFNA(IF(VLOOKUP($B557&amp;OFFSET(K$10,$A557*2,0),'Mapping A'!$B$6:$E$1011,4,0)=1,$E557,""),0)</f>
        <v>0</v>
      </c>
      <c r="L557" s="519">
        <f ca="1">_xlfn.IFNA(IF(VLOOKUP($B557&amp;OFFSET(L$10,$A557*2,0),'Mapping A'!$B$6:$E$1011,4,0)=1,$E557,""),0)</f>
        <v>0</v>
      </c>
      <c r="M557" s="519">
        <f ca="1">_xlfn.IFNA(IF(VLOOKUP($B557&amp;OFFSET(M$10,$A557*2,0),'Mapping A'!$B$6:$E$1011,4,0)=1,$E557,""),0)</f>
        <v>0</v>
      </c>
      <c r="N557" s="519">
        <f ca="1">_xlfn.IFNA(IF(VLOOKUP($B557&amp;OFFSET(N$10,$A557*2,0),'Mapping A'!$B$6:$E$1011,4,0)=1,$E557,""),0)</f>
        <v>0</v>
      </c>
      <c r="O557" s="519">
        <f ca="1">_xlfn.IFNA(IF(VLOOKUP($B557&amp;OFFSET(O$10,$A557*2,0),'Mapping A'!$B$6:$E$1011,4,0)=1,$E557,""),0)</f>
        <v>599.30407976499782</v>
      </c>
      <c r="P557" s="519">
        <f ca="1">_xlfn.IFNA(IF(VLOOKUP($B557&amp;OFFSET(P$10,$A557*2,0),'Mapping A'!$B$6:$E$1011,4,0)=1,$E557,""),0)</f>
        <v>0</v>
      </c>
      <c r="Q557" s="519">
        <f ca="1">_xlfn.IFNA(IF(VLOOKUP($B557&amp;OFFSET(Q$10,$A557*2,0),'Mapping A'!$B$6:$E$1011,4,0)=1,$E557,""),0)</f>
        <v>0</v>
      </c>
      <c r="R557" s="519">
        <f ca="1">_xlfn.IFNA(IF(VLOOKUP($B557&amp;OFFSET(R$10,$A557*2,0),'Mapping A'!$B$6:$E$1011,4,0)=1,$E557,""),0)</f>
        <v>0</v>
      </c>
      <c r="S557" s="519">
        <f ca="1">_xlfn.IFNA(IF(VLOOKUP($B557&amp;OFFSET(S$10,$A557*2,0),'Mapping A'!$B$6:$E$1011,4,0)=1,$E557,""),0)</f>
        <v>0</v>
      </c>
      <c r="T557" s="519">
        <f ca="1">_xlfn.IFNA(IF(VLOOKUP($B557&amp;OFFSET(T$10,$A557*2,0),'Mapping A'!$B$6:$E$1011,4,0)=1,$E557,""),0)</f>
        <v>0</v>
      </c>
      <c r="Y557" s="534" t="str">
        <f t="shared" ref="Y557:Y569" si="639">AA557&amp;Z557</f>
        <v>TKU2201 TKU0Genesis</v>
      </c>
      <c r="Z557" s="519" t="str">
        <f>Volumes!H68</f>
        <v>Genesis</v>
      </c>
      <c r="AA557" s="519" t="str">
        <f>Volumes!I68</f>
        <v>TKU2201 TKU0</v>
      </c>
      <c r="AB557" s="519">
        <f>Volumes!J68</f>
        <v>599.30407976499782</v>
      </c>
      <c r="AC557" s="170"/>
      <c r="AE557" s="519">
        <f t="shared" ca="1" si="625"/>
        <v>0</v>
      </c>
      <c r="AF557" s="519">
        <f t="shared" ca="1" si="626"/>
        <v>0</v>
      </c>
      <c r="AG557" s="519">
        <f t="shared" ca="1" si="627"/>
        <v>0</v>
      </c>
      <c r="AH557" s="519">
        <f t="shared" ca="1" si="628"/>
        <v>0</v>
      </c>
      <c r="AI557" s="519">
        <f t="shared" ca="1" si="629"/>
        <v>0</v>
      </c>
      <c r="AJ557" s="519">
        <f t="shared" ca="1" si="630"/>
        <v>0</v>
      </c>
      <c r="AK557" s="519">
        <f t="shared" ca="1" si="631"/>
        <v>0</v>
      </c>
      <c r="AL557" s="519">
        <f t="shared" ca="1" si="632"/>
        <v>6.939814441086585E-2</v>
      </c>
      <c r="AM557" s="519">
        <f t="shared" ca="1" si="633"/>
        <v>0</v>
      </c>
      <c r="AN557" s="519">
        <f t="shared" ca="1" si="634"/>
        <v>0</v>
      </c>
      <c r="AO557" s="519">
        <f t="shared" ca="1" si="635"/>
        <v>0</v>
      </c>
      <c r="AP557" s="519">
        <f t="shared" ca="1" si="636"/>
        <v>0</v>
      </c>
      <c r="AQ557" s="519">
        <f t="shared" ca="1" si="637"/>
        <v>0</v>
      </c>
    </row>
    <row r="558" spans="1:43" x14ac:dyDescent="0.3">
      <c r="A558" s="556">
        <f t="shared" si="624"/>
        <v>3</v>
      </c>
      <c r="B558" s="519" t="str">
        <f t="shared" si="638"/>
        <v>TUI</v>
      </c>
      <c r="C558" s="519" t="str">
        <f>Volumes!H69</f>
        <v>Genesis</v>
      </c>
      <c r="D558" s="519" t="str">
        <f>Volumes!I69</f>
        <v>TUI1101 KTW0</v>
      </c>
      <c r="E558" s="519">
        <f>Volumes!J69</f>
        <v>82.35616998000458</v>
      </c>
      <c r="G558" s="525"/>
      <c r="H558" s="519">
        <f ca="1">_xlfn.IFNA(IF(VLOOKUP($B558&amp;OFFSET(H$10,$A558*2,0),'Mapping A'!$B$6:$E$1011,4,0)=1,$E558,""),0)</f>
        <v>0</v>
      </c>
      <c r="I558" s="519">
        <f ca="1">_xlfn.IFNA(IF(VLOOKUP($B558&amp;OFFSET(I$10,$A558*2,0),'Mapping A'!$B$6:$E$1011,4,0)=1,$E558,""),0)</f>
        <v>0</v>
      </c>
      <c r="J558" s="519">
        <f ca="1">_xlfn.IFNA(IF(VLOOKUP($B558&amp;OFFSET(J$10,$A558*2,0),'Mapping A'!$B$6:$E$1011,4,0)=1,$E558,""),0)</f>
        <v>0</v>
      </c>
      <c r="K558" s="519">
        <f ca="1">_xlfn.IFNA(IF(VLOOKUP($B558&amp;OFFSET(K$10,$A558*2,0),'Mapping A'!$B$6:$E$1011,4,0)=1,$E558,""),0)</f>
        <v>0</v>
      </c>
      <c r="L558" s="519">
        <f ca="1">_xlfn.IFNA(IF(VLOOKUP($B558&amp;OFFSET(L$10,$A558*2,0),'Mapping A'!$B$6:$E$1011,4,0)=1,$E558,""),0)</f>
        <v>0</v>
      </c>
      <c r="M558" s="519">
        <f ca="1">_xlfn.IFNA(IF(VLOOKUP($B558&amp;OFFSET(M$10,$A558*2,0),'Mapping A'!$B$6:$E$1011,4,0)=1,$E558,""),0)</f>
        <v>0</v>
      </c>
      <c r="N558" s="519">
        <f ca="1">_xlfn.IFNA(IF(VLOOKUP($B558&amp;OFFSET(N$10,$A558*2,0),'Mapping A'!$B$6:$E$1011,4,0)=1,$E558,""),0)</f>
        <v>0</v>
      </c>
      <c r="O558" s="519">
        <f ca="1">_xlfn.IFNA(IF(VLOOKUP($B558&amp;OFFSET(O$10,$A558*2,0),'Mapping A'!$B$6:$E$1011,4,0)=1,$E558,""),0)</f>
        <v>82.35616998000458</v>
      </c>
      <c r="P558" s="519">
        <f ca="1">_xlfn.IFNA(IF(VLOOKUP($B558&amp;OFFSET(P$10,$A558*2,0),'Mapping A'!$B$6:$E$1011,4,0)=1,$E558,""),0)</f>
        <v>0</v>
      </c>
      <c r="Q558" s="519">
        <f ca="1">_xlfn.IFNA(IF(VLOOKUP($B558&amp;OFFSET(Q$10,$A558*2,0),'Mapping A'!$B$6:$E$1011,4,0)=1,$E558,""),0)</f>
        <v>0</v>
      </c>
      <c r="R558" s="519">
        <f ca="1">_xlfn.IFNA(IF(VLOOKUP($B558&amp;OFFSET(R$10,$A558*2,0),'Mapping A'!$B$6:$E$1011,4,0)=1,$E558,""),0)</f>
        <v>0</v>
      </c>
      <c r="S558" s="519">
        <f ca="1">_xlfn.IFNA(IF(VLOOKUP($B558&amp;OFFSET(S$10,$A558*2,0),'Mapping A'!$B$6:$E$1011,4,0)=1,$E558,""),0)</f>
        <v>0</v>
      </c>
      <c r="T558" s="519">
        <f ca="1">_xlfn.IFNA(IF(VLOOKUP($B558&amp;OFFSET(T$10,$A558*2,0),'Mapping A'!$B$6:$E$1011,4,0)=1,$E558,""),0)</f>
        <v>0</v>
      </c>
      <c r="Y558" s="534" t="str">
        <f t="shared" si="639"/>
        <v>TUI1101 KTW0Genesis</v>
      </c>
      <c r="Z558" s="519" t="str">
        <f>Volumes!H69</f>
        <v>Genesis</v>
      </c>
      <c r="AA558" s="519" t="str">
        <f>Volumes!I69</f>
        <v>TUI1101 KTW0</v>
      </c>
      <c r="AB558" s="519">
        <f>Volumes!J69</f>
        <v>82.35616998000458</v>
      </c>
      <c r="AC558" s="170"/>
      <c r="AE558" s="519">
        <f t="shared" ca="1" si="625"/>
        <v>0</v>
      </c>
      <c r="AF558" s="519">
        <f t="shared" ca="1" si="626"/>
        <v>0</v>
      </c>
      <c r="AG558" s="519">
        <f t="shared" ca="1" si="627"/>
        <v>0</v>
      </c>
      <c r="AH558" s="519">
        <f t="shared" ca="1" si="628"/>
        <v>0</v>
      </c>
      <c r="AI558" s="519">
        <f t="shared" ca="1" si="629"/>
        <v>0</v>
      </c>
      <c r="AJ558" s="519">
        <f t="shared" ca="1" si="630"/>
        <v>0</v>
      </c>
      <c r="AK558" s="519">
        <f t="shared" ca="1" si="631"/>
        <v>0</v>
      </c>
      <c r="AL558" s="519">
        <f t="shared" ca="1" si="632"/>
        <v>9.5366702319785827E-3</v>
      </c>
      <c r="AM558" s="519">
        <f t="shared" ca="1" si="633"/>
        <v>0</v>
      </c>
      <c r="AN558" s="519">
        <f t="shared" ca="1" si="634"/>
        <v>0</v>
      </c>
      <c r="AO558" s="519">
        <f t="shared" ca="1" si="635"/>
        <v>0</v>
      </c>
      <c r="AP558" s="519">
        <f t="shared" ca="1" si="636"/>
        <v>0</v>
      </c>
      <c r="AQ558" s="519">
        <f t="shared" ca="1" si="637"/>
        <v>0</v>
      </c>
    </row>
    <row r="559" spans="1:43" x14ac:dyDescent="0.3">
      <c r="A559" s="556">
        <f t="shared" si="624"/>
        <v>3</v>
      </c>
      <c r="B559" s="519" t="str">
        <f t="shared" si="638"/>
        <v>TUI</v>
      </c>
      <c r="C559" s="519" t="str">
        <f>Volumes!H70</f>
        <v>Genesis</v>
      </c>
      <c r="D559" s="519" t="str">
        <f>Volumes!I70</f>
        <v>TUI1101 PRI0</v>
      </c>
      <c r="E559" s="519">
        <f>Volumes!J70</f>
        <v>136.43332245998818</v>
      </c>
      <c r="G559" s="525"/>
      <c r="H559" s="519">
        <f ca="1">_xlfn.IFNA(IF(VLOOKUP($B559&amp;OFFSET(H$10,$A559*2,0),'Mapping A'!$B$6:$E$1011,4,0)=1,$E559,""),0)</f>
        <v>0</v>
      </c>
      <c r="I559" s="519">
        <f ca="1">_xlfn.IFNA(IF(VLOOKUP($B559&amp;OFFSET(I$10,$A559*2,0),'Mapping A'!$B$6:$E$1011,4,0)=1,$E559,""),0)</f>
        <v>0</v>
      </c>
      <c r="J559" s="519">
        <f ca="1">_xlfn.IFNA(IF(VLOOKUP($B559&amp;OFFSET(J$10,$A559*2,0),'Mapping A'!$B$6:$E$1011,4,0)=1,$E559,""),0)</f>
        <v>0</v>
      </c>
      <c r="K559" s="519">
        <f ca="1">_xlfn.IFNA(IF(VLOOKUP($B559&amp;OFFSET(K$10,$A559*2,0),'Mapping A'!$B$6:$E$1011,4,0)=1,$E559,""),0)</f>
        <v>0</v>
      </c>
      <c r="L559" s="519">
        <f ca="1">_xlfn.IFNA(IF(VLOOKUP($B559&amp;OFFSET(L$10,$A559*2,0),'Mapping A'!$B$6:$E$1011,4,0)=1,$E559,""),0)</f>
        <v>0</v>
      </c>
      <c r="M559" s="519">
        <f ca="1">_xlfn.IFNA(IF(VLOOKUP($B559&amp;OFFSET(M$10,$A559*2,0),'Mapping A'!$B$6:$E$1011,4,0)=1,$E559,""),0)</f>
        <v>0</v>
      </c>
      <c r="N559" s="519">
        <f ca="1">_xlfn.IFNA(IF(VLOOKUP($B559&amp;OFFSET(N$10,$A559*2,0),'Mapping A'!$B$6:$E$1011,4,0)=1,$E559,""),0)</f>
        <v>0</v>
      </c>
      <c r="O559" s="519">
        <f ca="1">_xlfn.IFNA(IF(VLOOKUP($B559&amp;OFFSET(O$10,$A559*2,0),'Mapping A'!$B$6:$E$1011,4,0)=1,$E559,""),0)</f>
        <v>136.43332245998818</v>
      </c>
      <c r="P559" s="519">
        <f ca="1">_xlfn.IFNA(IF(VLOOKUP($B559&amp;OFFSET(P$10,$A559*2,0),'Mapping A'!$B$6:$E$1011,4,0)=1,$E559,""),0)</f>
        <v>0</v>
      </c>
      <c r="Q559" s="519">
        <f ca="1">_xlfn.IFNA(IF(VLOOKUP($B559&amp;OFFSET(Q$10,$A559*2,0),'Mapping A'!$B$6:$E$1011,4,0)=1,$E559,""),0)</f>
        <v>0</v>
      </c>
      <c r="R559" s="519">
        <f ca="1">_xlfn.IFNA(IF(VLOOKUP($B559&amp;OFFSET(R$10,$A559*2,0),'Mapping A'!$B$6:$E$1011,4,0)=1,$E559,""),0)</f>
        <v>0</v>
      </c>
      <c r="S559" s="519">
        <f ca="1">_xlfn.IFNA(IF(VLOOKUP($B559&amp;OFFSET(S$10,$A559*2,0),'Mapping A'!$B$6:$E$1011,4,0)=1,$E559,""),0)</f>
        <v>0</v>
      </c>
      <c r="T559" s="519">
        <f ca="1">_xlfn.IFNA(IF(VLOOKUP($B559&amp;OFFSET(T$10,$A559*2,0),'Mapping A'!$B$6:$E$1011,4,0)=1,$E559,""),0)</f>
        <v>0</v>
      </c>
      <c r="Y559" s="534" t="str">
        <f t="shared" si="639"/>
        <v>TUI1101 PRI0Genesis</v>
      </c>
      <c r="Z559" s="519" t="str">
        <f>Volumes!H70</f>
        <v>Genesis</v>
      </c>
      <c r="AA559" s="519" t="str">
        <f>Volumes!I70</f>
        <v>TUI1101 PRI0</v>
      </c>
      <c r="AB559" s="519">
        <f>Volumes!J70</f>
        <v>136.43332245998818</v>
      </c>
      <c r="AC559" s="170"/>
      <c r="AE559" s="519">
        <f t="shared" ca="1" si="625"/>
        <v>0</v>
      </c>
      <c r="AF559" s="519">
        <f t="shared" ca="1" si="626"/>
        <v>0</v>
      </c>
      <c r="AG559" s="519">
        <f t="shared" ca="1" si="627"/>
        <v>0</v>
      </c>
      <c r="AH559" s="519">
        <f t="shared" ca="1" si="628"/>
        <v>0</v>
      </c>
      <c r="AI559" s="519">
        <f t="shared" ca="1" si="629"/>
        <v>0</v>
      </c>
      <c r="AJ559" s="519">
        <f t="shared" ca="1" si="630"/>
        <v>0</v>
      </c>
      <c r="AK559" s="519">
        <f t="shared" ca="1" si="631"/>
        <v>0</v>
      </c>
      <c r="AL559" s="519">
        <f t="shared" ca="1" si="632"/>
        <v>1.5798690071065782E-2</v>
      </c>
      <c r="AM559" s="519">
        <f t="shared" ca="1" si="633"/>
        <v>0</v>
      </c>
      <c r="AN559" s="519">
        <f t="shared" ca="1" si="634"/>
        <v>0</v>
      </c>
      <c r="AO559" s="519">
        <f t="shared" ca="1" si="635"/>
        <v>0</v>
      </c>
      <c r="AP559" s="519">
        <f t="shared" ca="1" si="636"/>
        <v>0</v>
      </c>
      <c r="AQ559" s="519">
        <f t="shared" ca="1" si="637"/>
        <v>0</v>
      </c>
    </row>
    <row r="560" spans="1:43" x14ac:dyDescent="0.3">
      <c r="A560" s="556">
        <f t="shared" si="624"/>
        <v>3</v>
      </c>
      <c r="B560" s="519" t="str">
        <f t="shared" si="638"/>
        <v>TUI</v>
      </c>
      <c r="C560" s="519" t="str">
        <f>Volumes!H71</f>
        <v>Genesis</v>
      </c>
      <c r="D560" s="519" t="str">
        <f>Volumes!I71</f>
        <v>TUI1101 TUI0</v>
      </c>
      <c r="E560" s="519">
        <f>Volumes!J71</f>
        <v>182.38105642499457</v>
      </c>
      <c r="G560" s="525"/>
      <c r="H560" s="519">
        <f ca="1">_xlfn.IFNA(IF(VLOOKUP($B560&amp;OFFSET(H$10,$A560*2,0),'Mapping A'!$B$6:$E$1011,4,0)=1,$E560,""),0)</f>
        <v>0</v>
      </c>
      <c r="I560" s="519">
        <f ca="1">_xlfn.IFNA(IF(VLOOKUP($B560&amp;OFFSET(I$10,$A560*2,0),'Mapping A'!$B$6:$E$1011,4,0)=1,$E560,""),0)</f>
        <v>0</v>
      </c>
      <c r="J560" s="519">
        <f ca="1">_xlfn.IFNA(IF(VLOOKUP($B560&amp;OFFSET(J$10,$A560*2,0),'Mapping A'!$B$6:$E$1011,4,0)=1,$E560,""),0)</f>
        <v>0</v>
      </c>
      <c r="K560" s="519">
        <f ca="1">_xlfn.IFNA(IF(VLOOKUP($B560&amp;OFFSET(K$10,$A560*2,0),'Mapping A'!$B$6:$E$1011,4,0)=1,$E560,""),0)</f>
        <v>0</v>
      </c>
      <c r="L560" s="519">
        <f ca="1">_xlfn.IFNA(IF(VLOOKUP($B560&amp;OFFSET(L$10,$A560*2,0),'Mapping A'!$B$6:$E$1011,4,0)=1,$E560,""),0)</f>
        <v>0</v>
      </c>
      <c r="M560" s="519">
        <f ca="1">_xlfn.IFNA(IF(VLOOKUP($B560&amp;OFFSET(M$10,$A560*2,0),'Mapping A'!$B$6:$E$1011,4,0)=1,$E560,""),0)</f>
        <v>0</v>
      </c>
      <c r="N560" s="519">
        <f ca="1">_xlfn.IFNA(IF(VLOOKUP($B560&amp;OFFSET(N$10,$A560*2,0),'Mapping A'!$B$6:$E$1011,4,0)=1,$E560,""),0)</f>
        <v>0</v>
      </c>
      <c r="O560" s="519">
        <f ca="1">_xlfn.IFNA(IF(VLOOKUP($B560&amp;OFFSET(O$10,$A560*2,0),'Mapping A'!$B$6:$E$1011,4,0)=1,$E560,""),0)</f>
        <v>182.38105642499457</v>
      </c>
      <c r="P560" s="519">
        <f ca="1">_xlfn.IFNA(IF(VLOOKUP($B560&amp;OFFSET(P$10,$A560*2,0),'Mapping A'!$B$6:$E$1011,4,0)=1,$E560,""),0)</f>
        <v>0</v>
      </c>
      <c r="Q560" s="519">
        <f ca="1">_xlfn.IFNA(IF(VLOOKUP($B560&amp;OFFSET(Q$10,$A560*2,0),'Mapping A'!$B$6:$E$1011,4,0)=1,$E560,""),0)</f>
        <v>0</v>
      </c>
      <c r="R560" s="519">
        <f ca="1">_xlfn.IFNA(IF(VLOOKUP($B560&amp;OFFSET(R$10,$A560*2,0),'Mapping A'!$B$6:$E$1011,4,0)=1,$E560,""),0)</f>
        <v>0</v>
      </c>
      <c r="S560" s="519">
        <f ca="1">_xlfn.IFNA(IF(VLOOKUP($B560&amp;OFFSET(S$10,$A560*2,0),'Mapping A'!$B$6:$E$1011,4,0)=1,$E560,""),0)</f>
        <v>0</v>
      </c>
      <c r="T560" s="519">
        <f ca="1">_xlfn.IFNA(IF(VLOOKUP($B560&amp;OFFSET(T$10,$A560*2,0),'Mapping A'!$B$6:$E$1011,4,0)=1,$E560,""),0)</f>
        <v>0</v>
      </c>
      <c r="Y560" s="534" t="str">
        <f t="shared" si="639"/>
        <v>TUI1101 TUI0Genesis</v>
      </c>
      <c r="Z560" s="519" t="str">
        <f>Volumes!H71</f>
        <v>Genesis</v>
      </c>
      <c r="AA560" s="519" t="str">
        <f>Volumes!I71</f>
        <v>TUI1101 TUI0</v>
      </c>
      <c r="AB560" s="519">
        <f>Volumes!J71</f>
        <v>182.38105642499457</v>
      </c>
      <c r="AC560" s="170"/>
      <c r="AE560" s="519">
        <f t="shared" ca="1" si="625"/>
        <v>0</v>
      </c>
      <c r="AF560" s="519">
        <f t="shared" ca="1" si="626"/>
        <v>0</v>
      </c>
      <c r="AG560" s="519">
        <f t="shared" ca="1" si="627"/>
        <v>0</v>
      </c>
      <c r="AH560" s="519">
        <f t="shared" ca="1" si="628"/>
        <v>0</v>
      </c>
      <c r="AI560" s="519">
        <f t="shared" ca="1" si="629"/>
        <v>0</v>
      </c>
      <c r="AJ560" s="519">
        <f t="shared" ca="1" si="630"/>
        <v>0</v>
      </c>
      <c r="AK560" s="519">
        <f t="shared" ca="1" si="631"/>
        <v>0</v>
      </c>
      <c r="AL560" s="519">
        <f t="shared" ca="1" si="632"/>
        <v>2.1119340446591216E-2</v>
      </c>
      <c r="AM560" s="519">
        <f t="shared" ca="1" si="633"/>
        <v>0</v>
      </c>
      <c r="AN560" s="519">
        <f t="shared" ca="1" si="634"/>
        <v>0</v>
      </c>
      <c r="AO560" s="519">
        <f t="shared" ca="1" si="635"/>
        <v>0</v>
      </c>
      <c r="AP560" s="519">
        <f t="shared" ca="1" si="636"/>
        <v>0</v>
      </c>
      <c r="AQ560" s="519">
        <f t="shared" ca="1" si="637"/>
        <v>0</v>
      </c>
    </row>
    <row r="561" spans="1:43" x14ac:dyDescent="0.3">
      <c r="A561" s="556">
        <f t="shared" si="624"/>
        <v>3</v>
      </c>
      <c r="B561" s="519" t="str">
        <f t="shared" si="638"/>
        <v>TWH</v>
      </c>
      <c r="C561" s="519" t="str">
        <f>Volumes!H72</f>
        <v>Contact</v>
      </c>
      <c r="D561" s="519" t="str">
        <f>Volumes!I72</f>
        <v>TWH0331 TRC1</v>
      </c>
      <c r="E561" s="519">
        <f>Volumes!J72</f>
        <v>297.69103500000006</v>
      </c>
      <c r="G561" s="525"/>
      <c r="H561" s="519">
        <f ca="1">_xlfn.IFNA(IF(VLOOKUP($B561&amp;OFFSET(H$10,$A561*2,0),'Mapping A'!$B$6:$E$1011,4,0)=1,$E561,""),0)</f>
        <v>0</v>
      </c>
      <c r="I561" s="519">
        <f ca="1">_xlfn.IFNA(IF(VLOOKUP($B561&amp;OFFSET(I$10,$A561*2,0),'Mapping A'!$B$6:$E$1011,4,0)=1,$E561,""),0)</f>
        <v>0</v>
      </c>
      <c r="J561" s="519">
        <f ca="1">_xlfn.IFNA(IF(VLOOKUP($B561&amp;OFFSET(J$10,$A561*2,0),'Mapping A'!$B$6:$E$1011,4,0)=1,$E561,""),0)</f>
        <v>0</v>
      </c>
      <c r="K561" s="519">
        <f ca="1">_xlfn.IFNA(IF(VLOOKUP($B561&amp;OFFSET(K$10,$A561*2,0),'Mapping A'!$B$6:$E$1011,4,0)=1,$E561,""),0)</f>
        <v>0</v>
      </c>
      <c r="L561" s="519">
        <f ca="1">_xlfn.IFNA(IF(VLOOKUP($B561&amp;OFFSET(L$10,$A561*2,0),'Mapping A'!$B$6:$E$1011,4,0)=1,$E561,""),0)</f>
        <v>0</v>
      </c>
      <c r="M561" s="519">
        <f ca="1">_xlfn.IFNA(IF(VLOOKUP($B561&amp;OFFSET(M$10,$A561*2,0),'Mapping A'!$B$6:$E$1011,4,0)=1,$E561,""),0)</f>
        <v>0</v>
      </c>
      <c r="N561" s="519">
        <f ca="1">_xlfn.IFNA(IF(VLOOKUP($B561&amp;OFFSET(N$10,$A561*2,0),'Mapping A'!$B$6:$E$1011,4,0)=1,$E561,""),0)</f>
        <v>0</v>
      </c>
      <c r="O561" s="519">
        <f ca="1">_xlfn.IFNA(IF(VLOOKUP($B561&amp;OFFSET(O$10,$A561*2,0),'Mapping A'!$B$6:$E$1011,4,0)=1,$E561,""),0)</f>
        <v>297.69103500000006</v>
      </c>
      <c r="P561" s="519">
        <f ca="1">_xlfn.IFNA(IF(VLOOKUP($B561&amp;OFFSET(P$10,$A561*2,0),'Mapping A'!$B$6:$E$1011,4,0)=1,$E561,""),0)</f>
        <v>0</v>
      </c>
      <c r="Q561" s="519">
        <f ca="1">_xlfn.IFNA(IF(VLOOKUP($B561&amp;OFFSET(Q$10,$A561*2,0),'Mapping A'!$B$6:$E$1011,4,0)=1,$E561,""),0)</f>
        <v>0</v>
      </c>
      <c r="R561" s="519">
        <f ca="1">_xlfn.IFNA(IF(VLOOKUP($B561&amp;OFFSET(R$10,$A561*2,0),'Mapping A'!$B$6:$E$1011,4,0)=1,$E561,""),0)</f>
        <v>0</v>
      </c>
      <c r="S561" s="519">
        <f ca="1">_xlfn.IFNA(IF(VLOOKUP($B561&amp;OFFSET(S$10,$A561*2,0),'Mapping A'!$B$6:$E$1011,4,0)=1,$E561,""),0)</f>
        <v>0</v>
      </c>
      <c r="T561" s="519">
        <f ca="1">_xlfn.IFNA(IF(VLOOKUP($B561&amp;OFFSET(T$10,$A561*2,0),'Mapping A'!$B$6:$E$1011,4,0)=1,$E561,""),0)</f>
        <v>0</v>
      </c>
      <c r="Y561" s="534" t="str">
        <f t="shared" si="639"/>
        <v>TWH0331 TRC1Contact</v>
      </c>
      <c r="Z561" s="519" t="str">
        <f>Volumes!H72</f>
        <v>Contact</v>
      </c>
      <c r="AA561" s="519" t="str">
        <f>Volumes!I72</f>
        <v>TWH0331 TRC1</v>
      </c>
      <c r="AB561" s="519">
        <f>Volumes!J72</f>
        <v>297.69103500000006</v>
      </c>
      <c r="AC561" s="170"/>
      <c r="AE561" s="519">
        <f t="shared" ca="1" si="625"/>
        <v>0</v>
      </c>
      <c r="AF561" s="519">
        <f t="shared" ca="1" si="626"/>
        <v>0</v>
      </c>
      <c r="AG561" s="519">
        <f t="shared" ca="1" si="627"/>
        <v>0</v>
      </c>
      <c r="AH561" s="519">
        <f t="shared" ca="1" si="628"/>
        <v>0</v>
      </c>
      <c r="AI561" s="519">
        <f t="shared" ca="1" si="629"/>
        <v>0</v>
      </c>
      <c r="AJ561" s="519">
        <f t="shared" ca="1" si="630"/>
        <v>0</v>
      </c>
      <c r="AK561" s="519">
        <f t="shared" ca="1" si="631"/>
        <v>0</v>
      </c>
      <c r="AL561" s="519">
        <f t="shared" ca="1" si="632"/>
        <v>3.4471991989193734E-2</v>
      </c>
      <c r="AM561" s="519">
        <f t="shared" ca="1" si="633"/>
        <v>0</v>
      </c>
      <c r="AN561" s="519">
        <f t="shared" ca="1" si="634"/>
        <v>0</v>
      </c>
      <c r="AO561" s="519">
        <f t="shared" ca="1" si="635"/>
        <v>0</v>
      </c>
      <c r="AP561" s="519">
        <f t="shared" ca="1" si="636"/>
        <v>0</v>
      </c>
      <c r="AQ561" s="519">
        <f t="shared" ca="1" si="637"/>
        <v>0</v>
      </c>
    </row>
    <row r="562" spans="1:43" x14ac:dyDescent="0.3">
      <c r="A562" s="556">
        <f t="shared" si="624"/>
        <v>3</v>
      </c>
      <c r="B562" s="519" t="str">
        <f t="shared" si="638"/>
        <v>WHI</v>
      </c>
      <c r="C562" s="519" t="str">
        <f>Volumes!H73</f>
        <v>Contact</v>
      </c>
      <c r="D562" s="519" t="str">
        <f>Volumes!I73</f>
        <v>WHI2201 WHI0</v>
      </c>
      <c r="E562" s="519">
        <f>Volumes!J73</f>
        <v>0.88031785999999979</v>
      </c>
      <c r="H562" s="519">
        <f ca="1">_xlfn.IFNA(IF(VLOOKUP($B562&amp;OFFSET(H$10,$A562*2,0),'Mapping A'!$B$6:$E$1011,4,0)=1,$E562,""),0)</f>
        <v>0</v>
      </c>
      <c r="I562" s="519">
        <f ca="1">_xlfn.IFNA(IF(VLOOKUP($B562&amp;OFFSET(I$10,$A562*2,0),'Mapping A'!$B$6:$E$1011,4,0)=1,$E562,""),0)</f>
        <v>0</v>
      </c>
      <c r="J562" s="519">
        <f ca="1">_xlfn.IFNA(IF(VLOOKUP($B562&amp;OFFSET(J$10,$A562*2,0),'Mapping A'!$B$6:$E$1011,4,0)=1,$E562,""),0)</f>
        <v>0</v>
      </c>
      <c r="K562" s="519">
        <f ca="1">_xlfn.IFNA(IF(VLOOKUP($B562&amp;OFFSET(K$10,$A562*2,0),'Mapping A'!$B$6:$E$1011,4,0)=1,$E562,""),0)</f>
        <v>0</v>
      </c>
      <c r="L562" s="519">
        <f ca="1">_xlfn.IFNA(IF(VLOOKUP($B562&amp;OFFSET(L$10,$A562*2,0),'Mapping A'!$B$6:$E$1011,4,0)=1,$E562,""),0)</f>
        <v>0</v>
      </c>
      <c r="M562" s="519">
        <f ca="1">_xlfn.IFNA(IF(VLOOKUP($B562&amp;OFFSET(M$10,$A562*2,0),'Mapping A'!$B$6:$E$1011,4,0)=1,$E562,""),0)</f>
        <v>0</v>
      </c>
      <c r="N562" s="519">
        <f ca="1">_xlfn.IFNA(IF(VLOOKUP($B562&amp;OFFSET(N$10,$A562*2,0),'Mapping A'!$B$6:$E$1011,4,0)=1,$E562,""),0)</f>
        <v>0</v>
      </c>
      <c r="O562" s="519">
        <f ca="1">_xlfn.IFNA(IF(VLOOKUP($B562&amp;OFFSET(O$10,$A562*2,0),'Mapping A'!$B$6:$E$1011,4,0)=1,$E562,""),0)</f>
        <v>0.88031785999999979</v>
      </c>
      <c r="P562" s="519">
        <f ca="1">_xlfn.IFNA(IF(VLOOKUP($B562&amp;OFFSET(P$10,$A562*2,0),'Mapping A'!$B$6:$E$1011,4,0)=1,$E562,""),0)</f>
        <v>0</v>
      </c>
      <c r="Q562" s="519">
        <f ca="1">_xlfn.IFNA(IF(VLOOKUP($B562&amp;OFFSET(Q$10,$A562*2,0),'Mapping A'!$B$6:$E$1011,4,0)=1,$E562,""),0)</f>
        <v>0</v>
      </c>
      <c r="R562" s="519">
        <f ca="1">_xlfn.IFNA(IF(VLOOKUP($B562&amp;OFFSET(R$10,$A562*2,0),'Mapping A'!$B$6:$E$1011,4,0)=1,$E562,""),0)</f>
        <v>0</v>
      </c>
      <c r="S562" s="519">
        <f ca="1">_xlfn.IFNA(IF(VLOOKUP($B562&amp;OFFSET(S$10,$A562*2,0),'Mapping A'!$B$6:$E$1011,4,0)=1,$E562,""),0)</f>
        <v>0</v>
      </c>
      <c r="T562" s="519">
        <f ca="1">_xlfn.IFNA(IF(VLOOKUP($B562&amp;OFFSET(T$10,$A562*2,0),'Mapping A'!$B$6:$E$1011,4,0)=1,$E562,""),0)</f>
        <v>0</v>
      </c>
      <c r="Y562" s="534" t="str">
        <f t="shared" si="639"/>
        <v>WHI2201 WHI0Contact</v>
      </c>
      <c r="Z562" s="519" t="str">
        <f>Volumes!H73</f>
        <v>Contact</v>
      </c>
      <c r="AA562" s="519" t="str">
        <f>Volumes!I73</f>
        <v>WHI2201 WHI0</v>
      </c>
      <c r="AB562" s="519">
        <f>Volumes!J73</f>
        <v>0.88031785999999979</v>
      </c>
      <c r="AC562" s="170"/>
      <c r="AE562" s="519">
        <f t="shared" ca="1" si="625"/>
        <v>0</v>
      </c>
      <c r="AF562" s="519">
        <f t="shared" ca="1" si="626"/>
        <v>0</v>
      </c>
      <c r="AG562" s="519">
        <f t="shared" ca="1" si="627"/>
        <v>0</v>
      </c>
      <c r="AH562" s="519">
        <f t="shared" ca="1" si="628"/>
        <v>0</v>
      </c>
      <c r="AI562" s="519">
        <f t="shared" ca="1" si="629"/>
        <v>0</v>
      </c>
      <c r="AJ562" s="519">
        <f t="shared" ca="1" si="630"/>
        <v>0</v>
      </c>
      <c r="AK562" s="519">
        <f t="shared" ca="1" si="631"/>
        <v>0</v>
      </c>
      <c r="AL562" s="519">
        <f t="shared" ca="1" si="632"/>
        <v>1.0193894558451904E-4</v>
      </c>
      <c r="AM562" s="519">
        <f t="shared" ca="1" si="633"/>
        <v>0</v>
      </c>
      <c r="AN562" s="519">
        <f t="shared" ca="1" si="634"/>
        <v>0</v>
      </c>
      <c r="AO562" s="519">
        <f t="shared" ca="1" si="635"/>
        <v>0</v>
      </c>
      <c r="AP562" s="519">
        <f t="shared" ca="1" si="636"/>
        <v>0</v>
      </c>
      <c r="AQ562" s="519">
        <f t="shared" ca="1" si="637"/>
        <v>0</v>
      </c>
    </row>
    <row r="563" spans="1:43" x14ac:dyDescent="0.3">
      <c r="A563" s="556">
        <f t="shared" si="624"/>
        <v>3</v>
      </c>
      <c r="B563" s="519" t="str">
        <f t="shared" si="638"/>
        <v>WKM</v>
      </c>
      <c r="C563" s="519" t="str">
        <f>Volumes!H74</f>
        <v>Mokai JV</v>
      </c>
      <c r="D563" s="519" t="str">
        <f>Volumes!I74</f>
        <v>WKM2201 MOK0</v>
      </c>
      <c r="E563" s="519">
        <f>Volumes!J74</f>
        <v>915.048</v>
      </c>
      <c r="H563" s="519">
        <f ca="1">_xlfn.IFNA(IF(VLOOKUP($B563&amp;OFFSET(H$10,$A563*2,0),'Mapping A'!$B$6:$E$1011,4,0)=1,$E563,""),0)</f>
        <v>0</v>
      </c>
      <c r="I563" s="519">
        <f ca="1">_xlfn.IFNA(IF(VLOOKUP($B563&amp;OFFSET(I$10,$A563*2,0),'Mapping A'!$B$6:$E$1011,4,0)=1,$E563,""),0)</f>
        <v>0</v>
      </c>
      <c r="J563" s="519">
        <f ca="1">_xlfn.IFNA(IF(VLOOKUP($B563&amp;OFFSET(J$10,$A563*2,0),'Mapping A'!$B$6:$E$1011,4,0)=1,$E563,""),0)</f>
        <v>0</v>
      </c>
      <c r="K563" s="519">
        <f ca="1">_xlfn.IFNA(IF(VLOOKUP($B563&amp;OFFSET(K$10,$A563*2,0),'Mapping A'!$B$6:$E$1011,4,0)=1,$E563,""),0)</f>
        <v>0</v>
      </c>
      <c r="L563" s="519">
        <f ca="1">_xlfn.IFNA(IF(VLOOKUP($B563&amp;OFFSET(L$10,$A563*2,0),'Mapping A'!$B$6:$E$1011,4,0)=1,$E563,""),0)</f>
        <v>0</v>
      </c>
      <c r="M563" s="519">
        <f ca="1">_xlfn.IFNA(IF(VLOOKUP($B563&amp;OFFSET(M$10,$A563*2,0),'Mapping A'!$B$6:$E$1011,4,0)=1,$E563,""),0)</f>
        <v>915.048</v>
      </c>
      <c r="N563" s="519">
        <f ca="1">_xlfn.IFNA(IF(VLOOKUP($B563&amp;OFFSET(N$10,$A563*2,0),'Mapping A'!$B$6:$E$1011,4,0)=1,$E563,""),0)</f>
        <v>0</v>
      </c>
      <c r="O563" s="519">
        <f ca="1">_xlfn.IFNA(IF(VLOOKUP($B563&amp;OFFSET(O$10,$A563*2,0),'Mapping A'!$B$6:$E$1011,4,0)=1,$E563,""),0)</f>
        <v>915.048</v>
      </c>
      <c r="P563" s="519">
        <f ca="1">_xlfn.IFNA(IF(VLOOKUP($B563&amp;OFFSET(P$10,$A563*2,0),'Mapping A'!$B$6:$E$1011,4,0)=1,$E563,""),0)</f>
        <v>0</v>
      </c>
      <c r="Q563" s="519">
        <f ca="1">_xlfn.IFNA(IF(VLOOKUP($B563&amp;OFFSET(Q$10,$A563*2,0),'Mapping A'!$B$6:$E$1011,4,0)=1,$E563,""),0)</f>
        <v>0</v>
      </c>
      <c r="R563" s="519">
        <f ca="1">_xlfn.IFNA(IF(VLOOKUP($B563&amp;OFFSET(R$10,$A563*2,0),'Mapping A'!$B$6:$E$1011,4,0)=1,$E563,""),0)</f>
        <v>0</v>
      </c>
      <c r="S563" s="519">
        <f ca="1">_xlfn.IFNA(IF(VLOOKUP($B563&amp;OFFSET(S$10,$A563*2,0),'Mapping A'!$B$6:$E$1011,4,0)=1,$E563,""),0)</f>
        <v>0</v>
      </c>
      <c r="T563" s="519">
        <f ca="1">_xlfn.IFNA(IF(VLOOKUP($B563&amp;OFFSET(T$10,$A563*2,0),'Mapping A'!$B$6:$E$1011,4,0)=1,$E563,""),0)</f>
        <v>0</v>
      </c>
      <c r="Y563" s="534" t="str">
        <f t="shared" si="639"/>
        <v>WKM2201 MOK0Mokai JV</v>
      </c>
      <c r="Z563" s="519" t="str">
        <f>Volumes!H74</f>
        <v>Mokai JV</v>
      </c>
      <c r="AA563" s="519" t="str">
        <f>Volumes!I74</f>
        <v>WKM2201 MOK0</v>
      </c>
      <c r="AB563" s="519">
        <f>Volumes!J74</f>
        <v>915.048</v>
      </c>
      <c r="AC563" s="170"/>
      <c r="AE563" s="519">
        <f t="shared" ca="1" si="625"/>
        <v>0</v>
      </c>
      <c r="AF563" s="519">
        <f t="shared" ca="1" si="626"/>
        <v>0</v>
      </c>
      <c r="AG563" s="519">
        <f t="shared" ca="1" si="627"/>
        <v>0</v>
      </c>
      <c r="AH563" s="519">
        <f t="shared" ca="1" si="628"/>
        <v>0</v>
      </c>
      <c r="AI563" s="519">
        <f t="shared" ca="1" si="629"/>
        <v>0</v>
      </c>
      <c r="AJ563" s="519">
        <f t="shared" ca="1" si="630"/>
        <v>0</v>
      </c>
      <c r="AK563" s="519">
        <f t="shared" ca="1" si="631"/>
        <v>0</v>
      </c>
      <c r="AL563" s="519">
        <f t="shared" ca="1" si="632"/>
        <v>0.10596062231342553</v>
      </c>
      <c r="AM563" s="519">
        <f t="shared" ca="1" si="633"/>
        <v>0</v>
      </c>
      <c r="AN563" s="519">
        <f t="shared" ca="1" si="634"/>
        <v>0</v>
      </c>
      <c r="AO563" s="519">
        <f t="shared" ca="1" si="635"/>
        <v>0</v>
      </c>
      <c r="AP563" s="519">
        <f t="shared" ca="1" si="636"/>
        <v>0</v>
      </c>
      <c r="AQ563" s="519">
        <f t="shared" ca="1" si="637"/>
        <v>0</v>
      </c>
    </row>
    <row r="564" spans="1:43" x14ac:dyDescent="0.3">
      <c r="A564" s="556">
        <f t="shared" si="624"/>
        <v>3</v>
      </c>
      <c r="B564" s="519" t="str">
        <f t="shared" si="638"/>
        <v>WKM</v>
      </c>
      <c r="C564" s="519" t="str">
        <f>Volumes!H75</f>
        <v>MRP</v>
      </c>
      <c r="D564" s="519" t="str">
        <f>Volumes!I75</f>
        <v>WKM2201 WKM0</v>
      </c>
      <c r="E564" s="519">
        <f>Volumes!J75</f>
        <v>413.43386354500046</v>
      </c>
      <c r="H564" s="519">
        <f ca="1">_xlfn.IFNA(IF(VLOOKUP($B564&amp;OFFSET(H$10,$A564*2,0),'Mapping A'!$B$6:$E$1011,4,0)=1,$E564,""),0)</f>
        <v>0</v>
      </c>
      <c r="I564" s="519">
        <f ca="1">_xlfn.IFNA(IF(VLOOKUP($B564&amp;OFFSET(I$10,$A564*2,0),'Mapping A'!$B$6:$E$1011,4,0)=1,$E564,""),0)</f>
        <v>0</v>
      </c>
      <c r="J564" s="519">
        <f ca="1">_xlfn.IFNA(IF(VLOOKUP($B564&amp;OFFSET(J$10,$A564*2,0),'Mapping A'!$B$6:$E$1011,4,0)=1,$E564,""),0)</f>
        <v>0</v>
      </c>
      <c r="K564" s="519">
        <f ca="1">_xlfn.IFNA(IF(VLOOKUP($B564&amp;OFFSET(K$10,$A564*2,0),'Mapping A'!$B$6:$E$1011,4,0)=1,$E564,""),0)</f>
        <v>0</v>
      </c>
      <c r="L564" s="519">
        <f ca="1">_xlfn.IFNA(IF(VLOOKUP($B564&amp;OFFSET(L$10,$A564*2,0),'Mapping A'!$B$6:$E$1011,4,0)=1,$E564,""),0)</f>
        <v>0</v>
      </c>
      <c r="M564" s="519">
        <f ca="1">_xlfn.IFNA(IF(VLOOKUP($B564&amp;OFFSET(M$10,$A564*2,0),'Mapping A'!$B$6:$E$1011,4,0)=1,$E564,""),0)</f>
        <v>413.43386354500046</v>
      </c>
      <c r="N564" s="519">
        <f ca="1">_xlfn.IFNA(IF(VLOOKUP($B564&amp;OFFSET(N$10,$A564*2,0),'Mapping A'!$B$6:$E$1011,4,0)=1,$E564,""),0)</f>
        <v>0</v>
      </c>
      <c r="O564" s="519">
        <f ca="1">_xlfn.IFNA(IF(VLOOKUP($B564&amp;OFFSET(O$10,$A564*2,0),'Mapping A'!$B$6:$E$1011,4,0)=1,$E564,""),0)</f>
        <v>413.43386354500046</v>
      </c>
      <c r="P564" s="519">
        <f ca="1">_xlfn.IFNA(IF(VLOOKUP($B564&amp;OFFSET(P$10,$A564*2,0),'Mapping A'!$B$6:$E$1011,4,0)=1,$E564,""),0)</f>
        <v>0</v>
      </c>
      <c r="Q564" s="519">
        <f ca="1">_xlfn.IFNA(IF(VLOOKUP($B564&amp;OFFSET(Q$10,$A564*2,0),'Mapping A'!$B$6:$E$1011,4,0)=1,$E564,""),0)</f>
        <v>0</v>
      </c>
      <c r="R564" s="519">
        <f ca="1">_xlfn.IFNA(IF(VLOOKUP($B564&amp;OFFSET(R$10,$A564*2,0),'Mapping A'!$B$6:$E$1011,4,0)=1,$E564,""),0)</f>
        <v>0</v>
      </c>
      <c r="S564" s="519">
        <f ca="1">_xlfn.IFNA(IF(VLOOKUP($B564&amp;OFFSET(S$10,$A564*2,0),'Mapping A'!$B$6:$E$1011,4,0)=1,$E564,""),0)</f>
        <v>0</v>
      </c>
      <c r="T564" s="519">
        <f ca="1">_xlfn.IFNA(IF(VLOOKUP($B564&amp;OFFSET(T$10,$A564*2,0),'Mapping A'!$B$6:$E$1011,4,0)=1,$E564,""),0)</f>
        <v>0</v>
      </c>
      <c r="Y564" s="534" t="str">
        <f t="shared" si="639"/>
        <v>WKM2201 WKM0MRP</v>
      </c>
      <c r="Z564" s="519" t="str">
        <f>Volumes!H75</f>
        <v>MRP</v>
      </c>
      <c r="AA564" s="519" t="str">
        <f>Volumes!I75</f>
        <v>WKM2201 WKM0</v>
      </c>
      <c r="AB564" s="519">
        <f>Volumes!J75</f>
        <v>413.43386354500046</v>
      </c>
      <c r="AC564" s="170"/>
      <c r="AE564" s="519">
        <f t="shared" ca="1" si="625"/>
        <v>0</v>
      </c>
      <c r="AF564" s="519">
        <f t="shared" ca="1" si="626"/>
        <v>0</v>
      </c>
      <c r="AG564" s="519">
        <f t="shared" ca="1" si="627"/>
        <v>0</v>
      </c>
      <c r="AH564" s="519">
        <f t="shared" ca="1" si="628"/>
        <v>0</v>
      </c>
      <c r="AI564" s="519">
        <f t="shared" ca="1" si="629"/>
        <v>0</v>
      </c>
      <c r="AJ564" s="519">
        <f t="shared" ca="1" si="630"/>
        <v>0</v>
      </c>
      <c r="AK564" s="519">
        <f t="shared" ca="1" si="631"/>
        <v>0</v>
      </c>
      <c r="AL564" s="519">
        <f t="shared" ca="1" si="632"/>
        <v>4.787476664248444E-2</v>
      </c>
      <c r="AM564" s="519">
        <f t="shared" ca="1" si="633"/>
        <v>0</v>
      </c>
      <c r="AN564" s="519">
        <f t="shared" ca="1" si="634"/>
        <v>0</v>
      </c>
      <c r="AO564" s="519">
        <f t="shared" ca="1" si="635"/>
        <v>0</v>
      </c>
      <c r="AP564" s="519">
        <f t="shared" ca="1" si="636"/>
        <v>0</v>
      </c>
      <c r="AQ564" s="519">
        <f t="shared" ca="1" si="637"/>
        <v>0</v>
      </c>
    </row>
    <row r="565" spans="1:43" x14ac:dyDescent="0.3">
      <c r="A565" s="556">
        <f t="shared" si="624"/>
        <v>3</v>
      </c>
      <c r="B565" s="519" t="str">
        <f t="shared" si="638"/>
        <v>WPA</v>
      </c>
      <c r="C565" s="519" t="str">
        <f>Volumes!H76</f>
        <v>MRP</v>
      </c>
      <c r="D565" s="519" t="str">
        <f>Volumes!I76</f>
        <v>WPA2201 WPA0</v>
      </c>
      <c r="E565" s="519">
        <f>Volumes!J76</f>
        <v>205.38359761500072</v>
      </c>
      <c r="H565" s="519">
        <f ca="1">_xlfn.IFNA(IF(VLOOKUP($B565&amp;OFFSET(H$10,$A565*2,0),'Mapping A'!$B$6:$E$1011,4,0)=1,$E565,""),0)</f>
        <v>0</v>
      </c>
      <c r="I565" s="519">
        <f ca="1">_xlfn.IFNA(IF(VLOOKUP($B565&amp;OFFSET(I$10,$A565*2,0),'Mapping A'!$B$6:$E$1011,4,0)=1,$E565,""),0)</f>
        <v>0</v>
      </c>
      <c r="J565" s="519">
        <f ca="1">_xlfn.IFNA(IF(VLOOKUP($B565&amp;OFFSET(J$10,$A565*2,0),'Mapping A'!$B$6:$E$1011,4,0)=1,$E565,""),0)</f>
        <v>0</v>
      </c>
      <c r="K565" s="519">
        <f ca="1">_xlfn.IFNA(IF(VLOOKUP($B565&amp;OFFSET(K$10,$A565*2,0),'Mapping A'!$B$6:$E$1011,4,0)=1,$E565,""),0)</f>
        <v>0</v>
      </c>
      <c r="L565" s="519">
        <f ca="1">_xlfn.IFNA(IF(VLOOKUP($B565&amp;OFFSET(L$10,$A565*2,0),'Mapping A'!$B$6:$E$1011,4,0)=1,$E565,""),0)</f>
        <v>0</v>
      </c>
      <c r="M565" s="519">
        <f ca="1">_xlfn.IFNA(IF(VLOOKUP($B565&amp;OFFSET(M$10,$A565*2,0),'Mapping A'!$B$6:$E$1011,4,0)=1,$E565,""),0)</f>
        <v>0</v>
      </c>
      <c r="N565" s="519">
        <f ca="1">_xlfn.IFNA(IF(VLOOKUP($B565&amp;OFFSET(N$10,$A565*2,0),'Mapping A'!$B$6:$E$1011,4,0)=1,$E565,""),0)</f>
        <v>0</v>
      </c>
      <c r="O565" s="519">
        <f ca="1">_xlfn.IFNA(IF(VLOOKUP($B565&amp;OFFSET(O$10,$A565*2,0),'Mapping A'!$B$6:$E$1011,4,0)=1,$E565,""),0)</f>
        <v>205.38359761500072</v>
      </c>
      <c r="P565" s="519">
        <f ca="1">_xlfn.IFNA(IF(VLOOKUP($B565&amp;OFFSET(P$10,$A565*2,0),'Mapping A'!$B$6:$E$1011,4,0)=1,$E565,""),0)</f>
        <v>0</v>
      </c>
      <c r="Q565" s="519">
        <f ca="1">_xlfn.IFNA(IF(VLOOKUP($B565&amp;OFFSET(Q$10,$A565*2,0),'Mapping A'!$B$6:$E$1011,4,0)=1,$E565,""),0)</f>
        <v>0</v>
      </c>
      <c r="R565" s="519">
        <f ca="1">_xlfn.IFNA(IF(VLOOKUP($B565&amp;OFFSET(R$10,$A565*2,0),'Mapping A'!$B$6:$E$1011,4,0)=1,$E565,""),0)</f>
        <v>0</v>
      </c>
      <c r="S565" s="519">
        <f ca="1">_xlfn.IFNA(IF(VLOOKUP($B565&amp;OFFSET(S$10,$A565*2,0),'Mapping A'!$B$6:$E$1011,4,0)=1,$E565,""),0)</f>
        <v>0</v>
      </c>
      <c r="T565" s="519">
        <f ca="1">_xlfn.IFNA(IF(VLOOKUP($B565&amp;OFFSET(T$10,$A565*2,0),'Mapping A'!$B$6:$E$1011,4,0)=1,$E565,""),0)</f>
        <v>0</v>
      </c>
      <c r="Y565" s="534" t="str">
        <f t="shared" si="639"/>
        <v>WPA2201 WPA0MRP</v>
      </c>
      <c r="Z565" s="519" t="str">
        <f>Volumes!H76</f>
        <v>MRP</v>
      </c>
      <c r="AA565" s="519" t="str">
        <f>Volumes!I76</f>
        <v>WPA2201 WPA0</v>
      </c>
      <c r="AB565" s="519">
        <f>Volumes!J76</f>
        <v>205.38359761500072</v>
      </c>
      <c r="AC565" s="170"/>
      <c r="AE565" s="519">
        <f t="shared" ca="1" si="625"/>
        <v>0</v>
      </c>
      <c r="AF565" s="519">
        <f t="shared" ca="1" si="626"/>
        <v>0</v>
      </c>
      <c r="AG565" s="519">
        <f t="shared" ca="1" si="627"/>
        <v>0</v>
      </c>
      <c r="AH565" s="519">
        <f t="shared" ca="1" si="628"/>
        <v>0</v>
      </c>
      <c r="AI565" s="519">
        <f t="shared" ca="1" si="629"/>
        <v>0</v>
      </c>
      <c r="AJ565" s="519">
        <f t="shared" ca="1" si="630"/>
        <v>0</v>
      </c>
      <c r="AK565" s="519">
        <f t="shared" ca="1" si="631"/>
        <v>0</v>
      </c>
      <c r="AL565" s="519">
        <f t="shared" ca="1" si="632"/>
        <v>2.3782986046913007E-2</v>
      </c>
      <c r="AM565" s="519">
        <f t="shared" ca="1" si="633"/>
        <v>0</v>
      </c>
      <c r="AN565" s="519">
        <f t="shared" ca="1" si="634"/>
        <v>0</v>
      </c>
      <c r="AO565" s="519">
        <f t="shared" ca="1" si="635"/>
        <v>0</v>
      </c>
      <c r="AP565" s="519">
        <f t="shared" ca="1" si="636"/>
        <v>0</v>
      </c>
      <c r="AQ565" s="519">
        <f t="shared" ca="1" si="637"/>
        <v>0</v>
      </c>
    </row>
    <row r="566" spans="1:43" x14ac:dyDescent="0.3">
      <c r="A566" s="556">
        <f t="shared" si="624"/>
        <v>3</v>
      </c>
      <c r="B566" s="519" t="str">
        <f t="shared" si="638"/>
        <v>WRK</v>
      </c>
      <c r="C566" s="519" t="str">
        <f>Volumes!H77</f>
        <v>MRP</v>
      </c>
      <c r="D566" s="519" t="str">
        <f>Volumes!I77</f>
        <v>WRK0331 RKA0</v>
      </c>
      <c r="E566" s="519">
        <f>Volumes!J77</f>
        <v>236.14349999999999</v>
      </c>
      <c r="H566" s="519">
        <f ca="1">_xlfn.IFNA(IF(VLOOKUP($B566&amp;OFFSET(H$10,$A566*2,0),'Mapping A'!$B$6:$E$1011,4,0)=1,$E566,""),0)</f>
        <v>0</v>
      </c>
      <c r="I566" s="519">
        <f ca="1">_xlfn.IFNA(IF(VLOOKUP($B566&amp;OFFSET(I$10,$A566*2,0),'Mapping A'!$B$6:$E$1011,4,0)=1,$E566,""),0)</f>
        <v>0</v>
      </c>
      <c r="J566" s="519">
        <f ca="1">_xlfn.IFNA(IF(VLOOKUP($B566&amp;OFFSET(J$10,$A566*2,0),'Mapping A'!$B$6:$E$1011,4,0)=1,$E566,""),0)</f>
        <v>0</v>
      </c>
      <c r="K566" s="519">
        <f ca="1">_xlfn.IFNA(IF(VLOOKUP($B566&amp;OFFSET(K$10,$A566*2,0),'Mapping A'!$B$6:$E$1011,4,0)=1,$E566,""),0)</f>
        <v>0</v>
      </c>
      <c r="L566" s="519">
        <f ca="1">_xlfn.IFNA(IF(VLOOKUP($B566&amp;OFFSET(L$10,$A566*2,0),'Mapping A'!$B$6:$E$1011,4,0)=1,$E566,""),0)</f>
        <v>0</v>
      </c>
      <c r="M566" s="519">
        <f ca="1">_xlfn.IFNA(IF(VLOOKUP($B566&amp;OFFSET(M$10,$A566*2,0),'Mapping A'!$B$6:$E$1011,4,0)=1,$E566,""),0)</f>
        <v>236.14349999999999</v>
      </c>
      <c r="N566" s="519">
        <f ca="1">_xlfn.IFNA(IF(VLOOKUP($B566&amp;OFFSET(N$10,$A566*2,0),'Mapping A'!$B$6:$E$1011,4,0)=1,$E566,""),0)</f>
        <v>0</v>
      </c>
      <c r="O566" s="519">
        <f ca="1">_xlfn.IFNA(IF(VLOOKUP($B566&amp;OFFSET(O$10,$A566*2,0),'Mapping A'!$B$6:$E$1011,4,0)=1,$E566,""),0)</f>
        <v>236.14349999999999</v>
      </c>
      <c r="P566" s="519">
        <f ca="1">_xlfn.IFNA(IF(VLOOKUP($B566&amp;OFFSET(P$10,$A566*2,0),'Mapping A'!$B$6:$E$1011,4,0)=1,$E566,""),0)</f>
        <v>0</v>
      </c>
      <c r="Q566" s="519">
        <f ca="1">_xlfn.IFNA(IF(VLOOKUP($B566&amp;OFFSET(Q$10,$A566*2,0),'Mapping A'!$B$6:$E$1011,4,0)=1,$E566,""),0)</f>
        <v>0</v>
      </c>
      <c r="R566" s="519">
        <f ca="1">_xlfn.IFNA(IF(VLOOKUP($B566&amp;OFFSET(R$10,$A566*2,0),'Mapping A'!$B$6:$E$1011,4,0)=1,$E566,""),0)</f>
        <v>0</v>
      </c>
      <c r="S566" s="519">
        <f ca="1">_xlfn.IFNA(IF(VLOOKUP($B566&amp;OFFSET(S$10,$A566*2,0),'Mapping A'!$B$6:$E$1011,4,0)=1,$E566,""),0)</f>
        <v>0</v>
      </c>
      <c r="T566" s="519">
        <f ca="1">_xlfn.IFNA(IF(VLOOKUP($B566&amp;OFFSET(T$10,$A566*2,0),'Mapping A'!$B$6:$E$1011,4,0)=1,$E566,""),0)</f>
        <v>0</v>
      </c>
      <c r="Y566" s="534" t="str">
        <f t="shared" si="639"/>
        <v>WRK0331 RKA0MRP</v>
      </c>
      <c r="Z566" s="519" t="str">
        <f>Volumes!H77</f>
        <v>MRP</v>
      </c>
      <c r="AA566" s="519" t="str">
        <f>Volumes!I77</f>
        <v>WRK0331 RKA0</v>
      </c>
      <c r="AB566" s="519">
        <f>Volumes!J77</f>
        <v>236.14349999999999</v>
      </c>
      <c r="AC566" s="170"/>
      <c r="AE566" s="519">
        <f t="shared" ca="1" si="625"/>
        <v>0</v>
      </c>
      <c r="AF566" s="519">
        <f t="shared" ca="1" si="626"/>
        <v>0</v>
      </c>
      <c r="AG566" s="519">
        <f t="shared" ca="1" si="627"/>
        <v>0</v>
      </c>
      <c r="AH566" s="519">
        <f t="shared" ca="1" si="628"/>
        <v>0</v>
      </c>
      <c r="AI566" s="519">
        <f t="shared" ca="1" si="629"/>
        <v>0</v>
      </c>
      <c r="AJ566" s="519">
        <f t="shared" ca="1" si="630"/>
        <v>0</v>
      </c>
      <c r="AK566" s="519">
        <f t="shared" ca="1" si="631"/>
        <v>0</v>
      </c>
      <c r="AL566" s="519">
        <f t="shared" ca="1" si="632"/>
        <v>2.7344917660352679E-2</v>
      </c>
      <c r="AM566" s="519">
        <f t="shared" ca="1" si="633"/>
        <v>0</v>
      </c>
      <c r="AN566" s="519">
        <f t="shared" ca="1" si="634"/>
        <v>0</v>
      </c>
      <c r="AO566" s="519">
        <f t="shared" ca="1" si="635"/>
        <v>0</v>
      </c>
      <c r="AP566" s="519">
        <f t="shared" ca="1" si="636"/>
        <v>0</v>
      </c>
      <c r="AQ566" s="519">
        <f t="shared" ca="1" si="637"/>
        <v>0</v>
      </c>
    </row>
    <row r="567" spans="1:43" x14ac:dyDescent="0.3">
      <c r="A567" s="556">
        <f t="shared" si="624"/>
        <v>3</v>
      </c>
      <c r="B567" s="519" t="str">
        <f t="shared" si="638"/>
        <v>WRK</v>
      </c>
      <c r="C567" s="519" t="str">
        <f>Volumes!H78</f>
        <v>Contact</v>
      </c>
      <c r="D567" s="519" t="str">
        <f>Volumes!I78</f>
        <v>WRK0331 TAA0</v>
      </c>
      <c r="E567" s="519">
        <f>Volumes!J78</f>
        <v>210.61750000000001</v>
      </c>
      <c r="H567" s="519">
        <f ca="1">_xlfn.IFNA(IF(VLOOKUP($B567&amp;OFFSET(H$10,$A567*2,0),'Mapping A'!$B$6:$E$1011,4,0)=1,$E567,""),0)</f>
        <v>0</v>
      </c>
      <c r="I567" s="519">
        <f ca="1">_xlfn.IFNA(IF(VLOOKUP($B567&amp;OFFSET(I$10,$A567*2,0),'Mapping A'!$B$6:$E$1011,4,0)=1,$E567,""),0)</f>
        <v>0</v>
      </c>
      <c r="J567" s="519">
        <f ca="1">_xlfn.IFNA(IF(VLOOKUP($B567&amp;OFFSET(J$10,$A567*2,0),'Mapping A'!$B$6:$E$1011,4,0)=1,$E567,""),0)</f>
        <v>0</v>
      </c>
      <c r="K567" s="519">
        <f ca="1">_xlfn.IFNA(IF(VLOOKUP($B567&amp;OFFSET(K$10,$A567*2,0),'Mapping A'!$B$6:$E$1011,4,0)=1,$E567,""),0)</f>
        <v>0</v>
      </c>
      <c r="L567" s="519">
        <f ca="1">_xlfn.IFNA(IF(VLOOKUP($B567&amp;OFFSET(L$10,$A567*2,0),'Mapping A'!$B$6:$E$1011,4,0)=1,$E567,""),0)</f>
        <v>0</v>
      </c>
      <c r="M567" s="519">
        <f ca="1">_xlfn.IFNA(IF(VLOOKUP($B567&amp;OFFSET(M$10,$A567*2,0),'Mapping A'!$B$6:$E$1011,4,0)=1,$E567,""),0)</f>
        <v>210.61750000000001</v>
      </c>
      <c r="N567" s="519">
        <f ca="1">_xlfn.IFNA(IF(VLOOKUP($B567&amp;OFFSET(N$10,$A567*2,0),'Mapping A'!$B$6:$E$1011,4,0)=1,$E567,""),0)</f>
        <v>0</v>
      </c>
      <c r="O567" s="519">
        <f ca="1">_xlfn.IFNA(IF(VLOOKUP($B567&amp;OFFSET(O$10,$A567*2,0),'Mapping A'!$B$6:$E$1011,4,0)=1,$E567,""),0)</f>
        <v>210.61750000000001</v>
      </c>
      <c r="P567" s="519">
        <f ca="1">_xlfn.IFNA(IF(VLOOKUP($B567&amp;OFFSET(P$10,$A567*2,0),'Mapping A'!$B$6:$E$1011,4,0)=1,$E567,""),0)</f>
        <v>0</v>
      </c>
      <c r="Q567" s="519">
        <f ca="1">_xlfn.IFNA(IF(VLOOKUP($B567&amp;OFFSET(Q$10,$A567*2,0),'Mapping A'!$B$6:$E$1011,4,0)=1,$E567,""),0)</f>
        <v>0</v>
      </c>
      <c r="R567" s="519">
        <f ca="1">_xlfn.IFNA(IF(VLOOKUP($B567&amp;OFFSET(R$10,$A567*2,0),'Mapping A'!$B$6:$E$1011,4,0)=1,$E567,""),0)</f>
        <v>0</v>
      </c>
      <c r="S567" s="519">
        <f ca="1">_xlfn.IFNA(IF(VLOOKUP($B567&amp;OFFSET(S$10,$A567*2,0),'Mapping A'!$B$6:$E$1011,4,0)=1,$E567,""),0)</f>
        <v>0</v>
      </c>
      <c r="T567" s="519">
        <f ca="1">_xlfn.IFNA(IF(VLOOKUP($B567&amp;OFFSET(T$10,$A567*2,0),'Mapping A'!$B$6:$E$1011,4,0)=1,$E567,""),0)</f>
        <v>0</v>
      </c>
      <c r="Y567" s="534" t="str">
        <f t="shared" si="639"/>
        <v>WRK0331 TAA0Contact</v>
      </c>
      <c r="Z567" s="519" t="str">
        <f>Volumes!H78</f>
        <v>Contact</v>
      </c>
      <c r="AA567" s="519" t="str">
        <f>Volumes!I78</f>
        <v>WRK0331 TAA0</v>
      </c>
      <c r="AB567" s="519">
        <f>Volumes!J78</f>
        <v>210.61750000000001</v>
      </c>
      <c r="AC567" s="170"/>
      <c r="AE567" s="519">
        <f t="shared" ca="1" si="625"/>
        <v>0</v>
      </c>
      <c r="AF567" s="519">
        <f t="shared" ca="1" si="626"/>
        <v>0</v>
      </c>
      <c r="AG567" s="519">
        <f t="shared" ca="1" si="627"/>
        <v>0</v>
      </c>
      <c r="AH567" s="519">
        <f t="shared" ca="1" si="628"/>
        <v>0</v>
      </c>
      <c r="AI567" s="519">
        <f t="shared" ca="1" si="629"/>
        <v>0</v>
      </c>
      <c r="AJ567" s="519">
        <f t="shared" ca="1" si="630"/>
        <v>0</v>
      </c>
      <c r="AK567" s="519">
        <f t="shared" ca="1" si="631"/>
        <v>0</v>
      </c>
      <c r="AL567" s="519">
        <f t="shared" ca="1" si="632"/>
        <v>2.438906086904501E-2</v>
      </c>
      <c r="AM567" s="519">
        <f t="shared" ca="1" si="633"/>
        <v>0</v>
      </c>
      <c r="AN567" s="519">
        <f t="shared" ca="1" si="634"/>
        <v>0</v>
      </c>
      <c r="AO567" s="519">
        <f t="shared" ca="1" si="635"/>
        <v>0</v>
      </c>
      <c r="AP567" s="519">
        <f t="shared" ca="1" si="636"/>
        <v>0</v>
      </c>
      <c r="AQ567" s="519">
        <f t="shared" ca="1" si="637"/>
        <v>0</v>
      </c>
    </row>
    <row r="568" spans="1:43" x14ac:dyDescent="0.3">
      <c r="A568" s="556">
        <f t="shared" si="624"/>
        <v>3</v>
      </c>
      <c r="B568" s="519" t="str">
        <f t="shared" si="638"/>
        <v>WRK</v>
      </c>
      <c r="C568" s="519" t="str">
        <f>Volumes!H79</f>
        <v>Contact</v>
      </c>
      <c r="D568" s="519" t="str">
        <f>Volumes!I79</f>
        <v>WRK2201 WRK0</v>
      </c>
      <c r="E568" s="519">
        <f>Volumes!J79</f>
        <v>1578.665</v>
      </c>
      <c r="H568" s="519">
        <f ca="1">_xlfn.IFNA(IF(VLOOKUP($B568&amp;OFFSET(H$10,$A568*2,0),'Mapping A'!$B$6:$E$1011,4,0)=1,$E568,""),0)</f>
        <v>0</v>
      </c>
      <c r="I568" s="519">
        <f ca="1">_xlfn.IFNA(IF(VLOOKUP($B568&amp;OFFSET(I$10,$A568*2,0),'Mapping A'!$B$6:$E$1011,4,0)=1,$E568,""),0)</f>
        <v>0</v>
      </c>
      <c r="J568" s="519">
        <f ca="1">_xlfn.IFNA(IF(VLOOKUP($B568&amp;OFFSET(J$10,$A568*2,0),'Mapping A'!$B$6:$E$1011,4,0)=1,$E568,""),0)</f>
        <v>0</v>
      </c>
      <c r="K568" s="519">
        <f ca="1">_xlfn.IFNA(IF(VLOOKUP($B568&amp;OFFSET(K$10,$A568*2,0),'Mapping A'!$B$6:$E$1011,4,0)=1,$E568,""),0)</f>
        <v>0</v>
      </c>
      <c r="L568" s="519">
        <f ca="1">_xlfn.IFNA(IF(VLOOKUP($B568&amp;OFFSET(L$10,$A568*2,0),'Mapping A'!$B$6:$E$1011,4,0)=1,$E568,""),0)</f>
        <v>0</v>
      </c>
      <c r="M568" s="519">
        <f ca="1">_xlfn.IFNA(IF(VLOOKUP($B568&amp;OFFSET(M$10,$A568*2,0),'Mapping A'!$B$6:$E$1011,4,0)=1,$E568,""),0)</f>
        <v>1578.665</v>
      </c>
      <c r="N568" s="519">
        <f ca="1">_xlfn.IFNA(IF(VLOOKUP($B568&amp;OFFSET(N$10,$A568*2,0),'Mapping A'!$B$6:$E$1011,4,0)=1,$E568,""),0)</f>
        <v>0</v>
      </c>
      <c r="O568" s="519">
        <f ca="1">_xlfn.IFNA(IF(VLOOKUP($B568&amp;OFFSET(O$10,$A568*2,0),'Mapping A'!$B$6:$E$1011,4,0)=1,$E568,""),0)</f>
        <v>1578.665</v>
      </c>
      <c r="P568" s="519">
        <f ca="1">_xlfn.IFNA(IF(VLOOKUP($B568&amp;OFFSET(P$10,$A568*2,0),'Mapping A'!$B$6:$E$1011,4,0)=1,$E568,""),0)</f>
        <v>0</v>
      </c>
      <c r="Q568" s="519">
        <f ca="1">_xlfn.IFNA(IF(VLOOKUP($B568&amp;OFFSET(Q$10,$A568*2,0),'Mapping A'!$B$6:$E$1011,4,0)=1,$E568,""),0)</f>
        <v>0</v>
      </c>
      <c r="R568" s="519">
        <f ca="1">_xlfn.IFNA(IF(VLOOKUP($B568&amp;OFFSET(R$10,$A568*2,0),'Mapping A'!$B$6:$E$1011,4,0)=1,$E568,""),0)</f>
        <v>0</v>
      </c>
      <c r="S568" s="519">
        <f ca="1">_xlfn.IFNA(IF(VLOOKUP($B568&amp;OFFSET(S$10,$A568*2,0),'Mapping A'!$B$6:$E$1011,4,0)=1,$E568,""),0)</f>
        <v>0</v>
      </c>
      <c r="T568" s="519">
        <f ca="1">_xlfn.IFNA(IF(VLOOKUP($B568&amp;OFFSET(T$10,$A568*2,0),'Mapping A'!$B$6:$E$1011,4,0)=1,$E568,""),0)</f>
        <v>0</v>
      </c>
      <c r="Y568" s="534" t="str">
        <f t="shared" si="639"/>
        <v>WRK2201 WRK0Contact</v>
      </c>
      <c r="Z568" s="519" t="str">
        <f>Volumes!H79</f>
        <v>Contact</v>
      </c>
      <c r="AA568" s="519" t="str">
        <f>Volumes!I79</f>
        <v>WRK2201 WRK0</v>
      </c>
      <c r="AB568" s="519">
        <f>Volumes!J79</f>
        <v>1578.665</v>
      </c>
      <c r="AC568" s="170"/>
      <c r="AE568" s="519">
        <f t="shared" ca="1" si="625"/>
        <v>0</v>
      </c>
      <c r="AF568" s="519">
        <f t="shared" ca="1" si="626"/>
        <v>0</v>
      </c>
      <c r="AG568" s="519">
        <f t="shared" ca="1" si="627"/>
        <v>0</v>
      </c>
      <c r="AH568" s="519">
        <f t="shared" ca="1" si="628"/>
        <v>0</v>
      </c>
      <c r="AI568" s="519">
        <f t="shared" ca="1" si="629"/>
        <v>0</v>
      </c>
      <c r="AJ568" s="519">
        <f t="shared" ca="1" si="630"/>
        <v>0</v>
      </c>
      <c r="AK568" s="519">
        <f t="shared" ca="1" si="631"/>
        <v>0</v>
      </c>
      <c r="AL568" s="519">
        <f t="shared" ca="1" si="632"/>
        <v>0.18280606681225892</v>
      </c>
      <c r="AM568" s="519">
        <f t="shared" ca="1" si="633"/>
        <v>0</v>
      </c>
      <c r="AN568" s="519">
        <f t="shared" ca="1" si="634"/>
        <v>0</v>
      </c>
      <c r="AO568" s="519">
        <f t="shared" ca="1" si="635"/>
        <v>0</v>
      </c>
      <c r="AP568" s="519">
        <f t="shared" ca="1" si="636"/>
        <v>0</v>
      </c>
      <c r="AQ568" s="519">
        <f t="shared" ca="1" si="637"/>
        <v>0</v>
      </c>
    </row>
    <row r="569" spans="1:43" x14ac:dyDescent="0.3">
      <c r="A569" s="556">
        <f t="shared" si="624"/>
        <v>3</v>
      </c>
      <c r="B569" s="519" t="str">
        <f t="shared" si="638"/>
        <v>WTK</v>
      </c>
      <c r="C569" s="519" t="str">
        <f>Volumes!H80</f>
        <v>Meridian</v>
      </c>
      <c r="D569" s="519" t="str">
        <f>Volumes!I80</f>
        <v>WTK0111 WTK0</v>
      </c>
      <c r="E569" s="519">
        <f>Volumes!J80</f>
        <v>557.59220314999993</v>
      </c>
      <c r="H569" s="519">
        <f ca="1">_xlfn.IFNA(IF(VLOOKUP($B569&amp;OFFSET(H$10,$A569*2,0),'Mapping A'!$B$6:$E$1011,4,0)=1,$E569,""),0)</f>
        <v>0</v>
      </c>
      <c r="I569" s="519">
        <f ca="1">_xlfn.IFNA(IF(VLOOKUP($B569&amp;OFFSET(I$10,$A569*2,0),'Mapping A'!$B$6:$E$1011,4,0)=1,$E569,""),0)</f>
        <v>557.59220314999993</v>
      </c>
      <c r="J569" s="519">
        <f ca="1">_xlfn.IFNA(IF(VLOOKUP($B569&amp;OFFSET(J$10,$A569*2,0),'Mapping A'!$B$6:$E$1011,4,0)=1,$E569,""),0)</f>
        <v>557.59220314999993</v>
      </c>
      <c r="K569" s="519">
        <f ca="1">_xlfn.IFNA(IF(VLOOKUP($B569&amp;OFFSET(K$10,$A569*2,0),'Mapping A'!$B$6:$E$1011,4,0)=1,$E569,""),0)</f>
        <v>0</v>
      </c>
      <c r="L569" s="519">
        <f ca="1">_xlfn.IFNA(IF(VLOOKUP($B569&amp;OFFSET(L$10,$A569*2,0),'Mapping A'!$B$6:$E$1011,4,0)=1,$E569,""),0)</f>
        <v>0</v>
      </c>
      <c r="M569" s="519">
        <f ca="1">_xlfn.IFNA(IF(VLOOKUP($B569&amp;OFFSET(M$10,$A569*2,0),'Mapping A'!$B$6:$E$1011,4,0)=1,$E569,""),0)</f>
        <v>0</v>
      </c>
      <c r="N569" s="519">
        <f ca="1">_xlfn.IFNA(IF(VLOOKUP($B569&amp;OFFSET(N$10,$A569*2,0),'Mapping A'!$B$6:$E$1011,4,0)=1,$E569,""),0)</f>
        <v>0</v>
      </c>
      <c r="O569" s="519">
        <f ca="1">_xlfn.IFNA(IF(VLOOKUP($B569&amp;OFFSET(O$10,$A569*2,0),'Mapping A'!$B$6:$E$1011,4,0)=1,$E569,""),0)</f>
        <v>0</v>
      </c>
      <c r="P569" s="519">
        <f ca="1">_xlfn.IFNA(IF(VLOOKUP($B569&amp;OFFSET(P$10,$A569*2,0),'Mapping A'!$B$6:$E$1011,4,0)=1,$E569,""),0)</f>
        <v>0</v>
      </c>
      <c r="Q569" s="519">
        <f ca="1">_xlfn.IFNA(IF(VLOOKUP($B569&amp;OFFSET(Q$10,$A569*2,0),'Mapping A'!$B$6:$E$1011,4,0)=1,$E569,""),0)</f>
        <v>0</v>
      </c>
      <c r="R569" s="519">
        <f ca="1">_xlfn.IFNA(IF(VLOOKUP($B569&amp;OFFSET(R$10,$A569*2,0),'Mapping A'!$B$6:$E$1011,4,0)=1,$E569,""),0)</f>
        <v>0</v>
      </c>
      <c r="S569" s="519">
        <f ca="1">_xlfn.IFNA(IF(VLOOKUP($B569&amp;OFFSET(S$10,$A569*2,0),'Mapping A'!$B$6:$E$1011,4,0)=1,$E569,""),0)</f>
        <v>0</v>
      </c>
      <c r="T569" s="519">
        <f ca="1">_xlfn.IFNA(IF(VLOOKUP($B569&amp;OFFSET(T$10,$A569*2,0),'Mapping A'!$B$6:$E$1011,4,0)=1,$E569,""),0)</f>
        <v>0</v>
      </c>
      <c r="Y569" s="534" t="str">
        <f t="shared" si="639"/>
        <v>WTK0111 WTK0Meridian</v>
      </c>
      <c r="Z569" s="519" t="str">
        <f>Volumes!H80</f>
        <v>Meridian</v>
      </c>
      <c r="AA569" s="519" t="str">
        <f>Volumes!I80</f>
        <v>WTK0111 WTK0</v>
      </c>
      <c r="AB569" s="519">
        <f>Volumes!J80</f>
        <v>557.59220314999993</v>
      </c>
      <c r="AC569" s="170"/>
      <c r="AE569" s="519">
        <f t="shared" ca="1" si="625"/>
        <v>0</v>
      </c>
      <c r="AF569" s="519">
        <f t="shared" ca="1" si="626"/>
        <v>0</v>
      </c>
      <c r="AG569" s="519">
        <f t="shared" ca="1" si="627"/>
        <v>0</v>
      </c>
      <c r="AH569" s="519">
        <f t="shared" ca="1" si="628"/>
        <v>0</v>
      </c>
      <c r="AI569" s="519">
        <f t="shared" ca="1" si="629"/>
        <v>0</v>
      </c>
      <c r="AJ569" s="519">
        <f t="shared" ca="1" si="630"/>
        <v>0</v>
      </c>
      <c r="AK569" s="519">
        <f t="shared" ca="1" si="631"/>
        <v>0</v>
      </c>
      <c r="AL569" s="519">
        <f t="shared" ca="1" si="632"/>
        <v>0</v>
      </c>
      <c r="AM569" s="519">
        <f t="shared" ca="1" si="633"/>
        <v>0</v>
      </c>
      <c r="AN569" s="519">
        <f t="shared" ca="1" si="634"/>
        <v>0</v>
      </c>
      <c r="AO569" s="519">
        <f t="shared" ca="1" si="635"/>
        <v>0</v>
      </c>
      <c r="AP569" s="519">
        <f t="shared" ca="1" si="636"/>
        <v>0</v>
      </c>
      <c r="AQ569" s="519">
        <f t="shared" ca="1" si="637"/>
        <v>0</v>
      </c>
    </row>
    <row r="570" spans="1:43" x14ac:dyDescent="0.3">
      <c r="A570" s="556"/>
      <c r="Y570" s="534"/>
      <c r="AG570" s="535"/>
      <c r="AH570" s="535"/>
      <c r="AI570" s="535"/>
      <c r="AJ570" s="535"/>
      <c r="AK570" s="535"/>
      <c r="AL570" s="535"/>
      <c r="AM570" s="535"/>
      <c r="AN570" s="535"/>
      <c r="AO570" s="535"/>
    </row>
    <row r="571" spans="1:43" x14ac:dyDescent="0.3">
      <c r="A571" s="556"/>
      <c r="Y571" s="534"/>
      <c r="AG571" s="535"/>
      <c r="AH571" s="535"/>
      <c r="AI571" s="535"/>
      <c r="AJ571" s="535"/>
      <c r="AK571" s="535"/>
      <c r="AL571" s="535"/>
      <c r="AM571" s="535"/>
      <c r="AN571" s="535"/>
      <c r="AO571" s="535"/>
    </row>
    <row r="572" spans="1:43" x14ac:dyDescent="0.3">
      <c r="A572" s="556"/>
      <c r="C572" s="532" t="s">
        <v>466</v>
      </c>
      <c r="Y572" s="534"/>
      <c r="Z572" s="532" t="s">
        <v>466</v>
      </c>
      <c r="AG572" s="535"/>
      <c r="AH572" s="535"/>
      <c r="AI572" s="535"/>
      <c r="AJ572" s="535"/>
      <c r="AK572" s="535"/>
      <c r="AL572" s="535"/>
      <c r="AM572" s="535"/>
      <c r="AN572" s="535"/>
      <c r="AO572" s="535"/>
    </row>
    <row r="573" spans="1:43" x14ac:dyDescent="0.3">
      <c r="A573" s="556"/>
      <c r="C573" s="528" t="s">
        <v>459</v>
      </c>
      <c r="Y573" s="534"/>
      <c r="Z573" s="528" t="s">
        <v>459</v>
      </c>
      <c r="AG573" s="535"/>
      <c r="AH573" s="535"/>
      <c r="AI573" s="535"/>
      <c r="AJ573" s="535"/>
      <c r="AK573" s="535"/>
      <c r="AL573" s="535"/>
      <c r="AM573" s="535"/>
      <c r="AN573" s="535"/>
      <c r="AO573" s="535"/>
    </row>
    <row r="574" spans="1:43" x14ac:dyDescent="0.3">
      <c r="A574" s="556"/>
      <c r="C574" s="528" t="s">
        <v>65</v>
      </c>
      <c r="D574" s="528" t="s">
        <v>389</v>
      </c>
      <c r="E574" s="528" t="s">
        <v>461</v>
      </c>
      <c r="H574" s="543"/>
      <c r="I574" s="543"/>
      <c r="J574" s="543"/>
      <c r="K574" s="543"/>
      <c r="L574" s="543"/>
      <c r="M574" s="543"/>
      <c r="N574" s="543"/>
      <c r="O574" s="543"/>
      <c r="P574" s="543"/>
      <c r="Q574" s="543"/>
      <c r="R574" s="543"/>
      <c r="S574" s="543"/>
      <c r="T574" s="543"/>
      <c r="Y574" s="534"/>
      <c r="Z574" s="528" t="s">
        <v>65</v>
      </c>
      <c r="AA574" s="528" t="s">
        <v>389</v>
      </c>
      <c r="AB574" s="528" t="s">
        <v>461</v>
      </c>
      <c r="AE574" s="543"/>
      <c r="AF574" s="543"/>
      <c r="AG574" s="543"/>
      <c r="AH574" s="543"/>
      <c r="AI574" s="543"/>
      <c r="AJ574" s="543"/>
      <c r="AK574" s="543"/>
      <c r="AL574" s="543"/>
      <c r="AM574" s="543"/>
      <c r="AN574" s="543"/>
      <c r="AO574" s="543"/>
      <c r="AP574" s="543"/>
      <c r="AQ574" s="543"/>
    </row>
    <row r="575" spans="1:43" x14ac:dyDescent="0.3">
      <c r="A575" s="556">
        <f>A492+1</f>
        <v>4</v>
      </c>
      <c r="B575" s="519" t="str">
        <f>LEFT(D575,3)</f>
        <v>ARA</v>
      </c>
      <c r="C575" s="519" t="str">
        <f>Volumes!H3</f>
        <v>MRP</v>
      </c>
      <c r="D575" s="519" t="str">
        <f>Volumes!I3</f>
        <v>ARA2201 ARA0</v>
      </c>
      <c r="E575" s="519">
        <f>Volumes!J3</f>
        <v>271.18327176500003</v>
      </c>
      <c r="G575" s="525"/>
      <c r="H575" s="519">
        <f ca="1">_xlfn.IFNA(IF(VLOOKUP($B575&amp;OFFSET(H$10,$A575*2,0),'Mapping A'!$B$6:$E$1011,4,0)=1,$E575,""),0)</f>
        <v>0</v>
      </c>
      <c r="I575" s="519">
        <f ca="1">_xlfn.IFNA(IF(VLOOKUP($B575&amp;OFFSET(I$10,$A575*2,0),'Mapping A'!$B$6:$E$1011,4,0)=1,$E575,""),0)</f>
        <v>0</v>
      </c>
      <c r="J575" s="519">
        <f ca="1">_xlfn.IFNA(IF(VLOOKUP($B575&amp;OFFSET(J$10,$A575*2,0),'Mapping A'!$B$6:$E$1011,4,0)=1,$E575,""),0)</f>
        <v>0</v>
      </c>
      <c r="K575" s="519">
        <f ca="1">_xlfn.IFNA(IF(VLOOKUP($B575&amp;OFFSET(K$10,$A575*2,0),'Mapping A'!$B$6:$E$1011,4,0)=1,$E575,""),0)</f>
        <v>0</v>
      </c>
      <c r="L575" s="519">
        <f ca="1">_xlfn.IFNA(IF(VLOOKUP($B575&amp;OFFSET(L$10,$A575*2,0),'Mapping A'!$B$6:$E$1011,4,0)=1,$E575,""),0)</f>
        <v>0</v>
      </c>
      <c r="M575" s="519">
        <f ca="1">_xlfn.IFNA(IF(VLOOKUP($B575&amp;OFFSET(M$10,$A575*2,0),'Mapping A'!$B$6:$E$1011,4,0)=1,$E575,""),0)</f>
        <v>0</v>
      </c>
      <c r="N575" s="519">
        <f ca="1">_xlfn.IFNA(IF(VLOOKUP($B575&amp;OFFSET(N$10,$A575*2,0),'Mapping A'!$B$6:$E$1011,4,0)=1,$E575,""),0)</f>
        <v>0</v>
      </c>
      <c r="O575" s="519">
        <f ca="1">_xlfn.IFNA(IF(VLOOKUP($B575&amp;OFFSET(O$10,$A575*2,0),'Mapping A'!$B$6:$E$1011,4,0)=1,$E575,""),0)</f>
        <v>0</v>
      </c>
      <c r="P575" s="519">
        <f ca="1">_xlfn.IFNA(IF(VLOOKUP($B575&amp;OFFSET(P$10,$A575*2,0),'Mapping A'!$B$6:$E$1011,4,0)=1,$E575,""),0)</f>
        <v>0</v>
      </c>
      <c r="Q575" s="519">
        <f ca="1">_xlfn.IFNA(IF(VLOOKUP($B575&amp;OFFSET(Q$10,$A575*2,0),'Mapping A'!$B$6:$E$1011,4,0)=1,$E575,""),0)</f>
        <v>0</v>
      </c>
      <c r="R575" s="519">
        <f ca="1">_xlfn.IFNA(IF(VLOOKUP($B575&amp;OFFSET(R$10,$A575*2,0),'Mapping A'!$B$6:$E$1011,4,0)=1,$E575,""),0)</f>
        <v>0</v>
      </c>
      <c r="S575" s="519">
        <f ca="1">_xlfn.IFNA(IF(VLOOKUP($B575&amp;OFFSET(S$10,$A575*2,0),'Mapping A'!$B$6:$E$1011,4,0)=1,$E575,""),0)</f>
        <v>0</v>
      </c>
      <c r="T575" s="519">
        <f ca="1">_xlfn.IFNA(IF(VLOOKUP($B575&amp;OFFSET(T$10,$A575*2,0),'Mapping A'!$B$6:$E$1011,4,0)=1,$E575,""),0)</f>
        <v>0</v>
      </c>
      <c r="Y575" s="534" t="str">
        <f t="shared" ref="Y575" si="640">AA575&amp;Z575</f>
        <v>ARA2201 ARA0MRP</v>
      </c>
      <c r="Z575" s="519" t="str">
        <f>Volumes!H3</f>
        <v>MRP</v>
      </c>
      <c r="AA575" s="519" t="str">
        <f>Volumes!I3</f>
        <v>ARA2201 ARA0</v>
      </c>
      <c r="AB575" s="519">
        <f>Volumes!J3</f>
        <v>271.18327176500003</v>
      </c>
      <c r="AC575" s="170"/>
      <c r="AE575" s="519">
        <f t="shared" ref="AE575:AE638" ca="1" si="641">IF(SUMIF($A$22:$A$652,$A575,H$22:H$652)=0,0,OFFSET(H$11,$A575*2,0)*H$7*H575/SUMIF($A$22:$A$652,$A575,H$22:H$652))</f>
        <v>0</v>
      </c>
      <c r="AF575" s="519">
        <f t="shared" ref="AF575:AF638" ca="1" si="642">IF(SUMIF($A$22:$A$652,$A575,I$22:I$652)=0,0,OFFSET(I$11,$A575*2,0)*I$7*I575/SUMIF($A$22:$A$652,$A575,I$22:I$652))</f>
        <v>0</v>
      </c>
      <c r="AG575" s="519">
        <f t="shared" ref="AG575:AG638" ca="1" si="643">IF(SUMIF($A$22:$A$652,$A575,J$22:J$652)=0,0,OFFSET(J$11,$A575*2,0)*J$7*J575/SUMIF($A$22:$A$652,$A575,J$22:J$652))</f>
        <v>0</v>
      </c>
      <c r="AH575" s="519">
        <f t="shared" ref="AH575:AH638" ca="1" si="644">IF(SUMIF($A$22:$A$652,$A575,K$22:K$652)=0,0,OFFSET(K$11,$A575*2,0)*K$7*K575/SUMIF($A$22:$A$652,$A575,K$22:K$652))</f>
        <v>0</v>
      </c>
      <c r="AI575" s="519">
        <f t="shared" ref="AI575:AI638" ca="1" si="645">IF(SUMIF($A$22:$A$652,$A575,L$22:L$652)=0,0,OFFSET(L$11,$A575*2,0)*L$7*L575/SUMIF($A$22:$A$652,$A575,L$22:L$652))</f>
        <v>0</v>
      </c>
      <c r="AJ575" s="519">
        <f t="shared" ref="AJ575:AJ638" ca="1" si="646">IF(SUMIF($A$22:$A$652,$A575,M$22:M$652)=0,0,OFFSET(M$11,$A575*2,0)*M$7*M575/SUMIF($A$22:$A$652,$A575,M$22:M$652))</f>
        <v>0</v>
      </c>
      <c r="AK575" s="519">
        <f t="shared" ref="AK575:AK638" ca="1" si="647">IF(SUMIF($A$22:$A$652,$A575,N$22:N$652)=0,0,OFFSET(N$11,$A575*2,0)*N$7*N575/SUMIF($A$22:$A$652,$A575,N$22:N$652))</f>
        <v>0</v>
      </c>
      <c r="AL575" s="519">
        <f t="shared" ref="AL575:AL638" ca="1" si="648">IF(SUMIF($A$22:$A$652,$A575,O$22:O$652)=0,0,OFFSET(O$11,$A575*2,0)*O$7*O575/SUMIF($A$22:$A$652,$A575,O$22:O$652))</f>
        <v>0</v>
      </c>
      <c r="AM575" s="519">
        <f t="shared" ref="AM575:AM638" ca="1" si="649">IF(SUMIF($A$22:$A$652,$A575,P$22:P$652)=0,0,OFFSET(P$11,$A575*2,0)*P$7*P575/SUMIF($A$22:$A$652,$A575,P$22:P$652))</f>
        <v>0</v>
      </c>
      <c r="AN575" s="519">
        <f t="shared" ref="AN575:AN638" ca="1" si="650">IF(SUMIF($A$22:$A$652,$A575,Q$22:Q$652)=0,0,OFFSET(Q$11,$A575*2,0)*Q$7*Q575/SUMIF($A$22:$A$652,$A575,Q$22:Q$652))</f>
        <v>0</v>
      </c>
      <c r="AO575" s="519">
        <f t="shared" ref="AO575:AO638" ca="1" si="651">IF(SUMIF($A$22:$A$652,$A575,R$22:R$652)=0,0,OFFSET(R$11,$A575*2,0)*R$7*R575/SUMIF($A$22:$A$652,$A575,R$22:R$652))</f>
        <v>0</v>
      </c>
      <c r="AP575" s="519">
        <f t="shared" ref="AP575:AP638" ca="1" si="652">IF(SUMIF($A$22:$A$652,$A575,S$22:S$652)=0,0,OFFSET(S$11,$A575*2,0)*S$7*S575/SUMIF($A$22:$A$652,$A575,S$22:S$652))</f>
        <v>0</v>
      </c>
      <c r="AQ575" s="519">
        <f t="shared" ref="AQ575:AQ638" ca="1" si="653">IF(SUMIF($A$22:$A$652,$A575,T$22:T$652)=0,0,OFFSET(T$11,$A575*2,0)*T$7*T575/SUMIF($A$22:$A$652,$A575,T$22:T$652))</f>
        <v>0</v>
      </c>
    </row>
    <row r="576" spans="1:43" x14ac:dyDescent="0.3">
      <c r="A576" s="556">
        <f t="shared" ref="A576:A639" si="654">A493+1</f>
        <v>4</v>
      </c>
      <c r="B576" s="519" t="str">
        <f t="shared" ref="B576:B639" si="655">LEFT(D576,3)</f>
        <v>ARG</v>
      </c>
      <c r="C576" s="519" t="str">
        <f>Volumes!H4</f>
        <v>Trustpower</v>
      </c>
      <c r="D576" s="519" t="str">
        <f>Volumes!I4</f>
        <v>ARG1101 BRR0</v>
      </c>
      <c r="E576" s="519">
        <f>Volumes!J4</f>
        <v>48.646827304999995</v>
      </c>
      <c r="G576" s="525"/>
      <c r="H576" s="519">
        <f ca="1">_xlfn.IFNA(IF(VLOOKUP($B576&amp;OFFSET(H$10,$A576*2,0),'Mapping A'!$B$6:$E$1011,4,0)=1,$E576,""),0)</f>
        <v>0</v>
      </c>
      <c r="I576" s="519">
        <f ca="1">_xlfn.IFNA(IF(VLOOKUP($B576&amp;OFFSET(I$10,$A576*2,0),'Mapping A'!$B$6:$E$1011,4,0)=1,$E576,""),0)</f>
        <v>0</v>
      </c>
      <c r="J576" s="519">
        <f ca="1">_xlfn.IFNA(IF(VLOOKUP($B576&amp;OFFSET(J$10,$A576*2,0),'Mapping A'!$B$6:$E$1011,4,0)=1,$E576,""),0)</f>
        <v>0</v>
      </c>
      <c r="K576" s="519">
        <f ca="1">_xlfn.IFNA(IF(VLOOKUP($B576&amp;OFFSET(K$10,$A576*2,0),'Mapping A'!$B$6:$E$1011,4,0)=1,$E576,""),0)</f>
        <v>0</v>
      </c>
      <c r="L576" s="519">
        <f ca="1">_xlfn.IFNA(IF(VLOOKUP($B576&amp;OFFSET(L$10,$A576*2,0),'Mapping A'!$B$6:$E$1011,4,0)=1,$E576,""),0)</f>
        <v>0</v>
      </c>
      <c r="M576" s="519">
        <f ca="1">_xlfn.IFNA(IF(VLOOKUP($B576&amp;OFFSET(M$10,$A576*2,0),'Mapping A'!$B$6:$E$1011,4,0)=1,$E576,""),0)</f>
        <v>0</v>
      </c>
      <c r="N576" s="519">
        <f ca="1">_xlfn.IFNA(IF(VLOOKUP($B576&amp;OFFSET(N$10,$A576*2,0),'Mapping A'!$B$6:$E$1011,4,0)=1,$E576,""),0)</f>
        <v>0</v>
      </c>
      <c r="O576" s="519">
        <f ca="1">_xlfn.IFNA(IF(VLOOKUP($B576&amp;OFFSET(O$10,$A576*2,0),'Mapping A'!$B$6:$E$1011,4,0)=1,$E576,""),0)</f>
        <v>48.646827304999995</v>
      </c>
      <c r="P576" s="519">
        <f ca="1">_xlfn.IFNA(IF(VLOOKUP($B576&amp;OFFSET(P$10,$A576*2,0),'Mapping A'!$B$6:$E$1011,4,0)=1,$E576,""),0)</f>
        <v>0</v>
      </c>
      <c r="Q576" s="519">
        <f ca="1">_xlfn.IFNA(IF(VLOOKUP($B576&amp;OFFSET(Q$10,$A576*2,0),'Mapping A'!$B$6:$E$1011,4,0)=1,$E576,""),0)</f>
        <v>0</v>
      </c>
      <c r="R576" s="519">
        <f ca="1">_xlfn.IFNA(IF(VLOOKUP($B576&amp;OFFSET(R$10,$A576*2,0),'Mapping A'!$B$6:$E$1011,4,0)=1,$E576,""),0)</f>
        <v>0</v>
      </c>
      <c r="S576" s="519">
        <f ca="1">_xlfn.IFNA(IF(VLOOKUP($B576&amp;OFFSET(S$10,$A576*2,0),'Mapping A'!$B$6:$E$1011,4,0)=1,$E576,""),0)</f>
        <v>0</v>
      </c>
      <c r="T576" s="519">
        <f ca="1">_xlfn.IFNA(IF(VLOOKUP($B576&amp;OFFSET(T$10,$A576*2,0),'Mapping A'!$B$6:$E$1011,4,0)=1,$E576,""),0)</f>
        <v>0</v>
      </c>
      <c r="Y576" s="534" t="str">
        <f t="shared" ref="Y576:Y609" si="656">Z576&amp;AA576</f>
        <v>TrustpowerARG1101 BRR0</v>
      </c>
      <c r="Z576" s="519" t="str">
        <f>Volumes!H4</f>
        <v>Trustpower</v>
      </c>
      <c r="AA576" s="519" t="str">
        <f>Volumes!I4</f>
        <v>ARG1101 BRR0</v>
      </c>
      <c r="AB576" s="519">
        <f>Volumes!J4</f>
        <v>48.646827304999995</v>
      </c>
      <c r="AC576" s="170"/>
      <c r="AE576" s="519">
        <f t="shared" ca="1" si="641"/>
        <v>0</v>
      </c>
      <c r="AF576" s="519">
        <f t="shared" ca="1" si="642"/>
        <v>0</v>
      </c>
      <c r="AG576" s="519">
        <f t="shared" ca="1" si="643"/>
        <v>0</v>
      </c>
      <c r="AH576" s="519">
        <f t="shared" ca="1" si="644"/>
        <v>0</v>
      </c>
      <c r="AI576" s="519">
        <f t="shared" ca="1" si="645"/>
        <v>0</v>
      </c>
      <c r="AJ576" s="519">
        <f t="shared" ca="1" si="646"/>
        <v>0</v>
      </c>
      <c r="AK576" s="519">
        <f t="shared" ca="1" si="647"/>
        <v>0</v>
      </c>
      <c r="AL576" s="519">
        <f t="shared" ca="1" si="648"/>
        <v>6.914971355507173E-3</v>
      </c>
      <c r="AM576" s="519">
        <f t="shared" ca="1" si="649"/>
        <v>0</v>
      </c>
      <c r="AN576" s="519">
        <f t="shared" ca="1" si="650"/>
        <v>0</v>
      </c>
      <c r="AO576" s="519">
        <f t="shared" ca="1" si="651"/>
        <v>0</v>
      </c>
      <c r="AP576" s="519">
        <f t="shared" ca="1" si="652"/>
        <v>0</v>
      </c>
      <c r="AQ576" s="519">
        <f t="shared" ca="1" si="653"/>
        <v>0</v>
      </c>
    </row>
    <row r="577" spans="1:43" x14ac:dyDescent="0.3">
      <c r="A577" s="556">
        <f t="shared" si="654"/>
        <v>4</v>
      </c>
      <c r="B577" s="519" t="str">
        <f t="shared" si="655"/>
        <v>ARI</v>
      </c>
      <c r="C577" s="519" t="str">
        <f>Volumes!H5</f>
        <v>MRP</v>
      </c>
      <c r="D577" s="519" t="str">
        <f>Volumes!I5</f>
        <v>ARI1101 ARI0</v>
      </c>
      <c r="E577" s="519">
        <f>Volumes!J5</f>
        <v>437.39038370999953</v>
      </c>
      <c r="G577" s="525"/>
      <c r="H577" s="519">
        <f ca="1">_xlfn.IFNA(IF(VLOOKUP($B577&amp;OFFSET(H$10,$A577*2,0),'Mapping A'!$B$6:$E$1011,4,0)=1,$E577,""),0)</f>
        <v>0</v>
      </c>
      <c r="I577" s="519">
        <f ca="1">_xlfn.IFNA(IF(VLOOKUP($B577&amp;OFFSET(I$10,$A577*2,0),'Mapping A'!$B$6:$E$1011,4,0)=1,$E577,""),0)</f>
        <v>0</v>
      </c>
      <c r="J577" s="519">
        <f ca="1">_xlfn.IFNA(IF(VLOOKUP($B577&amp;OFFSET(J$10,$A577*2,0),'Mapping A'!$B$6:$E$1011,4,0)=1,$E577,""),0)</f>
        <v>0</v>
      </c>
      <c r="K577" s="519">
        <f ca="1">_xlfn.IFNA(IF(VLOOKUP($B577&amp;OFFSET(K$10,$A577*2,0),'Mapping A'!$B$6:$E$1011,4,0)=1,$E577,""),0)</f>
        <v>0</v>
      </c>
      <c r="L577" s="519">
        <f ca="1">_xlfn.IFNA(IF(VLOOKUP($B577&amp;OFFSET(L$10,$A577*2,0),'Mapping A'!$B$6:$E$1011,4,0)=1,$E577,""),0)</f>
        <v>0</v>
      </c>
      <c r="M577" s="519">
        <f ca="1">_xlfn.IFNA(IF(VLOOKUP($B577&amp;OFFSET(M$10,$A577*2,0),'Mapping A'!$B$6:$E$1011,4,0)=1,$E577,""),0)</f>
        <v>0</v>
      </c>
      <c r="N577" s="519">
        <f ca="1">_xlfn.IFNA(IF(VLOOKUP($B577&amp;OFFSET(N$10,$A577*2,0),'Mapping A'!$B$6:$E$1011,4,0)=1,$E577,""),0)</f>
        <v>0</v>
      </c>
      <c r="O577" s="519">
        <f ca="1">_xlfn.IFNA(IF(VLOOKUP($B577&amp;OFFSET(O$10,$A577*2,0),'Mapping A'!$B$6:$E$1011,4,0)=1,$E577,""),0)</f>
        <v>0</v>
      </c>
      <c r="P577" s="519">
        <f ca="1">_xlfn.IFNA(IF(VLOOKUP($B577&amp;OFFSET(P$10,$A577*2,0),'Mapping A'!$B$6:$E$1011,4,0)=1,$E577,""),0)</f>
        <v>0</v>
      </c>
      <c r="Q577" s="519">
        <f ca="1">_xlfn.IFNA(IF(VLOOKUP($B577&amp;OFFSET(Q$10,$A577*2,0),'Mapping A'!$B$6:$E$1011,4,0)=1,$E577,""),0)</f>
        <v>0</v>
      </c>
      <c r="R577" s="519">
        <f ca="1">_xlfn.IFNA(IF(VLOOKUP($B577&amp;OFFSET(R$10,$A577*2,0),'Mapping A'!$B$6:$E$1011,4,0)=1,$E577,""),0)</f>
        <v>0</v>
      </c>
      <c r="S577" s="519">
        <f ca="1">_xlfn.IFNA(IF(VLOOKUP($B577&amp;OFFSET(S$10,$A577*2,0),'Mapping A'!$B$6:$E$1011,4,0)=1,$E577,""),0)</f>
        <v>0</v>
      </c>
      <c r="T577" s="519">
        <f ca="1">_xlfn.IFNA(IF(VLOOKUP($B577&amp;OFFSET(T$10,$A577*2,0),'Mapping A'!$B$6:$E$1011,4,0)=1,$E577,""),0)</f>
        <v>0</v>
      </c>
      <c r="Y577" s="534" t="str">
        <f t="shared" si="656"/>
        <v>MRPARI1101 ARI0</v>
      </c>
      <c r="Z577" s="519" t="str">
        <f>Volumes!H5</f>
        <v>MRP</v>
      </c>
      <c r="AA577" s="519" t="str">
        <f>Volumes!I5</f>
        <v>ARI1101 ARI0</v>
      </c>
      <c r="AB577" s="519">
        <f>Volumes!J5</f>
        <v>437.39038370999953</v>
      </c>
      <c r="AC577" s="170"/>
      <c r="AE577" s="519">
        <f t="shared" ca="1" si="641"/>
        <v>0</v>
      </c>
      <c r="AF577" s="519">
        <f t="shared" ca="1" si="642"/>
        <v>0</v>
      </c>
      <c r="AG577" s="519">
        <f t="shared" ca="1" si="643"/>
        <v>0</v>
      </c>
      <c r="AH577" s="519">
        <f t="shared" ca="1" si="644"/>
        <v>0</v>
      </c>
      <c r="AI577" s="519">
        <f t="shared" ca="1" si="645"/>
        <v>0</v>
      </c>
      <c r="AJ577" s="519">
        <f t="shared" ca="1" si="646"/>
        <v>0</v>
      </c>
      <c r="AK577" s="519">
        <f t="shared" ca="1" si="647"/>
        <v>0</v>
      </c>
      <c r="AL577" s="519">
        <f t="shared" ca="1" si="648"/>
        <v>0</v>
      </c>
      <c r="AM577" s="519">
        <f t="shared" ca="1" si="649"/>
        <v>0</v>
      </c>
      <c r="AN577" s="519">
        <f t="shared" ca="1" si="650"/>
        <v>0</v>
      </c>
      <c r="AO577" s="519">
        <f t="shared" ca="1" si="651"/>
        <v>0</v>
      </c>
      <c r="AP577" s="519">
        <f t="shared" ca="1" si="652"/>
        <v>0</v>
      </c>
      <c r="AQ577" s="519">
        <f t="shared" ca="1" si="653"/>
        <v>0</v>
      </c>
    </row>
    <row r="578" spans="1:43" x14ac:dyDescent="0.3">
      <c r="A578" s="556">
        <f t="shared" si="654"/>
        <v>4</v>
      </c>
      <c r="B578" s="519" t="str">
        <f t="shared" si="655"/>
        <v>ARI</v>
      </c>
      <c r="C578" s="519" t="str">
        <f>Volumes!H6</f>
        <v>MRP</v>
      </c>
      <c r="D578" s="519" t="str">
        <f>Volumes!I6</f>
        <v>ARI1102 ARI0</v>
      </c>
      <c r="E578" s="519">
        <f>Volumes!J6</f>
        <v>245.61295622500003</v>
      </c>
      <c r="G578" s="525"/>
      <c r="H578" s="519">
        <f ca="1">_xlfn.IFNA(IF(VLOOKUP($B578&amp;OFFSET(H$10,$A578*2,0),'Mapping A'!$B$6:$E$1011,4,0)=1,$E578,""),0)</f>
        <v>0</v>
      </c>
      <c r="I578" s="519">
        <f ca="1">_xlfn.IFNA(IF(VLOOKUP($B578&amp;OFFSET(I$10,$A578*2,0),'Mapping A'!$B$6:$E$1011,4,0)=1,$E578,""),0)</f>
        <v>0</v>
      </c>
      <c r="J578" s="519">
        <f ca="1">_xlfn.IFNA(IF(VLOOKUP($B578&amp;OFFSET(J$10,$A578*2,0),'Mapping A'!$B$6:$E$1011,4,0)=1,$E578,""),0)</f>
        <v>0</v>
      </c>
      <c r="K578" s="519">
        <f ca="1">_xlfn.IFNA(IF(VLOOKUP($B578&amp;OFFSET(K$10,$A578*2,0),'Mapping A'!$B$6:$E$1011,4,0)=1,$E578,""),0)</f>
        <v>0</v>
      </c>
      <c r="L578" s="519">
        <f ca="1">_xlfn.IFNA(IF(VLOOKUP($B578&amp;OFFSET(L$10,$A578*2,0),'Mapping A'!$B$6:$E$1011,4,0)=1,$E578,""),0)</f>
        <v>0</v>
      </c>
      <c r="M578" s="519">
        <f ca="1">_xlfn.IFNA(IF(VLOOKUP($B578&amp;OFFSET(M$10,$A578*2,0),'Mapping A'!$B$6:$E$1011,4,0)=1,$E578,""),0)</f>
        <v>0</v>
      </c>
      <c r="N578" s="519">
        <f ca="1">_xlfn.IFNA(IF(VLOOKUP($B578&amp;OFFSET(N$10,$A578*2,0),'Mapping A'!$B$6:$E$1011,4,0)=1,$E578,""),0)</f>
        <v>0</v>
      </c>
      <c r="O578" s="519">
        <f ca="1">_xlfn.IFNA(IF(VLOOKUP($B578&amp;OFFSET(O$10,$A578*2,0),'Mapping A'!$B$6:$E$1011,4,0)=1,$E578,""),0)</f>
        <v>0</v>
      </c>
      <c r="P578" s="519">
        <f ca="1">_xlfn.IFNA(IF(VLOOKUP($B578&amp;OFFSET(P$10,$A578*2,0),'Mapping A'!$B$6:$E$1011,4,0)=1,$E578,""),0)</f>
        <v>0</v>
      </c>
      <c r="Q578" s="519">
        <f ca="1">_xlfn.IFNA(IF(VLOOKUP($B578&amp;OFFSET(Q$10,$A578*2,0),'Mapping A'!$B$6:$E$1011,4,0)=1,$E578,""),0)</f>
        <v>0</v>
      </c>
      <c r="R578" s="519">
        <f ca="1">_xlfn.IFNA(IF(VLOOKUP($B578&amp;OFFSET(R$10,$A578*2,0),'Mapping A'!$B$6:$E$1011,4,0)=1,$E578,""),0)</f>
        <v>0</v>
      </c>
      <c r="S578" s="519">
        <f ca="1">_xlfn.IFNA(IF(VLOOKUP($B578&amp;OFFSET(S$10,$A578*2,0),'Mapping A'!$B$6:$E$1011,4,0)=1,$E578,""),0)</f>
        <v>0</v>
      </c>
      <c r="T578" s="519">
        <f ca="1">_xlfn.IFNA(IF(VLOOKUP($B578&amp;OFFSET(T$10,$A578*2,0),'Mapping A'!$B$6:$E$1011,4,0)=1,$E578,""),0)</f>
        <v>0</v>
      </c>
      <c r="Y578" s="534" t="str">
        <f t="shared" si="656"/>
        <v>MRPARI1102 ARI0</v>
      </c>
      <c r="Z578" s="519" t="str">
        <f>Volumes!H6</f>
        <v>MRP</v>
      </c>
      <c r="AA578" s="519" t="str">
        <f>Volumes!I6</f>
        <v>ARI1102 ARI0</v>
      </c>
      <c r="AB578" s="519">
        <f>Volumes!J6</f>
        <v>245.61295622500003</v>
      </c>
      <c r="AC578" s="170"/>
      <c r="AE578" s="519">
        <f t="shared" ca="1" si="641"/>
        <v>0</v>
      </c>
      <c r="AF578" s="519">
        <f t="shared" ca="1" si="642"/>
        <v>0</v>
      </c>
      <c r="AG578" s="519">
        <f t="shared" ca="1" si="643"/>
        <v>0</v>
      </c>
      <c r="AH578" s="519">
        <f t="shared" ca="1" si="644"/>
        <v>0</v>
      </c>
      <c r="AI578" s="519">
        <f t="shared" ca="1" si="645"/>
        <v>0</v>
      </c>
      <c r="AJ578" s="519">
        <f t="shared" ca="1" si="646"/>
        <v>0</v>
      </c>
      <c r="AK578" s="519">
        <f t="shared" ca="1" si="647"/>
        <v>0</v>
      </c>
      <c r="AL578" s="519">
        <f t="shared" ca="1" si="648"/>
        <v>0</v>
      </c>
      <c r="AM578" s="519">
        <f t="shared" ca="1" si="649"/>
        <v>0</v>
      </c>
      <c r="AN578" s="519">
        <f t="shared" ca="1" si="650"/>
        <v>0</v>
      </c>
      <c r="AO578" s="519">
        <f t="shared" ca="1" si="651"/>
        <v>0</v>
      </c>
      <c r="AP578" s="519">
        <f t="shared" ca="1" si="652"/>
        <v>0</v>
      </c>
      <c r="AQ578" s="519">
        <f t="shared" ca="1" si="653"/>
        <v>0</v>
      </c>
    </row>
    <row r="579" spans="1:43" x14ac:dyDescent="0.3">
      <c r="A579" s="556">
        <f t="shared" si="654"/>
        <v>4</v>
      </c>
      <c r="B579" s="519" t="str">
        <f t="shared" si="655"/>
        <v>ASB</v>
      </c>
      <c r="C579" s="519" t="str">
        <f>Volumes!H7</f>
        <v>Trustpower</v>
      </c>
      <c r="D579" s="519" t="str">
        <f>Volumes!I7</f>
        <v>ASB0661 HBK0</v>
      </c>
      <c r="E579" s="519">
        <f>Volumes!J7</f>
        <v>105.215</v>
      </c>
      <c r="G579" s="525"/>
      <c r="H579" s="519">
        <f ca="1">_xlfn.IFNA(IF(VLOOKUP($B579&amp;OFFSET(H$10,$A579*2,0),'Mapping A'!$B$6:$E$1011,4,0)=1,$E579,""),0)</f>
        <v>0</v>
      </c>
      <c r="I579" s="519">
        <f ca="1">_xlfn.IFNA(IF(VLOOKUP($B579&amp;OFFSET(I$10,$A579*2,0),'Mapping A'!$B$6:$E$1011,4,0)=1,$E579,""),0)</f>
        <v>0</v>
      </c>
      <c r="J579" s="519">
        <f ca="1">_xlfn.IFNA(IF(VLOOKUP($B579&amp;OFFSET(J$10,$A579*2,0),'Mapping A'!$B$6:$E$1011,4,0)=1,$E579,""),0)</f>
        <v>0</v>
      </c>
      <c r="K579" s="519">
        <f ca="1">_xlfn.IFNA(IF(VLOOKUP($B579&amp;OFFSET(K$10,$A579*2,0),'Mapping A'!$B$6:$E$1011,4,0)=1,$E579,""),0)</f>
        <v>0</v>
      </c>
      <c r="L579" s="519">
        <f ca="1">_xlfn.IFNA(IF(VLOOKUP($B579&amp;OFFSET(L$10,$A579*2,0),'Mapping A'!$B$6:$E$1011,4,0)=1,$E579,""),0)</f>
        <v>0</v>
      </c>
      <c r="M579" s="519">
        <f ca="1">_xlfn.IFNA(IF(VLOOKUP($B579&amp;OFFSET(M$10,$A579*2,0),'Mapping A'!$B$6:$E$1011,4,0)=1,$E579,""),0)</f>
        <v>0</v>
      </c>
      <c r="N579" s="519">
        <f ca="1">_xlfn.IFNA(IF(VLOOKUP($B579&amp;OFFSET(N$10,$A579*2,0),'Mapping A'!$B$6:$E$1011,4,0)=1,$E579,""),0)</f>
        <v>0</v>
      </c>
      <c r="O579" s="519">
        <f ca="1">_xlfn.IFNA(IF(VLOOKUP($B579&amp;OFFSET(O$10,$A579*2,0),'Mapping A'!$B$6:$E$1011,4,0)=1,$E579,""),0)</f>
        <v>105.215</v>
      </c>
      <c r="P579" s="519">
        <f ca="1">_xlfn.IFNA(IF(VLOOKUP($B579&amp;OFFSET(P$10,$A579*2,0),'Mapping A'!$B$6:$E$1011,4,0)=1,$E579,""),0)</f>
        <v>0</v>
      </c>
      <c r="Q579" s="519">
        <f ca="1">_xlfn.IFNA(IF(VLOOKUP($B579&amp;OFFSET(Q$10,$A579*2,0),'Mapping A'!$B$6:$E$1011,4,0)=1,$E579,""),0)</f>
        <v>0</v>
      </c>
      <c r="R579" s="519">
        <f ca="1">_xlfn.IFNA(IF(VLOOKUP($B579&amp;OFFSET(R$10,$A579*2,0),'Mapping A'!$B$6:$E$1011,4,0)=1,$E579,""),0)</f>
        <v>0</v>
      </c>
      <c r="S579" s="519">
        <f ca="1">_xlfn.IFNA(IF(VLOOKUP($B579&amp;OFFSET(S$10,$A579*2,0),'Mapping A'!$B$6:$E$1011,4,0)=1,$E579,""),0)</f>
        <v>0</v>
      </c>
      <c r="T579" s="519">
        <f ca="1">_xlfn.IFNA(IF(VLOOKUP($B579&amp;OFFSET(T$10,$A579*2,0),'Mapping A'!$B$6:$E$1011,4,0)=1,$E579,""),0)</f>
        <v>0</v>
      </c>
      <c r="Y579" s="534" t="str">
        <f t="shared" si="656"/>
        <v>TrustpowerASB0661 HBK0</v>
      </c>
      <c r="Z579" s="519" t="str">
        <f>Volumes!H7</f>
        <v>Trustpower</v>
      </c>
      <c r="AA579" s="519" t="str">
        <f>Volumes!I7</f>
        <v>ASB0661 HBK0</v>
      </c>
      <c r="AB579" s="519">
        <f>Volumes!J7</f>
        <v>105.215</v>
      </c>
      <c r="AC579" s="170"/>
      <c r="AE579" s="519">
        <f t="shared" ca="1" si="641"/>
        <v>0</v>
      </c>
      <c r="AF579" s="519">
        <f t="shared" ca="1" si="642"/>
        <v>0</v>
      </c>
      <c r="AG579" s="519">
        <f t="shared" ca="1" si="643"/>
        <v>0</v>
      </c>
      <c r="AH579" s="519">
        <f t="shared" ca="1" si="644"/>
        <v>0</v>
      </c>
      <c r="AI579" s="519">
        <f t="shared" ca="1" si="645"/>
        <v>0</v>
      </c>
      <c r="AJ579" s="519">
        <f t="shared" ca="1" si="646"/>
        <v>0</v>
      </c>
      <c r="AK579" s="519">
        <f t="shared" ca="1" si="647"/>
        <v>0</v>
      </c>
      <c r="AL579" s="519">
        <f t="shared" ca="1" si="648"/>
        <v>1.4955933438539118E-2</v>
      </c>
      <c r="AM579" s="519">
        <f t="shared" ca="1" si="649"/>
        <v>0</v>
      </c>
      <c r="AN579" s="519">
        <f t="shared" ca="1" si="650"/>
        <v>0</v>
      </c>
      <c r="AO579" s="519">
        <f t="shared" ca="1" si="651"/>
        <v>0</v>
      </c>
      <c r="AP579" s="519">
        <f t="shared" ca="1" si="652"/>
        <v>0</v>
      </c>
      <c r="AQ579" s="519">
        <f t="shared" ca="1" si="653"/>
        <v>0</v>
      </c>
    </row>
    <row r="580" spans="1:43" x14ac:dyDescent="0.3">
      <c r="A580" s="556">
        <f t="shared" si="654"/>
        <v>4</v>
      </c>
      <c r="B580" s="519" t="str">
        <f t="shared" si="655"/>
        <v>ATI</v>
      </c>
      <c r="C580" s="519" t="str">
        <f>Volumes!H8</f>
        <v>MRP</v>
      </c>
      <c r="D580" s="519" t="str">
        <f>Volumes!I8</f>
        <v>ATI2201 ATI0</v>
      </c>
      <c r="E580" s="519">
        <f>Volumes!J8</f>
        <v>235.51449516499997</v>
      </c>
      <c r="G580" s="525"/>
      <c r="H580" s="519">
        <f ca="1">_xlfn.IFNA(IF(VLOOKUP($B580&amp;OFFSET(H$10,$A580*2,0),'Mapping A'!$B$6:$E$1011,4,0)=1,$E580,""),0)</f>
        <v>0</v>
      </c>
      <c r="I580" s="519">
        <f ca="1">_xlfn.IFNA(IF(VLOOKUP($B580&amp;OFFSET(I$10,$A580*2,0),'Mapping A'!$B$6:$E$1011,4,0)=1,$E580,""),0)</f>
        <v>0</v>
      </c>
      <c r="J580" s="519">
        <f ca="1">_xlfn.IFNA(IF(VLOOKUP($B580&amp;OFFSET(J$10,$A580*2,0),'Mapping A'!$B$6:$E$1011,4,0)=1,$E580,""),0)</f>
        <v>0</v>
      </c>
      <c r="K580" s="519">
        <f ca="1">_xlfn.IFNA(IF(VLOOKUP($B580&amp;OFFSET(K$10,$A580*2,0),'Mapping A'!$B$6:$E$1011,4,0)=1,$E580,""),0)</f>
        <v>0</v>
      </c>
      <c r="L580" s="519">
        <f ca="1">_xlfn.IFNA(IF(VLOOKUP($B580&amp;OFFSET(L$10,$A580*2,0),'Mapping A'!$B$6:$E$1011,4,0)=1,$E580,""),0)</f>
        <v>0</v>
      </c>
      <c r="M580" s="519">
        <f ca="1">_xlfn.IFNA(IF(VLOOKUP($B580&amp;OFFSET(M$10,$A580*2,0),'Mapping A'!$B$6:$E$1011,4,0)=1,$E580,""),0)</f>
        <v>0</v>
      </c>
      <c r="N580" s="519">
        <f ca="1">_xlfn.IFNA(IF(VLOOKUP($B580&amp;OFFSET(N$10,$A580*2,0),'Mapping A'!$B$6:$E$1011,4,0)=1,$E580,""),0)</f>
        <v>0</v>
      </c>
      <c r="O580" s="519">
        <f ca="1">_xlfn.IFNA(IF(VLOOKUP($B580&amp;OFFSET(O$10,$A580*2,0),'Mapping A'!$B$6:$E$1011,4,0)=1,$E580,""),0)</f>
        <v>0</v>
      </c>
      <c r="P580" s="519">
        <f ca="1">_xlfn.IFNA(IF(VLOOKUP($B580&amp;OFFSET(P$10,$A580*2,0),'Mapping A'!$B$6:$E$1011,4,0)=1,$E580,""),0)</f>
        <v>0</v>
      </c>
      <c r="Q580" s="519">
        <f ca="1">_xlfn.IFNA(IF(VLOOKUP($B580&amp;OFFSET(Q$10,$A580*2,0),'Mapping A'!$B$6:$E$1011,4,0)=1,$E580,""),0)</f>
        <v>0</v>
      </c>
      <c r="R580" s="519">
        <f ca="1">_xlfn.IFNA(IF(VLOOKUP($B580&amp;OFFSET(R$10,$A580*2,0),'Mapping A'!$B$6:$E$1011,4,0)=1,$E580,""),0)</f>
        <v>0</v>
      </c>
      <c r="S580" s="519">
        <f ca="1">_xlfn.IFNA(IF(VLOOKUP($B580&amp;OFFSET(S$10,$A580*2,0),'Mapping A'!$B$6:$E$1011,4,0)=1,$E580,""),0)</f>
        <v>0</v>
      </c>
      <c r="T580" s="519">
        <f ca="1">_xlfn.IFNA(IF(VLOOKUP($B580&amp;OFFSET(T$10,$A580*2,0),'Mapping A'!$B$6:$E$1011,4,0)=1,$E580,""),0)</f>
        <v>0</v>
      </c>
      <c r="Y580" s="534" t="str">
        <f t="shared" si="656"/>
        <v>MRPATI2201 ATI0</v>
      </c>
      <c r="Z580" s="519" t="str">
        <f>Volumes!H8</f>
        <v>MRP</v>
      </c>
      <c r="AA580" s="519" t="str">
        <f>Volumes!I8</f>
        <v>ATI2201 ATI0</v>
      </c>
      <c r="AB580" s="519">
        <f>Volumes!J8</f>
        <v>235.51449516499997</v>
      </c>
      <c r="AC580" s="170"/>
      <c r="AE580" s="519">
        <f t="shared" ca="1" si="641"/>
        <v>0</v>
      </c>
      <c r="AF580" s="519">
        <f t="shared" ca="1" si="642"/>
        <v>0</v>
      </c>
      <c r="AG580" s="519">
        <f t="shared" ca="1" si="643"/>
        <v>0</v>
      </c>
      <c r="AH580" s="519">
        <f t="shared" ca="1" si="644"/>
        <v>0</v>
      </c>
      <c r="AI580" s="519">
        <f t="shared" ca="1" si="645"/>
        <v>0</v>
      </c>
      <c r="AJ580" s="519">
        <f t="shared" ca="1" si="646"/>
        <v>0</v>
      </c>
      <c r="AK580" s="519">
        <f t="shared" ca="1" si="647"/>
        <v>0</v>
      </c>
      <c r="AL580" s="519">
        <f t="shared" ca="1" si="648"/>
        <v>0</v>
      </c>
      <c r="AM580" s="519">
        <f t="shared" ca="1" si="649"/>
        <v>0</v>
      </c>
      <c r="AN580" s="519">
        <f t="shared" ca="1" si="650"/>
        <v>0</v>
      </c>
      <c r="AO580" s="519">
        <f t="shared" ca="1" si="651"/>
        <v>0</v>
      </c>
      <c r="AP580" s="519">
        <f t="shared" ca="1" si="652"/>
        <v>0</v>
      </c>
      <c r="AQ580" s="519">
        <f t="shared" ca="1" si="653"/>
        <v>0</v>
      </c>
    </row>
    <row r="581" spans="1:43" x14ac:dyDescent="0.3">
      <c r="A581" s="556">
        <f t="shared" si="654"/>
        <v>4</v>
      </c>
      <c r="B581" s="519" t="str">
        <f t="shared" si="655"/>
        <v>AVI</v>
      </c>
      <c r="C581" s="519" t="str">
        <f>Volumes!H9</f>
        <v>Meridian</v>
      </c>
      <c r="D581" s="519" t="str">
        <f>Volumes!I9</f>
        <v>AVI2201 AVI0</v>
      </c>
      <c r="E581" s="519">
        <f>Volumes!J9</f>
        <v>787.09515962500473</v>
      </c>
      <c r="G581" s="525"/>
      <c r="H581" s="519">
        <f ca="1">_xlfn.IFNA(IF(VLOOKUP($B581&amp;OFFSET(H$10,$A581*2,0),'Mapping A'!$B$6:$E$1011,4,0)=1,$E581,""),0)</f>
        <v>0</v>
      </c>
      <c r="I581" s="519">
        <f ca="1">_xlfn.IFNA(IF(VLOOKUP($B581&amp;OFFSET(I$10,$A581*2,0),'Mapping A'!$B$6:$E$1011,4,0)=1,$E581,""),0)</f>
        <v>0</v>
      </c>
      <c r="J581" s="519">
        <f ca="1">_xlfn.IFNA(IF(VLOOKUP($B581&amp;OFFSET(J$10,$A581*2,0),'Mapping A'!$B$6:$E$1011,4,0)=1,$E581,""),0)</f>
        <v>0</v>
      </c>
      <c r="K581" s="519">
        <f ca="1">_xlfn.IFNA(IF(VLOOKUP($B581&amp;OFFSET(K$10,$A581*2,0),'Mapping A'!$B$6:$E$1011,4,0)=1,$E581,""),0)</f>
        <v>0</v>
      </c>
      <c r="L581" s="519">
        <f ca="1">_xlfn.IFNA(IF(VLOOKUP($B581&amp;OFFSET(L$10,$A581*2,0),'Mapping A'!$B$6:$E$1011,4,0)=1,$E581,""),0)</f>
        <v>0</v>
      </c>
      <c r="M581" s="519">
        <f ca="1">_xlfn.IFNA(IF(VLOOKUP($B581&amp;OFFSET(M$10,$A581*2,0),'Mapping A'!$B$6:$E$1011,4,0)=1,$E581,""),0)</f>
        <v>0</v>
      </c>
      <c r="N581" s="519">
        <f ca="1">_xlfn.IFNA(IF(VLOOKUP($B581&amp;OFFSET(N$10,$A581*2,0),'Mapping A'!$B$6:$E$1011,4,0)=1,$E581,""),0)</f>
        <v>0</v>
      </c>
      <c r="O581" s="519">
        <f ca="1">_xlfn.IFNA(IF(VLOOKUP($B581&amp;OFFSET(O$10,$A581*2,0),'Mapping A'!$B$6:$E$1011,4,0)=1,$E581,""),0)</f>
        <v>787.09515962500473</v>
      </c>
      <c r="P581" s="519">
        <f ca="1">_xlfn.IFNA(IF(VLOOKUP($B581&amp;OFFSET(P$10,$A581*2,0),'Mapping A'!$B$6:$E$1011,4,0)=1,$E581,""),0)</f>
        <v>0</v>
      </c>
      <c r="Q581" s="519">
        <f ca="1">_xlfn.IFNA(IF(VLOOKUP($B581&amp;OFFSET(Q$10,$A581*2,0),'Mapping A'!$B$6:$E$1011,4,0)=1,$E581,""),0)</f>
        <v>0</v>
      </c>
      <c r="R581" s="519">
        <f ca="1">_xlfn.IFNA(IF(VLOOKUP($B581&amp;OFFSET(R$10,$A581*2,0),'Mapping A'!$B$6:$E$1011,4,0)=1,$E581,""),0)</f>
        <v>0</v>
      </c>
      <c r="S581" s="519">
        <f ca="1">_xlfn.IFNA(IF(VLOOKUP($B581&amp;OFFSET(S$10,$A581*2,0),'Mapping A'!$B$6:$E$1011,4,0)=1,$E581,""),0)</f>
        <v>0</v>
      </c>
      <c r="T581" s="519">
        <f ca="1">_xlfn.IFNA(IF(VLOOKUP($B581&amp;OFFSET(T$10,$A581*2,0),'Mapping A'!$B$6:$E$1011,4,0)=1,$E581,""),0)</f>
        <v>0</v>
      </c>
      <c r="Y581" s="534" t="str">
        <f t="shared" si="656"/>
        <v>MeridianAVI2201 AVI0</v>
      </c>
      <c r="Z581" s="519" t="str">
        <f>Volumes!H9</f>
        <v>Meridian</v>
      </c>
      <c r="AA581" s="519" t="str">
        <f>Volumes!I9</f>
        <v>AVI2201 AVI0</v>
      </c>
      <c r="AB581" s="519">
        <f>Volumes!J9</f>
        <v>787.09515962500473</v>
      </c>
      <c r="AC581" s="170"/>
      <c r="AE581" s="519">
        <f t="shared" ca="1" si="641"/>
        <v>0</v>
      </c>
      <c r="AF581" s="519">
        <f t="shared" ca="1" si="642"/>
        <v>0</v>
      </c>
      <c r="AG581" s="519">
        <f t="shared" ca="1" si="643"/>
        <v>0</v>
      </c>
      <c r="AH581" s="519">
        <f t="shared" ca="1" si="644"/>
        <v>0</v>
      </c>
      <c r="AI581" s="519">
        <f t="shared" ca="1" si="645"/>
        <v>0</v>
      </c>
      <c r="AJ581" s="519">
        <f t="shared" ca="1" si="646"/>
        <v>0</v>
      </c>
      <c r="AK581" s="519">
        <f t="shared" ca="1" si="647"/>
        <v>0</v>
      </c>
      <c r="AL581" s="519">
        <f t="shared" ca="1" si="648"/>
        <v>0.11188274311788141</v>
      </c>
      <c r="AM581" s="519">
        <f t="shared" ca="1" si="649"/>
        <v>0</v>
      </c>
      <c r="AN581" s="519">
        <f t="shared" ca="1" si="650"/>
        <v>0</v>
      </c>
      <c r="AO581" s="519">
        <f t="shared" ca="1" si="651"/>
        <v>0</v>
      </c>
      <c r="AP581" s="519">
        <f t="shared" ca="1" si="652"/>
        <v>0</v>
      </c>
      <c r="AQ581" s="519">
        <f t="shared" ca="1" si="653"/>
        <v>0</v>
      </c>
    </row>
    <row r="582" spans="1:43" x14ac:dyDescent="0.3">
      <c r="A582" s="556">
        <f t="shared" si="654"/>
        <v>4</v>
      </c>
      <c r="B582" s="519" t="str">
        <f t="shared" si="655"/>
        <v>BEN</v>
      </c>
      <c r="C582" s="519" t="str">
        <f>Volumes!H10</f>
        <v>Meridian</v>
      </c>
      <c r="D582" s="519" t="str">
        <f>Volumes!I10</f>
        <v>BEN0162 BEN0</v>
      </c>
      <c r="E582" s="519">
        <f>Volumes!J10</f>
        <v>0</v>
      </c>
      <c r="G582" s="525"/>
      <c r="H582" s="519">
        <f ca="1">_xlfn.IFNA(IF(VLOOKUP($B582&amp;OFFSET(H$10,$A582*2,0),'Mapping A'!$B$6:$E$1011,4,0)=1,$E582,""),0)</f>
        <v>0</v>
      </c>
      <c r="I582" s="519">
        <f ca="1">_xlfn.IFNA(IF(VLOOKUP($B582&amp;OFFSET(I$10,$A582*2,0),'Mapping A'!$B$6:$E$1011,4,0)=1,$E582,""),0)</f>
        <v>0</v>
      </c>
      <c r="J582" s="519">
        <f ca="1">_xlfn.IFNA(IF(VLOOKUP($B582&amp;OFFSET(J$10,$A582*2,0),'Mapping A'!$B$6:$E$1011,4,0)=1,$E582,""),0)</f>
        <v>0</v>
      </c>
      <c r="K582" s="519">
        <f ca="1">_xlfn.IFNA(IF(VLOOKUP($B582&amp;OFFSET(K$10,$A582*2,0),'Mapping A'!$B$6:$E$1011,4,0)=1,$E582,""),0)</f>
        <v>0</v>
      </c>
      <c r="L582" s="519">
        <f ca="1">_xlfn.IFNA(IF(VLOOKUP($B582&amp;OFFSET(L$10,$A582*2,0),'Mapping A'!$B$6:$E$1011,4,0)=1,$E582,""),0)</f>
        <v>0</v>
      </c>
      <c r="M582" s="519">
        <f ca="1">_xlfn.IFNA(IF(VLOOKUP($B582&amp;OFFSET(M$10,$A582*2,0),'Mapping A'!$B$6:$E$1011,4,0)=1,$E582,""),0)</f>
        <v>0</v>
      </c>
      <c r="N582" s="519">
        <f ca="1">_xlfn.IFNA(IF(VLOOKUP($B582&amp;OFFSET(N$10,$A582*2,0),'Mapping A'!$B$6:$E$1011,4,0)=1,$E582,""),0)</f>
        <v>0</v>
      </c>
      <c r="O582" s="519">
        <f ca="1">_xlfn.IFNA(IF(VLOOKUP($B582&amp;OFFSET(O$10,$A582*2,0),'Mapping A'!$B$6:$E$1011,4,0)=1,$E582,""),0)</f>
        <v>0</v>
      </c>
      <c r="P582" s="519">
        <f ca="1">_xlfn.IFNA(IF(VLOOKUP($B582&amp;OFFSET(P$10,$A582*2,0),'Mapping A'!$B$6:$E$1011,4,0)=1,$E582,""),0)</f>
        <v>0</v>
      </c>
      <c r="Q582" s="519">
        <f ca="1">_xlfn.IFNA(IF(VLOOKUP($B582&amp;OFFSET(Q$10,$A582*2,0),'Mapping A'!$B$6:$E$1011,4,0)=1,$E582,""),0)</f>
        <v>0</v>
      </c>
      <c r="R582" s="519">
        <f ca="1">_xlfn.IFNA(IF(VLOOKUP($B582&amp;OFFSET(R$10,$A582*2,0),'Mapping A'!$B$6:$E$1011,4,0)=1,$E582,""),0)</f>
        <v>0</v>
      </c>
      <c r="S582" s="519">
        <f ca="1">_xlfn.IFNA(IF(VLOOKUP($B582&amp;OFFSET(S$10,$A582*2,0),'Mapping A'!$B$6:$E$1011,4,0)=1,$E582,""),0)</f>
        <v>0</v>
      </c>
      <c r="T582" s="519">
        <f ca="1">_xlfn.IFNA(IF(VLOOKUP($B582&amp;OFFSET(T$10,$A582*2,0),'Mapping A'!$B$6:$E$1011,4,0)=1,$E582,""),0)</f>
        <v>0</v>
      </c>
      <c r="Y582" s="534" t="str">
        <f t="shared" si="656"/>
        <v>MeridianBEN0162 BEN0</v>
      </c>
      <c r="Z582" s="519" t="str">
        <f>Volumes!H10</f>
        <v>Meridian</v>
      </c>
      <c r="AA582" s="519" t="str">
        <f>Volumes!I10</f>
        <v>BEN0162 BEN0</v>
      </c>
      <c r="AB582" s="519">
        <f>Volumes!J10</f>
        <v>0</v>
      </c>
      <c r="AC582" s="170"/>
      <c r="AE582" s="519">
        <f t="shared" ca="1" si="641"/>
        <v>0</v>
      </c>
      <c r="AF582" s="519">
        <f t="shared" ca="1" si="642"/>
        <v>0</v>
      </c>
      <c r="AG582" s="519">
        <f t="shared" ca="1" si="643"/>
        <v>0</v>
      </c>
      <c r="AH582" s="519">
        <f t="shared" ca="1" si="644"/>
        <v>0</v>
      </c>
      <c r="AI582" s="519">
        <f t="shared" ca="1" si="645"/>
        <v>0</v>
      </c>
      <c r="AJ582" s="519">
        <f t="shared" ca="1" si="646"/>
        <v>0</v>
      </c>
      <c r="AK582" s="519">
        <f t="shared" ca="1" si="647"/>
        <v>0</v>
      </c>
      <c r="AL582" s="519">
        <f t="shared" ca="1" si="648"/>
        <v>0</v>
      </c>
      <c r="AM582" s="519">
        <f t="shared" ca="1" si="649"/>
        <v>0</v>
      </c>
      <c r="AN582" s="519">
        <f t="shared" ca="1" si="650"/>
        <v>0</v>
      </c>
      <c r="AO582" s="519">
        <f t="shared" ca="1" si="651"/>
        <v>0</v>
      </c>
      <c r="AP582" s="519">
        <f t="shared" ca="1" si="652"/>
        <v>0</v>
      </c>
      <c r="AQ582" s="519">
        <f t="shared" ca="1" si="653"/>
        <v>0</v>
      </c>
    </row>
    <row r="583" spans="1:43" x14ac:dyDescent="0.3">
      <c r="A583" s="556">
        <f t="shared" si="654"/>
        <v>4</v>
      </c>
      <c r="B583" s="519" t="str">
        <f t="shared" si="655"/>
        <v>BEN</v>
      </c>
      <c r="C583" s="519" t="str">
        <f>Volumes!H11</f>
        <v>Meridian</v>
      </c>
      <c r="D583" s="519" t="str">
        <f>Volumes!I11</f>
        <v>BEN0163 BEN0</v>
      </c>
      <c r="E583" s="519">
        <f>Volumes!J11</f>
        <v>0</v>
      </c>
      <c r="G583" s="525"/>
      <c r="H583" s="519">
        <f ca="1">_xlfn.IFNA(IF(VLOOKUP($B583&amp;OFFSET(H$10,$A583*2,0),'Mapping A'!$B$6:$E$1011,4,0)=1,$E583,""),0)</f>
        <v>0</v>
      </c>
      <c r="I583" s="519">
        <f ca="1">_xlfn.IFNA(IF(VLOOKUP($B583&amp;OFFSET(I$10,$A583*2,0),'Mapping A'!$B$6:$E$1011,4,0)=1,$E583,""),0)</f>
        <v>0</v>
      </c>
      <c r="J583" s="519">
        <f ca="1">_xlfn.IFNA(IF(VLOOKUP($B583&amp;OFFSET(J$10,$A583*2,0),'Mapping A'!$B$6:$E$1011,4,0)=1,$E583,""),0)</f>
        <v>0</v>
      </c>
      <c r="K583" s="519">
        <f ca="1">_xlfn.IFNA(IF(VLOOKUP($B583&amp;OFFSET(K$10,$A583*2,0),'Mapping A'!$B$6:$E$1011,4,0)=1,$E583,""),0)</f>
        <v>0</v>
      </c>
      <c r="L583" s="519">
        <f ca="1">_xlfn.IFNA(IF(VLOOKUP($B583&amp;OFFSET(L$10,$A583*2,0),'Mapping A'!$B$6:$E$1011,4,0)=1,$E583,""),0)</f>
        <v>0</v>
      </c>
      <c r="M583" s="519">
        <f ca="1">_xlfn.IFNA(IF(VLOOKUP($B583&amp;OFFSET(M$10,$A583*2,0),'Mapping A'!$B$6:$E$1011,4,0)=1,$E583,""),0)</f>
        <v>0</v>
      </c>
      <c r="N583" s="519">
        <f ca="1">_xlfn.IFNA(IF(VLOOKUP($B583&amp;OFFSET(N$10,$A583*2,0),'Mapping A'!$B$6:$E$1011,4,0)=1,$E583,""),0)</f>
        <v>0</v>
      </c>
      <c r="O583" s="519">
        <f ca="1">_xlfn.IFNA(IF(VLOOKUP($B583&amp;OFFSET(O$10,$A583*2,0),'Mapping A'!$B$6:$E$1011,4,0)=1,$E583,""),0)</f>
        <v>0</v>
      </c>
      <c r="P583" s="519">
        <f ca="1">_xlfn.IFNA(IF(VLOOKUP($B583&amp;OFFSET(P$10,$A583*2,0),'Mapping A'!$B$6:$E$1011,4,0)=1,$E583,""),0)</f>
        <v>0</v>
      </c>
      <c r="Q583" s="519">
        <f ca="1">_xlfn.IFNA(IF(VLOOKUP($B583&amp;OFFSET(Q$10,$A583*2,0),'Mapping A'!$B$6:$E$1011,4,0)=1,$E583,""),0)</f>
        <v>0</v>
      </c>
      <c r="R583" s="519">
        <f ca="1">_xlfn.IFNA(IF(VLOOKUP($B583&amp;OFFSET(R$10,$A583*2,0),'Mapping A'!$B$6:$E$1011,4,0)=1,$E583,""),0)</f>
        <v>0</v>
      </c>
      <c r="S583" s="519">
        <f ca="1">_xlfn.IFNA(IF(VLOOKUP($B583&amp;OFFSET(S$10,$A583*2,0),'Mapping A'!$B$6:$E$1011,4,0)=1,$E583,""),0)</f>
        <v>0</v>
      </c>
      <c r="T583" s="519">
        <f ca="1">_xlfn.IFNA(IF(VLOOKUP($B583&amp;OFFSET(T$10,$A583*2,0),'Mapping A'!$B$6:$E$1011,4,0)=1,$E583,""),0)</f>
        <v>0</v>
      </c>
      <c r="Y583" s="534" t="str">
        <f t="shared" si="656"/>
        <v>MeridianBEN0163 BEN0</v>
      </c>
      <c r="Z583" s="519" t="str">
        <f>Volumes!H11</f>
        <v>Meridian</v>
      </c>
      <c r="AA583" s="519" t="str">
        <f>Volumes!I11</f>
        <v>BEN0163 BEN0</v>
      </c>
      <c r="AB583" s="519">
        <f>Volumes!J11</f>
        <v>0</v>
      </c>
      <c r="AC583" s="170"/>
      <c r="AE583" s="519">
        <f t="shared" ca="1" si="641"/>
        <v>0</v>
      </c>
      <c r="AF583" s="519">
        <f t="shared" ca="1" si="642"/>
        <v>0</v>
      </c>
      <c r="AG583" s="519">
        <f t="shared" ca="1" si="643"/>
        <v>0</v>
      </c>
      <c r="AH583" s="519">
        <f t="shared" ca="1" si="644"/>
        <v>0</v>
      </c>
      <c r="AI583" s="519">
        <f t="shared" ca="1" si="645"/>
        <v>0</v>
      </c>
      <c r="AJ583" s="519">
        <f t="shared" ca="1" si="646"/>
        <v>0</v>
      </c>
      <c r="AK583" s="519">
        <f t="shared" ca="1" si="647"/>
        <v>0</v>
      </c>
      <c r="AL583" s="519">
        <f t="shared" ca="1" si="648"/>
        <v>0</v>
      </c>
      <c r="AM583" s="519">
        <f t="shared" ca="1" si="649"/>
        <v>0</v>
      </c>
      <c r="AN583" s="519">
        <f t="shared" ca="1" si="650"/>
        <v>0</v>
      </c>
      <c r="AO583" s="519">
        <f t="shared" ca="1" si="651"/>
        <v>0</v>
      </c>
      <c r="AP583" s="519">
        <f t="shared" ca="1" si="652"/>
        <v>0</v>
      </c>
      <c r="AQ583" s="519">
        <f t="shared" ca="1" si="653"/>
        <v>0</v>
      </c>
    </row>
    <row r="584" spans="1:43" x14ac:dyDescent="0.3">
      <c r="A584" s="556">
        <f t="shared" si="654"/>
        <v>4</v>
      </c>
      <c r="B584" s="519" t="str">
        <f t="shared" si="655"/>
        <v>BEN</v>
      </c>
      <c r="C584" s="519" t="str">
        <f>Volumes!H12</f>
        <v>Meridian</v>
      </c>
      <c r="D584" s="519" t="str">
        <f>Volumes!I12</f>
        <v>BEN2202 BEN0</v>
      </c>
      <c r="E584" s="519">
        <f>Volumes!J12</f>
        <v>3305.1107430050024</v>
      </c>
      <c r="G584" s="525"/>
      <c r="H584" s="519">
        <f ca="1">_xlfn.IFNA(IF(VLOOKUP($B584&amp;OFFSET(H$10,$A584*2,0),'Mapping A'!$B$6:$E$1011,4,0)=1,$E584,""),0)</f>
        <v>0</v>
      </c>
      <c r="I584" s="519">
        <f ca="1">_xlfn.IFNA(IF(VLOOKUP($B584&amp;OFFSET(I$10,$A584*2,0),'Mapping A'!$B$6:$E$1011,4,0)=1,$E584,""),0)</f>
        <v>0</v>
      </c>
      <c r="J584" s="519">
        <f ca="1">_xlfn.IFNA(IF(VLOOKUP($B584&amp;OFFSET(J$10,$A584*2,0),'Mapping A'!$B$6:$E$1011,4,0)=1,$E584,""),0)</f>
        <v>0</v>
      </c>
      <c r="K584" s="519">
        <f ca="1">_xlfn.IFNA(IF(VLOOKUP($B584&amp;OFFSET(K$10,$A584*2,0),'Mapping A'!$B$6:$E$1011,4,0)=1,$E584,""),0)</f>
        <v>0</v>
      </c>
      <c r="L584" s="519">
        <f ca="1">_xlfn.IFNA(IF(VLOOKUP($B584&amp;OFFSET(L$10,$A584*2,0),'Mapping A'!$B$6:$E$1011,4,0)=1,$E584,""),0)</f>
        <v>0</v>
      </c>
      <c r="M584" s="519">
        <f ca="1">_xlfn.IFNA(IF(VLOOKUP($B584&amp;OFFSET(M$10,$A584*2,0),'Mapping A'!$B$6:$E$1011,4,0)=1,$E584,""),0)</f>
        <v>0</v>
      </c>
      <c r="N584" s="519">
        <f ca="1">_xlfn.IFNA(IF(VLOOKUP($B584&amp;OFFSET(N$10,$A584*2,0),'Mapping A'!$B$6:$E$1011,4,0)=1,$E584,""),0)</f>
        <v>0</v>
      </c>
      <c r="O584" s="519">
        <f ca="1">_xlfn.IFNA(IF(VLOOKUP($B584&amp;OFFSET(O$10,$A584*2,0),'Mapping A'!$B$6:$E$1011,4,0)=1,$E584,""),0)</f>
        <v>3305.1107430050024</v>
      </c>
      <c r="P584" s="519">
        <f ca="1">_xlfn.IFNA(IF(VLOOKUP($B584&amp;OFFSET(P$10,$A584*2,0),'Mapping A'!$B$6:$E$1011,4,0)=1,$E584,""),0)</f>
        <v>0</v>
      </c>
      <c r="Q584" s="519">
        <f ca="1">_xlfn.IFNA(IF(VLOOKUP($B584&amp;OFFSET(Q$10,$A584*2,0),'Mapping A'!$B$6:$E$1011,4,0)=1,$E584,""),0)</f>
        <v>0</v>
      </c>
      <c r="R584" s="519">
        <f ca="1">_xlfn.IFNA(IF(VLOOKUP($B584&amp;OFFSET(R$10,$A584*2,0),'Mapping A'!$B$6:$E$1011,4,0)=1,$E584,""),0)</f>
        <v>0</v>
      </c>
      <c r="S584" s="519">
        <f ca="1">_xlfn.IFNA(IF(VLOOKUP($B584&amp;OFFSET(S$10,$A584*2,0),'Mapping A'!$B$6:$E$1011,4,0)=1,$E584,""),0)</f>
        <v>0</v>
      </c>
      <c r="T584" s="519">
        <f ca="1">_xlfn.IFNA(IF(VLOOKUP($B584&amp;OFFSET(T$10,$A584*2,0),'Mapping A'!$B$6:$E$1011,4,0)=1,$E584,""),0)</f>
        <v>0</v>
      </c>
      <c r="Y584" s="534" t="str">
        <f t="shared" si="656"/>
        <v>MeridianBEN2202 BEN0</v>
      </c>
      <c r="Z584" s="519" t="str">
        <f>Volumes!H12</f>
        <v>Meridian</v>
      </c>
      <c r="AA584" s="519" t="str">
        <f>Volumes!I12</f>
        <v>BEN2202 BEN0</v>
      </c>
      <c r="AB584" s="519">
        <f>Volumes!J12</f>
        <v>3305.1107430050024</v>
      </c>
      <c r="AC584" s="170"/>
      <c r="AE584" s="519">
        <f t="shared" ca="1" si="641"/>
        <v>0</v>
      </c>
      <c r="AF584" s="519">
        <f t="shared" ca="1" si="642"/>
        <v>0</v>
      </c>
      <c r="AG584" s="519">
        <f t="shared" ca="1" si="643"/>
        <v>0</v>
      </c>
      <c r="AH584" s="519">
        <f t="shared" ca="1" si="644"/>
        <v>0</v>
      </c>
      <c r="AI584" s="519">
        <f t="shared" ca="1" si="645"/>
        <v>0</v>
      </c>
      <c r="AJ584" s="519">
        <f t="shared" ca="1" si="646"/>
        <v>0</v>
      </c>
      <c r="AK584" s="519">
        <f t="shared" ca="1" si="647"/>
        <v>0</v>
      </c>
      <c r="AL584" s="519">
        <f t="shared" ca="1" si="648"/>
        <v>0.46980959254273041</v>
      </c>
      <c r="AM584" s="519">
        <f t="shared" ca="1" si="649"/>
        <v>0</v>
      </c>
      <c r="AN584" s="519">
        <f t="shared" ca="1" si="650"/>
        <v>0</v>
      </c>
      <c r="AO584" s="519">
        <f t="shared" ca="1" si="651"/>
        <v>0</v>
      </c>
      <c r="AP584" s="519">
        <f t="shared" ca="1" si="652"/>
        <v>0</v>
      </c>
      <c r="AQ584" s="519">
        <f t="shared" ca="1" si="653"/>
        <v>0</v>
      </c>
    </row>
    <row r="585" spans="1:43" x14ac:dyDescent="0.3">
      <c r="A585" s="556">
        <f t="shared" si="654"/>
        <v>4</v>
      </c>
      <c r="B585" s="519" t="str">
        <f t="shared" si="655"/>
        <v>BWK</v>
      </c>
      <c r="C585" s="519" t="str">
        <f>Volumes!H13</f>
        <v>Trustpower</v>
      </c>
      <c r="D585" s="519" t="str">
        <f>Volumes!I13</f>
        <v>BWK1101 WPI0</v>
      </c>
      <c r="E585" s="519">
        <f>Volumes!J13</f>
        <v>119.69324265499999</v>
      </c>
      <c r="G585" s="525"/>
      <c r="H585" s="519">
        <f ca="1">_xlfn.IFNA(IF(VLOOKUP($B585&amp;OFFSET(H$10,$A585*2,0),'Mapping A'!$B$6:$E$1011,4,0)=1,$E585,""),0)</f>
        <v>0</v>
      </c>
      <c r="I585" s="519">
        <f ca="1">_xlfn.IFNA(IF(VLOOKUP($B585&amp;OFFSET(I$10,$A585*2,0),'Mapping A'!$B$6:$E$1011,4,0)=1,$E585,""),0)</f>
        <v>0</v>
      </c>
      <c r="J585" s="519">
        <f ca="1">_xlfn.IFNA(IF(VLOOKUP($B585&amp;OFFSET(J$10,$A585*2,0),'Mapping A'!$B$6:$E$1011,4,0)=1,$E585,""),0)</f>
        <v>0</v>
      </c>
      <c r="K585" s="519">
        <f ca="1">_xlfn.IFNA(IF(VLOOKUP($B585&amp;OFFSET(K$10,$A585*2,0),'Mapping A'!$B$6:$E$1011,4,0)=1,$E585,""),0)</f>
        <v>0</v>
      </c>
      <c r="L585" s="519">
        <f ca="1">_xlfn.IFNA(IF(VLOOKUP($B585&amp;OFFSET(L$10,$A585*2,0),'Mapping A'!$B$6:$E$1011,4,0)=1,$E585,""),0)</f>
        <v>0</v>
      </c>
      <c r="M585" s="519">
        <f ca="1">_xlfn.IFNA(IF(VLOOKUP($B585&amp;OFFSET(M$10,$A585*2,0),'Mapping A'!$B$6:$E$1011,4,0)=1,$E585,""),0)</f>
        <v>0</v>
      </c>
      <c r="N585" s="519">
        <f ca="1">_xlfn.IFNA(IF(VLOOKUP($B585&amp;OFFSET(N$10,$A585*2,0),'Mapping A'!$B$6:$E$1011,4,0)=1,$E585,""),0)</f>
        <v>0</v>
      </c>
      <c r="O585" s="519">
        <f ca="1">_xlfn.IFNA(IF(VLOOKUP($B585&amp;OFFSET(O$10,$A585*2,0),'Mapping A'!$B$6:$E$1011,4,0)=1,$E585,""),0)</f>
        <v>119.69324265499999</v>
      </c>
      <c r="P585" s="519">
        <f ca="1">_xlfn.IFNA(IF(VLOOKUP($B585&amp;OFFSET(P$10,$A585*2,0),'Mapping A'!$B$6:$E$1011,4,0)=1,$E585,""),0)</f>
        <v>0</v>
      </c>
      <c r="Q585" s="519">
        <f ca="1">_xlfn.IFNA(IF(VLOOKUP($B585&amp;OFFSET(Q$10,$A585*2,0),'Mapping A'!$B$6:$E$1011,4,0)=1,$E585,""),0)</f>
        <v>0</v>
      </c>
      <c r="R585" s="519">
        <f ca="1">_xlfn.IFNA(IF(VLOOKUP($B585&amp;OFFSET(R$10,$A585*2,0),'Mapping A'!$B$6:$E$1011,4,0)=1,$E585,""),0)</f>
        <v>0</v>
      </c>
      <c r="S585" s="519">
        <f ca="1">_xlfn.IFNA(IF(VLOOKUP($B585&amp;OFFSET(S$10,$A585*2,0),'Mapping A'!$B$6:$E$1011,4,0)=1,$E585,""),0)</f>
        <v>0</v>
      </c>
      <c r="T585" s="519">
        <f ca="1">_xlfn.IFNA(IF(VLOOKUP($B585&amp;OFFSET(T$10,$A585*2,0),'Mapping A'!$B$6:$E$1011,4,0)=1,$E585,""),0)</f>
        <v>0</v>
      </c>
      <c r="Y585" s="534" t="str">
        <f t="shared" si="656"/>
        <v>TrustpowerBWK1101 WPI0</v>
      </c>
      <c r="Z585" s="519" t="str">
        <f>Volumes!H13</f>
        <v>Trustpower</v>
      </c>
      <c r="AA585" s="519" t="str">
        <f>Volumes!I13</f>
        <v>BWK1101 WPI0</v>
      </c>
      <c r="AB585" s="519">
        <f>Volumes!J13</f>
        <v>119.69324265499999</v>
      </c>
      <c r="AC585" s="170"/>
      <c r="AE585" s="519">
        <f t="shared" ca="1" si="641"/>
        <v>0</v>
      </c>
      <c r="AF585" s="519">
        <f t="shared" ca="1" si="642"/>
        <v>0</v>
      </c>
      <c r="AG585" s="519">
        <f t="shared" ca="1" si="643"/>
        <v>0</v>
      </c>
      <c r="AH585" s="519">
        <f t="shared" ca="1" si="644"/>
        <v>0</v>
      </c>
      <c r="AI585" s="519">
        <f t="shared" ca="1" si="645"/>
        <v>0</v>
      </c>
      <c r="AJ585" s="519">
        <f t="shared" ca="1" si="646"/>
        <v>0</v>
      </c>
      <c r="AK585" s="519">
        <f t="shared" ca="1" si="647"/>
        <v>0</v>
      </c>
      <c r="AL585" s="519">
        <f t="shared" ca="1" si="648"/>
        <v>1.7013963505118954E-2</v>
      </c>
      <c r="AM585" s="519">
        <f t="shared" ca="1" si="649"/>
        <v>0</v>
      </c>
      <c r="AN585" s="519">
        <f t="shared" ca="1" si="650"/>
        <v>0</v>
      </c>
      <c r="AO585" s="519">
        <f t="shared" ca="1" si="651"/>
        <v>0</v>
      </c>
      <c r="AP585" s="519">
        <f t="shared" ca="1" si="652"/>
        <v>0</v>
      </c>
      <c r="AQ585" s="519">
        <f t="shared" ca="1" si="653"/>
        <v>0</v>
      </c>
    </row>
    <row r="586" spans="1:43" x14ac:dyDescent="0.3">
      <c r="A586" s="556">
        <f t="shared" si="654"/>
        <v>4</v>
      </c>
      <c r="B586" s="519" t="str">
        <f t="shared" si="655"/>
        <v>COB</v>
      </c>
      <c r="C586" s="519" t="str">
        <f>Volumes!H14</f>
        <v>Trustpower</v>
      </c>
      <c r="D586" s="519" t="str">
        <f>Volumes!I14</f>
        <v>COB0661 COB0</v>
      </c>
      <c r="E586" s="519">
        <f>Volumes!J14</f>
        <v>0</v>
      </c>
      <c r="G586" s="525"/>
      <c r="H586" s="519">
        <f ca="1">_xlfn.IFNA(IF(VLOOKUP($B586&amp;OFFSET(H$10,$A586*2,0),'Mapping A'!$B$6:$E$1011,4,0)=1,$E586,""),0)</f>
        <v>0</v>
      </c>
      <c r="I586" s="519">
        <f ca="1">_xlfn.IFNA(IF(VLOOKUP($B586&amp;OFFSET(I$10,$A586*2,0),'Mapping A'!$B$6:$E$1011,4,0)=1,$E586,""),0)</f>
        <v>0</v>
      </c>
      <c r="J586" s="519">
        <f ca="1">_xlfn.IFNA(IF(VLOOKUP($B586&amp;OFFSET(J$10,$A586*2,0),'Mapping A'!$B$6:$E$1011,4,0)=1,$E586,""),0)</f>
        <v>0</v>
      </c>
      <c r="K586" s="519">
        <f ca="1">_xlfn.IFNA(IF(VLOOKUP($B586&amp;OFFSET(K$10,$A586*2,0),'Mapping A'!$B$6:$E$1011,4,0)=1,$E586,""),0)</f>
        <v>0</v>
      </c>
      <c r="L586" s="519">
        <f ca="1">_xlfn.IFNA(IF(VLOOKUP($B586&amp;OFFSET(L$10,$A586*2,0),'Mapping A'!$B$6:$E$1011,4,0)=1,$E586,""),0)</f>
        <v>0</v>
      </c>
      <c r="M586" s="519">
        <f ca="1">_xlfn.IFNA(IF(VLOOKUP($B586&amp;OFFSET(M$10,$A586*2,0),'Mapping A'!$B$6:$E$1011,4,0)=1,$E586,""),0)</f>
        <v>0</v>
      </c>
      <c r="N586" s="519">
        <f ca="1">_xlfn.IFNA(IF(VLOOKUP($B586&amp;OFFSET(N$10,$A586*2,0),'Mapping A'!$B$6:$E$1011,4,0)=1,$E586,""),0)</f>
        <v>0</v>
      </c>
      <c r="O586" s="519">
        <f ca="1">_xlfn.IFNA(IF(VLOOKUP($B586&amp;OFFSET(O$10,$A586*2,0),'Mapping A'!$B$6:$E$1011,4,0)=1,$E586,""),0)</f>
        <v>0</v>
      </c>
      <c r="P586" s="519">
        <f ca="1">_xlfn.IFNA(IF(VLOOKUP($B586&amp;OFFSET(P$10,$A586*2,0),'Mapping A'!$B$6:$E$1011,4,0)=1,$E586,""),0)</f>
        <v>0</v>
      </c>
      <c r="Q586" s="519">
        <f ca="1">_xlfn.IFNA(IF(VLOOKUP($B586&amp;OFFSET(Q$10,$A586*2,0),'Mapping A'!$B$6:$E$1011,4,0)=1,$E586,""),0)</f>
        <v>0</v>
      </c>
      <c r="R586" s="519">
        <f ca="1">_xlfn.IFNA(IF(VLOOKUP($B586&amp;OFFSET(R$10,$A586*2,0),'Mapping A'!$B$6:$E$1011,4,0)=1,$E586,""),0)</f>
        <v>0</v>
      </c>
      <c r="S586" s="519">
        <f ca="1">_xlfn.IFNA(IF(VLOOKUP($B586&amp;OFFSET(S$10,$A586*2,0),'Mapping A'!$B$6:$E$1011,4,0)=1,$E586,""),0)</f>
        <v>0</v>
      </c>
      <c r="T586" s="519">
        <f ca="1">_xlfn.IFNA(IF(VLOOKUP($B586&amp;OFFSET(T$10,$A586*2,0),'Mapping A'!$B$6:$E$1011,4,0)=1,$E586,""),0)</f>
        <v>0</v>
      </c>
      <c r="Y586" s="534" t="str">
        <f t="shared" si="656"/>
        <v>TrustpowerCOB0661 COB0</v>
      </c>
      <c r="Z586" s="519" t="str">
        <f>Volumes!H14</f>
        <v>Trustpower</v>
      </c>
      <c r="AA586" s="519" t="str">
        <f>Volumes!I14</f>
        <v>COB0661 COB0</v>
      </c>
      <c r="AB586" s="519">
        <f>Volumes!J14</f>
        <v>0</v>
      </c>
      <c r="AC586" s="170"/>
      <c r="AE586" s="519">
        <f t="shared" ca="1" si="641"/>
        <v>0</v>
      </c>
      <c r="AF586" s="519">
        <f t="shared" ca="1" si="642"/>
        <v>0</v>
      </c>
      <c r="AG586" s="519">
        <f t="shared" ca="1" si="643"/>
        <v>0</v>
      </c>
      <c r="AH586" s="519">
        <f t="shared" ca="1" si="644"/>
        <v>0</v>
      </c>
      <c r="AI586" s="519">
        <f t="shared" ca="1" si="645"/>
        <v>0</v>
      </c>
      <c r="AJ586" s="519">
        <f t="shared" ca="1" si="646"/>
        <v>0</v>
      </c>
      <c r="AK586" s="519">
        <f t="shared" ca="1" si="647"/>
        <v>0</v>
      </c>
      <c r="AL586" s="519">
        <f t="shared" ca="1" si="648"/>
        <v>0</v>
      </c>
      <c r="AM586" s="519">
        <f t="shared" ca="1" si="649"/>
        <v>0</v>
      </c>
      <c r="AN586" s="519">
        <f t="shared" ca="1" si="650"/>
        <v>0</v>
      </c>
      <c r="AO586" s="519">
        <f t="shared" ca="1" si="651"/>
        <v>0</v>
      </c>
      <c r="AP586" s="519">
        <f t="shared" ca="1" si="652"/>
        <v>0</v>
      </c>
      <c r="AQ586" s="519">
        <f t="shared" ca="1" si="653"/>
        <v>0</v>
      </c>
    </row>
    <row r="587" spans="1:43" x14ac:dyDescent="0.3">
      <c r="A587" s="556">
        <f t="shared" si="654"/>
        <v>4</v>
      </c>
      <c r="B587" s="519" t="str">
        <f t="shared" si="655"/>
        <v>COL</v>
      </c>
      <c r="C587" s="519" t="str">
        <f>Volumes!H15</f>
        <v>Trustpower</v>
      </c>
      <c r="D587" s="519" t="str">
        <f>Volumes!I15</f>
        <v>COL0661 COL0</v>
      </c>
      <c r="E587" s="519">
        <f>Volumes!J15</f>
        <v>254.70686206499911</v>
      </c>
      <c r="G587" s="525"/>
      <c r="H587" s="519">
        <f ca="1">_xlfn.IFNA(IF(VLOOKUP($B587&amp;OFFSET(H$10,$A587*2,0),'Mapping A'!$B$6:$E$1011,4,0)=1,$E587,""),0)</f>
        <v>0</v>
      </c>
      <c r="I587" s="519">
        <f ca="1">_xlfn.IFNA(IF(VLOOKUP($B587&amp;OFFSET(I$10,$A587*2,0),'Mapping A'!$B$6:$E$1011,4,0)=1,$E587,""),0)</f>
        <v>0</v>
      </c>
      <c r="J587" s="519">
        <f ca="1">_xlfn.IFNA(IF(VLOOKUP($B587&amp;OFFSET(J$10,$A587*2,0),'Mapping A'!$B$6:$E$1011,4,0)=1,$E587,""),0)</f>
        <v>0</v>
      </c>
      <c r="K587" s="519">
        <f ca="1">_xlfn.IFNA(IF(VLOOKUP($B587&amp;OFFSET(K$10,$A587*2,0),'Mapping A'!$B$6:$E$1011,4,0)=1,$E587,""),0)</f>
        <v>0</v>
      </c>
      <c r="L587" s="519">
        <f ca="1">_xlfn.IFNA(IF(VLOOKUP($B587&amp;OFFSET(L$10,$A587*2,0),'Mapping A'!$B$6:$E$1011,4,0)=1,$E587,""),0)</f>
        <v>0</v>
      </c>
      <c r="M587" s="519">
        <f ca="1">_xlfn.IFNA(IF(VLOOKUP($B587&amp;OFFSET(M$10,$A587*2,0),'Mapping A'!$B$6:$E$1011,4,0)=1,$E587,""),0)</f>
        <v>0</v>
      </c>
      <c r="N587" s="519">
        <f ca="1">_xlfn.IFNA(IF(VLOOKUP($B587&amp;OFFSET(N$10,$A587*2,0),'Mapping A'!$B$6:$E$1011,4,0)=1,$E587,""),0)</f>
        <v>0</v>
      </c>
      <c r="O587" s="519">
        <f ca="1">_xlfn.IFNA(IF(VLOOKUP($B587&amp;OFFSET(O$10,$A587*2,0),'Mapping A'!$B$6:$E$1011,4,0)=1,$E587,""),0)</f>
        <v>254.70686206499911</v>
      </c>
      <c r="P587" s="519">
        <f ca="1">_xlfn.IFNA(IF(VLOOKUP($B587&amp;OFFSET(P$10,$A587*2,0),'Mapping A'!$B$6:$E$1011,4,0)=1,$E587,""),0)</f>
        <v>0</v>
      </c>
      <c r="Q587" s="519">
        <f ca="1">_xlfn.IFNA(IF(VLOOKUP($B587&amp;OFFSET(Q$10,$A587*2,0),'Mapping A'!$B$6:$E$1011,4,0)=1,$E587,""),0)</f>
        <v>0</v>
      </c>
      <c r="R587" s="519">
        <f ca="1">_xlfn.IFNA(IF(VLOOKUP($B587&amp;OFFSET(R$10,$A587*2,0),'Mapping A'!$B$6:$E$1011,4,0)=1,$E587,""),0)</f>
        <v>0</v>
      </c>
      <c r="S587" s="519">
        <f ca="1">_xlfn.IFNA(IF(VLOOKUP($B587&amp;OFFSET(S$10,$A587*2,0),'Mapping A'!$B$6:$E$1011,4,0)=1,$E587,""),0)</f>
        <v>0</v>
      </c>
      <c r="T587" s="519">
        <f ca="1">_xlfn.IFNA(IF(VLOOKUP($B587&amp;OFFSET(T$10,$A587*2,0),'Mapping A'!$B$6:$E$1011,4,0)=1,$E587,""),0)</f>
        <v>0</v>
      </c>
      <c r="Y587" s="534" t="str">
        <f t="shared" si="656"/>
        <v>TrustpowerCOL0661 COL0</v>
      </c>
      <c r="Z587" s="519" t="str">
        <f>Volumes!H15</f>
        <v>Trustpower</v>
      </c>
      <c r="AA587" s="519" t="str">
        <f>Volumes!I15</f>
        <v>COL0661 COL0</v>
      </c>
      <c r="AB587" s="519">
        <f>Volumes!J15</f>
        <v>254.70686206499911</v>
      </c>
      <c r="AC587" s="170"/>
      <c r="AE587" s="519">
        <f t="shared" ca="1" si="641"/>
        <v>0</v>
      </c>
      <c r="AF587" s="519">
        <f t="shared" ca="1" si="642"/>
        <v>0</v>
      </c>
      <c r="AG587" s="519">
        <f t="shared" ca="1" si="643"/>
        <v>0</v>
      </c>
      <c r="AH587" s="519">
        <f t="shared" ca="1" si="644"/>
        <v>0</v>
      </c>
      <c r="AI587" s="519">
        <f t="shared" ca="1" si="645"/>
        <v>0</v>
      </c>
      <c r="AJ587" s="519">
        <f t="shared" ca="1" si="646"/>
        <v>0</v>
      </c>
      <c r="AK587" s="519">
        <f t="shared" ca="1" si="647"/>
        <v>0</v>
      </c>
      <c r="AL587" s="519">
        <f t="shared" ca="1" si="648"/>
        <v>3.6205663407150035E-2</v>
      </c>
      <c r="AM587" s="519">
        <f t="shared" ca="1" si="649"/>
        <v>0</v>
      </c>
      <c r="AN587" s="519">
        <f t="shared" ca="1" si="650"/>
        <v>0</v>
      </c>
      <c r="AO587" s="519">
        <f t="shared" ca="1" si="651"/>
        <v>0</v>
      </c>
      <c r="AP587" s="519">
        <f t="shared" ca="1" si="652"/>
        <v>0</v>
      </c>
      <c r="AQ587" s="519">
        <f t="shared" ca="1" si="653"/>
        <v>0</v>
      </c>
    </row>
    <row r="588" spans="1:43" x14ac:dyDescent="0.3">
      <c r="A588" s="556">
        <f t="shared" si="654"/>
        <v>4</v>
      </c>
      <c r="B588" s="519" t="str">
        <f t="shared" si="655"/>
        <v>CYD</v>
      </c>
      <c r="C588" s="519" t="str">
        <f>Volumes!H16</f>
        <v>Contact</v>
      </c>
      <c r="D588" s="519" t="str">
        <f>Volumes!I16</f>
        <v>CYD2201 CYD0</v>
      </c>
      <c r="E588" s="519">
        <f>Volumes!J16</f>
        <v>2276.1180091300048</v>
      </c>
      <c r="G588" s="525"/>
      <c r="H588" s="519">
        <f ca="1">_xlfn.IFNA(IF(VLOOKUP($B588&amp;OFFSET(H$10,$A588*2,0),'Mapping A'!$B$6:$E$1011,4,0)=1,$E588,""),0)</f>
        <v>0</v>
      </c>
      <c r="I588" s="519">
        <f ca="1">_xlfn.IFNA(IF(VLOOKUP($B588&amp;OFFSET(I$10,$A588*2,0),'Mapping A'!$B$6:$E$1011,4,0)=1,$E588,""),0)</f>
        <v>0</v>
      </c>
      <c r="J588" s="519">
        <f ca="1">_xlfn.IFNA(IF(VLOOKUP($B588&amp;OFFSET(J$10,$A588*2,0),'Mapping A'!$B$6:$E$1011,4,0)=1,$E588,""),0)</f>
        <v>0</v>
      </c>
      <c r="K588" s="519">
        <f ca="1">_xlfn.IFNA(IF(VLOOKUP($B588&amp;OFFSET(K$10,$A588*2,0),'Mapping A'!$B$6:$E$1011,4,0)=1,$E588,""),0)</f>
        <v>0</v>
      </c>
      <c r="L588" s="519">
        <f ca="1">_xlfn.IFNA(IF(VLOOKUP($B588&amp;OFFSET(L$10,$A588*2,0),'Mapping A'!$B$6:$E$1011,4,0)=1,$E588,""),0)</f>
        <v>0</v>
      </c>
      <c r="M588" s="519">
        <f ca="1">_xlfn.IFNA(IF(VLOOKUP($B588&amp;OFFSET(M$10,$A588*2,0),'Mapping A'!$B$6:$E$1011,4,0)=1,$E588,""),0)</f>
        <v>0</v>
      </c>
      <c r="N588" s="519">
        <f ca="1">_xlfn.IFNA(IF(VLOOKUP($B588&amp;OFFSET(N$10,$A588*2,0),'Mapping A'!$B$6:$E$1011,4,0)=1,$E588,""),0)</f>
        <v>0</v>
      </c>
      <c r="O588" s="519">
        <f ca="1">_xlfn.IFNA(IF(VLOOKUP($B588&amp;OFFSET(O$10,$A588*2,0),'Mapping A'!$B$6:$E$1011,4,0)=1,$E588,""),0)</f>
        <v>2276.1180091300048</v>
      </c>
      <c r="P588" s="519">
        <f ca="1">_xlfn.IFNA(IF(VLOOKUP($B588&amp;OFFSET(P$10,$A588*2,0),'Mapping A'!$B$6:$E$1011,4,0)=1,$E588,""),0)</f>
        <v>0</v>
      </c>
      <c r="Q588" s="519">
        <f ca="1">_xlfn.IFNA(IF(VLOOKUP($B588&amp;OFFSET(Q$10,$A588*2,0),'Mapping A'!$B$6:$E$1011,4,0)=1,$E588,""),0)</f>
        <v>0</v>
      </c>
      <c r="R588" s="519">
        <f ca="1">_xlfn.IFNA(IF(VLOOKUP($B588&amp;OFFSET(R$10,$A588*2,0),'Mapping A'!$B$6:$E$1011,4,0)=1,$E588,""),0)</f>
        <v>0</v>
      </c>
      <c r="S588" s="519">
        <f ca="1">_xlfn.IFNA(IF(VLOOKUP($B588&amp;OFFSET(S$10,$A588*2,0),'Mapping A'!$B$6:$E$1011,4,0)=1,$E588,""),0)</f>
        <v>0</v>
      </c>
      <c r="T588" s="519">
        <f ca="1">_xlfn.IFNA(IF(VLOOKUP($B588&amp;OFFSET(T$10,$A588*2,0),'Mapping A'!$B$6:$E$1011,4,0)=1,$E588,""),0)</f>
        <v>0</v>
      </c>
      <c r="Y588" s="534" t="str">
        <f t="shared" si="656"/>
        <v>ContactCYD2201 CYD0</v>
      </c>
      <c r="Z588" s="519" t="str">
        <f>Volumes!H16</f>
        <v>Contact</v>
      </c>
      <c r="AA588" s="519" t="str">
        <f>Volumes!I16</f>
        <v>CYD2201 CYD0</v>
      </c>
      <c r="AB588" s="519">
        <f>Volumes!J16</f>
        <v>2276.1180091300048</v>
      </c>
      <c r="AC588" s="170"/>
      <c r="AE588" s="519">
        <f t="shared" ca="1" si="641"/>
        <v>0</v>
      </c>
      <c r="AF588" s="519">
        <f t="shared" ca="1" si="642"/>
        <v>0</v>
      </c>
      <c r="AG588" s="519">
        <f t="shared" ca="1" si="643"/>
        <v>0</v>
      </c>
      <c r="AH588" s="519">
        <f t="shared" ca="1" si="644"/>
        <v>0</v>
      </c>
      <c r="AI588" s="519">
        <f t="shared" ca="1" si="645"/>
        <v>0</v>
      </c>
      <c r="AJ588" s="519">
        <f t="shared" ca="1" si="646"/>
        <v>0</v>
      </c>
      <c r="AK588" s="519">
        <f t="shared" ca="1" si="647"/>
        <v>0</v>
      </c>
      <c r="AL588" s="519">
        <f t="shared" ca="1" si="648"/>
        <v>0.32354198016260538</v>
      </c>
      <c r="AM588" s="519">
        <f t="shared" ca="1" si="649"/>
        <v>0</v>
      </c>
      <c r="AN588" s="519">
        <f t="shared" ca="1" si="650"/>
        <v>0</v>
      </c>
      <c r="AO588" s="519">
        <f t="shared" ca="1" si="651"/>
        <v>0</v>
      </c>
      <c r="AP588" s="519">
        <f t="shared" ca="1" si="652"/>
        <v>0</v>
      </c>
      <c r="AQ588" s="519">
        <f t="shared" ca="1" si="653"/>
        <v>0</v>
      </c>
    </row>
    <row r="589" spans="1:43" x14ac:dyDescent="0.3">
      <c r="A589" s="556">
        <f t="shared" si="654"/>
        <v>4</v>
      </c>
      <c r="B589" s="519" t="str">
        <f t="shared" si="655"/>
        <v>GLN</v>
      </c>
      <c r="C589" s="519" t="str">
        <f>Volumes!H17</f>
        <v>NZ Steel</v>
      </c>
      <c r="D589" s="519" t="str">
        <f>Volumes!I17</f>
        <v>GLN0332 GLN0</v>
      </c>
      <c r="E589" s="519">
        <f>Volumes!J17</f>
        <v>422.62400000000002</v>
      </c>
      <c r="G589" s="525"/>
      <c r="H589" s="519">
        <f ca="1">_xlfn.IFNA(IF(VLOOKUP($B589&amp;OFFSET(H$10,$A589*2,0),'Mapping A'!$B$6:$E$1011,4,0)=1,$E589,""),0)</f>
        <v>0</v>
      </c>
      <c r="I589" s="519">
        <f ca="1">_xlfn.IFNA(IF(VLOOKUP($B589&amp;OFFSET(I$10,$A589*2,0),'Mapping A'!$B$6:$E$1011,4,0)=1,$E589,""),0)</f>
        <v>0</v>
      </c>
      <c r="J589" s="519">
        <f ca="1">_xlfn.IFNA(IF(VLOOKUP($B589&amp;OFFSET(J$10,$A589*2,0),'Mapping A'!$B$6:$E$1011,4,0)=1,$E589,""),0)</f>
        <v>0</v>
      </c>
      <c r="K589" s="519">
        <f ca="1">_xlfn.IFNA(IF(VLOOKUP($B589&amp;OFFSET(K$10,$A589*2,0),'Mapping A'!$B$6:$E$1011,4,0)=1,$E589,""),0)</f>
        <v>0</v>
      </c>
      <c r="L589" s="519">
        <f ca="1">_xlfn.IFNA(IF(VLOOKUP($B589&amp;OFFSET(L$10,$A589*2,0),'Mapping A'!$B$6:$E$1011,4,0)=1,$E589,""),0)</f>
        <v>0</v>
      </c>
      <c r="M589" s="519">
        <f ca="1">_xlfn.IFNA(IF(VLOOKUP($B589&amp;OFFSET(M$10,$A589*2,0),'Mapping A'!$B$6:$E$1011,4,0)=1,$E589,""),0)</f>
        <v>0</v>
      </c>
      <c r="N589" s="519">
        <f ca="1">_xlfn.IFNA(IF(VLOOKUP($B589&amp;OFFSET(N$10,$A589*2,0),'Mapping A'!$B$6:$E$1011,4,0)=1,$E589,""),0)</f>
        <v>0</v>
      </c>
      <c r="O589" s="519">
        <f ca="1">_xlfn.IFNA(IF(VLOOKUP($B589&amp;OFFSET(O$10,$A589*2,0),'Mapping A'!$B$6:$E$1011,4,0)=1,$E589,""),0)</f>
        <v>0</v>
      </c>
      <c r="P589" s="519">
        <f ca="1">_xlfn.IFNA(IF(VLOOKUP($B589&amp;OFFSET(P$10,$A589*2,0),'Mapping A'!$B$6:$E$1011,4,0)=1,$E589,""),0)</f>
        <v>0</v>
      </c>
      <c r="Q589" s="519">
        <f ca="1">_xlfn.IFNA(IF(VLOOKUP($B589&amp;OFFSET(Q$10,$A589*2,0),'Mapping A'!$B$6:$E$1011,4,0)=1,$E589,""),0)</f>
        <v>0</v>
      </c>
      <c r="R589" s="519">
        <f ca="1">_xlfn.IFNA(IF(VLOOKUP($B589&amp;OFFSET(R$10,$A589*2,0),'Mapping A'!$B$6:$E$1011,4,0)=1,$E589,""),0)</f>
        <v>0</v>
      </c>
      <c r="S589" s="519">
        <f ca="1">_xlfn.IFNA(IF(VLOOKUP($B589&amp;OFFSET(S$10,$A589*2,0),'Mapping A'!$B$6:$E$1011,4,0)=1,$E589,""),0)</f>
        <v>0</v>
      </c>
      <c r="T589" s="519">
        <f ca="1">_xlfn.IFNA(IF(VLOOKUP($B589&amp;OFFSET(T$10,$A589*2,0),'Mapping A'!$B$6:$E$1011,4,0)=1,$E589,""),0)</f>
        <v>0</v>
      </c>
      <c r="Y589" s="534" t="str">
        <f t="shared" si="656"/>
        <v>NZ SteelGLN0332 GLN0</v>
      </c>
      <c r="Z589" s="519" t="str">
        <f>Volumes!H17</f>
        <v>NZ Steel</v>
      </c>
      <c r="AA589" s="519" t="str">
        <f>Volumes!I17</f>
        <v>GLN0332 GLN0</v>
      </c>
      <c r="AB589" s="519">
        <f>Volumes!J17</f>
        <v>422.62400000000002</v>
      </c>
      <c r="AC589" s="170"/>
      <c r="AE589" s="519">
        <f t="shared" ca="1" si="641"/>
        <v>0</v>
      </c>
      <c r="AF589" s="519">
        <f t="shared" ca="1" si="642"/>
        <v>0</v>
      </c>
      <c r="AG589" s="519">
        <f t="shared" ca="1" si="643"/>
        <v>0</v>
      </c>
      <c r="AH589" s="519">
        <f t="shared" ca="1" si="644"/>
        <v>0</v>
      </c>
      <c r="AI589" s="519">
        <f t="shared" ca="1" si="645"/>
        <v>0</v>
      </c>
      <c r="AJ589" s="519">
        <f t="shared" ca="1" si="646"/>
        <v>0</v>
      </c>
      <c r="AK589" s="519">
        <f t="shared" ca="1" si="647"/>
        <v>0</v>
      </c>
      <c r="AL589" s="519">
        <f t="shared" ca="1" si="648"/>
        <v>0</v>
      </c>
      <c r="AM589" s="519">
        <f t="shared" ca="1" si="649"/>
        <v>0</v>
      </c>
      <c r="AN589" s="519">
        <f t="shared" ca="1" si="650"/>
        <v>0</v>
      </c>
      <c r="AO589" s="519">
        <f t="shared" ca="1" si="651"/>
        <v>0</v>
      </c>
      <c r="AP589" s="519">
        <f t="shared" ca="1" si="652"/>
        <v>0</v>
      </c>
      <c r="AQ589" s="519">
        <f t="shared" ca="1" si="653"/>
        <v>0</v>
      </c>
    </row>
    <row r="590" spans="1:43" x14ac:dyDescent="0.3">
      <c r="A590" s="556">
        <f t="shared" si="654"/>
        <v>4</v>
      </c>
      <c r="B590" s="519" t="str">
        <f t="shared" si="655"/>
        <v>HLY</v>
      </c>
      <c r="C590" s="519" t="str">
        <f>Volumes!H18</f>
        <v>Genesis</v>
      </c>
      <c r="D590" s="519" t="str">
        <f>Volumes!I18</f>
        <v>HLY2201 HLY1</v>
      </c>
      <c r="E590" s="519">
        <f>Volumes!J18</f>
        <v>1316.8613849449937</v>
      </c>
      <c r="G590" s="525"/>
      <c r="H590" s="519">
        <f ca="1">_xlfn.IFNA(IF(VLOOKUP($B590&amp;OFFSET(H$10,$A590*2,0),'Mapping A'!$B$6:$E$1011,4,0)=1,$E590,""),0)</f>
        <v>0</v>
      </c>
      <c r="I590" s="519">
        <f ca="1">_xlfn.IFNA(IF(VLOOKUP($B590&amp;OFFSET(I$10,$A590*2,0),'Mapping A'!$B$6:$E$1011,4,0)=1,$E590,""),0)</f>
        <v>0</v>
      </c>
      <c r="J590" s="519">
        <f ca="1">_xlfn.IFNA(IF(VLOOKUP($B590&amp;OFFSET(J$10,$A590*2,0),'Mapping A'!$B$6:$E$1011,4,0)=1,$E590,""),0)</f>
        <v>0</v>
      </c>
      <c r="K590" s="519">
        <f ca="1">_xlfn.IFNA(IF(VLOOKUP($B590&amp;OFFSET(K$10,$A590*2,0),'Mapping A'!$B$6:$E$1011,4,0)=1,$E590,""),0)</f>
        <v>0</v>
      </c>
      <c r="L590" s="519">
        <f ca="1">_xlfn.IFNA(IF(VLOOKUP($B590&amp;OFFSET(L$10,$A590*2,0),'Mapping A'!$B$6:$E$1011,4,0)=1,$E590,""),0)</f>
        <v>0</v>
      </c>
      <c r="M590" s="519">
        <f ca="1">_xlfn.IFNA(IF(VLOOKUP($B590&amp;OFFSET(M$10,$A590*2,0),'Mapping A'!$B$6:$E$1011,4,0)=1,$E590,""),0)</f>
        <v>0</v>
      </c>
      <c r="N590" s="519">
        <f ca="1">_xlfn.IFNA(IF(VLOOKUP($B590&amp;OFFSET(N$10,$A590*2,0),'Mapping A'!$B$6:$E$1011,4,0)=1,$E590,""),0)</f>
        <v>0</v>
      </c>
      <c r="O590" s="519">
        <f ca="1">_xlfn.IFNA(IF(VLOOKUP($B590&amp;OFFSET(O$10,$A590*2,0),'Mapping A'!$B$6:$E$1011,4,0)=1,$E590,""),0)</f>
        <v>0</v>
      </c>
      <c r="P590" s="519">
        <f ca="1">_xlfn.IFNA(IF(VLOOKUP($B590&amp;OFFSET(P$10,$A590*2,0),'Mapping A'!$B$6:$E$1011,4,0)=1,$E590,""),0)</f>
        <v>0</v>
      </c>
      <c r="Q590" s="519">
        <f ca="1">_xlfn.IFNA(IF(VLOOKUP($B590&amp;OFFSET(Q$10,$A590*2,0),'Mapping A'!$B$6:$E$1011,4,0)=1,$E590,""),0)</f>
        <v>0</v>
      </c>
      <c r="R590" s="519">
        <f ca="1">_xlfn.IFNA(IF(VLOOKUP($B590&amp;OFFSET(R$10,$A590*2,0),'Mapping A'!$B$6:$E$1011,4,0)=1,$E590,""),0)</f>
        <v>0</v>
      </c>
      <c r="S590" s="519">
        <f ca="1">_xlfn.IFNA(IF(VLOOKUP($B590&amp;OFFSET(S$10,$A590*2,0),'Mapping A'!$B$6:$E$1011,4,0)=1,$E590,""),0)</f>
        <v>0</v>
      </c>
      <c r="T590" s="519">
        <f ca="1">_xlfn.IFNA(IF(VLOOKUP($B590&amp;OFFSET(T$10,$A590*2,0),'Mapping A'!$B$6:$E$1011,4,0)=1,$E590,""),0)</f>
        <v>0</v>
      </c>
      <c r="Y590" s="534" t="str">
        <f t="shared" si="656"/>
        <v>GenesisHLY2201 HLY1</v>
      </c>
      <c r="Z590" s="519" t="str">
        <f>Volumes!H18</f>
        <v>Genesis</v>
      </c>
      <c r="AA590" s="519" t="str">
        <f>Volumes!I18</f>
        <v>HLY2201 HLY1</v>
      </c>
      <c r="AB590" s="519">
        <f>Volumes!J18</f>
        <v>1316.8613849449937</v>
      </c>
      <c r="AC590" s="170"/>
      <c r="AE590" s="519">
        <f t="shared" ca="1" si="641"/>
        <v>0</v>
      </c>
      <c r="AF590" s="519">
        <f t="shared" ca="1" si="642"/>
        <v>0</v>
      </c>
      <c r="AG590" s="519">
        <f t="shared" ca="1" si="643"/>
        <v>0</v>
      </c>
      <c r="AH590" s="519">
        <f t="shared" ca="1" si="644"/>
        <v>0</v>
      </c>
      <c r="AI590" s="519">
        <f t="shared" ca="1" si="645"/>
        <v>0</v>
      </c>
      <c r="AJ590" s="519">
        <f t="shared" ca="1" si="646"/>
        <v>0</v>
      </c>
      <c r="AK590" s="519">
        <f t="shared" ca="1" si="647"/>
        <v>0</v>
      </c>
      <c r="AL590" s="519">
        <f t="shared" ca="1" si="648"/>
        <v>0</v>
      </c>
      <c r="AM590" s="519">
        <f t="shared" ca="1" si="649"/>
        <v>0</v>
      </c>
      <c r="AN590" s="519">
        <f t="shared" ca="1" si="650"/>
        <v>0</v>
      </c>
      <c r="AO590" s="519">
        <f t="shared" ca="1" si="651"/>
        <v>0</v>
      </c>
      <c r="AP590" s="519">
        <f t="shared" ca="1" si="652"/>
        <v>0</v>
      </c>
      <c r="AQ590" s="519">
        <f t="shared" ca="1" si="653"/>
        <v>0</v>
      </c>
    </row>
    <row r="591" spans="1:43" x14ac:dyDescent="0.3">
      <c r="A591" s="556">
        <f t="shared" si="654"/>
        <v>4</v>
      </c>
      <c r="B591" s="519" t="str">
        <f t="shared" si="655"/>
        <v>HLY</v>
      </c>
      <c r="C591" s="519" t="str">
        <f>Volumes!H19</f>
        <v>Genesis</v>
      </c>
      <c r="D591" s="519" t="str">
        <f>Volumes!I19</f>
        <v>HLY2201 HLY2</v>
      </c>
      <c r="E591" s="519">
        <f>Volumes!J19</f>
        <v>1318.2925439199983</v>
      </c>
      <c r="G591" s="525"/>
      <c r="H591" s="519">
        <f ca="1">_xlfn.IFNA(IF(VLOOKUP($B591&amp;OFFSET(H$10,$A591*2,0),'Mapping A'!$B$6:$E$1011,4,0)=1,$E591,""),0)</f>
        <v>0</v>
      </c>
      <c r="I591" s="519">
        <f ca="1">_xlfn.IFNA(IF(VLOOKUP($B591&amp;OFFSET(I$10,$A591*2,0),'Mapping A'!$B$6:$E$1011,4,0)=1,$E591,""),0)</f>
        <v>0</v>
      </c>
      <c r="J591" s="519">
        <f ca="1">_xlfn.IFNA(IF(VLOOKUP($B591&amp;OFFSET(J$10,$A591*2,0),'Mapping A'!$B$6:$E$1011,4,0)=1,$E591,""),0)</f>
        <v>0</v>
      </c>
      <c r="K591" s="519">
        <f ca="1">_xlfn.IFNA(IF(VLOOKUP($B591&amp;OFFSET(K$10,$A591*2,0),'Mapping A'!$B$6:$E$1011,4,0)=1,$E591,""),0)</f>
        <v>0</v>
      </c>
      <c r="L591" s="519">
        <f ca="1">_xlfn.IFNA(IF(VLOOKUP($B591&amp;OFFSET(L$10,$A591*2,0),'Mapping A'!$B$6:$E$1011,4,0)=1,$E591,""),0)</f>
        <v>0</v>
      </c>
      <c r="M591" s="519">
        <f ca="1">_xlfn.IFNA(IF(VLOOKUP($B591&amp;OFFSET(M$10,$A591*2,0),'Mapping A'!$B$6:$E$1011,4,0)=1,$E591,""),0)</f>
        <v>0</v>
      </c>
      <c r="N591" s="519">
        <f ca="1">_xlfn.IFNA(IF(VLOOKUP($B591&amp;OFFSET(N$10,$A591*2,0),'Mapping A'!$B$6:$E$1011,4,0)=1,$E591,""),0)</f>
        <v>0</v>
      </c>
      <c r="O591" s="519">
        <f ca="1">_xlfn.IFNA(IF(VLOOKUP($B591&amp;OFFSET(O$10,$A591*2,0),'Mapping A'!$B$6:$E$1011,4,0)=1,$E591,""),0)</f>
        <v>0</v>
      </c>
      <c r="P591" s="519">
        <f ca="1">_xlfn.IFNA(IF(VLOOKUP($B591&amp;OFFSET(P$10,$A591*2,0),'Mapping A'!$B$6:$E$1011,4,0)=1,$E591,""),0)</f>
        <v>0</v>
      </c>
      <c r="Q591" s="519">
        <f ca="1">_xlfn.IFNA(IF(VLOOKUP($B591&amp;OFFSET(Q$10,$A591*2,0),'Mapping A'!$B$6:$E$1011,4,0)=1,$E591,""),0)</f>
        <v>0</v>
      </c>
      <c r="R591" s="519">
        <f ca="1">_xlfn.IFNA(IF(VLOOKUP($B591&amp;OFFSET(R$10,$A591*2,0),'Mapping A'!$B$6:$E$1011,4,0)=1,$E591,""),0)</f>
        <v>0</v>
      </c>
      <c r="S591" s="519">
        <f ca="1">_xlfn.IFNA(IF(VLOOKUP($B591&amp;OFFSET(S$10,$A591*2,0),'Mapping A'!$B$6:$E$1011,4,0)=1,$E591,""),0)</f>
        <v>0</v>
      </c>
      <c r="T591" s="519">
        <f ca="1">_xlfn.IFNA(IF(VLOOKUP($B591&amp;OFFSET(T$10,$A591*2,0),'Mapping A'!$B$6:$E$1011,4,0)=1,$E591,""),0)</f>
        <v>0</v>
      </c>
      <c r="Y591" s="534" t="str">
        <f t="shared" si="656"/>
        <v>GenesisHLY2201 HLY2</v>
      </c>
      <c r="Z591" s="519" t="str">
        <f>Volumes!H19</f>
        <v>Genesis</v>
      </c>
      <c r="AA591" s="519" t="str">
        <f>Volumes!I19</f>
        <v>HLY2201 HLY2</v>
      </c>
      <c r="AB591" s="519">
        <f>Volumes!J19</f>
        <v>1318.2925439199983</v>
      </c>
      <c r="AC591" s="170"/>
      <c r="AE591" s="519">
        <f t="shared" ca="1" si="641"/>
        <v>0</v>
      </c>
      <c r="AF591" s="519">
        <f t="shared" ca="1" si="642"/>
        <v>0</v>
      </c>
      <c r="AG591" s="519">
        <f t="shared" ca="1" si="643"/>
        <v>0</v>
      </c>
      <c r="AH591" s="519">
        <f t="shared" ca="1" si="644"/>
        <v>0</v>
      </c>
      <c r="AI591" s="519">
        <f t="shared" ca="1" si="645"/>
        <v>0</v>
      </c>
      <c r="AJ591" s="519">
        <f t="shared" ca="1" si="646"/>
        <v>0</v>
      </c>
      <c r="AK591" s="519">
        <f t="shared" ca="1" si="647"/>
        <v>0</v>
      </c>
      <c r="AL591" s="519">
        <f t="shared" ca="1" si="648"/>
        <v>0</v>
      </c>
      <c r="AM591" s="519">
        <f t="shared" ca="1" si="649"/>
        <v>0</v>
      </c>
      <c r="AN591" s="519">
        <f t="shared" ca="1" si="650"/>
        <v>0</v>
      </c>
      <c r="AO591" s="519">
        <f t="shared" ca="1" si="651"/>
        <v>0</v>
      </c>
      <c r="AP591" s="519">
        <f t="shared" ca="1" si="652"/>
        <v>0</v>
      </c>
      <c r="AQ591" s="519">
        <f t="shared" ca="1" si="653"/>
        <v>0</v>
      </c>
    </row>
    <row r="592" spans="1:43" x14ac:dyDescent="0.3">
      <c r="A592" s="556">
        <f t="shared" si="654"/>
        <v>4</v>
      </c>
      <c r="B592" s="519" t="str">
        <f t="shared" si="655"/>
        <v>HLY</v>
      </c>
      <c r="C592" s="519" t="str">
        <f>Volumes!H20</f>
        <v>Genesis</v>
      </c>
      <c r="D592" s="519" t="str">
        <f>Volumes!I20</f>
        <v>HLY2201 HLY5</v>
      </c>
      <c r="E592" s="519">
        <f>Volumes!J20</f>
        <v>2400.7882988999991</v>
      </c>
      <c r="G592" s="525"/>
      <c r="H592" s="519">
        <f ca="1">_xlfn.IFNA(IF(VLOOKUP($B592&amp;OFFSET(H$10,$A592*2,0),'Mapping A'!$B$6:$E$1011,4,0)=1,$E592,""),0)</f>
        <v>0</v>
      </c>
      <c r="I592" s="519">
        <f ca="1">_xlfn.IFNA(IF(VLOOKUP($B592&amp;OFFSET(I$10,$A592*2,0),'Mapping A'!$B$6:$E$1011,4,0)=1,$E592,""),0)</f>
        <v>0</v>
      </c>
      <c r="J592" s="519">
        <f ca="1">_xlfn.IFNA(IF(VLOOKUP($B592&amp;OFFSET(J$10,$A592*2,0),'Mapping A'!$B$6:$E$1011,4,0)=1,$E592,""),0)</f>
        <v>0</v>
      </c>
      <c r="K592" s="519">
        <f ca="1">_xlfn.IFNA(IF(VLOOKUP($B592&amp;OFFSET(K$10,$A592*2,0),'Mapping A'!$B$6:$E$1011,4,0)=1,$E592,""),0)</f>
        <v>0</v>
      </c>
      <c r="L592" s="519">
        <f ca="1">_xlfn.IFNA(IF(VLOOKUP($B592&amp;OFFSET(L$10,$A592*2,0),'Mapping A'!$B$6:$E$1011,4,0)=1,$E592,""),0)</f>
        <v>0</v>
      </c>
      <c r="M592" s="519">
        <f ca="1">_xlfn.IFNA(IF(VLOOKUP($B592&amp;OFFSET(M$10,$A592*2,0),'Mapping A'!$B$6:$E$1011,4,0)=1,$E592,""),0)</f>
        <v>0</v>
      </c>
      <c r="N592" s="519">
        <f ca="1">_xlfn.IFNA(IF(VLOOKUP($B592&amp;OFFSET(N$10,$A592*2,0),'Mapping A'!$B$6:$E$1011,4,0)=1,$E592,""),0)</f>
        <v>0</v>
      </c>
      <c r="O592" s="519">
        <f ca="1">_xlfn.IFNA(IF(VLOOKUP($B592&amp;OFFSET(O$10,$A592*2,0),'Mapping A'!$B$6:$E$1011,4,0)=1,$E592,""),0)</f>
        <v>0</v>
      </c>
      <c r="P592" s="519">
        <f ca="1">_xlfn.IFNA(IF(VLOOKUP($B592&amp;OFFSET(P$10,$A592*2,0),'Mapping A'!$B$6:$E$1011,4,0)=1,$E592,""),0)</f>
        <v>0</v>
      </c>
      <c r="Q592" s="519">
        <f ca="1">_xlfn.IFNA(IF(VLOOKUP($B592&amp;OFFSET(Q$10,$A592*2,0),'Mapping A'!$B$6:$E$1011,4,0)=1,$E592,""),0)</f>
        <v>0</v>
      </c>
      <c r="R592" s="519">
        <f ca="1">_xlfn.IFNA(IF(VLOOKUP($B592&amp;OFFSET(R$10,$A592*2,0),'Mapping A'!$B$6:$E$1011,4,0)=1,$E592,""),0)</f>
        <v>0</v>
      </c>
      <c r="S592" s="519">
        <f ca="1">_xlfn.IFNA(IF(VLOOKUP($B592&amp;OFFSET(S$10,$A592*2,0),'Mapping A'!$B$6:$E$1011,4,0)=1,$E592,""),0)</f>
        <v>0</v>
      </c>
      <c r="T592" s="519">
        <f ca="1">_xlfn.IFNA(IF(VLOOKUP($B592&amp;OFFSET(T$10,$A592*2,0),'Mapping A'!$B$6:$E$1011,4,0)=1,$E592,""),0)</f>
        <v>0</v>
      </c>
      <c r="Y592" s="534" t="str">
        <f t="shared" si="656"/>
        <v>GenesisHLY2201 HLY5</v>
      </c>
      <c r="Z592" s="519" t="str">
        <f>Volumes!H20</f>
        <v>Genesis</v>
      </c>
      <c r="AA592" s="519" t="str">
        <f>Volumes!I20</f>
        <v>HLY2201 HLY5</v>
      </c>
      <c r="AB592" s="519">
        <f>Volumes!J20</f>
        <v>2400.7882988999991</v>
      </c>
      <c r="AC592" s="170"/>
      <c r="AE592" s="519">
        <f t="shared" ca="1" si="641"/>
        <v>0</v>
      </c>
      <c r="AF592" s="519">
        <f t="shared" ca="1" si="642"/>
        <v>0</v>
      </c>
      <c r="AG592" s="519">
        <f t="shared" ca="1" si="643"/>
        <v>0</v>
      </c>
      <c r="AH592" s="519">
        <f t="shared" ca="1" si="644"/>
        <v>0</v>
      </c>
      <c r="AI592" s="519">
        <f t="shared" ca="1" si="645"/>
        <v>0</v>
      </c>
      <c r="AJ592" s="519">
        <f t="shared" ca="1" si="646"/>
        <v>0</v>
      </c>
      <c r="AK592" s="519">
        <f t="shared" ca="1" si="647"/>
        <v>0</v>
      </c>
      <c r="AL592" s="519">
        <f t="shared" ca="1" si="648"/>
        <v>0</v>
      </c>
      <c r="AM592" s="519">
        <f t="shared" ca="1" si="649"/>
        <v>0</v>
      </c>
      <c r="AN592" s="519">
        <f t="shared" ca="1" si="650"/>
        <v>0</v>
      </c>
      <c r="AO592" s="519">
        <f t="shared" ca="1" si="651"/>
        <v>0</v>
      </c>
      <c r="AP592" s="519">
        <f t="shared" ca="1" si="652"/>
        <v>0</v>
      </c>
      <c r="AQ592" s="519">
        <f t="shared" ca="1" si="653"/>
        <v>0</v>
      </c>
    </row>
    <row r="593" spans="1:43" x14ac:dyDescent="0.3">
      <c r="A593" s="556">
        <f t="shared" si="654"/>
        <v>4</v>
      </c>
      <c r="B593" s="519" t="str">
        <f t="shared" si="655"/>
        <v>HLY</v>
      </c>
      <c r="C593" s="519" t="str">
        <f>Volumes!H21</f>
        <v>Genesis</v>
      </c>
      <c r="D593" s="519" t="str">
        <f>Volumes!I21</f>
        <v>HLY2201 HLY6</v>
      </c>
      <c r="E593" s="519">
        <f>Volumes!J21</f>
        <v>10.180175240000001</v>
      </c>
      <c r="G593" s="525"/>
      <c r="H593" s="519">
        <f ca="1">_xlfn.IFNA(IF(VLOOKUP($B593&amp;OFFSET(H$10,$A593*2,0),'Mapping A'!$B$6:$E$1011,4,0)=1,$E593,""),0)</f>
        <v>0</v>
      </c>
      <c r="I593" s="519">
        <f ca="1">_xlfn.IFNA(IF(VLOOKUP($B593&amp;OFFSET(I$10,$A593*2,0),'Mapping A'!$B$6:$E$1011,4,0)=1,$E593,""),0)</f>
        <v>0</v>
      </c>
      <c r="J593" s="519">
        <f ca="1">_xlfn.IFNA(IF(VLOOKUP($B593&amp;OFFSET(J$10,$A593*2,0),'Mapping A'!$B$6:$E$1011,4,0)=1,$E593,""),0)</f>
        <v>0</v>
      </c>
      <c r="K593" s="519">
        <f ca="1">_xlfn.IFNA(IF(VLOOKUP($B593&amp;OFFSET(K$10,$A593*2,0),'Mapping A'!$B$6:$E$1011,4,0)=1,$E593,""),0)</f>
        <v>0</v>
      </c>
      <c r="L593" s="519">
        <f ca="1">_xlfn.IFNA(IF(VLOOKUP($B593&amp;OFFSET(L$10,$A593*2,0),'Mapping A'!$B$6:$E$1011,4,0)=1,$E593,""),0)</f>
        <v>0</v>
      </c>
      <c r="M593" s="519">
        <f ca="1">_xlfn.IFNA(IF(VLOOKUP($B593&amp;OFFSET(M$10,$A593*2,0),'Mapping A'!$B$6:$E$1011,4,0)=1,$E593,""),0)</f>
        <v>0</v>
      </c>
      <c r="N593" s="519">
        <f ca="1">_xlfn.IFNA(IF(VLOOKUP($B593&amp;OFFSET(N$10,$A593*2,0),'Mapping A'!$B$6:$E$1011,4,0)=1,$E593,""),0)</f>
        <v>0</v>
      </c>
      <c r="O593" s="519">
        <f ca="1">_xlfn.IFNA(IF(VLOOKUP($B593&amp;OFFSET(O$10,$A593*2,0),'Mapping A'!$B$6:$E$1011,4,0)=1,$E593,""),0)</f>
        <v>0</v>
      </c>
      <c r="P593" s="519">
        <f ca="1">_xlfn.IFNA(IF(VLOOKUP($B593&amp;OFFSET(P$10,$A593*2,0),'Mapping A'!$B$6:$E$1011,4,0)=1,$E593,""),0)</f>
        <v>0</v>
      </c>
      <c r="Q593" s="519">
        <f ca="1">_xlfn.IFNA(IF(VLOOKUP($B593&amp;OFFSET(Q$10,$A593*2,0),'Mapping A'!$B$6:$E$1011,4,0)=1,$E593,""),0)</f>
        <v>0</v>
      </c>
      <c r="R593" s="519">
        <f ca="1">_xlfn.IFNA(IF(VLOOKUP($B593&amp;OFFSET(R$10,$A593*2,0),'Mapping A'!$B$6:$E$1011,4,0)=1,$E593,""),0)</f>
        <v>0</v>
      </c>
      <c r="S593" s="519">
        <f ca="1">_xlfn.IFNA(IF(VLOOKUP($B593&amp;OFFSET(S$10,$A593*2,0),'Mapping A'!$B$6:$E$1011,4,0)=1,$E593,""),0)</f>
        <v>0</v>
      </c>
      <c r="T593" s="519">
        <f ca="1">_xlfn.IFNA(IF(VLOOKUP($B593&amp;OFFSET(T$10,$A593*2,0),'Mapping A'!$B$6:$E$1011,4,0)=1,$E593,""),0)</f>
        <v>0</v>
      </c>
      <c r="Y593" s="534" t="str">
        <f t="shared" si="656"/>
        <v>GenesisHLY2201 HLY6</v>
      </c>
      <c r="Z593" s="519" t="str">
        <f>Volumes!H21</f>
        <v>Genesis</v>
      </c>
      <c r="AA593" s="519" t="str">
        <f>Volumes!I21</f>
        <v>HLY2201 HLY6</v>
      </c>
      <c r="AB593" s="519">
        <f>Volumes!J21</f>
        <v>10.180175240000001</v>
      </c>
      <c r="AC593" s="170"/>
      <c r="AE593" s="519">
        <f t="shared" ca="1" si="641"/>
        <v>0</v>
      </c>
      <c r="AF593" s="519">
        <f t="shared" ca="1" si="642"/>
        <v>0</v>
      </c>
      <c r="AG593" s="519">
        <f t="shared" ca="1" si="643"/>
        <v>0</v>
      </c>
      <c r="AH593" s="519">
        <f t="shared" ca="1" si="644"/>
        <v>0</v>
      </c>
      <c r="AI593" s="519">
        <f t="shared" ca="1" si="645"/>
        <v>0</v>
      </c>
      <c r="AJ593" s="519">
        <f t="shared" ca="1" si="646"/>
        <v>0</v>
      </c>
      <c r="AK593" s="519">
        <f t="shared" ca="1" si="647"/>
        <v>0</v>
      </c>
      <c r="AL593" s="519">
        <f t="shared" ca="1" si="648"/>
        <v>0</v>
      </c>
      <c r="AM593" s="519">
        <f t="shared" ca="1" si="649"/>
        <v>0</v>
      </c>
      <c r="AN593" s="519">
        <f t="shared" ca="1" si="650"/>
        <v>0</v>
      </c>
      <c r="AO593" s="519">
        <f t="shared" ca="1" si="651"/>
        <v>0</v>
      </c>
      <c r="AP593" s="519">
        <f t="shared" ca="1" si="652"/>
        <v>0</v>
      </c>
      <c r="AQ593" s="519">
        <f t="shared" ca="1" si="653"/>
        <v>0</v>
      </c>
    </row>
    <row r="594" spans="1:43" x14ac:dyDescent="0.3">
      <c r="A594" s="556">
        <f t="shared" si="654"/>
        <v>4</v>
      </c>
      <c r="B594" s="519" t="str">
        <f t="shared" si="655"/>
        <v>HWA</v>
      </c>
      <c r="C594" s="519" t="str">
        <f>Volumes!H22</f>
        <v>Trustpower</v>
      </c>
      <c r="D594" s="519" t="str">
        <f>Volumes!I22</f>
        <v>HWA1101 PTA1</v>
      </c>
      <c r="E594" s="519">
        <f>Volumes!J22</f>
        <v>31.39122661500004</v>
      </c>
      <c r="G594" s="525"/>
      <c r="H594" s="519">
        <f ca="1">_xlfn.IFNA(IF(VLOOKUP($B594&amp;OFFSET(H$10,$A594*2,0),'Mapping A'!$B$6:$E$1011,4,0)=1,$E594,""),0)</f>
        <v>0</v>
      </c>
      <c r="I594" s="519">
        <f ca="1">_xlfn.IFNA(IF(VLOOKUP($B594&amp;OFFSET(I$10,$A594*2,0),'Mapping A'!$B$6:$E$1011,4,0)=1,$E594,""),0)</f>
        <v>0</v>
      </c>
      <c r="J594" s="519">
        <f ca="1">_xlfn.IFNA(IF(VLOOKUP($B594&amp;OFFSET(J$10,$A594*2,0),'Mapping A'!$B$6:$E$1011,4,0)=1,$E594,""),0)</f>
        <v>0</v>
      </c>
      <c r="K594" s="519">
        <f ca="1">_xlfn.IFNA(IF(VLOOKUP($B594&amp;OFFSET(K$10,$A594*2,0),'Mapping A'!$B$6:$E$1011,4,0)=1,$E594,""),0)</f>
        <v>0</v>
      </c>
      <c r="L594" s="519">
        <f ca="1">_xlfn.IFNA(IF(VLOOKUP($B594&amp;OFFSET(L$10,$A594*2,0),'Mapping A'!$B$6:$E$1011,4,0)=1,$E594,""),0)</f>
        <v>0</v>
      </c>
      <c r="M594" s="519">
        <f ca="1">_xlfn.IFNA(IF(VLOOKUP($B594&amp;OFFSET(M$10,$A594*2,0),'Mapping A'!$B$6:$E$1011,4,0)=1,$E594,""),0)</f>
        <v>0</v>
      </c>
      <c r="N594" s="519">
        <f ca="1">_xlfn.IFNA(IF(VLOOKUP($B594&amp;OFFSET(N$10,$A594*2,0),'Mapping A'!$B$6:$E$1011,4,0)=1,$E594,""),0)</f>
        <v>0</v>
      </c>
      <c r="O594" s="519">
        <f ca="1">_xlfn.IFNA(IF(VLOOKUP($B594&amp;OFFSET(O$10,$A594*2,0),'Mapping A'!$B$6:$E$1011,4,0)=1,$E594,""),0)</f>
        <v>0</v>
      </c>
      <c r="P594" s="519">
        <f ca="1">_xlfn.IFNA(IF(VLOOKUP($B594&amp;OFFSET(P$10,$A594*2,0),'Mapping A'!$B$6:$E$1011,4,0)=1,$E594,""),0)</f>
        <v>0</v>
      </c>
      <c r="Q594" s="519">
        <f ca="1">_xlfn.IFNA(IF(VLOOKUP($B594&amp;OFFSET(Q$10,$A594*2,0),'Mapping A'!$B$6:$E$1011,4,0)=1,$E594,""),0)</f>
        <v>0</v>
      </c>
      <c r="R594" s="519">
        <f ca="1">_xlfn.IFNA(IF(VLOOKUP($B594&amp;OFFSET(R$10,$A594*2,0),'Mapping A'!$B$6:$E$1011,4,0)=1,$E594,""),0)</f>
        <v>0</v>
      </c>
      <c r="S594" s="519">
        <f ca="1">_xlfn.IFNA(IF(VLOOKUP($B594&amp;OFFSET(S$10,$A594*2,0),'Mapping A'!$B$6:$E$1011,4,0)=1,$E594,""),0)</f>
        <v>0</v>
      </c>
      <c r="T594" s="519">
        <f ca="1">_xlfn.IFNA(IF(VLOOKUP($B594&amp;OFFSET(T$10,$A594*2,0),'Mapping A'!$B$6:$E$1011,4,0)=1,$E594,""),0)</f>
        <v>0</v>
      </c>
      <c r="Y594" s="534" t="str">
        <f t="shared" si="656"/>
        <v>TrustpowerHWA1101 PTA1</v>
      </c>
      <c r="Z594" s="519" t="str">
        <f>Volumes!H22</f>
        <v>Trustpower</v>
      </c>
      <c r="AA594" s="519" t="str">
        <f>Volumes!I22</f>
        <v>HWA1101 PTA1</v>
      </c>
      <c r="AB594" s="519">
        <f>Volumes!J22</f>
        <v>31.39122661500004</v>
      </c>
      <c r="AC594" s="170"/>
      <c r="AE594" s="519">
        <f t="shared" ca="1" si="641"/>
        <v>0</v>
      </c>
      <c r="AF594" s="519">
        <f t="shared" ca="1" si="642"/>
        <v>0</v>
      </c>
      <c r="AG594" s="519">
        <f t="shared" ca="1" si="643"/>
        <v>0</v>
      </c>
      <c r="AH594" s="519">
        <f t="shared" ca="1" si="644"/>
        <v>0</v>
      </c>
      <c r="AI594" s="519">
        <f t="shared" ca="1" si="645"/>
        <v>0</v>
      </c>
      <c r="AJ594" s="519">
        <f t="shared" ca="1" si="646"/>
        <v>0</v>
      </c>
      <c r="AK594" s="519">
        <f t="shared" ca="1" si="647"/>
        <v>0</v>
      </c>
      <c r="AL594" s="519">
        <f t="shared" ca="1" si="648"/>
        <v>0</v>
      </c>
      <c r="AM594" s="519">
        <f t="shared" ca="1" si="649"/>
        <v>0</v>
      </c>
      <c r="AN594" s="519">
        <f t="shared" ca="1" si="650"/>
        <v>0</v>
      </c>
      <c r="AO594" s="519">
        <f t="shared" ca="1" si="651"/>
        <v>0</v>
      </c>
      <c r="AP594" s="519">
        <f t="shared" ca="1" si="652"/>
        <v>0</v>
      </c>
      <c r="AQ594" s="519">
        <f t="shared" ca="1" si="653"/>
        <v>0</v>
      </c>
    </row>
    <row r="595" spans="1:43" x14ac:dyDescent="0.3">
      <c r="A595" s="556">
        <f t="shared" si="654"/>
        <v>4</v>
      </c>
      <c r="B595" s="519" t="str">
        <f t="shared" si="655"/>
        <v>HWA</v>
      </c>
      <c r="C595" s="519" t="str">
        <f>Volumes!H23</f>
        <v>Trustpower</v>
      </c>
      <c r="D595" s="519" t="str">
        <f>Volumes!I23</f>
        <v>HWA1101 PTA2</v>
      </c>
      <c r="E595" s="519">
        <f>Volumes!J23</f>
        <v>22.544891804999978</v>
      </c>
      <c r="G595" s="525"/>
      <c r="H595" s="519">
        <f ca="1">_xlfn.IFNA(IF(VLOOKUP($B595&amp;OFFSET(H$10,$A595*2,0),'Mapping A'!$B$6:$E$1011,4,0)=1,$E595,""),0)</f>
        <v>0</v>
      </c>
      <c r="I595" s="519">
        <f ca="1">_xlfn.IFNA(IF(VLOOKUP($B595&amp;OFFSET(I$10,$A595*2,0),'Mapping A'!$B$6:$E$1011,4,0)=1,$E595,""),0)</f>
        <v>0</v>
      </c>
      <c r="J595" s="519">
        <f ca="1">_xlfn.IFNA(IF(VLOOKUP($B595&amp;OFFSET(J$10,$A595*2,0),'Mapping A'!$B$6:$E$1011,4,0)=1,$E595,""),0)</f>
        <v>0</v>
      </c>
      <c r="K595" s="519">
        <f ca="1">_xlfn.IFNA(IF(VLOOKUP($B595&amp;OFFSET(K$10,$A595*2,0),'Mapping A'!$B$6:$E$1011,4,0)=1,$E595,""),0)</f>
        <v>0</v>
      </c>
      <c r="L595" s="519">
        <f ca="1">_xlfn.IFNA(IF(VLOOKUP($B595&amp;OFFSET(L$10,$A595*2,0),'Mapping A'!$B$6:$E$1011,4,0)=1,$E595,""),0)</f>
        <v>0</v>
      </c>
      <c r="M595" s="519">
        <f ca="1">_xlfn.IFNA(IF(VLOOKUP($B595&amp;OFFSET(M$10,$A595*2,0),'Mapping A'!$B$6:$E$1011,4,0)=1,$E595,""),0)</f>
        <v>0</v>
      </c>
      <c r="N595" s="519">
        <f ca="1">_xlfn.IFNA(IF(VLOOKUP($B595&amp;OFFSET(N$10,$A595*2,0),'Mapping A'!$B$6:$E$1011,4,0)=1,$E595,""),0)</f>
        <v>0</v>
      </c>
      <c r="O595" s="519">
        <f ca="1">_xlfn.IFNA(IF(VLOOKUP($B595&amp;OFFSET(O$10,$A595*2,0),'Mapping A'!$B$6:$E$1011,4,0)=1,$E595,""),0)</f>
        <v>0</v>
      </c>
      <c r="P595" s="519">
        <f ca="1">_xlfn.IFNA(IF(VLOOKUP($B595&amp;OFFSET(P$10,$A595*2,0),'Mapping A'!$B$6:$E$1011,4,0)=1,$E595,""),0)</f>
        <v>0</v>
      </c>
      <c r="Q595" s="519">
        <f ca="1">_xlfn.IFNA(IF(VLOOKUP($B595&amp;OFFSET(Q$10,$A595*2,0),'Mapping A'!$B$6:$E$1011,4,0)=1,$E595,""),0)</f>
        <v>0</v>
      </c>
      <c r="R595" s="519">
        <f ca="1">_xlfn.IFNA(IF(VLOOKUP($B595&amp;OFFSET(R$10,$A595*2,0),'Mapping A'!$B$6:$E$1011,4,0)=1,$E595,""),0)</f>
        <v>0</v>
      </c>
      <c r="S595" s="519">
        <f ca="1">_xlfn.IFNA(IF(VLOOKUP($B595&amp;OFFSET(S$10,$A595*2,0),'Mapping A'!$B$6:$E$1011,4,0)=1,$E595,""),0)</f>
        <v>0</v>
      </c>
      <c r="T595" s="519">
        <f ca="1">_xlfn.IFNA(IF(VLOOKUP($B595&amp;OFFSET(T$10,$A595*2,0),'Mapping A'!$B$6:$E$1011,4,0)=1,$E595,""),0)</f>
        <v>0</v>
      </c>
      <c r="Y595" s="534" t="str">
        <f t="shared" si="656"/>
        <v>TrustpowerHWA1101 PTA2</v>
      </c>
      <c r="Z595" s="519" t="str">
        <f>Volumes!H23</f>
        <v>Trustpower</v>
      </c>
      <c r="AA595" s="519" t="str">
        <f>Volumes!I23</f>
        <v>HWA1101 PTA2</v>
      </c>
      <c r="AB595" s="519">
        <f>Volumes!J23</f>
        <v>22.544891804999978</v>
      </c>
      <c r="AC595" s="170"/>
      <c r="AE595" s="519">
        <f t="shared" ca="1" si="641"/>
        <v>0</v>
      </c>
      <c r="AF595" s="519">
        <f t="shared" ca="1" si="642"/>
        <v>0</v>
      </c>
      <c r="AG595" s="519">
        <f t="shared" ca="1" si="643"/>
        <v>0</v>
      </c>
      <c r="AH595" s="519">
        <f t="shared" ca="1" si="644"/>
        <v>0</v>
      </c>
      <c r="AI595" s="519">
        <f t="shared" ca="1" si="645"/>
        <v>0</v>
      </c>
      <c r="AJ595" s="519">
        <f t="shared" ca="1" si="646"/>
        <v>0</v>
      </c>
      <c r="AK595" s="519">
        <f t="shared" ca="1" si="647"/>
        <v>0</v>
      </c>
      <c r="AL595" s="519">
        <f t="shared" ca="1" si="648"/>
        <v>0</v>
      </c>
      <c r="AM595" s="519">
        <f t="shared" ca="1" si="649"/>
        <v>0</v>
      </c>
      <c r="AN595" s="519">
        <f t="shared" ca="1" si="650"/>
        <v>0</v>
      </c>
      <c r="AO595" s="519">
        <f t="shared" ca="1" si="651"/>
        <v>0</v>
      </c>
      <c r="AP595" s="519">
        <f t="shared" ca="1" si="652"/>
        <v>0</v>
      </c>
      <c r="AQ595" s="519">
        <f t="shared" ca="1" si="653"/>
        <v>0</v>
      </c>
    </row>
    <row r="596" spans="1:43" x14ac:dyDescent="0.3">
      <c r="A596" s="556">
        <f t="shared" si="654"/>
        <v>4</v>
      </c>
      <c r="B596" s="519" t="str">
        <f t="shared" si="655"/>
        <v>HWA</v>
      </c>
      <c r="C596" s="519" t="str">
        <f>Volumes!H24</f>
        <v>Trustpower</v>
      </c>
      <c r="D596" s="519" t="str">
        <f>Volumes!I24</f>
        <v>HWA1101 PTA3</v>
      </c>
      <c r="E596" s="519">
        <f>Volumes!J24</f>
        <v>14.336603629999832</v>
      </c>
      <c r="G596" s="525"/>
      <c r="H596" s="519">
        <f ca="1">_xlfn.IFNA(IF(VLOOKUP($B596&amp;OFFSET(H$10,$A596*2,0),'Mapping A'!$B$6:$E$1011,4,0)=1,$E596,""),0)</f>
        <v>0</v>
      </c>
      <c r="I596" s="519">
        <f ca="1">_xlfn.IFNA(IF(VLOOKUP($B596&amp;OFFSET(I$10,$A596*2,0),'Mapping A'!$B$6:$E$1011,4,0)=1,$E596,""),0)</f>
        <v>0</v>
      </c>
      <c r="J596" s="519">
        <f ca="1">_xlfn.IFNA(IF(VLOOKUP($B596&amp;OFFSET(J$10,$A596*2,0),'Mapping A'!$B$6:$E$1011,4,0)=1,$E596,""),0)</f>
        <v>0</v>
      </c>
      <c r="K596" s="519">
        <f ca="1">_xlfn.IFNA(IF(VLOOKUP($B596&amp;OFFSET(K$10,$A596*2,0),'Mapping A'!$B$6:$E$1011,4,0)=1,$E596,""),0)</f>
        <v>0</v>
      </c>
      <c r="L596" s="519">
        <f ca="1">_xlfn.IFNA(IF(VLOOKUP($B596&amp;OFFSET(L$10,$A596*2,0),'Mapping A'!$B$6:$E$1011,4,0)=1,$E596,""),0)</f>
        <v>0</v>
      </c>
      <c r="M596" s="519">
        <f ca="1">_xlfn.IFNA(IF(VLOOKUP($B596&amp;OFFSET(M$10,$A596*2,0),'Mapping A'!$B$6:$E$1011,4,0)=1,$E596,""),0)</f>
        <v>0</v>
      </c>
      <c r="N596" s="519">
        <f ca="1">_xlfn.IFNA(IF(VLOOKUP($B596&amp;OFFSET(N$10,$A596*2,0),'Mapping A'!$B$6:$E$1011,4,0)=1,$E596,""),0)</f>
        <v>0</v>
      </c>
      <c r="O596" s="519">
        <f ca="1">_xlfn.IFNA(IF(VLOOKUP($B596&amp;OFFSET(O$10,$A596*2,0),'Mapping A'!$B$6:$E$1011,4,0)=1,$E596,""),0)</f>
        <v>0</v>
      </c>
      <c r="P596" s="519">
        <f ca="1">_xlfn.IFNA(IF(VLOOKUP($B596&amp;OFFSET(P$10,$A596*2,0),'Mapping A'!$B$6:$E$1011,4,0)=1,$E596,""),0)</f>
        <v>0</v>
      </c>
      <c r="Q596" s="519">
        <f ca="1">_xlfn.IFNA(IF(VLOOKUP($B596&amp;OFFSET(Q$10,$A596*2,0),'Mapping A'!$B$6:$E$1011,4,0)=1,$E596,""),0)</f>
        <v>0</v>
      </c>
      <c r="R596" s="519">
        <f ca="1">_xlfn.IFNA(IF(VLOOKUP($B596&amp;OFFSET(R$10,$A596*2,0),'Mapping A'!$B$6:$E$1011,4,0)=1,$E596,""),0)</f>
        <v>0</v>
      </c>
      <c r="S596" s="519">
        <f ca="1">_xlfn.IFNA(IF(VLOOKUP($B596&amp;OFFSET(S$10,$A596*2,0),'Mapping A'!$B$6:$E$1011,4,0)=1,$E596,""),0)</f>
        <v>0</v>
      </c>
      <c r="T596" s="519">
        <f ca="1">_xlfn.IFNA(IF(VLOOKUP($B596&amp;OFFSET(T$10,$A596*2,0),'Mapping A'!$B$6:$E$1011,4,0)=1,$E596,""),0)</f>
        <v>0</v>
      </c>
      <c r="Y596" s="534" t="str">
        <f t="shared" si="656"/>
        <v>TrustpowerHWA1101 PTA3</v>
      </c>
      <c r="Z596" s="519" t="str">
        <f>Volumes!H24</f>
        <v>Trustpower</v>
      </c>
      <c r="AA596" s="519" t="str">
        <f>Volumes!I24</f>
        <v>HWA1101 PTA3</v>
      </c>
      <c r="AB596" s="519">
        <f>Volumes!J24</f>
        <v>14.336603629999832</v>
      </c>
      <c r="AC596" s="170"/>
      <c r="AE596" s="519">
        <f t="shared" ca="1" si="641"/>
        <v>0</v>
      </c>
      <c r="AF596" s="519">
        <f t="shared" ca="1" si="642"/>
        <v>0</v>
      </c>
      <c r="AG596" s="519">
        <f t="shared" ca="1" si="643"/>
        <v>0</v>
      </c>
      <c r="AH596" s="519">
        <f t="shared" ca="1" si="644"/>
        <v>0</v>
      </c>
      <c r="AI596" s="519">
        <f t="shared" ca="1" si="645"/>
        <v>0</v>
      </c>
      <c r="AJ596" s="519">
        <f t="shared" ca="1" si="646"/>
        <v>0</v>
      </c>
      <c r="AK596" s="519">
        <f t="shared" ca="1" si="647"/>
        <v>0</v>
      </c>
      <c r="AL596" s="519">
        <f t="shared" ca="1" si="648"/>
        <v>0</v>
      </c>
      <c r="AM596" s="519">
        <f t="shared" ca="1" si="649"/>
        <v>0</v>
      </c>
      <c r="AN596" s="519">
        <f t="shared" ca="1" si="650"/>
        <v>0</v>
      </c>
      <c r="AO596" s="519">
        <f t="shared" ca="1" si="651"/>
        <v>0</v>
      </c>
      <c r="AP596" s="519">
        <f t="shared" ca="1" si="652"/>
        <v>0</v>
      </c>
      <c r="AQ596" s="519">
        <f t="shared" ca="1" si="653"/>
        <v>0</v>
      </c>
    </row>
    <row r="597" spans="1:43" x14ac:dyDescent="0.3">
      <c r="A597" s="556">
        <f t="shared" si="654"/>
        <v>4</v>
      </c>
      <c r="B597" s="519" t="str">
        <f t="shared" si="655"/>
        <v>HWA</v>
      </c>
      <c r="C597" s="519" t="str">
        <f>Volumes!H25</f>
        <v>Fonterra</v>
      </c>
      <c r="D597" s="519" t="str">
        <f>Volumes!I25</f>
        <v>HWA1102 WAA0</v>
      </c>
      <c r="E597" s="519">
        <f>Volumes!J25</f>
        <v>58.798749999999998</v>
      </c>
      <c r="G597" s="525"/>
      <c r="H597" s="519">
        <f ca="1">_xlfn.IFNA(IF(VLOOKUP($B597&amp;OFFSET(H$10,$A597*2,0),'Mapping A'!$B$6:$E$1011,4,0)=1,$E597,""),0)</f>
        <v>0</v>
      </c>
      <c r="I597" s="519">
        <f ca="1">_xlfn.IFNA(IF(VLOOKUP($B597&amp;OFFSET(I$10,$A597*2,0),'Mapping A'!$B$6:$E$1011,4,0)=1,$E597,""),0)</f>
        <v>0</v>
      </c>
      <c r="J597" s="519">
        <f ca="1">_xlfn.IFNA(IF(VLOOKUP($B597&amp;OFFSET(J$10,$A597*2,0),'Mapping A'!$B$6:$E$1011,4,0)=1,$E597,""),0)</f>
        <v>0</v>
      </c>
      <c r="K597" s="519">
        <f ca="1">_xlfn.IFNA(IF(VLOOKUP($B597&amp;OFFSET(K$10,$A597*2,0),'Mapping A'!$B$6:$E$1011,4,0)=1,$E597,""),0)</f>
        <v>0</v>
      </c>
      <c r="L597" s="519">
        <f ca="1">_xlfn.IFNA(IF(VLOOKUP($B597&amp;OFFSET(L$10,$A597*2,0),'Mapping A'!$B$6:$E$1011,4,0)=1,$E597,""),0)</f>
        <v>0</v>
      </c>
      <c r="M597" s="519">
        <f ca="1">_xlfn.IFNA(IF(VLOOKUP($B597&amp;OFFSET(M$10,$A597*2,0),'Mapping A'!$B$6:$E$1011,4,0)=1,$E597,""),0)</f>
        <v>0</v>
      </c>
      <c r="N597" s="519">
        <f ca="1">_xlfn.IFNA(IF(VLOOKUP($B597&amp;OFFSET(N$10,$A597*2,0),'Mapping A'!$B$6:$E$1011,4,0)=1,$E597,""),0)</f>
        <v>0</v>
      </c>
      <c r="O597" s="519">
        <f ca="1">_xlfn.IFNA(IF(VLOOKUP($B597&amp;OFFSET(O$10,$A597*2,0),'Mapping A'!$B$6:$E$1011,4,0)=1,$E597,""),0)</f>
        <v>0</v>
      </c>
      <c r="P597" s="519">
        <f ca="1">_xlfn.IFNA(IF(VLOOKUP($B597&amp;OFFSET(P$10,$A597*2,0),'Mapping A'!$B$6:$E$1011,4,0)=1,$E597,""),0)</f>
        <v>0</v>
      </c>
      <c r="Q597" s="519">
        <f ca="1">_xlfn.IFNA(IF(VLOOKUP($B597&amp;OFFSET(Q$10,$A597*2,0),'Mapping A'!$B$6:$E$1011,4,0)=1,$E597,""),0)</f>
        <v>0</v>
      </c>
      <c r="R597" s="519">
        <f ca="1">_xlfn.IFNA(IF(VLOOKUP($B597&amp;OFFSET(R$10,$A597*2,0),'Mapping A'!$B$6:$E$1011,4,0)=1,$E597,""),0)</f>
        <v>0</v>
      </c>
      <c r="S597" s="519">
        <f ca="1">_xlfn.IFNA(IF(VLOOKUP($B597&amp;OFFSET(S$10,$A597*2,0),'Mapping A'!$B$6:$E$1011,4,0)=1,$E597,""),0)</f>
        <v>0</v>
      </c>
      <c r="T597" s="519">
        <f ca="1">_xlfn.IFNA(IF(VLOOKUP($B597&amp;OFFSET(T$10,$A597*2,0),'Mapping A'!$B$6:$E$1011,4,0)=1,$E597,""),0)</f>
        <v>0</v>
      </c>
      <c r="Y597" s="534" t="str">
        <f t="shared" si="656"/>
        <v>FonterraHWA1102 WAA0</v>
      </c>
      <c r="Z597" s="519" t="str">
        <f>Volumes!H25</f>
        <v>Fonterra</v>
      </c>
      <c r="AA597" s="519" t="str">
        <f>Volumes!I25</f>
        <v>HWA1102 WAA0</v>
      </c>
      <c r="AB597" s="519">
        <f>Volumes!J25</f>
        <v>58.798749999999998</v>
      </c>
      <c r="AC597" s="170"/>
      <c r="AE597" s="519">
        <f t="shared" ca="1" si="641"/>
        <v>0</v>
      </c>
      <c r="AF597" s="519">
        <f t="shared" ca="1" si="642"/>
        <v>0</v>
      </c>
      <c r="AG597" s="519">
        <f t="shared" ca="1" si="643"/>
        <v>0</v>
      </c>
      <c r="AH597" s="519">
        <f t="shared" ca="1" si="644"/>
        <v>0</v>
      </c>
      <c r="AI597" s="519">
        <f t="shared" ca="1" si="645"/>
        <v>0</v>
      </c>
      <c r="AJ597" s="519">
        <f t="shared" ca="1" si="646"/>
        <v>0</v>
      </c>
      <c r="AK597" s="519">
        <f t="shared" ca="1" si="647"/>
        <v>0</v>
      </c>
      <c r="AL597" s="519">
        <f t="shared" ca="1" si="648"/>
        <v>0</v>
      </c>
      <c r="AM597" s="519">
        <f t="shared" ca="1" si="649"/>
        <v>0</v>
      </c>
      <c r="AN597" s="519">
        <f t="shared" ca="1" si="650"/>
        <v>0</v>
      </c>
      <c r="AO597" s="519">
        <f t="shared" ca="1" si="651"/>
        <v>0</v>
      </c>
      <c r="AP597" s="519">
        <f t="shared" ca="1" si="652"/>
        <v>0</v>
      </c>
      <c r="AQ597" s="519">
        <f t="shared" ca="1" si="653"/>
        <v>0</v>
      </c>
    </row>
    <row r="598" spans="1:43" x14ac:dyDescent="0.3">
      <c r="A598" s="556">
        <f t="shared" si="654"/>
        <v>4</v>
      </c>
      <c r="B598" s="519" t="str">
        <f t="shared" si="655"/>
        <v>HWA</v>
      </c>
      <c r="C598" s="519" t="str">
        <f>Volumes!H26</f>
        <v>Fonterra</v>
      </c>
      <c r="D598" s="519" t="str">
        <f>Volumes!I26</f>
        <v>HWA1102 WAA1</v>
      </c>
      <c r="E598" s="519">
        <f>Volumes!J26</f>
        <v>58.757750000000001</v>
      </c>
      <c r="G598" s="525"/>
      <c r="H598" s="519">
        <f ca="1">_xlfn.IFNA(IF(VLOOKUP($B598&amp;OFFSET(H$10,$A598*2,0),'Mapping A'!$B$6:$E$1011,4,0)=1,$E598,""),0)</f>
        <v>0</v>
      </c>
      <c r="I598" s="519">
        <f ca="1">_xlfn.IFNA(IF(VLOOKUP($B598&amp;OFFSET(I$10,$A598*2,0),'Mapping A'!$B$6:$E$1011,4,0)=1,$E598,""),0)</f>
        <v>0</v>
      </c>
      <c r="J598" s="519">
        <f ca="1">_xlfn.IFNA(IF(VLOOKUP($B598&amp;OFFSET(J$10,$A598*2,0),'Mapping A'!$B$6:$E$1011,4,0)=1,$E598,""),0)</f>
        <v>0</v>
      </c>
      <c r="K598" s="519">
        <f ca="1">_xlfn.IFNA(IF(VLOOKUP($B598&amp;OFFSET(K$10,$A598*2,0),'Mapping A'!$B$6:$E$1011,4,0)=1,$E598,""),0)</f>
        <v>0</v>
      </c>
      <c r="L598" s="519">
        <f ca="1">_xlfn.IFNA(IF(VLOOKUP($B598&amp;OFFSET(L$10,$A598*2,0),'Mapping A'!$B$6:$E$1011,4,0)=1,$E598,""),0)</f>
        <v>0</v>
      </c>
      <c r="M598" s="519">
        <f ca="1">_xlfn.IFNA(IF(VLOOKUP($B598&amp;OFFSET(M$10,$A598*2,0),'Mapping A'!$B$6:$E$1011,4,0)=1,$E598,""),0)</f>
        <v>0</v>
      </c>
      <c r="N598" s="519">
        <f ca="1">_xlfn.IFNA(IF(VLOOKUP($B598&amp;OFFSET(N$10,$A598*2,0),'Mapping A'!$B$6:$E$1011,4,0)=1,$E598,""),0)</f>
        <v>0</v>
      </c>
      <c r="O598" s="519">
        <f ca="1">_xlfn.IFNA(IF(VLOOKUP($B598&amp;OFFSET(O$10,$A598*2,0),'Mapping A'!$B$6:$E$1011,4,0)=1,$E598,""),0)</f>
        <v>0</v>
      </c>
      <c r="P598" s="519">
        <f ca="1">_xlfn.IFNA(IF(VLOOKUP($B598&amp;OFFSET(P$10,$A598*2,0),'Mapping A'!$B$6:$E$1011,4,0)=1,$E598,""),0)</f>
        <v>0</v>
      </c>
      <c r="Q598" s="519">
        <f ca="1">_xlfn.IFNA(IF(VLOOKUP($B598&amp;OFFSET(Q$10,$A598*2,0),'Mapping A'!$B$6:$E$1011,4,0)=1,$E598,""),0)</f>
        <v>0</v>
      </c>
      <c r="R598" s="519">
        <f ca="1">_xlfn.IFNA(IF(VLOOKUP($B598&amp;OFFSET(R$10,$A598*2,0),'Mapping A'!$B$6:$E$1011,4,0)=1,$E598,""),0)</f>
        <v>0</v>
      </c>
      <c r="S598" s="519">
        <f ca="1">_xlfn.IFNA(IF(VLOOKUP($B598&amp;OFFSET(S$10,$A598*2,0),'Mapping A'!$B$6:$E$1011,4,0)=1,$E598,""),0)</f>
        <v>0</v>
      </c>
      <c r="T598" s="519">
        <f ca="1">_xlfn.IFNA(IF(VLOOKUP($B598&amp;OFFSET(T$10,$A598*2,0),'Mapping A'!$B$6:$E$1011,4,0)=1,$E598,""),0)</f>
        <v>0</v>
      </c>
      <c r="Y598" s="534" t="str">
        <f t="shared" si="656"/>
        <v>FonterraHWA1102 WAA1</v>
      </c>
      <c r="Z598" s="519" t="str">
        <f>Volumes!H26</f>
        <v>Fonterra</v>
      </c>
      <c r="AA598" s="519" t="str">
        <f>Volumes!I26</f>
        <v>HWA1102 WAA1</v>
      </c>
      <c r="AB598" s="519">
        <f>Volumes!J26</f>
        <v>58.757750000000001</v>
      </c>
      <c r="AC598" s="170"/>
      <c r="AE598" s="519">
        <f t="shared" ca="1" si="641"/>
        <v>0</v>
      </c>
      <c r="AF598" s="519">
        <f t="shared" ca="1" si="642"/>
        <v>0</v>
      </c>
      <c r="AG598" s="519">
        <f t="shared" ca="1" si="643"/>
        <v>0</v>
      </c>
      <c r="AH598" s="519">
        <f t="shared" ca="1" si="644"/>
        <v>0</v>
      </c>
      <c r="AI598" s="519">
        <f t="shared" ca="1" si="645"/>
        <v>0</v>
      </c>
      <c r="AJ598" s="519">
        <f t="shared" ca="1" si="646"/>
        <v>0</v>
      </c>
      <c r="AK598" s="519">
        <f t="shared" ca="1" si="647"/>
        <v>0</v>
      </c>
      <c r="AL598" s="519">
        <f t="shared" ca="1" si="648"/>
        <v>0</v>
      </c>
      <c r="AM598" s="519">
        <f t="shared" ca="1" si="649"/>
        <v>0</v>
      </c>
      <c r="AN598" s="519">
        <f t="shared" ca="1" si="650"/>
        <v>0</v>
      </c>
      <c r="AO598" s="519">
        <f t="shared" ca="1" si="651"/>
        <v>0</v>
      </c>
      <c r="AP598" s="519">
        <f t="shared" ca="1" si="652"/>
        <v>0</v>
      </c>
      <c r="AQ598" s="519">
        <f t="shared" ca="1" si="653"/>
        <v>0</v>
      </c>
    </row>
    <row r="599" spans="1:43" x14ac:dyDescent="0.3">
      <c r="A599" s="556">
        <f t="shared" si="654"/>
        <v>4</v>
      </c>
      <c r="B599" s="519" t="str">
        <f t="shared" si="655"/>
        <v>HWB</v>
      </c>
      <c r="C599" s="519" t="str">
        <f>Volumes!H27</f>
        <v>Trustpower</v>
      </c>
      <c r="D599" s="519" t="str">
        <f>Volumes!I27</f>
        <v>HWB0331 WPI0</v>
      </c>
      <c r="E599" s="519">
        <f>Volumes!J27</f>
        <v>57.404760124999974</v>
      </c>
      <c r="G599" s="525"/>
      <c r="H599" s="519">
        <f ca="1">_xlfn.IFNA(IF(VLOOKUP($B599&amp;OFFSET(H$10,$A599*2,0),'Mapping A'!$B$6:$E$1011,4,0)=1,$E599,""),0)</f>
        <v>0</v>
      </c>
      <c r="I599" s="519">
        <f ca="1">_xlfn.IFNA(IF(VLOOKUP($B599&amp;OFFSET(I$10,$A599*2,0),'Mapping A'!$B$6:$E$1011,4,0)=1,$E599,""),0)</f>
        <v>0</v>
      </c>
      <c r="J599" s="519">
        <f ca="1">_xlfn.IFNA(IF(VLOOKUP($B599&amp;OFFSET(J$10,$A599*2,0),'Mapping A'!$B$6:$E$1011,4,0)=1,$E599,""),0)</f>
        <v>0</v>
      </c>
      <c r="K599" s="519">
        <f ca="1">_xlfn.IFNA(IF(VLOOKUP($B599&amp;OFFSET(K$10,$A599*2,0),'Mapping A'!$B$6:$E$1011,4,0)=1,$E599,""),0)</f>
        <v>0</v>
      </c>
      <c r="L599" s="519">
        <f ca="1">_xlfn.IFNA(IF(VLOOKUP($B599&amp;OFFSET(L$10,$A599*2,0),'Mapping A'!$B$6:$E$1011,4,0)=1,$E599,""),0)</f>
        <v>0</v>
      </c>
      <c r="M599" s="519">
        <f ca="1">_xlfn.IFNA(IF(VLOOKUP($B599&amp;OFFSET(M$10,$A599*2,0),'Mapping A'!$B$6:$E$1011,4,0)=1,$E599,""),0)</f>
        <v>0</v>
      </c>
      <c r="N599" s="519">
        <f ca="1">_xlfn.IFNA(IF(VLOOKUP($B599&amp;OFFSET(N$10,$A599*2,0),'Mapping A'!$B$6:$E$1011,4,0)=1,$E599,""),0)</f>
        <v>0</v>
      </c>
      <c r="O599" s="519">
        <f ca="1">_xlfn.IFNA(IF(VLOOKUP($B599&amp;OFFSET(O$10,$A599*2,0),'Mapping A'!$B$6:$E$1011,4,0)=1,$E599,""),0)</f>
        <v>57.404760124999974</v>
      </c>
      <c r="P599" s="519">
        <f ca="1">_xlfn.IFNA(IF(VLOOKUP($B599&amp;OFFSET(P$10,$A599*2,0),'Mapping A'!$B$6:$E$1011,4,0)=1,$E599,""),0)</f>
        <v>0</v>
      </c>
      <c r="Q599" s="519">
        <f ca="1">_xlfn.IFNA(IF(VLOOKUP($B599&amp;OFFSET(Q$10,$A599*2,0),'Mapping A'!$B$6:$E$1011,4,0)=1,$E599,""),0)</f>
        <v>0</v>
      </c>
      <c r="R599" s="519">
        <f ca="1">_xlfn.IFNA(IF(VLOOKUP($B599&amp;OFFSET(R$10,$A599*2,0),'Mapping A'!$B$6:$E$1011,4,0)=1,$E599,""),0)</f>
        <v>0</v>
      </c>
      <c r="S599" s="519">
        <f ca="1">_xlfn.IFNA(IF(VLOOKUP($B599&amp;OFFSET(S$10,$A599*2,0),'Mapping A'!$B$6:$E$1011,4,0)=1,$E599,""),0)</f>
        <v>0</v>
      </c>
      <c r="T599" s="519">
        <f ca="1">_xlfn.IFNA(IF(VLOOKUP($B599&amp;OFFSET(T$10,$A599*2,0),'Mapping A'!$B$6:$E$1011,4,0)=1,$E599,""),0)</f>
        <v>0</v>
      </c>
      <c r="Y599" s="534" t="str">
        <f t="shared" si="656"/>
        <v>TrustpowerHWB0331 WPI0</v>
      </c>
      <c r="Z599" s="519" t="str">
        <f>Volumes!H27</f>
        <v>Trustpower</v>
      </c>
      <c r="AA599" s="519" t="str">
        <f>Volumes!I27</f>
        <v>HWB0331 WPI0</v>
      </c>
      <c r="AB599" s="519">
        <f>Volumes!J27</f>
        <v>57.404760124999974</v>
      </c>
      <c r="AC599" s="170"/>
      <c r="AE599" s="519">
        <f t="shared" ca="1" si="641"/>
        <v>0</v>
      </c>
      <c r="AF599" s="519">
        <f t="shared" ca="1" si="642"/>
        <v>0</v>
      </c>
      <c r="AG599" s="519">
        <f t="shared" ca="1" si="643"/>
        <v>0</v>
      </c>
      <c r="AH599" s="519">
        <f t="shared" ca="1" si="644"/>
        <v>0</v>
      </c>
      <c r="AI599" s="519">
        <f t="shared" ca="1" si="645"/>
        <v>0</v>
      </c>
      <c r="AJ599" s="519">
        <f t="shared" ca="1" si="646"/>
        <v>0</v>
      </c>
      <c r="AK599" s="519">
        <f t="shared" ca="1" si="647"/>
        <v>0</v>
      </c>
      <c r="AL599" s="519">
        <f t="shared" ca="1" si="648"/>
        <v>8.1598799741938333E-3</v>
      </c>
      <c r="AM599" s="519">
        <f t="shared" ca="1" si="649"/>
        <v>0</v>
      </c>
      <c r="AN599" s="519">
        <f t="shared" ca="1" si="650"/>
        <v>0</v>
      </c>
      <c r="AO599" s="519">
        <f t="shared" ca="1" si="651"/>
        <v>0</v>
      </c>
      <c r="AP599" s="519">
        <f t="shared" ca="1" si="652"/>
        <v>0</v>
      </c>
      <c r="AQ599" s="519">
        <f t="shared" ca="1" si="653"/>
        <v>0</v>
      </c>
    </row>
    <row r="600" spans="1:43" x14ac:dyDescent="0.3">
      <c r="A600" s="556">
        <f t="shared" si="654"/>
        <v>4</v>
      </c>
      <c r="B600" s="519" t="str">
        <f t="shared" si="655"/>
        <v>KAW</v>
      </c>
      <c r="C600" s="519" t="str">
        <f>Volumes!H28</f>
        <v>Todd</v>
      </c>
      <c r="D600" s="519" t="str">
        <f>Volumes!I28</f>
        <v>KAW0112 ONU0</v>
      </c>
      <c r="E600" s="519">
        <f>Volumes!J28</f>
        <v>0</v>
      </c>
      <c r="G600" s="525"/>
      <c r="H600" s="519">
        <f ca="1">_xlfn.IFNA(IF(VLOOKUP($B600&amp;OFFSET(H$10,$A600*2,0),'Mapping A'!$B$6:$E$1011,4,0)=1,$E600,""),0)</f>
        <v>0</v>
      </c>
      <c r="I600" s="519">
        <f ca="1">_xlfn.IFNA(IF(VLOOKUP($B600&amp;OFFSET(I$10,$A600*2,0),'Mapping A'!$B$6:$E$1011,4,0)=1,$E600,""),0)</f>
        <v>0</v>
      </c>
      <c r="J600" s="519">
        <f ca="1">_xlfn.IFNA(IF(VLOOKUP($B600&amp;OFFSET(J$10,$A600*2,0),'Mapping A'!$B$6:$E$1011,4,0)=1,$E600,""),0)</f>
        <v>0</v>
      </c>
      <c r="K600" s="519">
        <f ca="1">_xlfn.IFNA(IF(VLOOKUP($B600&amp;OFFSET(K$10,$A600*2,0),'Mapping A'!$B$6:$E$1011,4,0)=1,$E600,""),0)</f>
        <v>0</v>
      </c>
      <c r="L600" s="519">
        <f ca="1">_xlfn.IFNA(IF(VLOOKUP($B600&amp;OFFSET(L$10,$A600*2,0),'Mapping A'!$B$6:$E$1011,4,0)=1,$E600,""),0)</f>
        <v>0</v>
      </c>
      <c r="M600" s="519">
        <f ca="1">_xlfn.IFNA(IF(VLOOKUP($B600&amp;OFFSET(M$10,$A600*2,0),'Mapping A'!$B$6:$E$1011,4,0)=1,$E600,""),0)</f>
        <v>0</v>
      </c>
      <c r="N600" s="519">
        <f ca="1">_xlfn.IFNA(IF(VLOOKUP($B600&amp;OFFSET(N$10,$A600*2,0),'Mapping A'!$B$6:$E$1011,4,0)=1,$E600,""),0)</f>
        <v>0</v>
      </c>
      <c r="O600" s="519">
        <f ca="1">_xlfn.IFNA(IF(VLOOKUP($B600&amp;OFFSET(O$10,$A600*2,0),'Mapping A'!$B$6:$E$1011,4,0)=1,$E600,""),0)</f>
        <v>0</v>
      </c>
      <c r="P600" s="519">
        <f ca="1">_xlfn.IFNA(IF(VLOOKUP($B600&amp;OFFSET(P$10,$A600*2,0),'Mapping A'!$B$6:$E$1011,4,0)=1,$E600,""),0)</f>
        <v>0</v>
      </c>
      <c r="Q600" s="519">
        <f ca="1">_xlfn.IFNA(IF(VLOOKUP($B600&amp;OFFSET(Q$10,$A600*2,0),'Mapping A'!$B$6:$E$1011,4,0)=1,$E600,""),0)</f>
        <v>0</v>
      </c>
      <c r="R600" s="519">
        <f ca="1">_xlfn.IFNA(IF(VLOOKUP($B600&amp;OFFSET(R$10,$A600*2,0),'Mapping A'!$B$6:$E$1011,4,0)=1,$E600,""),0)</f>
        <v>0</v>
      </c>
      <c r="S600" s="519">
        <f ca="1">_xlfn.IFNA(IF(VLOOKUP($B600&amp;OFFSET(S$10,$A600*2,0),'Mapping A'!$B$6:$E$1011,4,0)=1,$E600,""),0)</f>
        <v>0</v>
      </c>
      <c r="T600" s="519">
        <f ca="1">_xlfn.IFNA(IF(VLOOKUP($B600&amp;OFFSET(T$10,$A600*2,0),'Mapping A'!$B$6:$E$1011,4,0)=1,$E600,""),0)</f>
        <v>0</v>
      </c>
      <c r="Y600" s="534" t="str">
        <f t="shared" si="656"/>
        <v>ToddKAW0112 ONU0</v>
      </c>
      <c r="Z600" s="519" t="str">
        <f>Volumes!H28</f>
        <v>Todd</v>
      </c>
      <c r="AA600" s="519" t="str">
        <f>Volumes!I28</f>
        <v>KAW0112 ONU0</v>
      </c>
      <c r="AB600" s="519">
        <f>Volumes!J28</f>
        <v>0</v>
      </c>
      <c r="AC600" s="170"/>
      <c r="AE600" s="519">
        <f t="shared" ca="1" si="641"/>
        <v>0</v>
      </c>
      <c r="AF600" s="519">
        <f t="shared" ca="1" si="642"/>
        <v>0</v>
      </c>
      <c r="AG600" s="519">
        <f t="shared" ca="1" si="643"/>
        <v>0</v>
      </c>
      <c r="AH600" s="519">
        <f t="shared" ca="1" si="644"/>
        <v>0</v>
      </c>
      <c r="AI600" s="519">
        <f t="shared" ca="1" si="645"/>
        <v>0</v>
      </c>
      <c r="AJ600" s="519">
        <f t="shared" ca="1" si="646"/>
        <v>0</v>
      </c>
      <c r="AK600" s="519">
        <f t="shared" ca="1" si="647"/>
        <v>0</v>
      </c>
      <c r="AL600" s="519">
        <f t="shared" ca="1" si="648"/>
        <v>0</v>
      </c>
      <c r="AM600" s="519">
        <f t="shared" ca="1" si="649"/>
        <v>0</v>
      </c>
      <c r="AN600" s="519">
        <f t="shared" ca="1" si="650"/>
        <v>0</v>
      </c>
      <c r="AO600" s="519">
        <f t="shared" ca="1" si="651"/>
        <v>0</v>
      </c>
      <c r="AP600" s="519">
        <f t="shared" ca="1" si="652"/>
        <v>0</v>
      </c>
      <c r="AQ600" s="519">
        <f t="shared" ca="1" si="653"/>
        <v>0</v>
      </c>
    </row>
    <row r="601" spans="1:43" x14ac:dyDescent="0.3">
      <c r="A601" s="556">
        <f t="shared" si="654"/>
        <v>4</v>
      </c>
      <c r="B601" s="519" t="str">
        <f t="shared" si="655"/>
        <v>KAW</v>
      </c>
      <c r="C601" s="519" t="str">
        <f>Volumes!H29</f>
        <v>MRP</v>
      </c>
      <c r="D601" s="519" t="str">
        <f>Volumes!I29</f>
        <v>KAW1101 KAG0</v>
      </c>
      <c r="E601" s="519">
        <f>Volumes!J29</f>
        <v>899.74400000000003</v>
      </c>
      <c r="G601" s="525"/>
      <c r="H601" s="519">
        <f ca="1">_xlfn.IFNA(IF(VLOOKUP($B601&amp;OFFSET(H$10,$A601*2,0),'Mapping A'!$B$6:$E$1011,4,0)=1,$E601,""),0)</f>
        <v>0</v>
      </c>
      <c r="I601" s="519">
        <f ca="1">_xlfn.IFNA(IF(VLOOKUP($B601&amp;OFFSET(I$10,$A601*2,0),'Mapping A'!$B$6:$E$1011,4,0)=1,$E601,""),0)</f>
        <v>0</v>
      </c>
      <c r="J601" s="519">
        <f ca="1">_xlfn.IFNA(IF(VLOOKUP($B601&amp;OFFSET(J$10,$A601*2,0),'Mapping A'!$B$6:$E$1011,4,0)=1,$E601,""),0)</f>
        <v>0</v>
      </c>
      <c r="K601" s="519">
        <f ca="1">_xlfn.IFNA(IF(VLOOKUP($B601&amp;OFFSET(K$10,$A601*2,0),'Mapping A'!$B$6:$E$1011,4,0)=1,$E601,""),0)</f>
        <v>0</v>
      </c>
      <c r="L601" s="519">
        <f ca="1">_xlfn.IFNA(IF(VLOOKUP($B601&amp;OFFSET(L$10,$A601*2,0),'Mapping A'!$B$6:$E$1011,4,0)=1,$E601,""),0)</f>
        <v>0</v>
      </c>
      <c r="M601" s="519">
        <f ca="1">_xlfn.IFNA(IF(VLOOKUP($B601&amp;OFFSET(M$10,$A601*2,0),'Mapping A'!$B$6:$E$1011,4,0)=1,$E601,""),0)</f>
        <v>0</v>
      </c>
      <c r="N601" s="519">
        <f ca="1">_xlfn.IFNA(IF(VLOOKUP($B601&amp;OFFSET(N$10,$A601*2,0),'Mapping A'!$B$6:$E$1011,4,0)=1,$E601,""),0)</f>
        <v>0</v>
      </c>
      <c r="O601" s="519">
        <f ca="1">_xlfn.IFNA(IF(VLOOKUP($B601&amp;OFFSET(O$10,$A601*2,0),'Mapping A'!$B$6:$E$1011,4,0)=1,$E601,""),0)</f>
        <v>0</v>
      </c>
      <c r="P601" s="519">
        <f ca="1">_xlfn.IFNA(IF(VLOOKUP($B601&amp;OFFSET(P$10,$A601*2,0),'Mapping A'!$B$6:$E$1011,4,0)=1,$E601,""),0)</f>
        <v>0</v>
      </c>
      <c r="Q601" s="519">
        <f ca="1">_xlfn.IFNA(IF(VLOOKUP($B601&amp;OFFSET(Q$10,$A601*2,0),'Mapping A'!$B$6:$E$1011,4,0)=1,$E601,""),0)</f>
        <v>0</v>
      </c>
      <c r="R601" s="519">
        <f ca="1">_xlfn.IFNA(IF(VLOOKUP($B601&amp;OFFSET(R$10,$A601*2,0),'Mapping A'!$B$6:$E$1011,4,0)=1,$E601,""),0)</f>
        <v>0</v>
      </c>
      <c r="S601" s="519">
        <f ca="1">_xlfn.IFNA(IF(VLOOKUP($B601&amp;OFFSET(S$10,$A601*2,0),'Mapping A'!$B$6:$E$1011,4,0)=1,$E601,""),0)</f>
        <v>0</v>
      </c>
      <c r="T601" s="519">
        <f ca="1">_xlfn.IFNA(IF(VLOOKUP($B601&amp;OFFSET(T$10,$A601*2,0),'Mapping A'!$B$6:$E$1011,4,0)=1,$E601,""),0)</f>
        <v>0</v>
      </c>
      <c r="Y601" s="534" t="str">
        <f t="shared" si="656"/>
        <v>MRPKAW1101 KAG0</v>
      </c>
      <c r="Z601" s="519" t="str">
        <f>Volumes!H29</f>
        <v>MRP</v>
      </c>
      <c r="AA601" s="519" t="str">
        <f>Volumes!I29</f>
        <v>KAW1101 KAG0</v>
      </c>
      <c r="AB601" s="519">
        <f>Volumes!J29</f>
        <v>899.74400000000003</v>
      </c>
      <c r="AC601" s="170"/>
      <c r="AE601" s="519">
        <f t="shared" ca="1" si="641"/>
        <v>0</v>
      </c>
      <c r="AF601" s="519">
        <f t="shared" ca="1" si="642"/>
        <v>0</v>
      </c>
      <c r="AG601" s="519">
        <f t="shared" ca="1" si="643"/>
        <v>0</v>
      </c>
      <c r="AH601" s="519">
        <f t="shared" ca="1" si="644"/>
        <v>0</v>
      </c>
      <c r="AI601" s="519">
        <f t="shared" ca="1" si="645"/>
        <v>0</v>
      </c>
      <c r="AJ601" s="519">
        <f t="shared" ca="1" si="646"/>
        <v>0</v>
      </c>
      <c r="AK601" s="519">
        <f t="shared" ca="1" si="647"/>
        <v>0</v>
      </c>
      <c r="AL601" s="519">
        <f t="shared" ca="1" si="648"/>
        <v>0</v>
      </c>
      <c r="AM601" s="519">
        <f t="shared" ca="1" si="649"/>
        <v>0</v>
      </c>
      <c r="AN601" s="519">
        <f t="shared" ca="1" si="650"/>
        <v>0</v>
      </c>
      <c r="AO601" s="519">
        <f t="shared" ca="1" si="651"/>
        <v>0</v>
      </c>
      <c r="AP601" s="519">
        <f t="shared" ca="1" si="652"/>
        <v>0</v>
      </c>
      <c r="AQ601" s="519">
        <f t="shared" ca="1" si="653"/>
        <v>0</v>
      </c>
    </row>
    <row r="602" spans="1:43" x14ac:dyDescent="0.3">
      <c r="A602" s="556">
        <f t="shared" si="654"/>
        <v>4</v>
      </c>
      <c r="B602" s="519" t="str">
        <f t="shared" si="655"/>
        <v>KIN</v>
      </c>
      <c r="C602" s="519" t="str">
        <f>Volumes!H30</f>
        <v>CHH</v>
      </c>
      <c r="D602" s="519" t="str">
        <f>Volumes!I30</f>
        <v>KIN0112 KIN0</v>
      </c>
      <c r="E602" s="519">
        <f>Volumes!J30</f>
        <v>0</v>
      </c>
      <c r="G602" s="525"/>
      <c r="H602" s="519">
        <f ca="1">_xlfn.IFNA(IF(VLOOKUP($B602&amp;OFFSET(H$10,$A602*2,0),'Mapping A'!$B$6:$E$1011,4,0)=1,$E602,""),0)</f>
        <v>0</v>
      </c>
      <c r="I602" s="519">
        <f ca="1">_xlfn.IFNA(IF(VLOOKUP($B602&amp;OFFSET(I$10,$A602*2,0),'Mapping A'!$B$6:$E$1011,4,0)=1,$E602,""),0)</f>
        <v>0</v>
      </c>
      <c r="J602" s="519">
        <f ca="1">_xlfn.IFNA(IF(VLOOKUP($B602&amp;OFFSET(J$10,$A602*2,0),'Mapping A'!$B$6:$E$1011,4,0)=1,$E602,""),0)</f>
        <v>0</v>
      </c>
      <c r="K602" s="519">
        <f ca="1">_xlfn.IFNA(IF(VLOOKUP($B602&amp;OFFSET(K$10,$A602*2,0),'Mapping A'!$B$6:$E$1011,4,0)=1,$E602,""),0)</f>
        <v>0</v>
      </c>
      <c r="L602" s="519">
        <f ca="1">_xlfn.IFNA(IF(VLOOKUP($B602&amp;OFFSET(L$10,$A602*2,0),'Mapping A'!$B$6:$E$1011,4,0)=1,$E602,""),0)</f>
        <v>0</v>
      </c>
      <c r="M602" s="519">
        <f ca="1">_xlfn.IFNA(IF(VLOOKUP($B602&amp;OFFSET(M$10,$A602*2,0),'Mapping A'!$B$6:$E$1011,4,0)=1,$E602,""),0)</f>
        <v>0</v>
      </c>
      <c r="N602" s="519">
        <f ca="1">_xlfn.IFNA(IF(VLOOKUP($B602&amp;OFFSET(N$10,$A602*2,0),'Mapping A'!$B$6:$E$1011,4,0)=1,$E602,""),0)</f>
        <v>0</v>
      </c>
      <c r="O602" s="519">
        <f ca="1">_xlfn.IFNA(IF(VLOOKUP($B602&amp;OFFSET(O$10,$A602*2,0),'Mapping A'!$B$6:$E$1011,4,0)=1,$E602,""),0)</f>
        <v>0</v>
      </c>
      <c r="P602" s="519">
        <f ca="1">_xlfn.IFNA(IF(VLOOKUP($B602&amp;OFFSET(P$10,$A602*2,0),'Mapping A'!$B$6:$E$1011,4,0)=1,$E602,""),0)</f>
        <v>0</v>
      </c>
      <c r="Q602" s="519">
        <f ca="1">_xlfn.IFNA(IF(VLOOKUP($B602&amp;OFFSET(Q$10,$A602*2,0),'Mapping A'!$B$6:$E$1011,4,0)=1,$E602,""),0)</f>
        <v>0</v>
      </c>
      <c r="R602" s="519">
        <f ca="1">_xlfn.IFNA(IF(VLOOKUP($B602&amp;OFFSET(R$10,$A602*2,0),'Mapping A'!$B$6:$E$1011,4,0)=1,$E602,""),0)</f>
        <v>0</v>
      </c>
      <c r="S602" s="519">
        <f ca="1">_xlfn.IFNA(IF(VLOOKUP($B602&amp;OFFSET(S$10,$A602*2,0),'Mapping A'!$B$6:$E$1011,4,0)=1,$E602,""),0)</f>
        <v>0</v>
      </c>
      <c r="T602" s="519">
        <f ca="1">_xlfn.IFNA(IF(VLOOKUP($B602&amp;OFFSET(T$10,$A602*2,0),'Mapping A'!$B$6:$E$1011,4,0)=1,$E602,""),0)</f>
        <v>0</v>
      </c>
      <c r="Y602" s="534" t="str">
        <f t="shared" si="656"/>
        <v>CHHKIN0112 KIN0</v>
      </c>
      <c r="Z602" s="519" t="str">
        <f>Volumes!H30</f>
        <v>CHH</v>
      </c>
      <c r="AA602" s="519" t="str">
        <f>Volumes!I30</f>
        <v>KIN0112 KIN0</v>
      </c>
      <c r="AB602" s="519">
        <f>Volumes!J30</f>
        <v>0</v>
      </c>
      <c r="AC602" s="170"/>
      <c r="AE602" s="519">
        <f t="shared" ca="1" si="641"/>
        <v>0</v>
      </c>
      <c r="AF602" s="519">
        <f t="shared" ca="1" si="642"/>
        <v>0</v>
      </c>
      <c r="AG602" s="519">
        <f t="shared" ca="1" si="643"/>
        <v>0</v>
      </c>
      <c r="AH602" s="519">
        <f t="shared" ca="1" si="644"/>
        <v>0</v>
      </c>
      <c r="AI602" s="519">
        <f t="shared" ca="1" si="645"/>
        <v>0</v>
      </c>
      <c r="AJ602" s="519">
        <f t="shared" ca="1" si="646"/>
        <v>0</v>
      </c>
      <c r="AK602" s="519">
        <f t="shared" ca="1" si="647"/>
        <v>0</v>
      </c>
      <c r="AL602" s="519">
        <f t="shared" ca="1" si="648"/>
        <v>0</v>
      </c>
      <c r="AM602" s="519">
        <f t="shared" ca="1" si="649"/>
        <v>0</v>
      </c>
      <c r="AN602" s="519">
        <f t="shared" ca="1" si="650"/>
        <v>0</v>
      </c>
      <c r="AO602" s="519">
        <f t="shared" ca="1" si="651"/>
        <v>0</v>
      </c>
      <c r="AP602" s="519">
        <f t="shared" ca="1" si="652"/>
        <v>0</v>
      </c>
      <c r="AQ602" s="519">
        <f t="shared" ca="1" si="653"/>
        <v>0</v>
      </c>
    </row>
    <row r="603" spans="1:43" x14ac:dyDescent="0.3">
      <c r="A603" s="556">
        <f t="shared" si="654"/>
        <v>4</v>
      </c>
      <c r="B603" s="519" t="str">
        <f t="shared" si="655"/>
        <v>KPA</v>
      </c>
      <c r="C603" s="519" t="str">
        <f>Volumes!H31</f>
        <v>Todd</v>
      </c>
      <c r="D603" s="519" t="str">
        <f>Volumes!I31</f>
        <v>KPA1101 KPI1</v>
      </c>
      <c r="E603" s="519">
        <f>Volumes!J31</f>
        <v>135.39384414</v>
      </c>
      <c r="G603" s="525"/>
      <c r="H603" s="519">
        <f ca="1">_xlfn.IFNA(IF(VLOOKUP($B603&amp;OFFSET(H$10,$A603*2,0),'Mapping A'!$B$6:$E$1011,4,0)=1,$E603,""),0)</f>
        <v>0</v>
      </c>
      <c r="I603" s="519">
        <f ca="1">_xlfn.IFNA(IF(VLOOKUP($B603&amp;OFFSET(I$10,$A603*2,0),'Mapping A'!$B$6:$E$1011,4,0)=1,$E603,""),0)</f>
        <v>0</v>
      </c>
      <c r="J603" s="519">
        <f ca="1">_xlfn.IFNA(IF(VLOOKUP($B603&amp;OFFSET(J$10,$A603*2,0),'Mapping A'!$B$6:$E$1011,4,0)=1,$E603,""),0)</f>
        <v>0</v>
      </c>
      <c r="K603" s="519">
        <f ca="1">_xlfn.IFNA(IF(VLOOKUP($B603&amp;OFFSET(K$10,$A603*2,0),'Mapping A'!$B$6:$E$1011,4,0)=1,$E603,""),0)</f>
        <v>0</v>
      </c>
      <c r="L603" s="519">
        <f ca="1">_xlfn.IFNA(IF(VLOOKUP($B603&amp;OFFSET(L$10,$A603*2,0),'Mapping A'!$B$6:$E$1011,4,0)=1,$E603,""),0)</f>
        <v>0</v>
      </c>
      <c r="M603" s="519">
        <f ca="1">_xlfn.IFNA(IF(VLOOKUP($B603&amp;OFFSET(M$10,$A603*2,0),'Mapping A'!$B$6:$E$1011,4,0)=1,$E603,""),0)</f>
        <v>0</v>
      </c>
      <c r="N603" s="519">
        <f ca="1">_xlfn.IFNA(IF(VLOOKUP($B603&amp;OFFSET(N$10,$A603*2,0),'Mapping A'!$B$6:$E$1011,4,0)=1,$E603,""),0)</f>
        <v>0</v>
      </c>
      <c r="O603" s="519">
        <f ca="1">_xlfn.IFNA(IF(VLOOKUP($B603&amp;OFFSET(O$10,$A603*2,0),'Mapping A'!$B$6:$E$1011,4,0)=1,$E603,""),0)</f>
        <v>0</v>
      </c>
      <c r="P603" s="519">
        <f ca="1">_xlfn.IFNA(IF(VLOOKUP($B603&amp;OFFSET(P$10,$A603*2,0),'Mapping A'!$B$6:$E$1011,4,0)=1,$E603,""),0)</f>
        <v>0</v>
      </c>
      <c r="Q603" s="519">
        <f ca="1">_xlfn.IFNA(IF(VLOOKUP($B603&amp;OFFSET(Q$10,$A603*2,0),'Mapping A'!$B$6:$E$1011,4,0)=1,$E603,""),0)</f>
        <v>0</v>
      </c>
      <c r="R603" s="519">
        <f ca="1">_xlfn.IFNA(IF(VLOOKUP($B603&amp;OFFSET(R$10,$A603*2,0),'Mapping A'!$B$6:$E$1011,4,0)=1,$E603,""),0)</f>
        <v>0</v>
      </c>
      <c r="S603" s="519">
        <f ca="1">_xlfn.IFNA(IF(VLOOKUP($B603&amp;OFFSET(S$10,$A603*2,0),'Mapping A'!$B$6:$E$1011,4,0)=1,$E603,""),0)</f>
        <v>0</v>
      </c>
      <c r="T603" s="519">
        <f ca="1">_xlfn.IFNA(IF(VLOOKUP($B603&amp;OFFSET(T$10,$A603*2,0),'Mapping A'!$B$6:$E$1011,4,0)=1,$E603,""),0)</f>
        <v>0</v>
      </c>
      <c r="Y603" s="534" t="str">
        <f t="shared" si="656"/>
        <v>ToddKPA1101 KPI1</v>
      </c>
      <c r="Z603" s="519" t="str">
        <f>Volumes!H31</f>
        <v>Todd</v>
      </c>
      <c r="AA603" s="519" t="str">
        <f>Volumes!I31</f>
        <v>KPA1101 KPI1</v>
      </c>
      <c r="AB603" s="519">
        <f>Volumes!J31</f>
        <v>135.39384414</v>
      </c>
      <c r="AC603" s="170"/>
      <c r="AE603" s="519">
        <f t="shared" ca="1" si="641"/>
        <v>0</v>
      </c>
      <c r="AF603" s="519">
        <f t="shared" ca="1" si="642"/>
        <v>0</v>
      </c>
      <c r="AG603" s="519">
        <f t="shared" ca="1" si="643"/>
        <v>0</v>
      </c>
      <c r="AH603" s="519">
        <f t="shared" ca="1" si="644"/>
        <v>0</v>
      </c>
      <c r="AI603" s="519">
        <f t="shared" ca="1" si="645"/>
        <v>0</v>
      </c>
      <c r="AJ603" s="519">
        <f t="shared" ca="1" si="646"/>
        <v>0</v>
      </c>
      <c r="AK603" s="519">
        <f t="shared" ca="1" si="647"/>
        <v>0</v>
      </c>
      <c r="AL603" s="519">
        <f t="shared" ca="1" si="648"/>
        <v>0</v>
      </c>
      <c r="AM603" s="519">
        <f t="shared" ca="1" si="649"/>
        <v>0</v>
      </c>
      <c r="AN603" s="519">
        <f t="shared" ca="1" si="650"/>
        <v>0</v>
      </c>
      <c r="AO603" s="519">
        <f t="shared" ca="1" si="651"/>
        <v>0</v>
      </c>
      <c r="AP603" s="519">
        <f t="shared" ca="1" si="652"/>
        <v>0</v>
      </c>
      <c r="AQ603" s="519">
        <f t="shared" ca="1" si="653"/>
        <v>0</v>
      </c>
    </row>
    <row r="604" spans="1:43" x14ac:dyDescent="0.3">
      <c r="A604" s="556">
        <f t="shared" si="654"/>
        <v>4</v>
      </c>
      <c r="B604" s="519" t="str">
        <f t="shared" si="655"/>
        <v>KPO</v>
      </c>
      <c r="C604" s="519" t="str">
        <f>Volumes!H32</f>
        <v>MRP</v>
      </c>
      <c r="D604" s="519" t="str">
        <f>Volumes!I32</f>
        <v>KPO1101 KPO0</v>
      </c>
      <c r="E604" s="519">
        <f>Volumes!J32</f>
        <v>428.1456904499999</v>
      </c>
      <c r="G604" s="525"/>
      <c r="H604" s="519">
        <f ca="1">_xlfn.IFNA(IF(VLOOKUP($B604&amp;OFFSET(H$10,$A604*2,0),'Mapping A'!$B$6:$E$1011,4,0)=1,$E604,""),0)</f>
        <v>0</v>
      </c>
      <c r="I604" s="519">
        <f ca="1">_xlfn.IFNA(IF(VLOOKUP($B604&amp;OFFSET(I$10,$A604*2,0),'Mapping A'!$B$6:$E$1011,4,0)=1,$E604,""),0)</f>
        <v>0</v>
      </c>
      <c r="J604" s="519">
        <f ca="1">_xlfn.IFNA(IF(VLOOKUP($B604&amp;OFFSET(J$10,$A604*2,0),'Mapping A'!$B$6:$E$1011,4,0)=1,$E604,""),0)</f>
        <v>0</v>
      </c>
      <c r="K604" s="519">
        <f ca="1">_xlfn.IFNA(IF(VLOOKUP($B604&amp;OFFSET(K$10,$A604*2,0),'Mapping A'!$B$6:$E$1011,4,0)=1,$E604,""),0)</f>
        <v>0</v>
      </c>
      <c r="L604" s="519">
        <f ca="1">_xlfn.IFNA(IF(VLOOKUP($B604&amp;OFFSET(L$10,$A604*2,0),'Mapping A'!$B$6:$E$1011,4,0)=1,$E604,""),0)</f>
        <v>0</v>
      </c>
      <c r="M604" s="519">
        <f ca="1">_xlfn.IFNA(IF(VLOOKUP($B604&amp;OFFSET(M$10,$A604*2,0),'Mapping A'!$B$6:$E$1011,4,0)=1,$E604,""),0)</f>
        <v>0</v>
      </c>
      <c r="N604" s="519">
        <f ca="1">_xlfn.IFNA(IF(VLOOKUP($B604&amp;OFFSET(N$10,$A604*2,0),'Mapping A'!$B$6:$E$1011,4,0)=1,$E604,""),0)</f>
        <v>0</v>
      </c>
      <c r="O604" s="519">
        <f ca="1">_xlfn.IFNA(IF(VLOOKUP($B604&amp;OFFSET(O$10,$A604*2,0),'Mapping A'!$B$6:$E$1011,4,0)=1,$E604,""),0)</f>
        <v>0</v>
      </c>
      <c r="P604" s="519">
        <f ca="1">_xlfn.IFNA(IF(VLOOKUP($B604&amp;OFFSET(P$10,$A604*2,0),'Mapping A'!$B$6:$E$1011,4,0)=1,$E604,""),0)</f>
        <v>0</v>
      </c>
      <c r="Q604" s="519">
        <f ca="1">_xlfn.IFNA(IF(VLOOKUP($B604&amp;OFFSET(Q$10,$A604*2,0),'Mapping A'!$B$6:$E$1011,4,0)=1,$E604,""),0)</f>
        <v>0</v>
      </c>
      <c r="R604" s="519">
        <f ca="1">_xlfn.IFNA(IF(VLOOKUP($B604&amp;OFFSET(R$10,$A604*2,0),'Mapping A'!$B$6:$E$1011,4,0)=1,$E604,""),0)</f>
        <v>0</v>
      </c>
      <c r="S604" s="519">
        <f ca="1">_xlfn.IFNA(IF(VLOOKUP($B604&amp;OFFSET(S$10,$A604*2,0),'Mapping A'!$B$6:$E$1011,4,0)=1,$E604,""),0)</f>
        <v>0</v>
      </c>
      <c r="T604" s="519">
        <f ca="1">_xlfn.IFNA(IF(VLOOKUP($B604&amp;OFFSET(T$10,$A604*2,0),'Mapping A'!$B$6:$E$1011,4,0)=1,$E604,""),0)</f>
        <v>0</v>
      </c>
      <c r="Y604" s="534" t="str">
        <f t="shared" si="656"/>
        <v>MRPKPO1101 KPO0</v>
      </c>
      <c r="Z604" s="519" t="str">
        <f>Volumes!H32</f>
        <v>MRP</v>
      </c>
      <c r="AA604" s="519" t="str">
        <f>Volumes!I32</f>
        <v>KPO1101 KPO0</v>
      </c>
      <c r="AB604" s="519">
        <f>Volumes!J32</f>
        <v>428.1456904499999</v>
      </c>
      <c r="AC604" s="170"/>
      <c r="AE604" s="519">
        <f t="shared" ca="1" si="641"/>
        <v>0</v>
      </c>
      <c r="AF604" s="519">
        <f t="shared" ca="1" si="642"/>
        <v>0</v>
      </c>
      <c r="AG604" s="519">
        <f t="shared" ca="1" si="643"/>
        <v>0</v>
      </c>
      <c r="AH604" s="519">
        <f t="shared" ca="1" si="644"/>
        <v>0</v>
      </c>
      <c r="AI604" s="519">
        <f t="shared" ca="1" si="645"/>
        <v>0</v>
      </c>
      <c r="AJ604" s="519">
        <f t="shared" ca="1" si="646"/>
        <v>0</v>
      </c>
      <c r="AK604" s="519">
        <f t="shared" ca="1" si="647"/>
        <v>0</v>
      </c>
      <c r="AL604" s="519">
        <f t="shared" ca="1" si="648"/>
        <v>0</v>
      </c>
      <c r="AM604" s="519">
        <f t="shared" ca="1" si="649"/>
        <v>0</v>
      </c>
      <c r="AN604" s="519">
        <f t="shared" ca="1" si="650"/>
        <v>0</v>
      </c>
      <c r="AO604" s="519">
        <f t="shared" ca="1" si="651"/>
        <v>0</v>
      </c>
      <c r="AP604" s="519">
        <f t="shared" ca="1" si="652"/>
        <v>0</v>
      </c>
      <c r="AQ604" s="519">
        <f t="shared" ca="1" si="653"/>
        <v>0</v>
      </c>
    </row>
    <row r="605" spans="1:43" x14ac:dyDescent="0.3">
      <c r="A605" s="556">
        <f t="shared" si="654"/>
        <v>4</v>
      </c>
      <c r="B605" s="519" t="str">
        <f t="shared" si="655"/>
        <v>KUM</v>
      </c>
      <c r="C605" s="519" t="str">
        <f>Volumes!H33</f>
        <v>Trustpower</v>
      </c>
      <c r="D605" s="519" t="str">
        <f>Volumes!I33</f>
        <v>KUM0661 KUM0</v>
      </c>
      <c r="E605" s="519">
        <f>Volumes!J33</f>
        <v>24.868844299999999</v>
      </c>
      <c r="G605" s="525"/>
      <c r="H605" s="519">
        <f ca="1">_xlfn.IFNA(IF(VLOOKUP($B605&amp;OFFSET(H$10,$A605*2,0),'Mapping A'!$B$6:$E$1011,4,0)=1,$E605,""),0)</f>
        <v>0</v>
      </c>
      <c r="I605" s="519">
        <f ca="1">_xlfn.IFNA(IF(VLOOKUP($B605&amp;OFFSET(I$10,$A605*2,0),'Mapping A'!$B$6:$E$1011,4,0)=1,$E605,""),0)</f>
        <v>0</v>
      </c>
      <c r="J605" s="519">
        <f ca="1">_xlfn.IFNA(IF(VLOOKUP($B605&amp;OFFSET(J$10,$A605*2,0),'Mapping A'!$B$6:$E$1011,4,0)=1,$E605,""),0)</f>
        <v>0</v>
      </c>
      <c r="K605" s="519">
        <f ca="1">_xlfn.IFNA(IF(VLOOKUP($B605&amp;OFFSET(K$10,$A605*2,0),'Mapping A'!$B$6:$E$1011,4,0)=1,$E605,""),0)</f>
        <v>0</v>
      </c>
      <c r="L605" s="519">
        <f ca="1">_xlfn.IFNA(IF(VLOOKUP($B605&amp;OFFSET(L$10,$A605*2,0),'Mapping A'!$B$6:$E$1011,4,0)=1,$E605,""),0)</f>
        <v>0</v>
      </c>
      <c r="M605" s="519">
        <f ca="1">_xlfn.IFNA(IF(VLOOKUP($B605&amp;OFFSET(M$10,$A605*2,0),'Mapping A'!$B$6:$E$1011,4,0)=1,$E605,""),0)</f>
        <v>0</v>
      </c>
      <c r="N605" s="519">
        <f ca="1">_xlfn.IFNA(IF(VLOOKUP($B605&amp;OFFSET(N$10,$A605*2,0),'Mapping A'!$B$6:$E$1011,4,0)=1,$E605,""),0)</f>
        <v>0</v>
      </c>
      <c r="O605" s="519">
        <f ca="1">_xlfn.IFNA(IF(VLOOKUP($B605&amp;OFFSET(O$10,$A605*2,0),'Mapping A'!$B$6:$E$1011,4,0)=1,$E605,""),0)</f>
        <v>24.868844299999999</v>
      </c>
      <c r="P605" s="519">
        <f ca="1">_xlfn.IFNA(IF(VLOOKUP($B605&amp;OFFSET(P$10,$A605*2,0),'Mapping A'!$B$6:$E$1011,4,0)=1,$E605,""),0)</f>
        <v>0</v>
      </c>
      <c r="Q605" s="519">
        <f ca="1">_xlfn.IFNA(IF(VLOOKUP($B605&amp;OFFSET(Q$10,$A605*2,0),'Mapping A'!$B$6:$E$1011,4,0)=1,$E605,""),0)</f>
        <v>0</v>
      </c>
      <c r="R605" s="519">
        <f ca="1">_xlfn.IFNA(IF(VLOOKUP($B605&amp;OFFSET(R$10,$A605*2,0),'Mapping A'!$B$6:$E$1011,4,0)=1,$E605,""),0)</f>
        <v>0</v>
      </c>
      <c r="S605" s="519">
        <f ca="1">_xlfn.IFNA(IF(VLOOKUP($B605&amp;OFFSET(S$10,$A605*2,0),'Mapping A'!$B$6:$E$1011,4,0)=1,$E605,""),0)</f>
        <v>0</v>
      </c>
      <c r="T605" s="519">
        <f ca="1">_xlfn.IFNA(IF(VLOOKUP($B605&amp;OFFSET(T$10,$A605*2,0),'Mapping A'!$B$6:$E$1011,4,0)=1,$E605,""),0)</f>
        <v>0</v>
      </c>
      <c r="Y605" s="534" t="str">
        <f t="shared" si="656"/>
        <v>TrustpowerKUM0661 KUM0</v>
      </c>
      <c r="Z605" s="519" t="str">
        <f>Volumes!H33</f>
        <v>Trustpower</v>
      </c>
      <c r="AA605" s="519" t="str">
        <f>Volumes!I33</f>
        <v>KUM0661 KUM0</v>
      </c>
      <c r="AB605" s="519">
        <f>Volumes!J33</f>
        <v>24.868844299999999</v>
      </c>
      <c r="AC605" s="170"/>
      <c r="AE605" s="519">
        <f t="shared" ca="1" si="641"/>
        <v>0</v>
      </c>
      <c r="AF605" s="519">
        <f t="shared" ca="1" si="642"/>
        <v>0</v>
      </c>
      <c r="AG605" s="519">
        <f t="shared" ca="1" si="643"/>
        <v>0</v>
      </c>
      <c r="AH605" s="519">
        <f t="shared" ca="1" si="644"/>
        <v>0</v>
      </c>
      <c r="AI605" s="519">
        <f t="shared" ca="1" si="645"/>
        <v>0</v>
      </c>
      <c r="AJ605" s="519">
        <f t="shared" ca="1" si="646"/>
        <v>0</v>
      </c>
      <c r="AK605" s="519">
        <f t="shared" ca="1" si="647"/>
        <v>0</v>
      </c>
      <c r="AL605" s="519">
        <f t="shared" ca="1" si="648"/>
        <v>3.5350166805511846E-3</v>
      </c>
      <c r="AM605" s="519">
        <f t="shared" ca="1" si="649"/>
        <v>0</v>
      </c>
      <c r="AN605" s="519">
        <f t="shared" ca="1" si="650"/>
        <v>0</v>
      </c>
      <c r="AO605" s="519">
        <f t="shared" ca="1" si="651"/>
        <v>0</v>
      </c>
      <c r="AP605" s="519">
        <f t="shared" ca="1" si="652"/>
        <v>0</v>
      </c>
      <c r="AQ605" s="519">
        <f t="shared" ca="1" si="653"/>
        <v>0</v>
      </c>
    </row>
    <row r="606" spans="1:43" x14ac:dyDescent="0.3">
      <c r="A606" s="556">
        <f t="shared" si="654"/>
        <v>4</v>
      </c>
      <c r="B606" s="519" t="str">
        <f t="shared" si="655"/>
        <v>MAN</v>
      </c>
      <c r="C606" s="519" t="str">
        <f>Volumes!H34</f>
        <v>Meridian</v>
      </c>
      <c r="D606" s="519" t="str">
        <f>Volumes!I34</f>
        <v>MAN2201 MAN0</v>
      </c>
      <c r="E606" s="519">
        <f>Volumes!J34</f>
        <v>4513.1046075000049</v>
      </c>
      <c r="G606" s="525"/>
      <c r="H606" s="519">
        <f ca="1">_xlfn.IFNA(IF(VLOOKUP($B606&amp;OFFSET(H$10,$A606*2,0),'Mapping A'!$B$6:$E$1011,4,0)=1,$E606,""),0)</f>
        <v>0</v>
      </c>
      <c r="I606" s="519">
        <f ca="1">_xlfn.IFNA(IF(VLOOKUP($B606&amp;OFFSET(I$10,$A606*2,0),'Mapping A'!$B$6:$E$1011,4,0)=1,$E606,""),0)</f>
        <v>0</v>
      </c>
      <c r="J606" s="519">
        <f ca="1">_xlfn.IFNA(IF(VLOOKUP($B606&amp;OFFSET(J$10,$A606*2,0),'Mapping A'!$B$6:$E$1011,4,0)=1,$E606,""),0)</f>
        <v>0</v>
      </c>
      <c r="K606" s="519">
        <f ca="1">_xlfn.IFNA(IF(VLOOKUP($B606&amp;OFFSET(K$10,$A606*2,0),'Mapping A'!$B$6:$E$1011,4,0)=1,$E606,""),0)</f>
        <v>0</v>
      </c>
      <c r="L606" s="519">
        <f ca="1">_xlfn.IFNA(IF(VLOOKUP($B606&amp;OFFSET(L$10,$A606*2,0),'Mapping A'!$B$6:$E$1011,4,0)=1,$E606,""),0)</f>
        <v>0</v>
      </c>
      <c r="M606" s="519">
        <f ca="1">_xlfn.IFNA(IF(VLOOKUP($B606&amp;OFFSET(M$10,$A606*2,0),'Mapping A'!$B$6:$E$1011,4,0)=1,$E606,""),0)</f>
        <v>0</v>
      </c>
      <c r="N606" s="519">
        <f ca="1">_xlfn.IFNA(IF(VLOOKUP($B606&amp;OFFSET(N$10,$A606*2,0),'Mapping A'!$B$6:$E$1011,4,0)=1,$E606,""),0)</f>
        <v>0</v>
      </c>
      <c r="O606" s="519">
        <f ca="1">_xlfn.IFNA(IF(VLOOKUP($B606&amp;OFFSET(O$10,$A606*2,0),'Mapping A'!$B$6:$E$1011,4,0)=1,$E606,""),0)</f>
        <v>4513.1046075000049</v>
      </c>
      <c r="P606" s="519">
        <f ca="1">_xlfn.IFNA(IF(VLOOKUP($B606&amp;OFFSET(P$10,$A606*2,0),'Mapping A'!$B$6:$E$1011,4,0)=1,$E606,""),0)</f>
        <v>0</v>
      </c>
      <c r="Q606" s="519">
        <f ca="1">_xlfn.IFNA(IF(VLOOKUP($B606&amp;OFFSET(Q$10,$A606*2,0),'Mapping A'!$B$6:$E$1011,4,0)=1,$E606,""),0)</f>
        <v>0</v>
      </c>
      <c r="R606" s="519">
        <f ca="1">_xlfn.IFNA(IF(VLOOKUP($B606&amp;OFFSET(R$10,$A606*2,0),'Mapping A'!$B$6:$E$1011,4,0)=1,$E606,""),0)</f>
        <v>0</v>
      </c>
      <c r="S606" s="519">
        <f ca="1">_xlfn.IFNA(IF(VLOOKUP($B606&amp;OFFSET(S$10,$A606*2,0),'Mapping A'!$B$6:$E$1011,4,0)=1,$E606,""),0)</f>
        <v>0</v>
      </c>
      <c r="T606" s="519">
        <f ca="1">_xlfn.IFNA(IF(VLOOKUP($B606&amp;OFFSET(T$10,$A606*2,0),'Mapping A'!$B$6:$E$1011,4,0)=1,$E606,""),0)</f>
        <v>0</v>
      </c>
      <c r="Y606" s="534" t="str">
        <f t="shared" si="656"/>
        <v>MeridianMAN2201 MAN0</v>
      </c>
      <c r="Z606" s="519" t="str">
        <f>Volumes!H34</f>
        <v>Meridian</v>
      </c>
      <c r="AA606" s="519" t="str">
        <f>Volumes!I34</f>
        <v>MAN2201 MAN0</v>
      </c>
      <c r="AB606" s="519">
        <f>Volumes!J34</f>
        <v>4513.1046075000049</v>
      </c>
      <c r="AC606" s="170"/>
      <c r="AE606" s="519">
        <f t="shared" ca="1" si="641"/>
        <v>0</v>
      </c>
      <c r="AF606" s="519">
        <f t="shared" ca="1" si="642"/>
        <v>0</v>
      </c>
      <c r="AG606" s="519">
        <f t="shared" ca="1" si="643"/>
        <v>0</v>
      </c>
      <c r="AH606" s="519">
        <f t="shared" ca="1" si="644"/>
        <v>0</v>
      </c>
      <c r="AI606" s="519">
        <f t="shared" ca="1" si="645"/>
        <v>0</v>
      </c>
      <c r="AJ606" s="519">
        <f t="shared" ca="1" si="646"/>
        <v>0</v>
      </c>
      <c r="AK606" s="519">
        <f t="shared" ca="1" si="647"/>
        <v>0</v>
      </c>
      <c r="AL606" s="519">
        <f t="shared" ca="1" si="648"/>
        <v>0.64152157117268716</v>
      </c>
      <c r="AM606" s="519">
        <f t="shared" ca="1" si="649"/>
        <v>0</v>
      </c>
      <c r="AN606" s="519">
        <f t="shared" ca="1" si="650"/>
        <v>0</v>
      </c>
      <c r="AO606" s="519">
        <f t="shared" ca="1" si="651"/>
        <v>0</v>
      </c>
      <c r="AP606" s="519">
        <f t="shared" ca="1" si="652"/>
        <v>0</v>
      </c>
      <c r="AQ606" s="519">
        <f t="shared" ca="1" si="653"/>
        <v>0</v>
      </c>
    </row>
    <row r="607" spans="1:43" x14ac:dyDescent="0.3">
      <c r="A607" s="556">
        <f t="shared" si="654"/>
        <v>4</v>
      </c>
      <c r="B607" s="519" t="str">
        <f t="shared" si="655"/>
        <v>MAT</v>
      </c>
      <c r="C607" s="519" t="str">
        <f>Volumes!H35</f>
        <v>Todd</v>
      </c>
      <c r="D607" s="519" t="str">
        <f>Volumes!I35</f>
        <v>MAT1101 ANI0</v>
      </c>
      <c r="E607" s="519">
        <f>Volumes!J35</f>
        <v>90.454900000000137</v>
      </c>
      <c r="G607" s="525"/>
      <c r="H607" s="519">
        <f ca="1">_xlfn.IFNA(IF(VLOOKUP($B607&amp;OFFSET(H$10,$A607*2,0),'Mapping A'!$B$6:$E$1011,4,0)=1,$E607,""),0)</f>
        <v>0</v>
      </c>
      <c r="I607" s="519">
        <f ca="1">_xlfn.IFNA(IF(VLOOKUP($B607&amp;OFFSET(I$10,$A607*2,0),'Mapping A'!$B$6:$E$1011,4,0)=1,$E607,""),0)</f>
        <v>0</v>
      </c>
      <c r="J607" s="519">
        <f ca="1">_xlfn.IFNA(IF(VLOOKUP($B607&amp;OFFSET(J$10,$A607*2,0),'Mapping A'!$B$6:$E$1011,4,0)=1,$E607,""),0)</f>
        <v>0</v>
      </c>
      <c r="K607" s="519">
        <f ca="1">_xlfn.IFNA(IF(VLOOKUP($B607&amp;OFFSET(K$10,$A607*2,0),'Mapping A'!$B$6:$E$1011,4,0)=1,$E607,""),0)</f>
        <v>0</v>
      </c>
      <c r="L607" s="519">
        <f ca="1">_xlfn.IFNA(IF(VLOOKUP($B607&amp;OFFSET(L$10,$A607*2,0),'Mapping A'!$B$6:$E$1011,4,0)=1,$E607,""),0)</f>
        <v>0</v>
      </c>
      <c r="M607" s="519">
        <f ca="1">_xlfn.IFNA(IF(VLOOKUP($B607&amp;OFFSET(M$10,$A607*2,0),'Mapping A'!$B$6:$E$1011,4,0)=1,$E607,""),0)</f>
        <v>0</v>
      </c>
      <c r="N607" s="519">
        <f ca="1">_xlfn.IFNA(IF(VLOOKUP($B607&amp;OFFSET(N$10,$A607*2,0),'Mapping A'!$B$6:$E$1011,4,0)=1,$E607,""),0)</f>
        <v>0</v>
      </c>
      <c r="O607" s="519">
        <f ca="1">_xlfn.IFNA(IF(VLOOKUP($B607&amp;OFFSET(O$10,$A607*2,0),'Mapping A'!$B$6:$E$1011,4,0)=1,$E607,""),0)</f>
        <v>0</v>
      </c>
      <c r="P607" s="519">
        <f ca="1">_xlfn.IFNA(IF(VLOOKUP($B607&amp;OFFSET(P$10,$A607*2,0),'Mapping A'!$B$6:$E$1011,4,0)=1,$E607,""),0)</f>
        <v>0</v>
      </c>
      <c r="Q607" s="519">
        <f ca="1">_xlfn.IFNA(IF(VLOOKUP($B607&amp;OFFSET(Q$10,$A607*2,0),'Mapping A'!$B$6:$E$1011,4,0)=1,$E607,""),0)</f>
        <v>0</v>
      </c>
      <c r="R607" s="519">
        <f ca="1">_xlfn.IFNA(IF(VLOOKUP($B607&amp;OFFSET(R$10,$A607*2,0),'Mapping A'!$B$6:$E$1011,4,0)=1,$E607,""),0)</f>
        <v>0</v>
      </c>
      <c r="S607" s="519">
        <f ca="1">_xlfn.IFNA(IF(VLOOKUP($B607&amp;OFFSET(S$10,$A607*2,0),'Mapping A'!$B$6:$E$1011,4,0)=1,$E607,""),0)</f>
        <v>0</v>
      </c>
      <c r="T607" s="519">
        <f ca="1">_xlfn.IFNA(IF(VLOOKUP($B607&amp;OFFSET(T$10,$A607*2,0),'Mapping A'!$B$6:$E$1011,4,0)=1,$E607,""),0)</f>
        <v>0</v>
      </c>
      <c r="Y607" s="534" t="str">
        <f t="shared" si="656"/>
        <v>ToddMAT1101 ANI0</v>
      </c>
      <c r="Z607" s="519" t="str">
        <f>Volumes!H35</f>
        <v>Todd</v>
      </c>
      <c r="AA607" s="519" t="str">
        <f>Volumes!I35</f>
        <v>MAT1101 ANI0</v>
      </c>
      <c r="AB607" s="519">
        <f>Volumes!J35</f>
        <v>90.454900000000137</v>
      </c>
      <c r="AC607" s="170"/>
      <c r="AE607" s="519">
        <f t="shared" ca="1" si="641"/>
        <v>0</v>
      </c>
      <c r="AF607" s="519">
        <f t="shared" ca="1" si="642"/>
        <v>0</v>
      </c>
      <c r="AG607" s="519">
        <f t="shared" ca="1" si="643"/>
        <v>0</v>
      </c>
      <c r="AH607" s="519">
        <f t="shared" ca="1" si="644"/>
        <v>0</v>
      </c>
      <c r="AI607" s="519">
        <f t="shared" ca="1" si="645"/>
        <v>0</v>
      </c>
      <c r="AJ607" s="519">
        <f t="shared" ca="1" si="646"/>
        <v>0</v>
      </c>
      <c r="AK607" s="519">
        <f t="shared" ca="1" si="647"/>
        <v>0</v>
      </c>
      <c r="AL607" s="519">
        <f t="shared" ca="1" si="648"/>
        <v>0</v>
      </c>
      <c r="AM607" s="519">
        <f t="shared" ca="1" si="649"/>
        <v>0</v>
      </c>
      <c r="AN607" s="519">
        <f t="shared" ca="1" si="650"/>
        <v>0</v>
      </c>
      <c r="AO607" s="519">
        <f t="shared" ca="1" si="651"/>
        <v>0</v>
      </c>
      <c r="AP607" s="519">
        <f t="shared" ca="1" si="652"/>
        <v>0</v>
      </c>
      <c r="AQ607" s="519">
        <f t="shared" ca="1" si="653"/>
        <v>0</v>
      </c>
    </row>
    <row r="608" spans="1:43" x14ac:dyDescent="0.3">
      <c r="A608" s="556">
        <f t="shared" si="654"/>
        <v>4</v>
      </c>
      <c r="B608" s="519" t="str">
        <f t="shared" si="655"/>
        <v>MAT</v>
      </c>
      <c r="C608" s="519" t="str">
        <f>Volumes!H36</f>
        <v>Trustpower</v>
      </c>
      <c r="D608" s="519" t="str">
        <f>Volumes!I36</f>
        <v>MAT1101 MAT0</v>
      </c>
      <c r="E608" s="519">
        <f>Volumes!J36</f>
        <v>161.48699857999966</v>
      </c>
      <c r="G608" s="525"/>
      <c r="H608" s="519">
        <f ca="1">_xlfn.IFNA(IF(VLOOKUP($B608&amp;OFFSET(H$10,$A608*2,0),'Mapping A'!$B$6:$E$1011,4,0)=1,$E608,""),0)</f>
        <v>0</v>
      </c>
      <c r="I608" s="519">
        <f ca="1">_xlfn.IFNA(IF(VLOOKUP($B608&amp;OFFSET(I$10,$A608*2,0),'Mapping A'!$B$6:$E$1011,4,0)=1,$E608,""),0)</f>
        <v>0</v>
      </c>
      <c r="J608" s="519">
        <f ca="1">_xlfn.IFNA(IF(VLOOKUP($B608&amp;OFFSET(J$10,$A608*2,0),'Mapping A'!$B$6:$E$1011,4,0)=1,$E608,""),0)</f>
        <v>0</v>
      </c>
      <c r="K608" s="519">
        <f ca="1">_xlfn.IFNA(IF(VLOOKUP($B608&amp;OFFSET(K$10,$A608*2,0),'Mapping A'!$B$6:$E$1011,4,0)=1,$E608,""),0)</f>
        <v>0</v>
      </c>
      <c r="L608" s="519">
        <f ca="1">_xlfn.IFNA(IF(VLOOKUP($B608&amp;OFFSET(L$10,$A608*2,0),'Mapping A'!$B$6:$E$1011,4,0)=1,$E608,""),0)</f>
        <v>0</v>
      </c>
      <c r="M608" s="519">
        <f ca="1">_xlfn.IFNA(IF(VLOOKUP($B608&amp;OFFSET(M$10,$A608*2,0),'Mapping A'!$B$6:$E$1011,4,0)=1,$E608,""),0)</f>
        <v>0</v>
      </c>
      <c r="N608" s="519">
        <f ca="1">_xlfn.IFNA(IF(VLOOKUP($B608&amp;OFFSET(N$10,$A608*2,0),'Mapping A'!$B$6:$E$1011,4,0)=1,$E608,""),0)</f>
        <v>0</v>
      </c>
      <c r="O608" s="519">
        <f ca="1">_xlfn.IFNA(IF(VLOOKUP($B608&amp;OFFSET(O$10,$A608*2,0),'Mapping A'!$B$6:$E$1011,4,0)=1,$E608,""),0)</f>
        <v>0</v>
      </c>
      <c r="P608" s="519">
        <f ca="1">_xlfn.IFNA(IF(VLOOKUP($B608&amp;OFFSET(P$10,$A608*2,0),'Mapping A'!$B$6:$E$1011,4,0)=1,$E608,""),0)</f>
        <v>0</v>
      </c>
      <c r="Q608" s="519">
        <f ca="1">_xlfn.IFNA(IF(VLOOKUP($B608&amp;OFFSET(Q$10,$A608*2,0),'Mapping A'!$B$6:$E$1011,4,0)=1,$E608,""),0)</f>
        <v>0</v>
      </c>
      <c r="R608" s="519">
        <f ca="1">_xlfn.IFNA(IF(VLOOKUP($B608&amp;OFFSET(R$10,$A608*2,0),'Mapping A'!$B$6:$E$1011,4,0)=1,$E608,""),0)</f>
        <v>0</v>
      </c>
      <c r="S608" s="519">
        <f ca="1">_xlfn.IFNA(IF(VLOOKUP($B608&amp;OFFSET(S$10,$A608*2,0),'Mapping A'!$B$6:$E$1011,4,0)=1,$E608,""),0)</f>
        <v>0</v>
      </c>
      <c r="T608" s="519">
        <f ca="1">_xlfn.IFNA(IF(VLOOKUP($B608&amp;OFFSET(T$10,$A608*2,0),'Mapping A'!$B$6:$E$1011,4,0)=1,$E608,""),0)</f>
        <v>0</v>
      </c>
      <c r="Y608" s="534" t="str">
        <f t="shared" si="656"/>
        <v>TrustpowerMAT1101 MAT0</v>
      </c>
      <c r="Z608" s="519" t="str">
        <f>Volumes!H36</f>
        <v>Trustpower</v>
      </c>
      <c r="AA608" s="519" t="str">
        <f>Volumes!I36</f>
        <v>MAT1101 MAT0</v>
      </c>
      <c r="AB608" s="519">
        <f>Volumes!J36</f>
        <v>161.48699857999966</v>
      </c>
      <c r="AC608" s="170"/>
      <c r="AE608" s="519">
        <f t="shared" ca="1" si="641"/>
        <v>0</v>
      </c>
      <c r="AF608" s="519">
        <f t="shared" ca="1" si="642"/>
        <v>0</v>
      </c>
      <c r="AG608" s="519">
        <f t="shared" ca="1" si="643"/>
        <v>0</v>
      </c>
      <c r="AH608" s="519">
        <f t="shared" ca="1" si="644"/>
        <v>0</v>
      </c>
      <c r="AI608" s="519">
        <f t="shared" ca="1" si="645"/>
        <v>0</v>
      </c>
      <c r="AJ608" s="519">
        <f t="shared" ca="1" si="646"/>
        <v>0</v>
      </c>
      <c r="AK608" s="519">
        <f t="shared" ca="1" si="647"/>
        <v>0</v>
      </c>
      <c r="AL608" s="519">
        <f t="shared" ca="1" si="648"/>
        <v>0</v>
      </c>
      <c r="AM608" s="519">
        <f t="shared" ca="1" si="649"/>
        <v>0</v>
      </c>
      <c r="AN608" s="519">
        <f t="shared" ca="1" si="650"/>
        <v>0</v>
      </c>
      <c r="AO608" s="519">
        <f t="shared" ca="1" si="651"/>
        <v>0</v>
      </c>
      <c r="AP608" s="519">
        <f t="shared" ca="1" si="652"/>
        <v>0</v>
      </c>
      <c r="AQ608" s="519">
        <f t="shared" ca="1" si="653"/>
        <v>0</v>
      </c>
    </row>
    <row r="609" spans="1:43" x14ac:dyDescent="0.3">
      <c r="A609" s="556">
        <f t="shared" si="654"/>
        <v>4</v>
      </c>
      <c r="B609" s="519" t="str">
        <f t="shared" si="655"/>
        <v>MAT</v>
      </c>
      <c r="C609" s="519" t="str">
        <f>Volumes!H37</f>
        <v>Trustpower</v>
      </c>
      <c r="D609" s="519" t="str">
        <f>Volumes!I37</f>
        <v>MAT1102 MAT0</v>
      </c>
      <c r="E609" s="519">
        <f>Volumes!J37</f>
        <v>16.482292375</v>
      </c>
      <c r="G609" s="525"/>
      <c r="H609" s="519">
        <f ca="1">_xlfn.IFNA(IF(VLOOKUP($B609&amp;OFFSET(H$10,$A609*2,0),'Mapping A'!$B$6:$E$1011,4,0)=1,$E609,""),0)</f>
        <v>0</v>
      </c>
      <c r="I609" s="519">
        <f ca="1">_xlfn.IFNA(IF(VLOOKUP($B609&amp;OFFSET(I$10,$A609*2,0),'Mapping A'!$B$6:$E$1011,4,0)=1,$E609,""),0)</f>
        <v>0</v>
      </c>
      <c r="J609" s="519">
        <f ca="1">_xlfn.IFNA(IF(VLOOKUP($B609&amp;OFFSET(J$10,$A609*2,0),'Mapping A'!$B$6:$E$1011,4,0)=1,$E609,""),0)</f>
        <v>0</v>
      </c>
      <c r="K609" s="519">
        <f ca="1">_xlfn.IFNA(IF(VLOOKUP($B609&amp;OFFSET(K$10,$A609*2,0),'Mapping A'!$B$6:$E$1011,4,0)=1,$E609,""),0)</f>
        <v>0</v>
      </c>
      <c r="L609" s="519">
        <f ca="1">_xlfn.IFNA(IF(VLOOKUP($B609&amp;OFFSET(L$10,$A609*2,0),'Mapping A'!$B$6:$E$1011,4,0)=1,$E609,""),0)</f>
        <v>0</v>
      </c>
      <c r="M609" s="519">
        <f ca="1">_xlfn.IFNA(IF(VLOOKUP($B609&amp;OFFSET(M$10,$A609*2,0),'Mapping A'!$B$6:$E$1011,4,0)=1,$E609,""),0)</f>
        <v>0</v>
      </c>
      <c r="N609" s="519">
        <f ca="1">_xlfn.IFNA(IF(VLOOKUP($B609&amp;OFFSET(N$10,$A609*2,0),'Mapping A'!$B$6:$E$1011,4,0)=1,$E609,""),0)</f>
        <v>0</v>
      </c>
      <c r="O609" s="519">
        <f ca="1">_xlfn.IFNA(IF(VLOOKUP($B609&amp;OFFSET(O$10,$A609*2,0),'Mapping A'!$B$6:$E$1011,4,0)=1,$E609,""),0)</f>
        <v>0</v>
      </c>
      <c r="P609" s="519">
        <f ca="1">_xlfn.IFNA(IF(VLOOKUP($B609&amp;OFFSET(P$10,$A609*2,0),'Mapping A'!$B$6:$E$1011,4,0)=1,$E609,""),0)</f>
        <v>0</v>
      </c>
      <c r="Q609" s="519">
        <f ca="1">_xlfn.IFNA(IF(VLOOKUP($B609&amp;OFFSET(Q$10,$A609*2,0),'Mapping A'!$B$6:$E$1011,4,0)=1,$E609,""),0)</f>
        <v>0</v>
      </c>
      <c r="R609" s="519">
        <f ca="1">_xlfn.IFNA(IF(VLOOKUP($B609&amp;OFFSET(R$10,$A609*2,0),'Mapping A'!$B$6:$E$1011,4,0)=1,$E609,""),0)</f>
        <v>0</v>
      </c>
      <c r="S609" s="519">
        <f ca="1">_xlfn.IFNA(IF(VLOOKUP($B609&amp;OFFSET(S$10,$A609*2,0),'Mapping A'!$B$6:$E$1011,4,0)=1,$E609,""),0)</f>
        <v>0</v>
      </c>
      <c r="T609" s="519">
        <f ca="1">_xlfn.IFNA(IF(VLOOKUP($B609&amp;OFFSET(T$10,$A609*2,0),'Mapping A'!$B$6:$E$1011,4,0)=1,$E609,""),0)</f>
        <v>0</v>
      </c>
      <c r="Y609" s="534" t="str">
        <f t="shared" si="656"/>
        <v>TrustpowerMAT1102 MAT0</v>
      </c>
      <c r="Z609" s="519" t="str">
        <f>Volumes!H37</f>
        <v>Trustpower</v>
      </c>
      <c r="AA609" s="519" t="str">
        <f>Volumes!I37</f>
        <v>MAT1102 MAT0</v>
      </c>
      <c r="AB609" s="519">
        <f>Volumes!J37</f>
        <v>16.482292375</v>
      </c>
      <c r="AC609" s="170"/>
      <c r="AE609" s="519">
        <f t="shared" ca="1" si="641"/>
        <v>0</v>
      </c>
      <c r="AF609" s="519">
        <f t="shared" ca="1" si="642"/>
        <v>0</v>
      </c>
      <c r="AG609" s="519">
        <f t="shared" ca="1" si="643"/>
        <v>0</v>
      </c>
      <c r="AH609" s="519">
        <f t="shared" ca="1" si="644"/>
        <v>0</v>
      </c>
      <c r="AI609" s="519">
        <f t="shared" ca="1" si="645"/>
        <v>0</v>
      </c>
      <c r="AJ609" s="519">
        <f t="shared" ca="1" si="646"/>
        <v>0</v>
      </c>
      <c r="AK609" s="519">
        <f t="shared" ca="1" si="647"/>
        <v>0</v>
      </c>
      <c r="AL609" s="519">
        <f t="shared" ca="1" si="648"/>
        <v>0</v>
      </c>
      <c r="AM609" s="519">
        <f t="shared" ca="1" si="649"/>
        <v>0</v>
      </c>
      <c r="AN609" s="519">
        <f t="shared" ca="1" si="650"/>
        <v>0</v>
      </c>
      <c r="AO609" s="519">
        <f t="shared" ca="1" si="651"/>
        <v>0</v>
      </c>
      <c r="AP609" s="519">
        <f t="shared" ca="1" si="652"/>
        <v>0</v>
      </c>
      <c r="AQ609" s="519">
        <f t="shared" ca="1" si="653"/>
        <v>0</v>
      </c>
    </row>
    <row r="610" spans="1:43" x14ac:dyDescent="0.3">
      <c r="A610" s="556">
        <f t="shared" si="654"/>
        <v>4</v>
      </c>
      <c r="B610" s="519" t="str">
        <f t="shared" si="655"/>
        <v>MHO</v>
      </c>
      <c r="C610" s="519" t="str">
        <f>Volumes!H38</f>
        <v>Todd</v>
      </c>
      <c r="D610" s="519" t="str">
        <f>Volumes!I38</f>
        <v>MHO0331 MHO0</v>
      </c>
      <c r="E610" s="519">
        <f>Volumes!J38</f>
        <v>141.40069299999999</v>
      </c>
      <c r="G610" s="525"/>
      <c r="H610" s="519">
        <f ca="1">_xlfn.IFNA(IF(VLOOKUP($B610&amp;OFFSET(H$10,$A610*2,0),'Mapping A'!$B$6:$E$1011,4,0)=1,$E610,""),0)</f>
        <v>0</v>
      </c>
      <c r="I610" s="519">
        <f ca="1">_xlfn.IFNA(IF(VLOOKUP($B610&amp;OFFSET(I$10,$A610*2,0),'Mapping A'!$B$6:$E$1011,4,0)=1,$E610,""),0)</f>
        <v>0</v>
      </c>
      <c r="J610" s="519">
        <f ca="1">_xlfn.IFNA(IF(VLOOKUP($B610&amp;OFFSET(J$10,$A610*2,0),'Mapping A'!$B$6:$E$1011,4,0)=1,$E610,""),0)</f>
        <v>0</v>
      </c>
      <c r="K610" s="519">
        <f ca="1">_xlfn.IFNA(IF(VLOOKUP($B610&amp;OFFSET(K$10,$A610*2,0),'Mapping A'!$B$6:$E$1011,4,0)=1,$E610,""),0)</f>
        <v>0</v>
      </c>
      <c r="L610" s="519">
        <f ca="1">_xlfn.IFNA(IF(VLOOKUP($B610&amp;OFFSET(L$10,$A610*2,0),'Mapping A'!$B$6:$E$1011,4,0)=1,$E610,""),0)</f>
        <v>0</v>
      </c>
      <c r="M610" s="519">
        <f ca="1">_xlfn.IFNA(IF(VLOOKUP($B610&amp;OFFSET(M$10,$A610*2,0),'Mapping A'!$B$6:$E$1011,4,0)=1,$E610,""),0)</f>
        <v>0</v>
      </c>
      <c r="N610" s="519">
        <f ca="1">_xlfn.IFNA(IF(VLOOKUP($B610&amp;OFFSET(N$10,$A610*2,0),'Mapping A'!$B$6:$E$1011,4,0)=1,$E610,""),0)</f>
        <v>0</v>
      </c>
      <c r="O610" s="519">
        <f ca="1">_xlfn.IFNA(IF(VLOOKUP($B610&amp;OFFSET(O$10,$A610*2,0),'Mapping A'!$B$6:$E$1011,4,0)=1,$E610,""),0)</f>
        <v>0</v>
      </c>
      <c r="P610" s="519">
        <f ca="1">_xlfn.IFNA(IF(VLOOKUP($B610&amp;OFFSET(P$10,$A610*2,0),'Mapping A'!$B$6:$E$1011,4,0)=1,$E610,""),0)</f>
        <v>0</v>
      </c>
      <c r="Q610" s="519">
        <f ca="1">_xlfn.IFNA(IF(VLOOKUP($B610&amp;OFFSET(Q$10,$A610*2,0),'Mapping A'!$B$6:$E$1011,4,0)=1,$E610,""),0)</f>
        <v>0</v>
      </c>
      <c r="R610" s="519">
        <f ca="1">_xlfn.IFNA(IF(VLOOKUP($B610&amp;OFFSET(R$10,$A610*2,0),'Mapping A'!$B$6:$E$1011,4,0)=1,$E610,""),0)</f>
        <v>0</v>
      </c>
      <c r="S610" s="519">
        <f ca="1">_xlfn.IFNA(IF(VLOOKUP($B610&amp;OFFSET(S$10,$A610*2,0),'Mapping A'!$B$6:$E$1011,4,0)=1,$E610,""),0)</f>
        <v>0</v>
      </c>
      <c r="T610" s="519">
        <f ca="1">_xlfn.IFNA(IF(VLOOKUP($B610&amp;OFFSET(T$10,$A610*2,0),'Mapping A'!$B$6:$E$1011,4,0)=1,$E610,""),0)</f>
        <v>0</v>
      </c>
      <c r="Y610" s="534" t="str">
        <f t="shared" ref="Y610:Y652" si="657">Z610&amp;AA610</f>
        <v>ToddMHO0331 MHO0</v>
      </c>
      <c r="Z610" s="519" t="str">
        <f>Volumes!H38</f>
        <v>Todd</v>
      </c>
      <c r="AA610" s="519" t="str">
        <f>Volumes!I38</f>
        <v>MHO0331 MHO0</v>
      </c>
      <c r="AB610" s="519">
        <f>Volumes!J38</f>
        <v>141.40069299999999</v>
      </c>
      <c r="AC610" s="170"/>
      <c r="AE610" s="519">
        <f t="shared" ca="1" si="641"/>
        <v>0</v>
      </c>
      <c r="AF610" s="519">
        <f t="shared" ca="1" si="642"/>
        <v>0</v>
      </c>
      <c r="AG610" s="519">
        <f t="shared" ca="1" si="643"/>
        <v>0</v>
      </c>
      <c r="AH610" s="519">
        <f t="shared" ca="1" si="644"/>
        <v>0</v>
      </c>
      <c r="AI610" s="519">
        <f t="shared" ca="1" si="645"/>
        <v>0</v>
      </c>
      <c r="AJ610" s="519">
        <f t="shared" ca="1" si="646"/>
        <v>0</v>
      </c>
      <c r="AK610" s="519">
        <f t="shared" ca="1" si="647"/>
        <v>0</v>
      </c>
      <c r="AL610" s="519">
        <f t="shared" ca="1" si="648"/>
        <v>0</v>
      </c>
      <c r="AM610" s="519">
        <f t="shared" ca="1" si="649"/>
        <v>0</v>
      </c>
      <c r="AN610" s="519">
        <f t="shared" ca="1" si="650"/>
        <v>0</v>
      </c>
      <c r="AO610" s="519">
        <f t="shared" ca="1" si="651"/>
        <v>0</v>
      </c>
      <c r="AP610" s="519">
        <f t="shared" ca="1" si="652"/>
        <v>0</v>
      </c>
      <c r="AQ610" s="519">
        <f t="shared" ca="1" si="653"/>
        <v>0</v>
      </c>
    </row>
    <row r="611" spans="1:43" x14ac:dyDescent="0.3">
      <c r="A611" s="556">
        <f t="shared" si="654"/>
        <v>4</v>
      </c>
      <c r="B611" s="519" t="str">
        <f t="shared" si="655"/>
        <v>MKE</v>
      </c>
      <c r="C611" s="519" t="str">
        <f>Volumes!H39</f>
        <v>Todd</v>
      </c>
      <c r="D611" s="519" t="str">
        <f>Volumes!I39</f>
        <v>MKE1101 MKE1</v>
      </c>
      <c r="E611" s="519">
        <f>Volumes!J39</f>
        <v>177.38407537499825</v>
      </c>
      <c r="G611" s="525"/>
      <c r="H611" s="519">
        <f ca="1">_xlfn.IFNA(IF(VLOOKUP($B611&amp;OFFSET(H$10,$A611*2,0),'Mapping A'!$B$6:$E$1011,4,0)=1,$E611,""),0)</f>
        <v>0</v>
      </c>
      <c r="I611" s="519">
        <f ca="1">_xlfn.IFNA(IF(VLOOKUP($B611&amp;OFFSET(I$10,$A611*2,0),'Mapping A'!$B$6:$E$1011,4,0)=1,$E611,""),0)</f>
        <v>0</v>
      </c>
      <c r="J611" s="519">
        <f ca="1">_xlfn.IFNA(IF(VLOOKUP($B611&amp;OFFSET(J$10,$A611*2,0),'Mapping A'!$B$6:$E$1011,4,0)=1,$E611,""),0)</f>
        <v>0</v>
      </c>
      <c r="K611" s="519">
        <f ca="1">_xlfn.IFNA(IF(VLOOKUP($B611&amp;OFFSET(K$10,$A611*2,0),'Mapping A'!$B$6:$E$1011,4,0)=1,$E611,""),0)</f>
        <v>0</v>
      </c>
      <c r="L611" s="519">
        <f ca="1">_xlfn.IFNA(IF(VLOOKUP($B611&amp;OFFSET(L$10,$A611*2,0),'Mapping A'!$B$6:$E$1011,4,0)=1,$E611,""),0)</f>
        <v>0</v>
      </c>
      <c r="M611" s="519">
        <f ca="1">_xlfn.IFNA(IF(VLOOKUP($B611&amp;OFFSET(M$10,$A611*2,0),'Mapping A'!$B$6:$E$1011,4,0)=1,$E611,""),0)</f>
        <v>0</v>
      </c>
      <c r="N611" s="519">
        <f ca="1">_xlfn.IFNA(IF(VLOOKUP($B611&amp;OFFSET(N$10,$A611*2,0),'Mapping A'!$B$6:$E$1011,4,0)=1,$E611,""),0)</f>
        <v>0</v>
      </c>
      <c r="O611" s="519">
        <f ca="1">_xlfn.IFNA(IF(VLOOKUP($B611&amp;OFFSET(O$10,$A611*2,0),'Mapping A'!$B$6:$E$1011,4,0)=1,$E611,""),0)</f>
        <v>0</v>
      </c>
      <c r="P611" s="519">
        <f ca="1">_xlfn.IFNA(IF(VLOOKUP($B611&amp;OFFSET(P$10,$A611*2,0),'Mapping A'!$B$6:$E$1011,4,0)=1,$E611,""),0)</f>
        <v>0</v>
      </c>
      <c r="Q611" s="519">
        <f ca="1">_xlfn.IFNA(IF(VLOOKUP($B611&amp;OFFSET(Q$10,$A611*2,0),'Mapping A'!$B$6:$E$1011,4,0)=1,$E611,""),0)</f>
        <v>0</v>
      </c>
      <c r="R611" s="519">
        <f ca="1">_xlfn.IFNA(IF(VLOOKUP($B611&amp;OFFSET(R$10,$A611*2,0),'Mapping A'!$B$6:$E$1011,4,0)=1,$E611,""),0)</f>
        <v>0</v>
      </c>
      <c r="S611" s="519">
        <f ca="1">_xlfn.IFNA(IF(VLOOKUP($B611&amp;OFFSET(S$10,$A611*2,0),'Mapping A'!$B$6:$E$1011,4,0)=1,$E611,""),0)</f>
        <v>0</v>
      </c>
      <c r="T611" s="519">
        <f ca="1">_xlfn.IFNA(IF(VLOOKUP($B611&amp;OFFSET(T$10,$A611*2,0),'Mapping A'!$B$6:$E$1011,4,0)=1,$E611,""),0)</f>
        <v>0</v>
      </c>
      <c r="Y611" s="534" t="str">
        <f t="shared" si="657"/>
        <v>ToddMKE1101 MKE1</v>
      </c>
      <c r="Z611" s="519" t="str">
        <f>Volumes!H39</f>
        <v>Todd</v>
      </c>
      <c r="AA611" s="519" t="str">
        <f>Volumes!I39</f>
        <v>MKE1101 MKE1</v>
      </c>
      <c r="AB611" s="519">
        <f>Volumes!J39</f>
        <v>177.38407537499825</v>
      </c>
      <c r="AC611" s="170"/>
      <c r="AE611" s="519">
        <f t="shared" ca="1" si="641"/>
        <v>0</v>
      </c>
      <c r="AF611" s="519">
        <f t="shared" ca="1" si="642"/>
        <v>0</v>
      </c>
      <c r="AG611" s="519">
        <f t="shared" ca="1" si="643"/>
        <v>0</v>
      </c>
      <c r="AH611" s="519">
        <f t="shared" ca="1" si="644"/>
        <v>0</v>
      </c>
      <c r="AI611" s="519">
        <f t="shared" ca="1" si="645"/>
        <v>0</v>
      </c>
      <c r="AJ611" s="519">
        <f t="shared" ca="1" si="646"/>
        <v>0</v>
      </c>
      <c r="AK611" s="519">
        <f t="shared" ca="1" si="647"/>
        <v>0</v>
      </c>
      <c r="AL611" s="519">
        <f t="shared" ca="1" si="648"/>
        <v>0</v>
      </c>
      <c r="AM611" s="519">
        <f t="shared" ca="1" si="649"/>
        <v>0</v>
      </c>
      <c r="AN611" s="519">
        <f t="shared" ca="1" si="650"/>
        <v>0</v>
      </c>
      <c r="AO611" s="519">
        <f t="shared" ca="1" si="651"/>
        <v>0</v>
      </c>
      <c r="AP611" s="519">
        <f t="shared" ca="1" si="652"/>
        <v>0</v>
      </c>
      <c r="AQ611" s="519">
        <f t="shared" ca="1" si="653"/>
        <v>0</v>
      </c>
    </row>
    <row r="612" spans="1:43" x14ac:dyDescent="0.3">
      <c r="A612" s="556">
        <f t="shared" si="654"/>
        <v>4</v>
      </c>
      <c r="B612" s="519" t="str">
        <f t="shared" si="655"/>
        <v>MTI</v>
      </c>
      <c r="C612" s="519" t="str">
        <f>Volumes!H40</f>
        <v>MRP</v>
      </c>
      <c r="D612" s="519" t="str">
        <f>Volumes!I40</f>
        <v>MTI2201 MTI0</v>
      </c>
      <c r="E612" s="519">
        <f>Volumes!J40</f>
        <v>744.59018896000111</v>
      </c>
      <c r="G612" s="525"/>
      <c r="H612" s="519">
        <f ca="1">_xlfn.IFNA(IF(VLOOKUP($B612&amp;OFFSET(H$10,$A612*2,0),'Mapping A'!$B$6:$E$1011,4,0)=1,$E612,""),0)</f>
        <v>0</v>
      </c>
      <c r="I612" s="519">
        <f ca="1">_xlfn.IFNA(IF(VLOOKUP($B612&amp;OFFSET(I$10,$A612*2,0),'Mapping A'!$B$6:$E$1011,4,0)=1,$E612,""),0)</f>
        <v>0</v>
      </c>
      <c r="J612" s="519">
        <f ca="1">_xlfn.IFNA(IF(VLOOKUP($B612&amp;OFFSET(J$10,$A612*2,0),'Mapping A'!$B$6:$E$1011,4,0)=1,$E612,""),0)</f>
        <v>0</v>
      </c>
      <c r="K612" s="519">
        <f ca="1">_xlfn.IFNA(IF(VLOOKUP($B612&amp;OFFSET(K$10,$A612*2,0),'Mapping A'!$B$6:$E$1011,4,0)=1,$E612,""),0)</f>
        <v>0</v>
      </c>
      <c r="L612" s="519">
        <f ca="1">_xlfn.IFNA(IF(VLOOKUP($B612&amp;OFFSET(L$10,$A612*2,0),'Mapping A'!$B$6:$E$1011,4,0)=1,$E612,""),0)</f>
        <v>0</v>
      </c>
      <c r="M612" s="519">
        <f ca="1">_xlfn.IFNA(IF(VLOOKUP($B612&amp;OFFSET(M$10,$A612*2,0),'Mapping A'!$B$6:$E$1011,4,0)=1,$E612,""),0)</f>
        <v>0</v>
      </c>
      <c r="N612" s="519">
        <f ca="1">_xlfn.IFNA(IF(VLOOKUP($B612&amp;OFFSET(N$10,$A612*2,0),'Mapping A'!$B$6:$E$1011,4,0)=1,$E612,""),0)</f>
        <v>0</v>
      </c>
      <c r="O612" s="519">
        <f ca="1">_xlfn.IFNA(IF(VLOOKUP($B612&amp;OFFSET(O$10,$A612*2,0),'Mapping A'!$B$6:$E$1011,4,0)=1,$E612,""),0)</f>
        <v>0</v>
      </c>
      <c r="P612" s="519">
        <f ca="1">_xlfn.IFNA(IF(VLOOKUP($B612&amp;OFFSET(P$10,$A612*2,0),'Mapping A'!$B$6:$E$1011,4,0)=1,$E612,""),0)</f>
        <v>0</v>
      </c>
      <c r="Q612" s="519">
        <f ca="1">_xlfn.IFNA(IF(VLOOKUP($B612&amp;OFFSET(Q$10,$A612*2,0),'Mapping A'!$B$6:$E$1011,4,0)=1,$E612,""),0)</f>
        <v>0</v>
      </c>
      <c r="R612" s="519">
        <f ca="1">_xlfn.IFNA(IF(VLOOKUP($B612&amp;OFFSET(R$10,$A612*2,0),'Mapping A'!$B$6:$E$1011,4,0)=1,$E612,""),0)</f>
        <v>0</v>
      </c>
      <c r="S612" s="519">
        <f ca="1">_xlfn.IFNA(IF(VLOOKUP($B612&amp;OFFSET(S$10,$A612*2,0),'Mapping A'!$B$6:$E$1011,4,0)=1,$E612,""),0)</f>
        <v>0</v>
      </c>
      <c r="T612" s="519">
        <f ca="1">_xlfn.IFNA(IF(VLOOKUP($B612&amp;OFFSET(T$10,$A612*2,0),'Mapping A'!$B$6:$E$1011,4,0)=1,$E612,""),0)</f>
        <v>0</v>
      </c>
      <c r="Y612" s="534" t="str">
        <f t="shared" si="657"/>
        <v>MRPMTI2201 MTI0</v>
      </c>
      <c r="Z612" s="519" t="str">
        <f>Volumes!H40</f>
        <v>MRP</v>
      </c>
      <c r="AA612" s="519" t="str">
        <f>Volumes!I40</f>
        <v>MTI2201 MTI0</v>
      </c>
      <c r="AB612" s="519">
        <f>Volumes!J40</f>
        <v>744.59018896000111</v>
      </c>
      <c r="AC612" s="170"/>
      <c r="AE612" s="519">
        <f t="shared" ca="1" si="641"/>
        <v>0</v>
      </c>
      <c r="AF612" s="519">
        <f t="shared" ca="1" si="642"/>
        <v>0</v>
      </c>
      <c r="AG612" s="519">
        <f t="shared" ca="1" si="643"/>
        <v>0</v>
      </c>
      <c r="AH612" s="519">
        <f t="shared" ca="1" si="644"/>
        <v>0</v>
      </c>
      <c r="AI612" s="519">
        <f t="shared" ca="1" si="645"/>
        <v>0</v>
      </c>
      <c r="AJ612" s="519">
        <f t="shared" ca="1" si="646"/>
        <v>0</v>
      </c>
      <c r="AK612" s="519">
        <f t="shared" ca="1" si="647"/>
        <v>0</v>
      </c>
      <c r="AL612" s="519">
        <f t="shared" ca="1" si="648"/>
        <v>0</v>
      </c>
      <c r="AM612" s="519">
        <f t="shared" ca="1" si="649"/>
        <v>0</v>
      </c>
      <c r="AN612" s="519">
        <f t="shared" ca="1" si="650"/>
        <v>0</v>
      </c>
      <c r="AO612" s="519">
        <f t="shared" ca="1" si="651"/>
        <v>0</v>
      </c>
      <c r="AP612" s="519">
        <f t="shared" ca="1" si="652"/>
        <v>0</v>
      </c>
      <c r="AQ612" s="519">
        <f t="shared" ca="1" si="653"/>
        <v>0</v>
      </c>
    </row>
    <row r="613" spans="1:43" x14ac:dyDescent="0.3">
      <c r="A613" s="556">
        <f t="shared" si="654"/>
        <v>4</v>
      </c>
      <c r="B613" s="519" t="str">
        <f t="shared" si="655"/>
        <v>NAP</v>
      </c>
      <c r="C613" s="519" t="str">
        <f>Volumes!H41</f>
        <v>NAP JV</v>
      </c>
      <c r="D613" s="519" t="str">
        <f>Volumes!I41</f>
        <v>NAP2201 NAP0</v>
      </c>
      <c r="E613" s="519">
        <f>Volumes!J41</f>
        <v>1078.7414309000001</v>
      </c>
      <c r="G613" s="525"/>
      <c r="H613" s="519">
        <f ca="1">_xlfn.IFNA(IF(VLOOKUP($B613&amp;OFFSET(H$10,$A613*2,0),'Mapping A'!$B$6:$E$1011,4,0)=1,$E613,""),0)</f>
        <v>0</v>
      </c>
      <c r="I613" s="519">
        <f ca="1">_xlfn.IFNA(IF(VLOOKUP($B613&amp;OFFSET(I$10,$A613*2,0),'Mapping A'!$B$6:$E$1011,4,0)=1,$E613,""),0)</f>
        <v>0</v>
      </c>
      <c r="J613" s="519">
        <f ca="1">_xlfn.IFNA(IF(VLOOKUP($B613&amp;OFFSET(J$10,$A613*2,0),'Mapping A'!$B$6:$E$1011,4,0)=1,$E613,""),0)</f>
        <v>0</v>
      </c>
      <c r="K613" s="519">
        <f ca="1">_xlfn.IFNA(IF(VLOOKUP($B613&amp;OFFSET(K$10,$A613*2,0),'Mapping A'!$B$6:$E$1011,4,0)=1,$E613,""),0)</f>
        <v>0</v>
      </c>
      <c r="L613" s="519">
        <f ca="1">_xlfn.IFNA(IF(VLOOKUP($B613&amp;OFFSET(L$10,$A613*2,0),'Mapping A'!$B$6:$E$1011,4,0)=1,$E613,""),0)</f>
        <v>0</v>
      </c>
      <c r="M613" s="519">
        <f ca="1">_xlfn.IFNA(IF(VLOOKUP($B613&amp;OFFSET(M$10,$A613*2,0),'Mapping A'!$B$6:$E$1011,4,0)=1,$E613,""),0)</f>
        <v>0</v>
      </c>
      <c r="N613" s="519">
        <f ca="1">_xlfn.IFNA(IF(VLOOKUP($B613&amp;OFFSET(N$10,$A613*2,0),'Mapping A'!$B$6:$E$1011,4,0)=1,$E613,""),0)</f>
        <v>0</v>
      </c>
      <c r="O613" s="519">
        <f ca="1">_xlfn.IFNA(IF(VLOOKUP($B613&amp;OFFSET(O$10,$A613*2,0),'Mapping A'!$B$6:$E$1011,4,0)=1,$E613,""),0)</f>
        <v>0</v>
      </c>
      <c r="P613" s="519">
        <f ca="1">_xlfn.IFNA(IF(VLOOKUP($B613&amp;OFFSET(P$10,$A613*2,0),'Mapping A'!$B$6:$E$1011,4,0)=1,$E613,""),0)</f>
        <v>0</v>
      </c>
      <c r="Q613" s="519">
        <f ca="1">_xlfn.IFNA(IF(VLOOKUP($B613&amp;OFFSET(Q$10,$A613*2,0),'Mapping A'!$B$6:$E$1011,4,0)=1,$E613,""),0)</f>
        <v>0</v>
      </c>
      <c r="R613" s="519">
        <f ca="1">_xlfn.IFNA(IF(VLOOKUP($B613&amp;OFFSET(R$10,$A613*2,0),'Mapping A'!$B$6:$E$1011,4,0)=1,$E613,""),0)</f>
        <v>0</v>
      </c>
      <c r="S613" s="519">
        <f ca="1">_xlfn.IFNA(IF(VLOOKUP($B613&amp;OFFSET(S$10,$A613*2,0),'Mapping A'!$B$6:$E$1011,4,0)=1,$E613,""),0)</f>
        <v>0</v>
      </c>
      <c r="T613" s="519">
        <f ca="1">_xlfn.IFNA(IF(VLOOKUP($B613&amp;OFFSET(T$10,$A613*2,0),'Mapping A'!$B$6:$E$1011,4,0)=1,$E613,""),0)</f>
        <v>0</v>
      </c>
      <c r="Y613" s="534" t="str">
        <f t="shared" si="657"/>
        <v>NAP JVNAP2201 NAP0</v>
      </c>
      <c r="Z613" s="519" t="str">
        <f>Volumes!H41</f>
        <v>NAP JV</v>
      </c>
      <c r="AA613" s="519" t="str">
        <f>Volumes!I41</f>
        <v>NAP2201 NAP0</v>
      </c>
      <c r="AB613" s="519">
        <f>Volumes!J41</f>
        <v>1078.7414309000001</v>
      </c>
      <c r="AC613" s="170"/>
      <c r="AE613" s="519">
        <f t="shared" ca="1" si="641"/>
        <v>0</v>
      </c>
      <c r="AF613" s="519">
        <f t="shared" ca="1" si="642"/>
        <v>0</v>
      </c>
      <c r="AG613" s="519">
        <f t="shared" ca="1" si="643"/>
        <v>0</v>
      </c>
      <c r="AH613" s="519">
        <f t="shared" ca="1" si="644"/>
        <v>0</v>
      </c>
      <c r="AI613" s="519">
        <f t="shared" ca="1" si="645"/>
        <v>0</v>
      </c>
      <c r="AJ613" s="519">
        <f t="shared" ca="1" si="646"/>
        <v>0</v>
      </c>
      <c r="AK613" s="519">
        <f t="shared" ca="1" si="647"/>
        <v>0</v>
      </c>
      <c r="AL613" s="519">
        <f t="shared" ca="1" si="648"/>
        <v>0</v>
      </c>
      <c r="AM613" s="519">
        <f t="shared" ca="1" si="649"/>
        <v>0</v>
      </c>
      <c r="AN613" s="519">
        <f t="shared" ca="1" si="650"/>
        <v>0</v>
      </c>
      <c r="AO613" s="519">
        <f t="shared" ca="1" si="651"/>
        <v>0</v>
      </c>
      <c r="AP613" s="519">
        <f t="shared" ca="1" si="652"/>
        <v>0</v>
      </c>
      <c r="AQ613" s="519">
        <f t="shared" ca="1" si="653"/>
        <v>0</v>
      </c>
    </row>
    <row r="614" spans="1:43" x14ac:dyDescent="0.3">
      <c r="A614" s="556">
        <f t="shared" si="654"/>
        <v>4</v>
      </c>
      <c r="B614" s="519" t="str">
        <f t="shared" si="655"/>
        <v>NAP</v>
      </c>
      <c r="C614" s="519" t="str">
        <f>Volumes!H42</f>
        <v>Ngatamariki</v>
      </c>
      <c r="D614" s="519" t="str">
        <f>Volumes!I42</f>
        <v>NAP2202 NTM0</v>
      </c>
      <c r="E614" s="519">
        <f>Volumes!J42</f>
        <v>655.45440148</v>
      </c>
      <c r="G614" s="525"/>
      <c r="H614" s="519">
        <f ca="1">_xlfn.IFNA(IF(VLOOKUP($B614&amp;OFFSET(H$10,$A614*2,0),'Mapping A'!$B$6:$E$1011,4,0)=1,$E614,""),0)</f>
        <v>0</v>
      </c>
      <c r="I614" s="519">
        <f ca="1">_xlfn.IFNA(IF(VLOOKUP($B614&amp;OFFSET(I$10,$A614*2,0),'Mapping A'!$B$6:$E$1011,4,0)=1,$E614,""),0)</f>
        <v>0</v>
      </c>
      <c r="J614" s="519">
        <f ca="1">_xlfn.IFNA(IF(VLOOKUP($B614&amp;OFFSET(J$10,$A614*2,0),'Mapping A'!$B$6:$E$1011,4,0)=1,$E614,""),0)</f>
        <v>0</v>
      </c>
      <c r="K614" s="519">
        <f ca="1">_xlfn.IFNA(IF(VLOOKUP($B614&amp;OFFSET(K$10,$A614*2,0),'Mapping A'!$B$6:$E$1011,4,0)=1,$E614,""),0)</f>
        <v>0</v>
      </c>
      <c r="L614" s="519">
        <f ca="1">_xlfn.IFNA(IF(VLOOKUP($B614&amp;OFFSET(L$10,$A614*2,0),'Mapping A'!$B$6:$E$1011,4,0)=1,$E614,""),0)</f>
        <v>0</v>
      </c>
      <c r="M614" s="519">
        <f ca="1">_xlfn.IFNA(IF(VLOOKUP($B614&amp;OFFSET(M$10,$A614*2,0),'Mapping A'!$B$6:$E$1011,4,0)=1,$E614,""),0)</f>
        <v>0</v>
      </c>
      <c r="N614" s="519">
        <f ca="1">_xlfn.IFNA(IF(VLOOKUP($B614&amp;OFFSET(N$10,$A614*2,0),'Mapping A'!$B$6:$E$1011,4,0)=1,$E614,""),0)</f>
        <v>0</v>
      </c>
      <c r="O614" s="519">
        <f ca="1">_xlfn.IFNA(IF(VLOOKUP($B614&amp;OFFSET(O$10,$A614*2,0),'Mapping A'!$B$6:$E$1011,4,0)=1,$E614,""),0)</f>
        <v>0</v>
      </c>
      <c r="P614" s="519">
        <f ca="1">_xlfn.IFNA(IF(VLOOKUP($B614&amp;OFFSET(P$10,$A614*2,0),'Mapping A'!$B$6:$E$1011,4,0)=1,$E614,""),0)</f>
        <v>0</v>
      </c>
      <c r="Q614" s="519">
        <f ca="1">_xlfn.IFNA(IF(VLOOKUP($B614&amp;OFFSET(Q$10,$A614*2,0),'Mapping A'!$B$6:$E$1011,4,0)=1,$E614,""),0)</f>
        <v>0</v>
      </c>
      <c r="R614" s="519">
        <f ca="1">_xlfn.IFNA(IF(VLOOKUP($B614&amp;OFFSET(R$10,$A614*2,0),'Mapping A'!$B$6:$E$1011,4,0)=1,$E614,""),0)</f>
        <v>0</v>
      </c>
      <c r="S614" s="519">
        <f ca="1">_xlfn.IFNA(IF(VLOOKUP($B614&amp;OFFSET(S$10,$A614*2,0),'Mapping A'!$B$6:$E$1011,4,0)=1,$E614,""),0)</f>
        <v>0</v>
      </c>
      <c r="T614" s="519">
        <f ca="1">_xlfn.IFNA(IF(VLOOKUP($B614&amp;OFFSET(T$10,$A614*2,0),'Mapping A'!$B$6:$E$1011,4,0)=1,$E614,""),0)</f>
        <v>0</v>
      </c>
      <c r="Y614" s="534" t="str">
        <f t="shared" si="657"/>
        <v>NgatamarikiNAP2202 NTM0</v>
      </c>
      <c r="Z614" s="519" t="str">
        <f>Volumes!H42</f>
        <v>Ngatamariki</v>
      </c>
      <c r="AA614" s="519" t="str">
        <f>Volumes!I42</f>
        <v>NAP2202 NTM0</v>
      </c>
      <c r="AB614" s="519">
        <f>Volumes!J42</f>
        <v>655.45440148</v>
      </c>
      <c r="AC614" s="170"/>
      <c r="AE614" s="519">
        <f t="shared" ca="1" si="641"/>
        <v>0</v>
      </c>
      <c r="AF614" s="519">
        <f t="shared" ca="1" si="642"/>
        <v>0</v>
      </c>
      <c r="AG614" s="519">
        <f t="shared" ca="1" si="643"/>
        <v>0</v>
      </c>
      <c r="AH614" s="519">
        <f t="shared" ca="1" si="644"/>
        <v>0</v>
      </c>
      <c r="AI614" s="519">
        <f t="shared" ca="1" si="645"/>
        <v>0</v>
      </c>
      <c r="AJ614" s="519">
        <f t="shared" ca="1" si="646"/>
        <v>0</v>
      </c>
      <c r="AK614" s="519">
        <f t="shared" ca="1" si="647"/>
        <v>0</v>
      </c>
      <c r="AL614" s="519">
        <f t="shared" ca="1" si="648"/>
        <v>0</v>
      </c>
      <c r="AM614" s="519">
        <f t="shared" ca="1" si="649"/>
        <v>0</v>
      </c>
      <c r="AN614" s="519">
        <f t="shared" ca="1" si="650"/>
        <v>0</v>
      </c>
      <c r="AO614" s="519">
        <f t="shared" ca="1" si="651"/>
        <v>0</v>
      </c>
      <c r="AP614" s="519">
        <f t="shared" ca="1" si="652"/>
        <v>0</v>
      </c>
      <c r="AQ614" s="519">
        <f t="shared" ca="1" si="653"/>
        <v>0</v>
      </c>
    </row>
    <row r="615" spans="1:43" x14ac:dyDescent="0.3">
      <c r="A615" s="556">
        <f t="shared" si="654"/>
        <v>4</v>
      </c>
      <c r="B615" s="519" t="str">
        <f t="shared" si="655"/>
        <v>NSY</v>
      </c>
      <c r="C615" s="519" t="str">
        <f>Volumes!H43</f>
        <v>Trustpower</v>
      </c>
      <c r="D615" s="519" t="str">
        <f>Volumes!I43</f>
        <v>NSY0331 PAE0</v>
      </c>
      <c r="E615" s="519">
        <f>Volumes!J43</f>
        <v>69.330939999999998</v>
      </c>
      <c r="G615" s="525"/>
      <c r="H615" s="519">
        <f ca="1">_xlfn.IFNA(IF(VLOOKUP($B615&amp;OFFSET(H$10,$A615*2,0),'Mapping A'!$B$6:$E$1011,4,0)=1,$E615,""),0)</f>
        <v>0</v>
      </c>
      <c r="I615" s="519">
        <f ca="1">_xlfn.IFNA(IF(VLOOKUP($B615&amp;OFFSET(I$10,$A615*2,0),'Mapping A'!$B$6:$E$1011,4,0)=1,$E615,""),0)</f>
        <v>0</v>
      </c>
      <c r="J615" s="519">
        <f ca="1">_xlfn.IFNA(IF(VLOOKUP($B615&amp;OFFSET(J$10,$A615*2,0),'Mapping A'!$B$6:$E$1011,4,0)=1,$E615,""),0)</f>
        <v>0</v>
      </c>
      <c r="K615" s="519">
        <f ca="1">_xlfn.IFNA(IF(VLOOKUP($B615&amp;OFFSET(K$10,$A615*2,0),'Mapping A'!$B$6:$E$1011,4,0)=1,$E615,""),0)</f>
        <v>0</v>
      </c>
      <c r="L615" s="519">
        <f ca="1">_xlfn.IFNA(IF(VLOOKUP($B615&amp;OFFSET(L$10,$A615*2,0),'Mapping A'!$B$6:$E$1011,4,0)=1,$E615,""),0)</f>
        <v>0</v>
      </c>
      <c r="M615" s="519">
        <f ca="1">_xlfn.IFNA(IF(VLOOKUP($B615&amp;OFFSET(M$10,$A615*2,0),'Mapping A'!$B$6:$E$1011,4,0)=1,$E615,""),0)</f>
        <v>0</v>
      </c>
      <c r="N615" s="519">
        <f ca="1">_xlfn.IFNA(IF(VLOOKUP($B615&amp;OFFSET(N$10,$A615*2,0),'Mapping A'!$B$6:$E$1011,4,0)=1,$E615,""),0)</f>
        <v>0</v>
      </c>
      <c r="O615" s="519">
        <f ca="1">_xlfn.IFNA(IF(VLOOKUP($B615&amp;OFFSET(O$10,$A615*2,0),'Mapping A'!$B$6:$E$1011,4,0)=1,$E615,""),0)</f>
        <v>69.330939999999998</v>
      </c>
      <c r="P615" s="519">
        <f ca="1">_xlfn.IFNA(IF(VLOOKUP($B615&amp;OFFSET(P$10,$A615*2,0),'Mapping A'!$B$6:$E$1011,4,0)=1,$E615,""),0)</f>
        <v>0</v>
      </c>
      <c r="Q615" s="519">
        <f ca="1">_xlfn.IFNA(IF(VLOOKUP($B615&amp;OFFSET(Q$10,$A615*2,0),'Mapping A'!$B$6:$E$1011,4,0)=1,$E615,""),0)</f>
        <v>0</v>
      </c>
      <c r="R615" s="519">
        <f ca="1">_xlfn.IFNA(IF(VLOOKUP($B615&amp;OFFSET(R$10,$A615*2,0),'Mapping A'!$B$6:$E$1011,4,0)=1,$E615,""),0)</f>
        <v>0</v>
      </c>
      <c r="S615" s="519">
        <f ca="1">_xlfn.IFNA(IF(VLOOKUP($B615&amp;OFFSET(S$10,$A615*2,0),'Mapping A'!$B$6:$E$1011,4,0)=1,$E615,""),0)</f>
        <v>0</v>
      </c>
      <c r="T615" s="519">
        <f ca="1">_xlfn.IFNA(IF(VLOOKUP($B615&amp;OFFSET(T$10,$A615*2,0),'Mapping A'!$B$6:$E$1011,4,0)=1,$E615,""),0)</f>
        <v>0</v>
      </c>
      <c r="Y615" s="534" t="str">
        <f t="shared" si="657"/>
        <v>TrustpowerNSY0331 PAE0</v>
      </c>
      <c r="Z615" s="519" t="str">
        <f>Volumes!H43</f>
        <v>Trustpower</v>
      </c>
      <c r="AA615" s="519" t="str">
        <f>Volumes!I43</f>
        <v>NSY0331 PAE0</v>
      </c>
      <c r="AB615" s="519">
        <f>Volumes!J43</f>
        <v>69.330939999999998</v>
      </c>
      <c r="AC615" s="170"/>
      <c r="AE615" s="519">
        <f t="shared" ca="1" si="641"/>
        <v>0</v>
      </c>
      <c r="AF615" s="519">
        <f t="shared" ca="1" si="642"/>
        <v>0</v>
      </c>
      <c r="AG615" s="519">
        <f t="shared" ca="1" si="643"/>
        <v>0</v>
      </c>
      <c r="AH615" s="519">
        <f t="shared" ca="1" si="644"/>
        <v>0</v>
      </c>
      <c r="AI615" s="519">
        <f t="shared" ca="1" si="645"/>
        <v>0</v>
      </c>
      <c r="AJ615" s="519">
        <f t="shared" ca="1" si="646"/>
        <v>0</v>
      </c>
      <c r="AK615" s="519">
        <f t="shared" ca="1" si="647"/>
        <v>0</v>
      </c>
      <c r="AL615" s="519">
        <f t="shared" ca="1" si="648"/>
        <v>9.8551435049313244E-3</v>
      </c>
      <c r="AM615" s="519">
        <f t="shared" ca="1" si="649"/>
        <v>0</v>
      </c>
      <c r="AN615" s="519">
        <f t="shared" ca="1" si="650"/>
        <v>0</v>
      </c>
      <c r="AO615" s="519">
        <f t="shared" ca="1" si="651"/>
        <v>0</v>
      </c>
      <c r="AP615" s="519">
        <f t="shared" ca="1" si="652"/>
        <v>0</v>
      </c>
      <c r="AQ615" s="519">
        <f t="shared" ca="1" si="653"/>
        <v>0</v>
      </c>
    </row>
    <row r="616" spans="1:43" x14ac:dyDescent="0.3">
      <c r="A616" s="556">
        <f t="shared" si="654"/>
        <v>4</v>
      </c>
      <c r="B616" s="519" t="str">
        <f t="shared" si="655"/>
        <v>OHA</v>
      </c>
      <c r="C616" s="519" t="str">
        <f>Volumes!H44</f>
        <v>Meridian</v>
      </c>
      <c r="D616" s="519" t="str">
        <f>Volumes!I44</f>
        <v>OHA2201 OHA0</v>
      </c>
      <c r="E616" s="519">
        <f>Volumes!J44</f>
        <v>1060.8467964600088</v>
      </c>
      <c r="G616" s="525"/>
      <c r="H616" s="519">
        <f ca="1">_xlfn.IFNA(IF(VLOOKUP($B616&amp;OFFSET(H$10,$A616*2,0),'Mapping A'!$B$6:$E$1011,4,0)=1,$E616,""),0)</f>
        <v>0</v>
      </c>
      <c r="I616" s="519">
        <f ca="1">_xlfn.IFNA(IF(VLOOKUP($B616&amp;OFFSET(I$10,$A616*2,0),'Mapping A'!$B$6:$E$1011,4,0)=1,$E616,""),0)</f>
        <v>0</v>
      </c>
      <c r="J616" s="519">
        <f ca="1">_xlfn.IFNA(IF(VLOOKUP($B616&amp;OFFSET(J$10,$A616*2,0),'Mapping A'!$B$6:$E$1011,4,0)=1,$E616,""),0)</f>
        <v>0</v>
      </c>
      <c r="K616" s="519">
        <f ca="1">_xlfn.IFNA(IF(VLOOKUP($B616&amp;OFFSET(K$10,$A616*2,0),'Mapping A'!$B$6:$E$1011,4,0)=1,$E616,""),0)</f>
        <v>0</v>
      </c>
      <c r="L616" s="519">
        <f ca="1">_xlfn.IFNA(IF(VLOOKUP($B616&amp;OFFSET(L$10,$A616*2,0),'Mapping A'!$B$6:$E$1011,4,0)=1,$E616,""),0)</f>
        <v>0</v>
      </c>
      <c r="M616" s="519">
        <f ca="1">_xlfn.IFNA(IF(VLOOKUP($B616&amp;OFFSET(M$10,$A616*2,0),'Mapping A'!$B$6:$E$1011,4,0)=1,$E616,""),0)</f>
        <v>0</v>
      </c>
      <c r="N616" s="519">
        <f ca="1">_xlfn.IFNA(IF(VLOOKUP($B616&amp;OFFSET(N$10,$A616*2,0),'Mapping A'!$B$6:$E$1011,4,0)=1,$E616,""),0)</f>
        <v>0</v>
      </c>
      <c r="O616" s="519">
        <f ca="1">_xlfn.IFNA(IF(VLOOKUP($B616&amp;OFFSET(O$10,$A616*2,0),'Mapping A'!$B$6:$E$1011,4,0)=1,$E616,""),0)</f>
        <v>1060.8467964600088</v>
      </c>
      <c r="P616" s="519">
        <f ca="1">_xlfn.IFNA(IF(VLOOKUP($B616&amp;OFFSET(P$10,$A616*2,0),'Mapping A'!$B$6:$E$1011,4,0)=1,$E616,""),0)</f>
        <v>0</v>
      </c>
      <c r="Q616" s="519">
        <f ca="1">_xlfn.IFNA(IF(VLOOKUP($B616&amp;OFFSET(Q$10,$A616*2,0),'Mapping A'!$B$6:$E$1011,4,0)=1,$E616,""),0)</f>
        <v>0</v>
      </c>
      <c r="R616" s="519">
        <f ca="1">_xlfn.IFNA(IF(VLOOKUP($B616&amp;OFFSET(R$10,$A616*2,0),'Mapping A'!$B$6:$E$1011,4,0)=1,$E616,""),0)</f>
        <v>0</v>
      </c>
      <c r="S616" s="519">
        <f ca="1">_xlfn.IFNA(IF(VLOOKUP($B616&amp;OFFSET(S$10,$A616*2,0),'Mapping A'!$B$6:$E$1011,4,0)=1,$E616,""),0)</f>
        <v>0</v>
      </c>
      <c r="T616" s="519">
        <f ca="1">_xlfn.IFNA(IF(VLOOKUP($B616&amp;OFFSET(T$10,$A616*2,0),'Mapping A'!$B$6:$E$1011,4,0)=1,$E616,""),0)</f>
        <v>0</v>
      </c>
      <c r="Y616" s="534" t="str">
        <f t="shared" si="657"/>
        <v>MeridianOHA2201 OHA0</v>
      </c>
      <c r="Z616" s="519" t="str">
        <f>Volumes!H44</f>
        <v>Meridian</v>
      </c>
      <c r="AA616" s="519" t="str">
        <f>Volumes!I44</f>
        <v>OHA2201 OHA0</v>
      </c>
      <c r="AB616" s="519">
        <f>Volumes!J44</f>
        <v>1060.8467964600088</v>
      </c>
      <c r="AC616" s="170"/>
      <c r="AE616" s="519">
        <f t="shared" ca="1" si="641"/>
        <v>0</v>
      </c>
      <c r="AF616" s="519">
        <f t="shared" ca="1" si="642"/>
        <v>0</v>
      </c>
      <c r="AG616" s="519">
        <f t="shared" ca="1" si="643"/>
        <v>0</v>
      </c>
      <c r="AH616" s="519">
        <f t="shared" ca="1" si="644"/>
        <v>0</v>
      </c>
      <c r="AI616" s="519">
        <f t="shared" ca="1" si="645"/>
        <v>0</v>
      </c>
      <c r="AJ616" s="519">
        <f t="shared" ca="1" si="646"/>
        <v>0</v>
      </c>
      <c r="AK616" s="519">
        <f t="shared" ca="1" si="647"/>
        <v>0</v>
      </c>
      <c r="AL616" s="519">
        <f t="shared" ca="1" si="648"/>
        <v>0.15079555269061773</v>
      </c>
      <c r="AM616" s="519">
        <f t="shared" ca="1" si="649"/>
        <v>0</v>
      </c>
      <c r="AN616" s="519">
        <f t="shared" ca="1" si="650"/>
        <v>0</v>
      </c>
      <c r="AO616" s="519">
        <f t="shared" ca="1" si="651"/>
        <v>0</v>
      </c>
      <c r="AP616" s="519">
        <f t="shared" ca="1" si="652"/>
        <v>0</v>
      </c>
      <c r="AQ616" s="519">
        <f t="shared" ca="1" si="653"/>
        <v>0</v>
      </c>
    </row>
    <row r="617" spans="1:43" x14ac:dyDescent="0.3">
      <c r="A617" s="556">
        <f t="shared" si="654"/>
        <v>4</v>
      </c>
      <c r="B617" s="519" t="str">
        <f t="shared" si="655"/>
        <v>OHB</v>
      </c>
      <c r="C617" s="519" t="str">
        <f>Volumes!H45</f>
        <v>Meridian</v>
      </c>
      <c r="D617" s="519" t="str">
        <f>Volumes!I45</f>
        <v>OHB2201 OHB0</v>
      </c>
      <c r="E617" s="519">
        <f>Volumes!J45</f>
        <v>903.8088298799961</v>
      </c>
      <c r="G617" s="525"/>
      <c r="H617" s="519">
        <f ca="1">_xlfn.IFNA(IF(VLOOKUP($B617&amp;OFFSET(H$10,$A617*2,0),'Mapping A'!$B$6:$E$1011,4,0)=1,$E617,""),0)</f>
        <v>0</v>
      </c>
      <c r="I617" s="519">
        <f ca="1">_xlfn.IFNA(IF(VLOOKUP($B617&amp;OFFSET(I$10,$A617*2,0),'Mapping A'!$B$6:$E$1011,4,0)=1,$E617,""),0)</f>
        <v>0</v>
      </c>
      <c r="J617" s="519">
        <f ca="1">_xlfn.IFNA(IF(VLOOKUP($B617&amp;OFFSET(J$10,$A617*2,0),'Mapping A'!$B$6:$E$1011,4,0)=1,$E617,""),0)</f>
        <v>0</v>
      </c>
      <c r="K617" s="519">
        <f ca="1">_xlfn.IFNA(IF(VLOOKUP($B617&amp;OFFSET(K$10,$A617*2,0),'Mapping A'!$B$6:$E$1011,4,0)=1,$E617,""),0)</f>
        <v>0</v>
      </c>
      <c r="L617" s="519">
        <f ca="1">_xlfn.IFNA(IF(VLOOKUP($B617&amp;OFFSET(L$10,$A617*2,0),'Mapping A'!$B$6:$E$1011,4,0)=1,$E617,""),0)</f>
        <v>0</v>
      </c>
      <c r="M617" s="519">
        <f ca="1">_xlfn.IFNA(IF(VLOOKUP($B617&amp;OFFSET(M$10,$A617*2,0),'Mapping A'!$B$6:$E$1011,4,0)=1,$E617,""),0)</f>
        <v>0</v>
      </c>
      <c r="N617" s="519">
        <f ca="1">_xlfn.IFNA(IF(VLOOKUP($B617&amp;OFFSET(N$10,$A617*2,0),'Mapping A'!$B$6:$E$1011,4,0)=1,$E617,""),0)</f>
        <v>0</v>
      </c>
      <c r="O617" s="519">
        <f ca="1">_xlfn.IFNA(IF(VLOOKUP($B617&amp;OFFSET(O$10,$A617*2,0),'Mapping A'!$B$6:$E$1011,4,0)=1,$E617,""),0)</f>
        <v>903.8088298799961</v>
      </c>
      <c r="P617" s="519">
        <f ca="1">_xlfn.IFNA(IF(VLOOKUP($B617&amp;OFFSET(P$10,$A617*2,0),'Mapping A'!$B$6:$E$1011,4,0)=1,$E617,""),0)</f>
        <v>0</v>
      </c>
      <c r="Q617" s="519">
        <f ca="1">_xlfn.IFNA(IF(VLOOKUP($B617&amp;OFFSET(Q$10,$A617*2,0),'Mapping A'!$B$6:$E$1011,4,0)=1,$E617,""),0)</f>
        <v>0</v>
      </c>
      <c r="R617" s="519">
        <f ca="1">_xlfn.IFNA(IF(VLOOKUP($B617&amp;OFFSET(R$10,$A617*2,0),'Mapping A'!$B$6:$E$1011,4,0)=1,$E617,""),0)</f>
        <v>0</v>
      </c>
      <c r="S617" s="519">
        <f ca="1">_xlfn.IFNA(IF(VLOOKUP($B617&amp;OFFSET(S$10,$A617*2,0),'Mapping A'!$B$6:$E$1011,4,0)=1,$E617,""),0)</f>
        <v>0</v>
      </c>
      <c r="T617" s="519">
        <f ca="1">_xlfn.IFNA(IF(VLOOKUP($B617&amp;OFFSET(T$10,$A617*2,0),'Mapping A'!$B$6:$E$1011,4,0)=1,$E617,""),0)</f>
        <v>0</v>
      </c>
      <c r="Y617" s="534" t="str">
        <f t="shared" si="657"/>
        <v>MeridianOHB2201 OHB0</v>
      </c>
      <c r="Z617" s="519" t="str">
        <f>Volumes!H45</f>
        <v>Meridian</v>
      </c>
      <c r="AA617" s="519" t="str">
        <f>Volumes!I45</f>
        <v>OHB2201 OHB0</v>
      </c>
      <c r="AB617" s="519">
        <f>Volumes!J45</f>
        <v>903.8088298799961</v>
      </c>
      <c r="AC617" s="170"/>
      <c r="AE617" s="519">
        <f t="shared" ca="1" si="641"/>
        <v>0</v>
      </c>
      <c r="AF617" s="519">
        <f t="shared" ca="1" si="642"/>
        <v>0</v>
      </c>
      <c r="AG617" s="519">
        <f t="shared" ca="1" si="643"/>
        <v>0</v>
      </c>
      <c r="AH617" s="519">
        <f t="shared" ca="1" si="644"/>
        <v>0</v>
      </c>
      <c r="AI617" s="519">
        <f t="shared" ca="1" si="645"/>
        <v>0</v>
      </c>
      <c r="AJ617" s="519">
        <f t="shared" ca="1" si="646"/>
        <v>0</v>
      </c>
      <c r="AK617" s="519">
        <f t="shared" ca="1" si="647"/>
        <v>0</v>
      </c>
      <c r="AL617" s="519">
        <f t="shared" ca="1" si="648"/>
        <v>0.12847317113386064</v>
      </c>
      <c r="AM617" s="519">
        <f t="shared" ca="1" si="649"/>
        <v>0</v>
      </c>
      <c r="AN617" s="519">
        <f t="shared" ca="1" si="650"/>
        <v>0</v>
      </c>
      <c r="AO617" s="519">
        <f t="shared" ca="1" si="651"/>
        <v>0</v>
      </c>
      <c r="AP617" s="519">
        <f t="shared" ca="1" si="652"/>
        <v>0</v>
      </c>
      <c r="AQ617" s="519">
        <f t="shared" ca="1" si="653"/>
        <v>0</v>
      </c>
    </row>
    <row r="618" spans="1:43" x14ac:dyDescent="0.3">
      <c r="A618" s="556">
        <f t="shared" si="654"/>
        <v>4</v>
      </c>
      <c r="B618" s="519" t="str">
        <f t="shared" si="655"/>
        <v>OHC</v>
      </c>
      <c r="C618" s="519" t="str">
        <f>Volumes!H46</f>
        <v>Meridian</v>
      </c>
      <c r="D618" s="519" t="str">
        <f>Volumes!I46</f>
        <v>OHC2201 OHC0</v>
      </c>
      <c r="E618" s="519">
        <f>Volumes!J46</f>
        <v>883.75118181499374</v>
      </c>
      <c r="G618" s="525"/>
      <c r="H618" s="519">
        <f ca="1">_xlfn.IFNA(IF(VLOOKUP($B618&amp;OFFSET(H$10,$A618*2,0),'Mapping A'!$B$6:$E$1011,4,0)=1,$E618,""),0)</f>
        <v>0</v>
      </c>
      <c r="I618" s="519">
        <f ca="1">_xlfn.IFNA(IF(VLOOKUP($B618&amp;OFFSET(I$10,$A618*2,0),'Mapping A'!$B$6:$E$1011,4,0)=1,$E618,""),0)</f>
        <v>0</v>
      </c>
      <c r="J618" s="519">
        <f ca="1">_xlfn.IFNA(IF(VLOOKUP($B618&amp;OFFSET(J$10,$A618*2,0),'Mapping A'!$B$6:$E$1011,4,0)=1,$E618,""),0)</f>
        <v>0</v>
      </c>
      <c r="K618" s="519">
        <f ca="1">_xlfn.IFNA(IF(VLOOKUP($B618&amp;OFFSET(K$10,$A618*2,0),'Mapping A'!$B$6:$E$1011,4,0)=1,$E618,""),0)</f>
        <v>0</v>
      </c>
      <c r="L618" s="519">
        <f ca="1">_xlfn.IFNA(IF(VLOOKUP($B618&amp;OFFSET(L$10,$A618*2,0),'Mapping A'!$B$6:$E$1011,4,0)=1,$E618,""),0)</f>
        <v>0</v>
      </c>
      <c r="M618" s="519">
        <f ca="1">_xlfn.IFNA(IF(VLOOKUP($B618&amp;OFFSET(M$10,$A618*2,0),'Mapping A'!$B$6:$E$1011,4,0)=1,$E618,""),0)</f>
        <v>0</v>
      </c>
      <c r="N618" s="519">
        <f ca="1">_xlfn.IFNA(IF(VLOOKUP($B618&amp;OFFSET(N$10,$A618*2,0),'Mapping A'!$B$6:$E$1011,4,0)=1,$E618,""),0)</f>
        <v>0</v>
      </c>
      <c r="O618" s="519">
        <f ca="1">_xlfn.IFNA(IF(VLOOKUP($B618&amp;OFFSET(O$10,$A618*2,0),'Mapping A'!$B$6:$E$1011,4,0)=1,$E618,""),0)</f>
        <v>883.75118181499374</v>
      </c>
      <c r="P618" s="519">
        <f ca="1">_xlfn.IFNA(IF(VLOOKUP($B618&amp;OFFSET(P$10,$A618*2,0),'Mapping A'!$B$6:$E$1011,4,0)=1,$E618,""),0)</f>
        <v>0</v>
      </c>
      <c r="Q618" s="519">
        <f ca="1">_xlfn.IFNA(IF(VLOOKUP($B618&amp;OFFSET(Q$10,$A618*2,0),'Mapping A'!$B$6:$E$1011,4,0)=1,$E618,""),0)</f>
        <v>0</v>
      </c>
      <c r="R618" s="519">
        <f ca="1">_xlfn.IFNA(IF(VLOOKUP($B618&amp;OFFSET(R$10,$A618*2,0),'Mapping A'!$B$6:$E$1011,4,0)=1,$E618,""),0)</f>
        <v>0</v>
      </c>
      <c r="S618" s="519">
        <f ca="1">_xlfn.IFNA(IF(VLOOKUP($B618&amp;OFFSET(S$10,$A618*2,0),'Mapping A'!$B$6:$E$1011,4,0)=1,$E618,""),0)</f>
        <v>0</v>
      </c>
      <c r="T618" s="519">
        <f ca="1">_xlfn.IFNA(IF(VLOOKUP($B618&amp;OFFSET(T$10,$A618*2,0),'Mapping A'!$B$6:$E$1011,4,0)=1,$E618,""),0)</f>
        <v>0</v>
      </c>
      <c r="Y618" s="534" t="str">
        <f t="shared" si="657"/>
        <v>MeridianOHC2201 OHC0</v>
      </c>
      <c r="Z618" s="519" t="str">
        <f>Volumes!H46</f>
        <v>Meridian</v>
      </c>
      <c r="AA618" s="519" t="str">
        <f>Volumes!I46</f>
        <v>OHC2201 OHC0</v>
      </c>
      <c r="AB618" s="519">
        <f>Volumes!J46</f>
        <v>883.75118181499374</v>
      </c>
      <c r="AC618" s="170"/>
      <c r="AE618" s="519">
        <f t="shared" ca="1" si="641"/>
        <v>0</v>
      </c>
      <c r="AF618" s="519">
        <f t="shared" ca="1" si="642"/>
        <v>0</v>
      </c>
      <c r="AG618" s="519">
        <f t="shared" ca="1" si="643"/>
        <v>0</v>
      </c>
      <c r="AH618" s="519">
        <f t="shared" ca="1" si="644"/>
        <v>0</v>
      </c>
      <c r="AI618" s="519">
        <f t="shared" ca="1" si="645"/>
        <v>0</v>
      </c>
      <c r="AJ618" s="519">
        <f t="shared" ca="1" si="646"/>
        <v>0</v>
      </c>
      <c r="AK618" s="519">
        <f t="shared" ca="1" si="647"/>
        <v>0</v>
      </c>
      <c r="AL618" s="519">
        <f t="shared" ca="1" si="648"/>
        <v>0.12562204867609492</v>
      </c>
      <c r="AM618" s="519">
        <f t="shared" ca="1" si="649"/>
        <v>0</v>
      </c>
      <c r="AN618" s="519">
        <f t="shared" ca="1" si="650"/>
        <v>0</v>
      </c>
      <c r="AO618" s="519">
        <f t="shared" ca="1" si="651"/>
        <v>0</v>
      </c>
      <c r="AP618" s="519">
        <f t="shared" ca="1" si="652"/>
        <v>0</v>
      </c>
      <c r="AQ618" s="519">
        <f t="shared" ca="1" si="653"/>
        <v>0</v>
      </c>
    </row>
    <row r="619" spans="1:43" x14ac:dyDescent="0.3">
      <c r="A619" s="556">
        <f t="shared" si="654"/>
        <v>4</v>
      </c>
      <c r="B619" s="519" t="str">
        <f t="shared" si="655"/>
        <v>OHK</v>
      </c>
      <c r="C619" s="519" t="str">
        <f>Volumes!H47</f>
        <v>MRP</v>
      </c>
      <c r="D619" s="519" t="str">
        <f>Volumes!I47</f>
        <v>OHK2201 OHK0</v>
      </c>
      <c r="E619" s="519">
        <f>Volumes!J47</f>
        <v>276.88390649499996</v>
      </c>
      <c r="G619" s="525"/>
      <c r="H619" s="519">
        <f ca="1">_xlfn.IFNA(IF(VLOOKUP($B619&amp;OFFSET(H$10,$A619*2,0),'Mapping A'!$B$6:$E$1011,4,0)=1,$E619,""),0)</f>
        <v>0</v>
      </c>
      <c r="I619" s="519">
        <f ca="1">_xlfn.IFNA(IF(VLOOKUP($B619&amp;OFFSET(I$10,$A619*2,0),'Mapping A'!$B$6:$E$1011,4,0)=1,$E619,""),0)</f>
        <v>0</v>
      </c>
      <c r="J619" s="519">
        <f ca="1">_xlfn.IFNA(IF(VLOOKUP($B619&amp;OFFSET(J$10,$A619*2,0),'Mapping A'!$B$6:$E$1011,4,0)=1,$E619,""),0)</f>
        <v>0</v>
      </c>
      <c r="K619" s="519">
        <f ca="1">_xlfn.IFNA(IF(VLOOKUP($B619&amp;OFFSET(K$10,$A619*2,0),'Mapping A'!$B$6:$E$1011,4,0)=1,$E619,""),0)</f>
        <v>0</v>
      </c>
      <c r="L619" s="519">
        <f ca="1">_xlfn.IFNA(IF(VLOOKUP($B619&amp;OFFSET(L$10,$A619*2,0),'Mapping A'!$B$6:$E$1011,4,0)=1,$E619,""),0)</f>
        <v>0</v>
      </c>
      <c r="M619" s="519">
        <f ca="1">_xlfn.IFNA(IF(VLOOKUP($B619&amp;OFFSET(M$10,$A619*2,0),'Mapping A'!$B$6:$E$1011,4,0)=1,$E619,""),0)</f>
        <v>0</v>
      </c>
      <c r="N619" s="519">
        <f ca="1">_xlfn.IFNA(IF(VLOOKUP($B619&amp;OFFSET(N$10,$A619*2,0),'Mapping A'!$B$6:$E$1011,4,0)=1,$E619,""),0)</f>
        <v>0</v>
      </c>
      <c r="O619" s="519">
        <f ca="1">_xlfn.IFNA(IF(VLOOKUP($B619&amp;OFFSET(O$10,$A619*2,0),'Mapping A'!$B$6:$E$1011,4,0)=1,$E619,""),0)</f>
        <v>0</v>
      </c>
      <c r="P619" s="519">
        <f ca="1">_xlfn.IFNA(IF(VLOOKUP($B619&amp;OFFSET(P$10,$A619*2,0),'Mapping A'!$B$6:$E$1011,4,0)=1,$E619,""),0)</f>
        <v>0</v>
      </c>
      <c r="Q619" s="519">
        <f ca="1">_xlfn.IFNA(IF(VLOOKUP($B619&amp;OFFSET(Q$10,$A619*2,0),'Mapping A'!$B$6:$E$1011,4,0)=1,$E619,""),0)</f>
        <v>0</v>
      </c>
      <c r="R619" s="519">
        <f ca="1">_xlfn.IFNA(IF(VLOOKUP($B619&amp;OFFSET(R$10,$A619*2,0),'Mapping A'!$B$6:$E$1011,4,0)=1,$E619,""),0)</f>
        <v>0</v>
      </c>
      <c r="S619" s="519">
        <f ca="1">_xlfn.IFNA(IF(VLOOKUP($B619&amp;OFFSET(S$10,$A619*2,0),'Mapping A'!$B$6:$E$1011,4,0)=1,$E619,""),0)</f>
        <v>0</v>
      </c>
      <c r="T619" s="519">
        <f ca="1">_xlfn.IFNA(IF(VLOOKUP($B619&amp;OFFSET(T$10,$A619*2,0),'Mapping A'!$B$6:$E$1011,4,0)=1,$E619,""),0)</f>
        <v>0</v>
      </c>
      <c r="Y619" s="534" t="str">
        <f t="shared" si="657"/>
        <v>MRPOHK2201 OHK0</v>
      </c>
      <c r="Z619" s="519" t="str">
        <f>Volumes!H47</f>
        <v>MRP</v>
      </c>
      <c r="AA619" s="519" t="str">
        <f>Volumes!I47</f>
        <v>OHK2201 OHK0</v>
      </c>
      <c r="AB619" s="519">
        <f>Volumes!J47</f>
        <v>276.88390649499996</v>
      </c>
      <c r="AC619" s="170"/>
      <c r="AE619" s="519">
        <f t="shared" ca="1" si="641"/>
        <v>0</v>
      </c>
      <c r="AF619" s="519">
        <f t="shared" ca="1" si="642"/>
        <v>0</v>
      </c>
      <c r="AG619" s="519">
        <f t="shared" ca="1" si="643"/>
        <v>0</v>
      </c>
      <c r="AH619" s="519">
        <f t="shared" ca="1" si="644"/>
        <v>0</v>
      </c>
      <c r="AI619" s="519">
        <f t="shared" ca="1" si="645"/>
        <v>0</v>
      </c>
      <c r="AJ619" s="519">
        <f t="shared" ca="1" si="646"/>
        <v>0</v>
      </c>
      <c r="AK619" s="519">
        <f t="shared" ca="1" si="647"/>
        <v>0</v>
      </c>
      <c r="AL619" s="519">
        <f t="shared" ca="1" si="648"/>
        <v>0</v>
      </c>
      <c r="AM619" s="519">
        <f t="shared" ca="1" si="649"/>
        <v>0</v>
      </c>
      <c r="AN619" s="519">
        <f t="shared" ca="1" si="650"/>
        <v>0</v>
      </c>
      <c r="AO619" s="519">
        <f t="shared" ca="1" si="651"/>
        <v>0</v>
      </c>
      <c r="AP619" s="519">
        <f t="shared" ca="1" si="652"/>
        <v>0</v>
      </c>
      <c r="AQ619" s="519">
        <f t="shared" ca="1" si="653"/>
        <v>0</v>
      </c>
    </row>
    <row r="620" spans="1:43" x14ac:dyDescent="0.3">
      <c r="A620" s="556">
        <f t="shared" si="654"/>
        <v>4</v>
      </c>
      <c r="B620" s="519" t="str">
        <f t="shared" si="655"/>
        <v>OKI</v>
      </c>
      <c r="C620" s="519" t="str">
        <f>Volumes!H48</f>
        <v>Contact</v>
      </c>
      <c r="D620" s="519" t="str">
        <f>Volumes!I48</f>
        <v>OKI2201 OKI0</v>
      </c>
      <c r="E620" s="519">
        <f>Volumes!J48</f>
        <v>272.732505</v>
      </c>
      <c r="G620" s="525"/>
      <c r="H620" s="519">
        <f ca="1">_xlfn.IFNA(IF(VLOOKUP($B620&amp;OFFSET(H$10,$A620*2,0),'Mapping A'!$B$6:$E$1011,4,0)=1,$E620,""),0)</f>
        <v>0</v>
      </c>
      <c r="I620" s="519">
        <f ca="1">_xlfn.IFNA(IF(VLOOKUP($B620&amp;OFFSET(I$10,$A620*2,0),'Mapping A'!$B$6:$E$1011,4,0)=1,$E620,""),0)</f>
        <v>0</v>
      </c>
      <c r="J620" s="519">
        <f ca="1">_xlfn.IFNA(IF(VLOOKUP($B620&amp;OFFSET(J$10,$A620*2,0),'Mapping A'!$B$6:$E$1011,4,0)=1,$E620,""),0)</f>
        <v>0</v>
      </c>
      <c r="K620" s="519">
        <f ca="1">_xlfn.IFNA(IF(VLOOKUP($B620&amp;OFFSET(K$10,$A620*2,0),'Mapping A'!$B$6:$E$1011,4,0)=1,$E620,""),0)</f>
        <v>0</v>
      </c>
      <c r="L620" s="519">
        <f ca="1">_xlfn.IFNA(IF(VLOOKUP($B620&amp;OFFSET(L$10,$A620*2,0),'Mapping A'!$B$6:$E$1011,4,0)=1,$E620,""),0)</f>
        <v>0</v>
      </c>
      <c r="M620" s="519">
        <f ca="1">_xlfn.IFNA(IF(VLOOKUP($B620&amp;OFFSET(M$10,$A620*2,0),'Mapping A'!$B$6:$E$1011,4,0)=1,$E620,""),0)</f>
        <v>0</v>
      </c>
      <c r="N620" s="519">
        <f ca="1">_xlfn.IFNA(IF(VLOOKUP($B620&amp;OFFSET(N$10,$A620*2,0),'Mapping A'!$B$6:$E$1011,4,0)=1,$E620,""),0)</f>
        <v>0</v>
      </c>
      <c r="O620" s="519">
        <f ca="1">_xlfn.IFNA(IF(VLOOKUP($B620&amp;OFFSET(O$10,$A620*2,0),'Mapping A'!$B$6:$E$1011,4,0)=1,$E620,""),0)</f>
        <v>0</v>
      </c>
      <c r="P620" s="519">
        <f ca="1">_xlfn.IFNA(IF(VLOOKUP($B620&amp;OFFSET(P$10,$A620*2,0),'Mapping A'!$B$6:$E$1011,4,0)=1,$E620,""),0)</f>
        <v>0</v>
      </c>
      <c r="Q620" s="519">
        <f ca="1">_xlfn.IFNA(IF(VLOOKUP($B620&amp;OFFSET(Q$10,$A620*2,0),'Mapping A'!$B$6:$E$1011,4,0)=1,$E620,""),0)</f>
        <v>0</v>
      </c>
      <c r="R620" s="519">
        <f ca="1">_xlfn.IFNA(IF(VLOOKUP($B620&amp;OFFSET(R$10,$A620*2,0),'Mapping A'!$B$6:$E$1011,4,0)=1,$E620,""),0)</f>
        <v>0</v>
      </c>
      <c r="S620" s="519">
        <f ca="1">_xlfn.IFNA(IF(VLOOKUP($B620&amp;OFFSET(S$10,$A620*2,0),'Mapping A'!$B$6:$E$1011,4,0)=1,$E620,""),0)</f>
        <v>0</v>
      </c>
      <c r="T620" s="519">
        <f ca="1">_xlfn.IFNA(IF(VLOOKUP($B620&amp;OFFSET(T$10,$A620*2,0),'Mapping A'!$B$6:$E$1011,4,0)=1,$E620,""),0)</f>
        <v>0</v>
      </c>
      <c r="Y620" s="534" t="str">
        <f t="shared" si="657"/>
        <v>ContactOKI2201 OKI0</v>
      </c>
      <c r="Z620" s="519" t="str">
        <f>Volumes!H48</f>
        <v>Contact</v>
      </c>
      <c r="AA620" s="519" t="str">
        <f>Volumes!I48</f>
        <v>OKI2201 OKI0</v>
      </c>
      <c r="AB620" s="519">
        <f>Volumes!J48</f>
        <v>272.732505</v>
      </c>
      <c r="AC620" s="170"/>
      <c r="AE620" s="519">
        <f t="shared" ca="1" si="641"/>
        <v>0</v>
      </c>
      <c r="AF620" s="519">
        <f t="shared" ca="1" si="642"/>
        <v>0</v>
      </c>
      <c r="AG620" s="519">
        <f t="shared" ca="1" si="643"/>
        <v>0</v>
      </c>
      <c r="AH620" s="519">
        <f t="shared" ca="1" si="644"/>
        <v>0</v>
      </c>
      <c r="AI620" s="519">
        <f t="shared" ca="1" si="645"/>
        <v>0</v>
      </c>
      <c r="AJ620" s="519">
        <f t="shared" ca="1" si="646"/>
        <v>0</v>
      </c>
      <c r="AK620" s="519">
        <f t="shared" ca="1" si="647"/>
        <v>0</v>
      </c>
      <c r="AL620" s="519">
        <f t="shared" ca="1" si="648"/>
        <v>0</v>
      </c>
      <c r="AM620" s="519">
        <f t="shared" ca="1" si="649"/>
        <v>0</v>
      </c>
      <c r="AN620" s="519">
        <f t="shared" ca="1" si="650"/>
        <v>0</v>
      </c>
      <c r="AO620" s="519">
        <f t="shared" ca="1" si="651"/>
        <v>0</v>
      </c>
      <c r="AP620" s="519">
        <f t="shared" ca="1" si="652"/>
        <v>0</v>
      </c>
      <c r="AQ620" s="519">
        <f t="shared" ca="1" si="653"/>
        <v>0</v>
      </c>
    </row>
    <row r="621" spans="1:43" x14ac:dyDescent="0.3">
      <c r="A621" s="556">
        <f t="shared" si="654"/>
        <v>4</v>
      </c>
      <c r="B621" s="519" t="str">
        <f t="shared" si="655"/>
        <v>OTA</v>
      </c>
      <c r="C621" s="519" t="str">
        <f>Volumes!H49</f>
        <v>Contact</v>
      </c>
      <c r="D621" s="519" t="str">
        <f>Volumes!I49</f>
        <v>OTA2202 OTC0</v>
      </c>
      <c r="E621" s="519">
        <f>Volumes!J49</f>
        <v>0</v>
      </c>
      <c r="G621" s="525"/>
      <c r="H621" s="519">
        <f ca="1">_xlfn.IFNA(IF(VLOOKUP($B621&amp;OFFSET(H$10,$A621*2,0),'Mapping A'!$B$6:$E$1011,4,0)=1,$E621,""),0)</f>
        <v>0</v>
      </c>
      <c r="I621" s="519">
        <f ca="1">_xlfn.IFNA(IF(VLOOKUP($B621&amp;OFFSET(I$10,$A621*2,0),'Mapping A'!$B$6:$E$1011,4,0)=1,$E621,""),0)</f>
        <v>0</v>
      </c>
      <c r="J621" s="519">
        <f ca="1">_xlfn.IFNA(IF(VLOOKUP($B621&amp;OFFSET(J$10,$A621*2,0),'Mapping A'!$B$6:$E$1011,4,0)=1,$E621,""),0)</f>
        <v>0</v>
      </c>
      <c r="K621" s="519">
        <f ca="1">_xlfn.IFNA(IF(VLOOKUP($B621&amp;OFFSET(K$10,$A621*2,0),'Mapping A'!$B$6:$E$1011,4,0)=1,$E621,""),0)</f>
        <v>0</v>
      </c>
      <c r="L621" s="519">
        <f ca="1">_xlfn.IFNA(IF(VLOOKUP($B621&amp;OFFSET(L$10,$A621*2,0),'Mapping A'!$B$6:$E$1011,4,0)=1,$E621,""),0)</f>
        <v>0</v>
      </c>
      <c r="M621" s="519">
        <f ca="1">_xlfn.IFNA(IF(VLOOKUP($B621&amp;OFFSET(M$10,$A621*2,0),'Mapping A'!$B$6:$E$1011,4,0)=1,$E621,""),0)</f>
        <v>0</v>
      </c>
      <c r="N621" s="519">
        <f ca="1">_xlfn.IFNA(IF(VLOOKUP($B621&amp;OFFSET(N$10,$A621*2,0),'Mapping A'!$B$6:$E$1011,4,0)=1,$E621,""),0)</f>
        <v>0</v>
      </c>
      <c r="O621" s="519">
        <f ca="1">_xlfn.IFNA(IF(VLOOKUP($B621&amp;OFFSET(O$10,$A621*2,0),'Mapping A'!$B$6:$E$1011,4,0)=1,$E621,""),0)</f>
        <v>0</v>
      </c>
      <c r="P621" s="519">
        <f ca="1">_xlfn.IFNA(IF(VLOOKUP($B621&amp;OFFSET(P$10,$A621*2,0),'Mapping A'!$B$6:$E$1011,4,0)=1,$E621,""),0)</f>
        <v>0</v>
      </c>
      <c r="Q621" s="519">
        <f ca="1">_xlfn.IFNA(IF(VLOOKUP($B621&amp;OFFSET(Q$10,$A621*2,0),'Mapping A'!$B$6:$E$1011,4,0)=1,$E621,""),0)</f>
        <v>0</v>
      </c>
      <c r="R621" s="519">
        <f ca="1">_xlfn.IFNA(IF(VLOOKUP($B621&amp;OFFSET(R$10,$A621*2,0),'Mapping A'!$B$6:$E$1011,4,0)=1,$E621,""),0)</f>
        <v>0</v>
      </c>
      <c r="S621" s="519">
        <f ca="1">_xlfn.IFNA(IF(VLOOKUP($B621&amp;OFFSET(S$10,$A621*2,0),'Mapping A'!$B$6:$E$1011,4,0)=1,$E621,""),0)</f>
        <v>0</v>
      </c>
      <c r="T621" s="519">
        <f ca="1">_xlfn.IFNA(IF(VLOOKUP($B621&amp;OFFSET(T$10,$A621*2,0),'Mapping A'!$B$6:$E$1011,4,0)=1,$E621,""),0)</f>
        <v>0</v>
      </c>
      <c r="Y621" s="534" t="str">
        <f t="shared" si="657"/>
        <v>ContactOTA2202 OTC0</v>
      </c>
      <c r="Z621" s="519" t="str">
        <f>Volumes!H49</f>
        <v>Contact</v>
      </c>
      <c r="AA621" s="519" t="str">
        <f>Volumes!I49</f>
        <v>OTA2202 OTC0</v>
      </c>
      <c r="AB621" s="519">
        <f>Volumes!J49</f>
        <v>0</v>
      </c>
      <c r="AC621" s="170"/>
      <c r="AE621" s="519">
        <f t="shared" ca="1" si="641"/>
        <v>0</v>
      </c>
      <c r="AF621" s="519">
        <f t="shared" ca="1" si="642"/>
        <v>0</v>
      </c>
      <c r="AG621" s="519">
        <f t="shared" ca="1" si="643"/>
        <v>0</v>
      </c>
      <c r="AH621" s="519">
        <f t="shared" ca="1" si="644"/>
        <v>0</v>
      </c>
      <c r="AI621" s="519">
        <f t="shared" ca="1" si="645"/>
        <v>0</v>
      </c>
      <c r="AJ621" s="519">
        <f t="shared" ca="1" si="646"/>
        <v>0</v>
      </c>
      <c r="AK621" s="519">
        <f t="shared" ca="1" si="647"/>
        <v>0</v>
      </c>
      <c r="AL621" s="519">
        <f t="shared" ca="1" si="648"/>
        <v>0</v>
      </c>
      <c r="AM621" s="519">
        <f t="shared" ca="1" si="649"/>
        <v>0</v>
      </c>
      <c r="AN621" s="519">
        <f t="shared" ca="1" si="650"/>
        <v>0</v>
      </c>
      <c r="AO621" s="519">
        <f t="shared" ca="1" si="651"/>
        <v>0</v>
      </c>
      <c r="AP621" s="519">
        <f t="shared" ca="1" si="652"/>
        <v>0</v>
      </c>
      <c r="AQ621" s="519">
        <f t="shared" ca="1" si="653"/>
        <v>0</v>
      </c>
    </row>
    <row r="622" spans="1:43" x14ac:dyDescent="0.3">
      <c r="A622" s="556">
        <f t="shared" si="654"/>
        <v>4</v>
      </c>
      <c r="B622" s="519" t="str">
        <f t="shared" si="655"/>
        <v>PPI</v>
      </c>
      <c r="C622" s="519" t="str">
        <f>Volumes!H50</f>
        <v>Contact</v>
      </c>
      <c r="D622" s="519" t="str">
        <f>Volumes!I50</f>
        <v>PPI2201 PPI0</v>
      </c>
      <c r="E622" s="519">
        <f>Volumes!J50</f>
        <v>394.27901500000002</v>
      </c>
      <c r="G622" s="525"/>
      <c r="H622" s="519">
        <f ca="1">_xlfn.IFNA(IF(VLOOKUP($B622&amp;OFFSET(H$10,$A622*2,0),'Mapping A'!$B$6:$E$1011,4,0)=1,$E622,""),0)</f>
        <v>0</v>
      </c>
      <c r="I622" s="519">
        <f ca="1">_xlfn.IFNA(IF(VLOOKUP($B622&amp;OFFSET(I$10,$A622*2,0),'Mapping A'!$B$6:$E$1011,4,0)=1,$E622,""),0)</f>
        <v>0</v>
      </c>
      <c r="J622" s="519">
        <f ca="1">_xlfn.IFNA(IF(VLOOKUP($B622&amp;OFFSET(J$10,$A622*2,0),'Mapping A'!$B$6:$E$1011,4,0)=1,$E622,""),0)</f>
        <v>0</v>
      </c>
      <c r="K622" s="519">
        <f ca="1">_xlfn.IFNA(IF(VLOOKUP($B622&amp;OFFSET(K$10,$A622*2,0),'Mapping A'!$B$6:$E$1011,4,0)=1,$E622,""),0)</f>
        <v>0</v>
      </c>
      <c r="L622" s="519">
        <f ca="1">_xlfn.IFNA(IF(VLOOKUP($B622&amp;OFFSET(L$10,$A622*2,0),'Mapping A'!$B$6:$E$1011,4,0)=1,$E622,""),0)</f>
        <v>0</v>
      </c>
      <c r="M622" s="519">
        <f ca="1">_xlfn.IFNA(IF(VLOOKUP($B622&amp;OFFSET(M$10,$A622*2,0),'Mapping A'!$B$6:$E$1011,4,0)=1,$E622,""),0)</f>
        <v>0</v>
      </c>
      <c r="N622" s="519">
        <f ca="1">_xlfn.IFNA(IF(VLOOKUP($B622&amp;OFFSET(N$10,$A622*2,0),'Mapping A'!$B$6:$E$1011,4,0)=1,$E622,""),0)</f>
        <v>0</v>
      </c>
      <c r="O622" s="519">
        <f ca="1">_xlfn.IFNA(IF(VLOOKUP($B622&amp;OFFSET(O$10,$A622*2,0),'Mapping A'!$B$6:$E$1011,4,0)=1,$E622,""),0)</f>
        <v>0</v>
      </c>
      <c r="P622" s="519">
        <f ca="1">_xlfn.IFNA(IF(VLOOKUP($B622&amp;OFFSET(P$10,$A622*2,0),'Mapping A'!$B$6:$E$1011,4,0)=1,$E622,""),0)</f>
        <v>0</v>
      </c>
      <c r="Q622" s="519">
        <f ca="1">_xlfn.IFNA(IF(VLOOKUP($B622&amp;OFFSET(Q$10,$A622*2,0),'Mapping A'!$B$6:$E$1011,4,0)=1,$E622,""),0)</f>
        <v>0</v>
      </c>
      <c r="R622" s="519">
        <f ca="1">_xlfn.IFNA(IF(VLOOKUP($B622&amp;OFFSET(R$10,$A622*2,0),'Mapping A'!$B$6:$E$1011,4,0)=1,$E622,""),0)</f>
        <v>0</v>
      </c>
      <c r="S622" s="519">
        <f ca="1">_xlfn.IFNA(IF(VLOOKUP($B622&amp;OFFSET(S$10,$A622*2,0),'Mapping A'!$B$6:$E$1011,4,0)=1,$E622,""),0)</f>
        <v>0</v>
      </c>
      <c r="T622" s="519">
        <f ca="1">_xlfn.IFNA(IF(VLOOKUP($B622&amp;OFFSET(T$10,$A622*2,0),'Mapping A'!$B$6:$E$1011,4,0)=1,$E622,""),0)</f>
        <v>0</v>
      </c>
      <c r="Y622" s="534" t="str">
        <f t="shared" si="657"/>
        <v>ContactPPI2201 PPI0</v>
      </c>
      <c r="Z622" s="519" t="str">
        <f>Volumes!H50</f>
        <v>Contact</v>
      </c>
      <c r="AA622" s="519" t="str">
        <f>Volumes!I50</f>
        <v>PPI2201 PPI0</v>
      </c>
      <c r="AB622" s="519">
        <f>Volumes!J50</f>
        <v>394.27901500000002</v>
      </c>
      <c r="AC622" s="170"/>
      <c r="AE622" s="519">
        <f t="shared" ca="1" si="641"/>
        <v>0</v>
      </c>
      <c r="AF622" s="519">
        <f t="shared" ca="1" si="642"/>
        <v>0</v>
      </c>
      <c r="AG622" s="519">
        <f t="shared" ca="1" si="643"/>
        <v>0</v>
      </c>
      <c r="AH622" s="519">
        <f t="shared" ca="1" si="644"/>
        <v>0</v>
      </c>
      <c r="AI622" s="519">
        <f t="shared" ca="1" si="645"/>
        <v>0</v>
      </c>
      <c r="AJ622" s="519">
        <f t="shared" ca="1" si="646"/>
        <v>0</v>
      </c>
      <c r="AK622" s="519">
        <f t="shared" ca="1" si="647"/>
        <v>0</v>
      </c>
      <c r="AL622" s="519">
        <f t="shared" ca="1" si="648"/>
        <v>0</v>
      </c>
      <c r="AM622" s="519">
        <f t="shared" ca="1" si="649"/>
        <v>0</v>
      </c>
      <c r="AN622" s="519">
        <f t="shared" ca="1" si="650"/>
        <v>0</v>
      </c>
      <c r="AO622" s="519">
        <f t="shared" ca="1" si="651"/>
        <v>0</v>
      </c>
      <c r="AP622" s="519">
        <f t="shared" ca="1" si="652"/>
        <v>0</v>
      </c>
      <c r="AQ622" s="519">
        <f t="shared" ca="1" si="653"/>
        <v>0</v>
      </c>
    </row>
    <row r="623" spans="1:43" x14ac:dyDescent="0.3">
      <c r="A623" s="556">
        <f t="shared" si="654"/>
        <v>4</v>
      </c>
      <c r="B623" s="519" t="str">
        <f t="shared" si="655"/>
        <v>ROT</v>
      </c>
      <c r="C623" s="519" t="str">
        <f>Volumes!H51</f>
        <v>Trustpower</v>
      </c>
      <c r="D623" s="519" t="str">
        <f>Volumes!I51</f>
        <v>ROT1101 WHE0</v>
      </c>
      <c r="E623" s="519">
        <f>Volumes!J51</f>
        <v>56.036099999999998</v>
      </c>
      <c r="G623" s="525"/>
      <c r="H623" s="519">
        <f ca="1">_xlfn.IFNA(IF(VLOOKUP($B623&amp;OFFSET(H$10,$A623*2,0),'Mapping A'!$B$6:$E$1011,4,0)=1,$E623,""),0)</f>
        <v>0</v>
      </c>
      <c r="I623" s="519">
        <f ca="1">_xlfn.IFNA(IF(VLOOKUP($B623&amp;OFFSET(I$10,$A623*2,0),'Mapping A'!$B$6:$E$1011,4,0)=1,$E623,""),0)</f>
        <v>0</v>
      </c>
      <c r="J623" s="519">
        <f ca="1">_xlfn.IFNA(IF(VLOOKUP($B623&amp;OFFSET(J$10,$A623*2,0),'Mapping A'!$B$6:$E$1011,4,0)=1,$E623,""),0)</f>
        <v>0</v>
      </c>
      <c r="K623" s="519">
        <f ca="1">_xlfn.IFNA(IF(VLOOKUP($B623&amp;OFFSET(K$10,$A623*2,0),'Mapping A'!$B$6:$E$1011,4,0)=1,$E623,""),0)</f>
        <v>0</v>
      </c>
      <c r="L623" s="519">
        <f ca="1">_xlfn.IFNA(IF(VLOOKUP($B623&amp;OFFSET(L$10,$A623*2,0),'Mapping A'!$B$6:$E$1011,4,0)=1,$E623,""),0)</f>
        <v>0</v>
      </c>
      <c r="M623" s="519">
        <f ca="1">_xlfn.IFNA(IF(VLOOKUP($B623&amp;OFFSET(M$10,$A623*2,0),'Mapping A'!$B$6:$E$1011,4,0)=1,$E623,""),0)</f>
        <v>0</v>
      </c>
      <c r="N623" s="519">
        <f ca="1">_xlfn.IFNA(IF(VLOOKUP($B623&amp;OFFSET(N$10,$A623*2,0),'Mapping A'!$B$6:$E$1011,4,0)=1,$E623,""),0)</f>
        <v>0</v>
      </c>
      <c r="O623" s="519">
        <f ca="1">_xlfn.IFNA(IF(VLOOKUP($B623&amp;OFFSET(O$10,$A623*2,0),'Mapping A'!$B$6:$E$1011,4,0)=1,$E623,""),0)</f>
        <v>0</v>
      </c>
      <c r="P623" s="519">
        <f ca="1">_xlfn.IFNA(IF(VLOOKUP($B623&amp;OFFSET(P$10,$A623*2,0),'Mapping A'!$B$6:$E$1011,4,0)=1,$E623,""),0)</f>
        <v>0</v>
      </c>
      <c r="Q623" s="519">
        <f ca="1">_xlfn.IFNA(IF(VLOOKUP($B623&amp;OFFSET(Q$10,$A623*2,0),'Mapping A'!$B$6:$E$1011,4,0)=1,$E623,""),0)</f>
        <v>0</v>
      </c>
      <c r="R623" s="519">
        <f ca="1">_xlfn.IFNA(IF(VLOOKUP($B623&amp;OFFSET(R$10,$A623*2,0),'Mapping A'!$B$6:$E$1011,4,0)=1,$E623,""),0)</f>
        <v>0</v>
      </c>
      <c r="S623" s="519">
        <f ca="1">_xlfn.IFNA(IF(VLOOKUP($B623&amp;OFFSET(S$10,$A623*2,0),'Mapping A'!$B$6:$E$1011,4,0)=1,$E623,""),0)</f>
        <v>0</v>
      </c>
      <c r="T623" s="519">
        <f ca="1">_xlfn.IFNA(IF(VLOOKUP($B623&amp;OFFSET(T$10,$A623*2,0),'Mapping A'!$B$6:$E$1011,4,0)=1,$E623,""),0)</f>
        <v>0</v>
      </c>
      <c r="Y623" s="534" t="str">
        <f t="shared" si="657"/>
        <v>TrustpowerROT1101 WHE0</v>
      </c>
      <c r="Z623" s="519" t="str">
        <f>Volumes!H51</f>
        <v>Trustpower</v>
      </c>
      <c r="AA623" s="519" t="str">
        <f>Volumes!I51</f>
        <v>ROT1101 WHE0</v>
      </c>
      <c r="AB623" s="519">
        <f>Volumes!J51</f>
        <v>56.036099999999998</v>
      </c>
      <c r="AC623" s="170"/>
      <c r="AE623" s="519">
        <f t="shared" ca="1" si="641"/>
        <v>0</v>
      </c>
      <c r="AF623" s="519">
        <f t="shared" ca="1" si="642"/>
        <v>0</v>
      </c>
      <c r="AG623" s="519">
        <f t="shared" ca="1" si="643"/>
        <v>0</v>
      </c>
      <c r="AH623" s="519">
        <f t="shared" ca="1" si="644"/>
        <v>0</v>
      </c>
      <c r="AI623" s="519">
        <f t="shared" ca="1" si="645"/>
        <v>0</v>
      </c>
      <c r="AJ623" s="519">
        <f t="shared" ca="1" si="646"/>
        <v>0</v>
      </c>
      <c r="AK623" s="519">
        <f t="shared" ca="1" si="647"/>
        <v>0</v>
      </c>
      <c r="AL623" s="519">
        <f t="shared" ca="1" si="648"/>
        <v>0</v>
      </c>
      <c r="AM623" s="519">
        <f t="shared" ca="1" si="649"/>
        <v>0</v>
      </c>
      <c r="AN623" s="519">
        <f t="shared" ca="1" si="650"/>
        <v>0</v>
      </c>
      <c r="AO623" s="519">
        <f t="shared" ca="1" si="651"/>
        <v>0</v>
      </c>
      <c r="AP623" s="519">
        <f t="shared" ca="1" si="652"/>
        <v>0</v>
      </c>
      <c r="AQ623" s="519">
        <f t="shared" ca="1" si="653"/>
        <v>0</v>
      </c>
    </row>
    <row r="624" spans="1:43" x14ac:dyDescent="0.3">
      <c r="A624" s="556">
        <f t="shared" si="654"/>
        <v>4</v>
      </c>
      <c r="B624" s="519" t="str">
        <f t="shared" si="655"/>
        <v>ROX</v>
      </c>
      <c r="C624" s="519" t="str">
        <f>Volumes!H52</f>
        <v>Contact</v>
      </c>
      <c r="D624" s="519" t="str">
        <f>Volumes!I52</f>
        <v>ROX1101 ROX0</v>
      </c>
      <c r="E624" s="519">
        <f>Volumes!J52</f>
        <v>498.34228905003818</v>
      </c>
      <c r="G624" s="525"/>
      <c r="H624" s="519">
        <f ca="1">_xlfn.IFNA(IF(VLOOKUP($B624&amp;OFFSET(H$10,$A624*2,0),'Mapping A'!$B$6:$E$1011,4,0)=1,$E624,""),0)</f>
        <v>0</v>
      </c>
      <c r="I624" s="519">
        <f ca="1">_xlfn.IFNA(IF(VLOOKUP($B624&amp;OFFSET(I$10,$A624*2,0),'Mapping A'!$B$6:$E$1011,4,0)=1,$E624,""),0)</f>
        <v>0</v>
      </c>
      <c r="J624" s="519">
        <f ca="1">_xlfn.IFNA(IF(VLOOKUP($B624&amp;OFFSET(J$10,$A624*2,0),'Mapping A'!$B$6:$E$1011,4,0)=1,$E624,""),0)</f>
        <v>0</v>
      </c>
      <c r="K624" s="519">
        <f ca="1">_xlfn.IFNA(IF(VLOOKUP($B624&amp;OFFSET(K$10,$A624*2,0),'Mapping A'!$B$6:$E$1011,4,0)=1,$E624,""),0)</f>
        <v>0</v>
      </c>
      <c r="L624" s="519">
        <f ca="1">_xlfn.IFNA(IF(VLOOKUP($B624&amp;OFFSET(L$10,$A624*2,0),'Mapping A'!$B$6:$E$1011,4,0)=1,$E624,""),0)</f>
        <v>0</v>
      </c>
      <c r="M624" s="519">
        <f ca="1">_xlfn.IFNA(IF(VLOOKUP($B624&amp;OFFSET(M$10,$A624*2,0),'Mapping A'!$B$6:$E$1011,4,0)=1,$E624,""),0)</f>
        <v>0</v>
      </c>
      <c r="N624" s="519">
        <f ca="1">_xlfn.IFNA(IF(VLOOKUP($B624&amp;OFFSET(N$10,$A624*2,0),'Mapping A'!$B$6:$E$1011,4,0)=1,$E624,""),0)</f>
        <v>0</v>
      </c>
      <c r="O624" s="519">
        <f ca="1">_xlfn.IFNA(IF(VLOOKUP($B624&amp;OFFSET(O$10,$A624*2,0),'Mapping A'!$B$6:$E$1011,4,0)=1,$E624,""),0)</f>
        <v>498.34228905003818</v>
      </c>
      <c r="P624" s="519">
        <f ca="1">_xlfn.IFNA(IF(VLOOKUP($B624&amp;OFFSET(P$10,$A624*2,0),'Mapping A'!$B$6:$E$1011,4,0)=1,$E624,""),0)</f>
        <v>0</v>
      </c>
      <c r="Q624" s="519">
        <f ca="1">_xlfn.IFNA(IF(VLOOKUP($B624&amp;OFFSET(Q$10,$A624*2,0),'Mapping A'!$B$6:$E$1011,4,0)=1,$E624,""),0)</f>
        <v>0</v>
      </c>
      <c r="R624" s="519">
        <f ca="1">_xlfn.IFNA(IF(VLOOKUP($B624&amp;OFFSET(R$10,$A624*2,0),'Mapping A'!$B$6:$E$1011,4,0)=1,$E624,""),0)</f>
        <v>0</v>
      </c>
      <c r="S624" s="519">
        <f ca="1">_xlfn.IFNA(IF(VLOOKUP($B624&amp;OFFSET(S$10,$A624*2,0),'Mapping A'!$B$6:$E$1011,4,0)=1,$E624,""),0)</f>
        <v>0</v>
      </c>
      <c r="T624" s="519">
        <f ca="1">_xlfn.IFNA(IF(VLOOKUP($B624&amp;OFFSET(T$10,$A624*2,0),'Mapping A'!$B$6:$E$1011,4,0)=1,$E624,""),0)</f>
        <v>0</v>
      </c>
      <c r="Y624" s="534" t="str">
        <f t="shared" si="657"/>
        <v>ContactROX1101 ROX0</v>
      </c>
      <c r="Z624" s="519" t="str">
        <f>Volumes!H52</f>
        <v>Contact</v>
      </c>
      <c r="AA624" s="519" t="str">
        <f>Volumes!I52</f>
        <v>ROX1101 ROX0</v>
      </c>
      <c r="AB624" s="519">
        <f>Volumes!J52</f>
        <v>498.34228905003818</v>
      </c>
      <c r="AC624" s="170"/>
      <c r="AE624" s="519">
        <f t="shared" ca="1" si="641"/>
        <v>0</v>
      </c>
      <c r="AF624" s="519">
        <f t="shared" ca="1" si="642"/>
        <v>0</v>
      </c>
      <c r="AG624" s="519">
        <f t="shared" ca="1" si="643"/>
        <v>0</v>
      </c>
      <c r="AH624" s="519">
        <f t="shared" ca="1" si="644"/>
        <v>0</v>
      </c>
      <c r="AI624" s="519">
        <f t="shared" ca="1" si="645"/>
        <v>0</v>
      </c>
      <c r="AJ624" s="519">
        <f t="shared" ca="1" si="646"/>
        <v>0</v>
      </c>
      <c r="AK624" s="519">
        <f t="shared" ca="1" si="647"/>
        <v>0</v>
      </c>
      <c r="AL624" s="519">
        <f t="shared" ca="1" si="648"/>
        <v>7.0837562178791919E-2</v>
      </c>
      <c r="AM624" s="519">
        <f t="shared" ca="1" si="649"/>
        <v>0</v>
      </c>
      <c r="AN624" s="519">
        <f t="shared" ca="1" si="650"/>
        <v>0</v>
      </c>
      <c r="AO624" s="519">
        <f t="shared" ca="1" si="651"/>
        <v>0</v>
      </c>
      <c r="AP624" s="519">
        <f t="shared" ca="1" si="652"/>
        <v>0</v>
      </c>
      <c r="AQ624" s="519">
        <f t="shared" ca="1" si="653"/>
        <v>0</v>
      </c>
    </row>
    <row r="625" spans="1:43" x14ac:dyDescent="0.3">
      <c r="A625" s="556">
        <f t="shared" si="654"/>
        <v>4</v>
      </c>
      <c r="B625" s="519" t="str">
        <f t="shared" si="655"/>
        <v>ROX</v>
      </c>
      <c r="C625" s="519" t="str">
        <f>Volumes!H53</f>
        <v>Contact</v>
      </c>
      <c r="D625" s="519" t="str">
        <f>Volumes!I53</f>
        <v>ROX2201 ROX0</v>
      </c>
      <c r="E625" s="519">
        <f>Volumes!J53</f>
        <v>1267.0147090499938</v>
      </c>
      <c r="G625" s="525"/>
      <c r="H625" s="519">
        <f ca="1">_xlfn.IFNA(IF(VLOOKUP($B625&amp;OFFSET(H$10,$A625*2,0),'Mapping A'!$B$6:$E$1011,4,0)=1,$E625,""),0)</f>
        <v>0</v>
      </c>
      <c r="I625" s="519">
        <f ca="1">_xlfn.IFNA(IF(VLOOKUP($B625&amp;OFFSET(I$10,$A625*2,0),'Mapping A'!$B$6:$E$1011,4,0)=1,$E625,""),0)</f>
        <v>0</v>
      </c>
      <c r="J625" s="519">
        <f ca="1">_xlfn.IFNA(IF(VLOOKUP($B625&amp;OFFSET(J$10,$A625*2,0),'Mapping A'!$B$6:$E$1011,4,0)=1,$E625,""),0)</f>
        <v>0</v>
      </c>
      <c r="K625" s="519">
        <f ca="1">_xlfn.IFNA(IF(VLOOKUP($B625&amp;OFFSET(K$10,$A625*2,0),'Mapping A'!$B$6:$E$1011,4,0)=1,$E625,""),0)</f>
        <v>0</v>
      </c>
      <c r="L625" s="519">
        <f ca="1">_xlfn.IFNA(IF(VLOOKUP($B625&amp;OFFSET(L$10,$A625*2,0),'Mapping A'!$B$6:$E$1011,4,0)=1,$E625,""),0)</f>
        <v>0</v>
      </c>
      <c r="M625" s="519">
        <f ca="1">_xlfn.IFNA(IF(VLOOKUP($B625&amp;OFFSET(M$10,$A625*2,0),'Mapping A'!$B$6:$E$1011,4,0)=1,$E625,""),0)</f>
        <v>0</v>
      </c>
      <c r="N625" s="519">
        <f ca="1">_xlfn.IFNA(IF(VLOOKUP($B625&amp;OFFSET(N$10,$A625*2,0),'Mapping A'!$B$6:$E$1011,4,0)=1,$E625,""),0)</f>
        <v>0</v>
      </c>
      <c r="O625" s="519">
        <f ca="1">_xlfn.IFNA(IF(VLOOKUP($B625&amp;OFFSET(O$10,$A625*2,0),'Mapping A'!$B$6:$E$1011,4,0)=1,$E625,""),0)</f>
        <v>1267.0147090499938</v>
      </c>
      <c r="P625" s="519">
        <f ca="1">_xlfn.IFNA(IF(VLOOKUP($B625&amp;OFFSET(P$10,$A625*2,0),'Mapping A'!$B$6:$E$1011,4,0)=1,$E625,""),0)</f>
        <v>0</v>
      </c>
      <c r="Q625" s="519">
        <f ca="1">_xlfn.IFNA(IF(VLOOKUP($B625&amp;OFFSET(Q$10,$A625*2,0),'Mapping A'!$B$6:$E$1011,4,0)=1,$E625,""),0)</f>
        <v>0</v>
      </c>
      <c r="R625" s="519">
        <f ca="1">_xlfn.IFNA(IF(VLOOKUP($B625&amp;OFFSET(R$10,$A625*2,0),'Mapping A'!$B$6:$E$1011,4,0)=1,$E625,""),0)</f>
        <v>0</v>
      </c>
      <c r="S625" s="519">
        <f ca="1">_xlfn.IFNA(IF(VLOOKUP($B625&amp;OFFSET(S$10,$A625*2,0),'Mapping A'!$B$6:$E$1011,4,0)=1,$E625,""),0)</f>
        <v>0</v>
      </c>
      <c r="T625" s="519">
        <f ca="1">_xlfn.IFNA(IF(VLOOKUP($B625&amp;OFFSET(T$10,$A625*2,0),'Mapping A'!$B$6:$E$1011,4,0)=1,$E625,""),0)</f>
        <v>0</v>
      </c>
      <c r="Y625" s="534" t="str">
        <f t="shared" si="657"/>
        <v>ContactROX2201 ROX0</v>
      </c>
      <c r="Z625" s="519" t="str">
        <f>Volumes!H53</f>
        <v>Contact</v>
      </c>
      <c r="AA625" s="519" t="str">
        <f>Volumes!I53</f>
        <v>ROX2201 ROX0</v>
      </c>
      <c r="AB625" s="519">
        <f>Volumes!J53</f>
        <v>1267.0147090499938</v>
      </c>
      <c r="AC625" s="170"/>
      <c r="AE625" s="519">
        <f t="shared" ca="1" si="641"/>
        <v>0</v>
      </c>
      <c r="AF625" s="519">
        <f t="shared" ca="1" si="642"/>
        <v>0</v>
      </c>
      <c r="AG625" s="519">
        <f t="shared" ca="1" si="643"/>
        <v>0</v>
      </c>
      <c r="AH625" s="519">
        <f t="shared" ca="1" si="644"/>
        <v>0</v>
      </c>
      <c r="AI625" s="519">
        <f t="shared" ca="1" si="645"/>
        <v>0</v>
      </c>
      <c r="AJ625" s="519">
        <f t="shared" ca="1" si="646"/>
        <v>0</v>
      </c>
      <c r="AK625" s="519">
        <f t="shared" ca="1" si="647"/>
        <v>0</v>
      </c>
      <c r="AL625" s="519">
        <f t="shared" ca="1" si="648"/>
        <v>0.1801015791873945</v>
      </c>
      <c r="AM625" s="519">
        <f t="shared" ca="1" si="649"/>
        <v>0</v>
      </c>
      <c r="AN625" s="519">
        <f t="shared" ca="1" si="650"/>
        <v>0</v>
      </c>
      <c r="AO625" s="519">
        <f t="shared" ca="1" si="651"/>
        <v>0</v>
      </c>
      <c r="AP625" s="519">
        <f t="shared" ca="1" si="652"/>
        <v>0</v>
      </c>
      <c r="AQ625" s="519">
        <f t="shared" ca="1" si="653"/>
        <v>0</v>
      </c>
    </row>
    <row r="626" spans="1:43" x14ac:dyDescent="0.3">
      <c r="A626" s="556">
        <f t="shared" si="654"/>
        <v>4</v>
      </c>
      <c r="B626" s="519" t="str">
        <f t="shared" si="655"/>
        <v>RPO</v>
      </c>
      <c r="C626" s="519" t="str">
        <f>Volumes!H54</f>
        <v>Genesis</v>
      </c>
      <c r="D626" s="519" t="str">
        <f>Volumes!I54</f>
        <v>RPO2201 RPO0</v>
      </c>
      <c r="E626" s="519">
        <f>Volumes!J54</f>
        <v>530.56640910000021</v>
      </c>
      <c r="G626" s="525"/>
      <c r="H626" s="519">
        <f ca="1">_xlfn.IFNA(IF(VLOOKUP($B626&amp;OFFSET(H$10,$A626*2,0),'Mapping A'!$B$6:$E$1011,4,0)=1,$E626,""),0)</f>
        <v>0</v>
      </c>
      <c r="I626" s="519">
        <f ca="1">_xlfn.IFNA(IF(VLOOKUP($B626&amp;OFFSET(I$10,$A626*2,0),'Mapping A'!$B$6:$E$1011,4,0)=1,$E626,""),0)</f>
        <v>0</v>
      </c>
      <c r="J626" s="519">
        <f ca="1">_xlfn.IFNA(IF(VLOOKUP($B626&amp;OFFSET(J$10,$A626*2,0),'Mapping A'!$B$6:$E$1011,4,0)=1,$E626,""),0)</f>
        <v>0</v>
      </c>
      <c r="K626" s="519">
        <f ca="1">_xlfn.IFNA(IF(VLOOKUP($B626&amp;OFFSET(K$10,$A626*2,0),'Mapping A'!$B$6:$E$1011,4,0)=1,$E626,""),0)</f>
        <v>0</v>
      </c>
      <c r="L626" s="519">
        <f ca="1">_xlfn.IFNA(IF(VLOOKUP($B626&amp;OFFSET(L$10,$A626*2,0),'Mapping A'!$B$6:$E$1011,4,0)=1,$E626,""),0)</f>
        <v>0</v>
      </c>
      <c r="M626" s="519">
        <f ca="1">_xlfn.IFNA(IF(VLOOKUP($B626&amp;OFFSET(M$10,$A626*2,0),'Mapping A'!$B$6:$E$1011,4,0)=1,$E626,""),0)</f>
        <v>0</v>
      </c>
      <c r="N626" s="519">
        <f ca="1">_xlfn.IFNA(IF(VLOOKUP($B626&amp;OFFSET(N$10,$A626*2,0),'Mapping A'!$B$6:$E$1011,4,0)=1,$E626,""),0)</f>
        <v>0</v>
      </c>
      <c r="O626" s="519">
        <f ca="1">_xlfn.IFNA(IF(VLOOKUP($B626&amp;OFFSET(O$10,$A626*2,0),'Mapping A'!$B$6:$E$1011,4,0)=1,$E626,""),0)</f>
        <v>0</v>
      </c>
      <c r="P626" s="519">
        <f ca="1">_xlfn.IFNA(IF(VLOOKUP($B626&amp;OFFSET(P$10,$A626*2,0),'Mapping A'!$B$6:$E$1011,4,0)=1,$E626,""),0)</f>
        <v>0</v>
      </c>
      <c r="Q626" s="519">
        <f ca="1">_xlfn.IFNA(IF(VLOOKUP($B626&amp;OFFSET(Q$10,$A626*2,0),'Mapping A'!$B$6:$E$1011,4,0)=1,$E626,""),0)</f>
        <v>0</v>
      </c>
      <c r="R626" s="519">
        <f ca="1">_xlfn.IFNA(IF(VLOOKUP($B626&amp;OFFSET(R$10,$A626*2,0),'Mapping A'!$B$6:$E$1011,4,0)=1,$E626,""),0)</f>
        <v>0</v>
      </c>
      <c r="S626" s="519">
        <f ca="1">_xlfn.IFNA(IF(VLOOKUP($B626&amp;OFFSET(S$10,$A626*2,0),'Mapping A'!$B$6:$E$1011,4,0)=1,$E626,""),0)</f>
        <v>0</v>
      </c>
      <c r="T626" s="519">
        <f ca="1">_xlfn.IFNA(IF(VLOOKUP($B626&amp;OFFSET(T$10,$A626*2,0),'Mapping A'!$B$6:$E$1011,4,0)=1,$E626,""),0)</f>
        <v>0</v>
      </c>
      <c r="Y626" s="534" t="str">
        <f t="shared" si="657"/>
        <v>GenesisRPO2201 RPO0</v>
      </c>
      <c r="Z626" s="519" t="str">
        <f>Volumes!H54</f>
        <v>Genesis</v>
      </c>
      <c r="AA626" s="519" t="str">
        <f>Volumes!I54</f>
        <v>RPO2201 RPO0</v>
      </c>
      <c r="AB626" s="519">
        <f>Volumes!J54</f>
        <v>530.56640910000021</v>
      </c>
      <c r="AC626" s="170"/>
      <c r="AE626" s="519">
        <f t="shared" ca="1" si="641"/>
        <v>0</v>
      </c>
      <c r="AF626" s="519">
        <f t="shared" ca="1" si="642"/>
        <v>0</v>
      </c>
      <c r="AG626" s="519">
        <f t="shared" ca="1" si="643"/>
        <v>0</v>
      </c>
      <c r="AH626" s="519">
        <f t="shared" ca="1" si="644"/>
        <v>0</v>
      </c>
      <c r="AI626" s="519">
        <f t="shared" ca="1" si="645"/>
        <v>0</v>
      </c>
      <c r="AJ626" s="519">
        <f t="shared" ca="1" si="646"/>
        <v>0</v>
      </c>
      <c r="AK626" s="519">
        <f t="shared" ca="1" si="647"/>
        <v>0</v>
      </c>
      <c r="AL626" s="519">
        <f t="shared" ca="1" si="648"/>
        <v>0</v>
      </c>
      <c r="AM626" s="519">
        <f t="shared" ca="1" si="649"/>
        <v>0</v>
      </c>
      <c r="AN626" s="519">
        <f t="shared" ca="1" si="650"/>
        <v>0</v>
      </c>
      <c r="AO626" s="519">
        <f t="shared" ca="1" si="651"/>
        <v>0</v>
      </c>
      <c r="AP626" s="519">
        <f t="shared" ca="1" si="652"/>
        <v>0</v>
      </c>
      <c r="AQ626" s="519">
        <f t="shared" ca="1" si="653"/>
        <v>0</v>
      </c>
    </row>
    <row r="627" spans="1:43" x14ac:dyDescent="0.3">
      <c r="A627" s="556">
        <f t="shared" si="654"/>
        <v>4</v>
      </c>
      <c r="B627" s="519" t="str">
        <f t="shared" si="655"/>
        <v>SFD</v>
      </c>
      <c r="C627" s="519" t="str">
        <f>Volumes!H55</f>
        <v>Contact</v>
      </c>
      <c r="D627" s="519" t="str">
        <f>Volumes!I55</f>
        <v>SFD2201 SFD21</v>
      </c>
      <c r="E627" s="519">
        <f>Volumes!J55</f>
        <v>163.12063279999975</v>
      </c>
      <c r="G627" s="525"/>
      <c r="H627" s="519">
        <f ca="1">_xlfn.IFNA(IF(VLOOKUP($B627&amp;OFFSET(H$10,$A627*2,0),'Mapping A'!$B$6:$E$1011,4,0)=1,$E627,""),0)</f>
        <v>0</v>
      </c>
      <c r="I627" s="519">
        <f ca="1">_xlfn.IFNA(IF(VLOOKUP($B627&amp;OFFSET(I$10,$A627*2,0),'Mapping A'!$B$6:$E$1011,4,0)=1,$E627,""),0)</f>
        <v>0</v>
      </c>
      <c r="J627" s="519">
        <f ca="1">_xlfn.IFNA(IF(VLOOKUP($B627&amp;OFFSET(J$10,$A627*2,0),'Mapping A'!$B$6:$E$1011,4,0)=1,$E627,""),0)</f>
        <v>0</v>
      </c>
      <c r="K627" s="519">
        <f ca="1">_xlfn.IFNA(IF(VLOOKUP($B627&amp;OFFSET(K$10,$A627*2,0),'Mapping A'!$B$6:$E$1011,4,0)=1,$E627,""),0)</f>
        <v>0</v>
      </c>
      <c r="L627" s="519">
        <f ca="1">_xlfn.IFNA(IF(VLOOKUP($B627&amp;OFFSET(L$10,$A627*2,0),'Mapping A'!$B$6:$E$1011,4,0)=1,$E627,""),0)</f>
        <v>0</v>
      </c>
      <c r="M627" s="519">
        <f ca="1">_xlfn.IFNA(IF(VLOOKUP($B627&amp;OFFSET(M$10,$A627*2,0),'Mapping A'!$B$6:$E$1011,4,0)=1,$E627,""),0)</f>
        <v>0</v>
      </c>
      <c r="N627" s="519">
        <f ca="1">_xlfn.IFNA(IF(VLOOKUP($B627&amp;OFFSET(N$10,$A627*2,0),'Mapping A'!$B$6:$E$1011,4,0)=1,$E627,""),0)</f>
        <v>0</v>
      </c>
      <c r="O627" s="519">
        <f ca="1">_xlfn.IFNA(IF(VLOOKUP($B627&amp;OFFSET(O$10,$A627*2,0),'Mapping A'!$B$6:$E$1011,4,0)=1,$E627,""),0)</f>
        <v>0</v>
      </c>
      <c r="P627" s="519">
        <f ca="1">_xlfn.IFNA(IF(VLOOKUP($B627&amp;OFFSET(P$10,$A627*2,0),'Mapping A'!$B$6:$E$1011,4,0)=1,$E627,""),0)</f>
        <v>0</v>
      </c>
      <c r="Q627" s="519">
        <f ca="1">_xlfn.IFNA(IF(VLOOKUP($B627&amp;OFFSET(Q$10,$A627*2,0),'Mapping A'!$B$6:$E$1011,4,0)=1,$E627,""),0)</f>
        <v>0</v>
      </c>
      <c r="R627" s="519">
        <f ca="1">_xlfn.IFNA(IF(VLOOKUP($B627&amp;OFFSET(R$10,$A627*2,0),'Mapping A'!$B$6:$E$1011,4,0)=1,$E627,""),0)</f>
        <v>0</v>
      </c>
      <c r="S627" s="519">
        <f ca="1">_xlfn.IFNA(IF(VLOOKUP($B627&amp;OFFSET(S$10,$A627*2,0),'Mapping A'!$B$6:$E$1011,4,0)=1,$E627,""),0)</f>
        <v>0</v>
      </c>
      <c r="T627" s="519">
        <f ca="1">_xlfn.IFNA(IF(VLOOKUP($B627&amp;OFFSET(T$10,$A627*2,0),'Mapping A'!$B$6:$E$1011,4,0)=1,$E627,""),0)</f>
        <v>0</v>
      </c>
      <c r="Y627" s="534" t="str">
        <f t="shared" si="657"/>
        <v>ContactSFD2201 SFD21</v>
      </c>
      <c r="Z627" s="519" t="str">
        <f>Volumes!H55</f>
        <v>Contact</v>
      </c>
      <c r="AA627" s="519" t="str">
        <f>Volumes!I55</f>
        <v>SFD2201 SFD21</v>
      </c>
      <c r="AB627" s="519">
        <f>Volumes!J55</f>
        <v>163.12063279999975</v>
      </c>
      <c r="AC627" s="170"/>
      <c r="AE627" s="519">
        <f t="shared" ca="1" si="641"/>
        <v>0</v>
      </c>
      <c r="AF627" s="519">
        <f t="shared" ca="1" si="642"/>
        <v>0</v>
      </c>
      <c r="AG627" s="519">
        <f t="shared" ca="1" si="643"/>
        <v>0</v>
      </c>
      <c r="AH627" s="519">
        <f t="shared" ca="1" si="644"/>
        <v>0</v>
      </c>
      <c r="AI627" s="519">
        <f t="shared" ca="1" si="645"/>
        <v>0</v>
      </c>
      <c r="AJ627" s="519">
        <f t="shared" ca="1" si="646"/>
        <v>0</v>
      </c>
      <c r="AK627" s="519">
        <f t="shared" ca="1" si="647"/>
        <v>0</v>
      </c>
      <c r="AL627" s="519">
        <f t="shared" ca="1" si="648"/>
        <v>0</v>
      </c>
      <c r="AM627" s="519">
        <f t="shared" ca="1" si="649"/>
        <v>0</v>
      </c>
      <c r="AN627" s="519">
        <f t="shared" ca="1" si="650"/>
        <v>0</v>
      </c>
      <c r="AO627" s="519">
        <f t="shared" ca="1" si="651"/>
        <v>0</v>
      </c>
      <c r="AP627" s="519">
        <f t="shared" ca="1" si="652"/>
        <v>0</v>
      </c>
      <c r="AQ627" s="519">
        <f t="shared" ca="1" si="653"/>
        <v>0</v>
      </c>
    </row>
    <row r="628" spans="1:43" x14ac:dyDescent="0.3">
      <c r="A628" s="556">
        <f t="shared" si="654"/>
        <v>4</v>
      </c>
      <c r="B628" s="519" t="str">
        <f t="shared" si="655"/>
        <v>SFD</v>
      </c>
      <c r="C628" s="519" t="str">
        <f>Volumes!H56</f>
        <v>Contact</v>
      </c>
      <c r="D628" s="519" t="str">
        <f>Volumes!I56</f>
        <v>SFD2201 SFD22</v>
      </c>
      <c r="E628" s="519">
        <f>Volumes!J56</f>
        <v>166.54496210500017</v>
      </c>
      <c r="G628" s="525"/>
      <c r="H628" s="519">
        <f ca="1">_xlfn.IFNA(IF(VLOOKUP($B628&amp;OFFSET(H$10,$A628*2,0),'Mapping A'!$B$6:$E$1011,4,0)=1,$E628,""),0)</f>
        <v>0</v>
      </c>
      <c r="I628" s="519">
        <f ca="1">_xlfn.IFNA(IF(VLOOKUP($B628&amp;OFFSET(I$10,$A628*2,0),'Mapping A'!$B$6:$E$1011,4,0)=1,$E628,""),0)</f>
        <v>0</v>
      </c>
      <c r="J628" s="519">
        <f ca="1">_xlfn.IFNA(IF(VLOOKUP($B628&amp;OFFSET(J$10,$A628*2,0),'Mapping A'!$B$6:$E$1011,4,0)=1,$E628,""),0)</f>
        <v>0</v>
      </c>
      <c r="K628" s="519">
        <f ca="1">_xlfn.IFNA(IF(VLOOKUP($B628&amp;OFFSET(K$10,$A628*2,0),'Mapping A'!$B$6:$E$1011,4,0)=1,$E628,""),0)</f>
        <v>0</v>
      </c>
      <c r="L628" s="519">
        <f ca="1">_xlfn.IFNA(IF(VLOOKUP($B628&amp;OFFSET(L$10,$A628*2,0),'Mapping A'!$B$6:$E$1011,4,0)=1,$E628,""),0)</f>
        <v>0</v>
      </c>
      <c r="M628" s="519">
        <f ca="1">_xlfn.IFNA(IF(VLOOKUP($B628&amp;OFFSET(M$10,$A628*2,0),'Mapping A'!$B$6:$E$1011,4,0)=1,$E628,""),0)</f>
        <v>0</v>
      </c>
      <c r="N628" s="519">
        <f ca="1">_xlfn.IFNA(IF(VLOOKUP($B628&amp;OFFSET(N$10,$A628*2,0),'Mapping A'!$B$6:$E$1011,4,0)=1,$E628,""),0)</f>
        <v>0</v>
      </c>
      <c r="O628" s="519">
        <f ca="1">_xlfn.IFNA(IF(VLOOKUP($B628&amp;OFFSET(O$10,$A628*2,0),'Mapping A'!$B$6:$E$1011,4,0)=1,$E628,""),0)</f>
        <v>0</v>
      </c>
      <c r="P628" s="519">
        <f ca="1">_xlfn.IFNA(IF(VLOOKUP($B628&amp;OFFSET(P$10,$A628*2,0),'Mapping A'!$B$6:$E$1011,4,0)=1,$E628,""),0)</f>
        <v>0</v>
      </c>
      <c r="Q628" s="519">
        <f ca="1">_xlfn.IFNA(IF(VLOOKUP($B628&amp;OFFSET(Q$10,$A628*2,0),'Mapping A'!$B$6:$E$1011,4,0)=1,$E628,""),0)</f>
        <v>0</v>
      </c>
      <c r="R628" s="519">
        <f ca="1">_xlfn.IFNA(IF(VLOOKUP($B628&amp;OFFSET(R$10,$A628*2,0),'Mapping A'!$B$6:$E$1011,4,0)=1,$E628,""),0)</f>
        <v>0</v>
      </c>
      <c r="S628" s="519">
        <f ca="1">_xlfn.IFNA(IF(VLOOKUP($B628&amp;OFFSET(S$10,$A628*2,0),'Mapping A'!$B$6:$E$1011,4,0)=1,$E628,""),0)</f>
        <v>0</v>
      </c>
      <c r="T628" s="519">
        <f ca="1">_xlfn.IFNA(IF(VLOOKUP($B628&amp;OFFSET(T$10,$A628*2,0),'Mapping A'!$B$6:$E$1011,4,0)=1,$E628,""),0)</f>
        <v>0</v>
      </c>
      <c r="Y628" s="534" t="str">
        <f t="shared" si="657"/>
        <v>ContactSFD2201 SFD22</v>
      </c>
      <c r="Z628" s="519" t="str">
        <f>Volumes!H56</f>
        <v>Contact</v>
      </c>
      <c r="AA628" s="519" t="str">
        <f>Volumes!I56</f>
        <v>SFD2201 SFD22</v>
      </c>
      <c r="AB628" s="519">
        <f>Volumes!J56</f>
        <v>166.54496210500017</v>
      </c>
      <c r="AC628" s="170"/>
      <c r="AE628" s="519">
        <f t="shared" ca="1" si="641"/>
        <v>0</v>
      </c>
      <c r="AF628" s="519">
        <f t="shared" ca="1" si="642"/>
        <v>0</v>
      </c>
      <c r="AG628" s="519">
        <f t="shared" ca="1" si="643"/>
        <v>0</v>
      </c>
      <c r="AH628" s="519">
        <f t="shared" ca="1" si="644"/>
        <v>0</v>
      </c>
      <c r="AI628" s="519">
        <f t="shared" ca="1" si="645"/>
        <v>0</v>
      </c>
      <c r="AJ628" s="519">
        <f t="shared" ca="1" si="646"/>
        <v>0</v>
      </c>
      <c r="AK628" s="519">
        <f t="shared" ca="1" si="647"/>
        <v>0</v>
      </c>
      <c r="AL628" s="519">
        <f t="shared" ca="1" si="648"/>
        <v>0</v>
      </c>
      <c r="AM628" s="519">
        <f t="shared" ca="1" si="649"/>
        <v>0</v>
      </c>
      <c r="AN628" s="519">
        <f t="shared" ca="1" si="650"/>
        <v>0</v>
      </c>
      <c r="AO628" s="519">
        <f t="shared" ca="1" si="651"/>
        <v>0</v>
      </c>
      <c r="AP628" s="519">
        <f t="shared" ca="1" si="652"/>
        <v>0</v>
      </c>
      <c r="AQ628" s="519">
        <f t="shared" ca="1" si="653"/>
        <v>0</v>
      </c>
    </row>
    <row r="629" spans="1:43" x14ac:dyDescent="0.3">
      <c r="A629" s="556">
        <f t="shared" si="654"/>
        <v>4</v>
      </c>
      <c r="B629" s="519" t="str">
        <f t="shared" si="655"/>
        <v>SFD</v>
      </c>
      <c r="C629" s="519" t="str">
        <f>Volumes!H57</f>
        <v>Contact</v>
      </c>
      <c r="D629" s="519" t="str">
        <f>Volumes!I57</f>
        <v>SFD2201 SPL0</v>
      </c>
      <c r="E629" s="519">
        <f>Volumes!J57</f>
        <v>2606.2560129000017</v>
      </c>
      <c r="G629" s="525"/>
      <c r="H629" s="519">
        <f ca="1">_xlfn.IFNA(IF(VLOOKUP($B629&amp;OFFSET(H$10,$A629*2,0),'Mapping A'!$B$6:$E$1011,4,0)=1,$E629,""),0)</f>
        <v>0</v>
      </c>
      <c r="I629" s="519">
        <f ca="1">_xlfn.IFNA(IF(VLOOKUP($B629&amp;OFFSET(I$10,$A629*2,0),'Mapping A'!$B$6:$E$1011,4,0)=1,$E629,""),0)</f>
        <v>0</v>
      </c>
      <c r="J629" s="519">
        <f ca="1">_xlfn.IFNA(IF(VLOOKUP($B629&amp;OFFSET(J$10,$A629*2,0),'Mapping A'!$B$6:$E$1011,4,0)=1,$E629,""),0)</f>
        <v>0</v>
      </c>
      <c r="K629" s="519">
        <f ca="1">_xlfn.IFNA(IF(VLOOKUP($B629&amp;OFFSET(K$10,$A629*2,0),'Mapping A'!$B$6:$E$1011,4,0)=1,$E629,""),0)</f>
        <v>0</v>
      </c>
      <c r="L629" s="519">
        <f ca="1">_xlfn.IFNA(IF(VLOOKUP($B629&amp;OFFSET(L$10,$A629*2,0),'Mapping A'!$B$6:$E$1011,4,0)=1,$E629,""),0)</f>
        <v>0</v>
      </c>
      <c r="M629" s="519">
        <f ca="1">_xlfn.IFNA(IF(VLOOKUP($B629&amp;OFFSET(M$10,$A629*2,0),'Mapping A'!$B$6:$E$1011,4,0)=1,$E629,""),0)</f>
        <v>0</v>
      </c>
      <c r="N629" s="519">
        <f ca="1">_xlfn.IFNA(IF(VLOOKUP($B629&amp;OFFSET(N$10,$A629*2,0),'Mapping A'!$B$6:$E$1011,4,0)=1,$E629,""),0)</f>
        <v>0</v>
      </c>
      <c r="O629" s="519">
        <f ca="1">_xlfn.IFNA(IF(VLOOKUP($B629&amp;OFFSET(O$10,$A629*2,0),'Mapping A'!$B$6:$E$1011,4,0)=1,$E629,""),0)</f>
        <v>0</v>
      </c>
      <c r="P629" s="519">
        <f ca="1">_xlfn.IFNA(IF(VLOOKUP($B629&amp;OFFSET(P$10,$A629*2,0),'Mapping A'!$B$6:$E$1011,4,0)=1,$E629,""),0)</f>
        <v>0</v>
      </c>
      <c r="Q629" s="519">
        <f ca="1">_xlfn.IFNA(IF(VLOOKUP($B629&amp;OFFSET(Q$10,$A629*2,0),'Mapping A'!$B$6:$E$1011,4,0)=1,$E629,""),0)</f>
        <v>0</v>
      </c>
      <c r="R629" s="519">
        <f ca="1">_xlfn.IFNA(IF(VLOOKUP($B629&amp;OFFSET(R$10,$A629*2,0),'Mapping A'!$B$6:$E$1011,4,0)=1,$E629,""),0)</f>
        <v>0</v>
      </c>
      <c r="S629" s="519">
        <f ca="1">_xlfn.IFNA(IF(VLOOKUP($B629&amp;OFFSET(S$10,$A629*2,0),'Mapping A'!$B$6:$E$1011,4,0)=1,$E629,""),0)</f>
        <v>0</v>
      </c>
      <c r="T629" s="519">
        <f ca="1">_xlfn.IFNA(IF(VLOOKUP($B629&amp;OFFSET(T$10,$A629*2,0),'Mapping A'!$B$6:$E$1011,4,0)=1,$E629,""),0)</f>
        <v>0</v>
      </c>
      <c r="Y629" s="534" t="str">
        <f t="shared" si="657"/>
        <v>ContactSFD2201 SPL0</v>
      </c>
      <c r="Z629" s="519" t="str">
        <f>Volumes!H57</f>
        <v>Contact</v>
      </c>
      <c r="AA629" s="519" t="str">
        <f>Volumes!I57</f>
        <v>SFD2201 SPL0</v>
      </c>
      <c r="AB629" s="519">
        <f>Volumes!J57</f>
        <v>2606.2560129000017</v>
      </c>
      <c r="AC629" s="170"/>
      <c r="AE629" s="519">
        <f t="shared" ca="1" si="641"/>
        <v>0</v>
      </c>
      <c r="AF629" s="519">
        <f t="shared" ca="1" si="642"/>
        <v>0</v>
      </c>
      <c r="AG629" s="519">
        <f t="shared" ca="1" si="643"/>
        <v>0</v>
      </c>
      <c r="AH629" s="519">
        <f t="shared" ca="1" si="644"/>
        <v>0</v>
      </c>
      <c r="AI629" s="519">
        <f t="shared" ca="1" si="645"/>
        <v>0</v>
      </c>
      <c r="AJ629" s="519">
        <f t="shared" ca="1" si="646"/>
        <v>0</v>
      </c>
      <c r="AK629" s="519">
        <f t="shared" ca="1" si="647"/>
        <v>0</v>
      </c>
      <c r="AL629" s="519">
        <f t="shared" ca="1" si="648"/>
        <v>0</v>
      </c>
      <c r="AM629" s="519">
        <f t="shared" ca="1" si="649"/>
        <v>0</v>
      </c>
      <c r="AN629" s="519">
        <f t="shared" ca="1" si="650"/>
        <v>0</v>
      </c>
      <c r="AO629" s="519">
        <f t="shared" ca="1" si="651"/>
        <v>0</v>
      </c>
      <c r="AP629" s="519">
        <f t="shared" ca="1" si="652"/>
        <v>0</v>
      </c>
      <c r="AQ629" s="519">
        <f t="shared" ca="1" si="653"/>
        <v>0</v>
      </c>
    </row>
    <row r="630" spans="1:43" x14ac:dyDescent="0.3">
      <c r="A630" s="556">
        <f t="shared" si="654"/>
        <v>4</v>
      </c>
      <c r="B630" s="519" t="str">
        <f t="shared" si="655"/>
        <v>STK</v>
      </c>
      <c r="C630" s="519" t="str">
        <f>Volumes!H58</f>
        <v>Trustpower</v>
      </c>
      <c r="D630" s="519" t="str">
        <f>Volumes!I58</f>
        <v>STK0661 COB0</v>
      </c>
      <c r="E630" s="519">
        <f>Volumes!J58</f>
        <v>178.12703954000008</v>
      </c>
      <c r="G630" s="525"/>
      <c r="H630" s="519">
        <f ca="1">_xlfn.IFNA(IF(VLOOKUP($B630&amp;OFFSET(H$10,$A630*2,0),'Mapping A'!$B$6:$E$1011,4,0)=1,$E630,""),0)</f>
        <v>0</v>
      </c>
      <c r="I630" s="519">
        <f ca="1">_xlfn.IFNA(IF(VLOOKUP($B630&amp;OFFSET(I$10,$A630*2,0),'Mapping A'!$B$6:$E$1011,4,0)=1,$E630,""),0)</f>
        <v>0</v>
      </c>
      <c r="J630" s="519">
        <f ca="1">_xlfn.IFNA(IF(VLOOKUP($B630&amp;OFFSET(J$10,$A630*2,0),'Mapping A'!$B$6:$E$1011,4,0)=1,$E630,""),0)</f>
        <v>0</v>
      </c>
      <c r="K630" s="519">
        <f ca="1">_xlfn.IFNA(IF(VLOOKUP($B630&amp;OFFSET(K$10,$A630*2,0),'Mapping A'!$B$6:$E$1011,4,0)=1,$E630,""),0)</f>
        <v>0</v>
      </c>
      <c r="L630" s="519">
        <f ca="1">_xlfn.IFNA(IF(VLOOKUP($B630&amp;OFFSET(L$10,$A630*2,0),'Mapping A'!$B$6:$E$1011,4,0)=1,$E630,""),0)</f>
        <v>0</v>
      </c>
      <c r="M630" s="519">
        <f ca="1">_xlfn.IFNA(IF(VLOOKUP($B630&amp;OFFSET(M$10,$A630*2,0),'Mapping A'!$B$6:$E$1011,4,0)=1,$E630,""),0)</f>
        <v>0</v>
      </c>
      <c r="N630" s="519">
        <f ca="1">_xlfn.IFNA(IF(VLOOKUP($B630&amp;OFFSET(N$10,$A630*2,0),'Mapping A'!$B$6:$E$1011,4,0)=1,$E630,""),0)</f>
        <v>0</v>
      </c>
      <c r="O630" s="519">
        <f ca="1">_xlfn.IFNA(IF(VLOOKUP($B630&amp;OFFSET(O$10,$A630*2,0),'Mapping A'!$B$6:$E$1011,4,0)=1,$E630,""),0)</f>
        <v>178.12703954000008</v>
      </c>
      <c r="P630" s="519">
        <f ca="1">_xlfn.IFNA(IF(VLOOKUP($B630&amp;OFFSET(P$10,$A630*2,0),'Mapping A'!$B$6:$E$1011,4,0)=1,$E630,""),0)</f>
        <v>0</v>
      </c>
      <c r="Q630" s="519">
        <f ca="1">_xlfn.IFNA(IF(VLOOKUP($B630&amp;OFFSET(Q$10,$A630*2,0),'Mapping A'!$B$6:$E$1011,4,0)=1,$E630,""),0)</f>
        <v>0</v>
      </c>
      <c r="R630" s="519">
        <f ca="1">_xlfn.IFNA(IF(VLOOKUP($B630&amp;OFFSET(R$10,$A630*2,0),'Mapping A'!$B$6:$E$1011,4,0)=1,$E630,""),0)</f>
        <v>0</v>
      </c>
      <c r="S630" s="519">
        <f ca="1">_xlfn.IFNA(IF(VLOOKUP($B630&amp;OFFSET(S$10,$A630*2,0),'Mapping A'!$B$6:$E$1011,4,0)=1,$E630,""),0)</f>
        <v>0</v>
      </c>
      <c r="T630" s="519">
        <f ca="1">_xlfn.IFNA(IF(VLOOKUP($B630&amp;OFFSET(T$10,$A630*2,0),'Mapping A'!$B$6:$E$1011,4,0)=1,$E630,""),0)</f>
        <v>0</v>
      </c>
      <c r="Y630" s="534" t="str">
        <f t="shared" si="657"/>
        <v>TrustpowerSTK0661 COB0</v>
      </c>
      <c r="Z630" s="519" t="str">
        <f>Volumes!H58</f>
        <v>Trustpower</v>
      </c>
      <c r="AA630" s="519" t="str">
        <f>Volumes!I58</f>
        <v>STK0661 COB0</v>
      </c>
      <c r="AB630" s="519">
        <f>Volumes!J58</f>
        <v>178.12703954000008</v>
      </c>
      <c r="AC630" s="170"/>
      <c r="AE630" s="519">
        <f t="shared" ca="1" si="641"/>
        <v>0</v>
      </c>
      <c r="AF630" s="519">
        <f t="shared" ca="1" si="642"/>
        <v>0</v>
      </c>
      <c r="AG630" s="519">
        <f t="shared" ca="1" si="643"/>
        <v>0</v>
      </c>
      <c r="AH630" s="519">
        <f t="shared" ca="1" si="644"/>
        <v>0</v>
      </c>
      <c r="AI630" s="519">
        <f t="shared" ca="1" si="645"/>
        <v>0</v>
      </c>
      <c r="AJ630" s="519">
        <f t="shared" ca="1" si="646"/>
        <v>0</v>
      </c>
      <c r="AK630" s="519">
        <f t="shared" ca="1" si="647"/>
        <v>0</v>
      </c>
      <c r="AL630" s="519">
        <f t="shared" ca="1" si="648"/>
        <v>2.5320117349848088E-2</v>
      </c>
      <c r="AM630" s="519">
        <f t="shared" ca="1" si="649"/>
        <v>0</v>
      </c>
      <c r="AN630" s="519">
        <f t="shared" ca="1" si="650"/>
        <v>0</v>
      </c>
      <c r="AO630" s="519">
        <f t="shared" ca="1" si="651"/>
        <v>0</v>
      </c>
      <c r="AP630" s="519">
        <f t="shared" ca="1" si="652"/>
        <v>0</v>
      </c>
      <c r="AQ630" s="519">
        <f t="shared" ca="1" si="653"/>
        <v>0</v>
      </c>
    </row>
    <row r="631" spans="1:43" x14ac:dyDescent="0.3">
      <c r="A631" s="556">
        <f t="shared" si="654"/>
        <v>4</v>
      </c>
      <c r="B631" s="519" t="str">
        <f t="shared" si="655"/>
        <v>SWN</v>
      </c>
      <c r="C631" s="519" t="str">
        <f>Volumes!H59</f>
        <v>MRP</v>
      </c>
      <c r="D631" s="519" t="str">
        <f>Volumes!I59</f>
        <v>SWN2201 SWN0</v>
      </c>
      <c r="E631" s="519">
        <f>Volumes!J59</f>
        <v>0</v>
      </c>
      <c r="G631" s="525"/>
      <c r="H631" s="519">
        <f ca="1">_xlfn.IFNA(IF(VLOOKUP($B631&amp;OFFSET(H$10,$A631*2,0),'Mapping A'!$B$6:$E$1011,4,0)=1,$E631,""),0)</f>
        <v>0</v>
      </c>
      <c r="I631" s="519">
        <f ca="1">_xlfn.IFNA(IF(VLOOKUP($B631&amp;OFFSET(I$10,$A631*2,0),'Mapping A'!$B$6:$E$1011,4,0)=1,$E631,""),0)</f>
        <v>0</v>
      </c>
      <c r="J631" s="519">
        <f ca="1">_xlfn.IFNA(IF(VLOOKUP($B631&amp;OFFSET(J$10,$A631*2,0),'Mapping A'!$B$6:$E$1011,4,0)=1,$E631,""),0)</f>
        <v>0</v>
      </c>
      <c r="K631" s="519">
        <f ca="1">_xlfn.IFNA(IF(VLOOKUP($B631&amp;OFFSET(K$10,$A631*2,0),'Mapping A'!$B$6:$E$1011,4,0)=1,$E631,""),0)</f>
        <v>0</v>
      </c>
      <c r="L631" s="519">
        <f ca="1">_xlfn.IFNA(IF(VLOOKUP($B631&amp;OFFSET(L$10,$A631*2,0),'Mapping A'!$B$6:$E$1011,4,0)=1,$E631,""),0)</f>
        <v>0</v>
      </c>
      <c r="M631" s="519">
        <f ca="1">_xlfn.IFNA(IF(VLOOKUP($B631&amp;OFFSET(M$10,$A631*2,0),'Mapping A'!$B$6:$E$1011,4,0)=1,$E631,""),0)</f>
        <v>0</v>
      </c>
      <c r="N631" s="519">
        <f ca="1">_xlfn.IFNA(IF(VLOOKUP($B631&amp;OFFSET(N$10,$A631*2,0),'Mapping A'!$B$6:$E$1011,4,0)=1,$E631,""),0)</f>
        <v>0</v>
      </c>
      <c r="O631" s="519">
        <f ca="1">_xlfn.IFNA(IF(VLOOKUP($B631&amp;OFFSET(O$10,$A631*2,0),'Mapping A'!$B$6:$E$1011,4,0)=1,$E631,""),0)</f>
        <v>0</v>
      </c>
      <c r="P631" s="519">
        <f ca="1">_xlfn.IFNA(IF(VLOOKUP($B631&amp;OFFSET(P$10,$A631*2,0),'Mapping A'!$B$6:$E$1011,4,0)=1,$E631,""),0)</f>
        <v>0</v>
      </c>
      <c r="Q631" s="519">
        <f ca="1">_xlfn.IFNA(IF(VLOOKUP($B631&amp;OFFSET(Q$10,$A631*2,0),'Mapping A'!$B$6:$E$1011,4,0)=1,$E631,""),0)</f>
        <v>0</v>
      </c>
      <c r="R631" s="519">
        <f ca="1">_xlfn.IFNA(IF(VLOOKUP($B631&amp;OFFSET(R$10,$A631*2,0),'Mapping A'!$B$6:$E$1011,4,0)=1,$E631,""),0)</f>
        <v>0</v>
      </c>
      <c r="S631" s="519">
        <f ca="1">_xlfn.IFNA(IF(VLOOKUP($B631&amp;OFFSET(S$10,$A631*2,0),'Mapping A'!$B$6:$E$1011,4,0)=1,$E631,""),0)</f>
        <v>0</v>
      </c>
      <c r="T631" s="519">
        <f ca="1">_xlfn.IFNA(IF(VLOOKUP($B631&amp;OFFSET(T$10,$A631*2,0),'Mapping A'!$B$6:$E$1011,4,0)=1,$E631,""),0)</f>
        <v>0</v>
      </c>
      <c r="Y631" s="534" t="str">
        <f t="shared" si="657"/>
        <v>MRPSWN2201 SWN0</v>
      </c>
      <c r="Z631" s="519" t="str">
        <f>Volumes!H59</f>
        <v>MRP</v>
      </c>
      <c r="AA631" s="519" t="str">
        <f>Volumes!I59</f>
        <v>SWN2201 SWN0</v>
      </c>
      <c r="AB631" s="519">
        <f>Volumes!J59</f>
        <v>0</v>
      </c>
      <c r="AC631" s="170"/>
      <c r="AE631" s="519">
        <f t="shared" ca="1" si="641"/>
        <v>0</v>
      </c>
      <c r="AF631" s="519">
        <f t="shared" ca="1" si="642"/>
        <v>0</v>
      </c>
      <c r="AG631" s="519">
        <f t="shared" ca="1" si="643"/>
        <v>0</v>
      </c>
      <c r="AH631" s="519">
        <f t="shared" ca="1" si="644"/>
        <v>0</v>
      </c>
      <c r="AI631" s="519">
        <f t="shared" ca="1" si="645"/>
        <v>0</v>
      </c>
      <c r="AJ631" s="519">
        <f t="shared" ca="1" si="646"/>
        <v>0</v>
      </c>
      <c r="AK631" s="519">
        <f t="shared" ca="1" si="647"/>
        <v>0</v>
      </c>
      <c r="AL631" s="519">
        <f t="shared" ca="1" si="648"/>
        <v>0</v>
      </c>
      <c r="AM631" s="519">
        <f t="shared" ca="1" si="649"/>
        <v>0</v>
      </c>
      <c r="AN631" s="519">
        <f t="shared" ca="1" si="650"/>
        <v>0</v>
      </c>
      <c r="AO631" s="519">
        <f t="shared" ca="1" si="651"/>
        <v>0</v>
      </c>
      <c r="AP631" s="519">
        <f t="shared" ca="1" si="652"/>
        <v>0</v>
      </c>
      <c r="AQ631" s="519">
        <f t="shared" ca="1" si="653"/>
        <v>0</v>
      </c>
    </row>
    <row r="632" spans="1:43" x14ac:dyDescent="0.3">
      <c r="A632" s="556">
        <f t="shared" si="654"/>
        <v>4</v>
      </c>
      <c r="B632" s="519" t="str">
        <f t="shared" si="655"/>
        <v>SWN</v>
      </c>
      <c r="C632" s="519" t="str">
        <f>Volumes!H60</f>
        <v>MRP</v>
      </c>
      <c r="D632" s="519" t="str">
        <f>Volumes!I60</f>
        <v>SWN2201 SWN5</v>
      </c>
      <c r="E632" s="519">
        <f>Volumes!J60</f>
        <v>27.377792149999994</v>
      </c>
      <c r="G632" s="525"/>
      <c r="H632" s="519">
        <f ca="1">_xlfn.IFNA(IF(VLOOKUP($B632&amp;OFFSET(H$10,$A632*2,0),'Mapping A'!$B$6:$E$1011,4,0)=1,$E632,""),0)</f>
        <v>0</v>
      </c>
      <c r="I632" s="519">
        <f ca="1">_xlfn.IFNA(IF(VLOOKUP($B632&amp;OFFSET(I$10,$A632*2,0),'Mapping A'!$B$6:$E$1011,4,0)=1,$E632,""),0)</f>
        <v>0</v>
      </c>
      <c r="J632" s="519">
        <f ca="1">_xlfn.IFNA(IF(VLOOKUP($B632&amp;OFFSET(J$10,$A632*2,0),'Mapping A'!$B$6:$E$1011,4,0)=1,$E632,""),0)</f>
        <v>0</v>
      </c>
      <c r="K632" s="519">
        <f ca="1">_xlfn.IFNA(IF(VLOOKUP($B632&amp;OFFSET(K$10,$A632*2,0),'Mapping A'!$B$6:$E$1011,4,0)=1,$E632,""),0)</f>
        <v>0</v>
      </c>
      <c r="L632" s="519">
        <f ca="1">_xlfn.IFNA(IF(VLOOKUP($B632&amp;OFFSET(L$10,$A632*2,0),'Mapping A'!$B$6:$E$1011,4,0)=1,$E632,""),0)</f>
        <v>0</v>
      </c>
      <c r="M632" s="519">
        <f ca="1">_xlfn.IFNA(IF(VLOOKUP($B632&amp;OFFSET(M$10,$A632*2,0),'Mapping A'!$B$6:$E$1011,4,0)=1,$E632,""),0)</f>
        <v>0</v>
      </c>
      <c r="N632" s="519">
        <f ca="1">_xlfn.IFNA(IF(VLOOKUP($B632&amp;OFFSET(N$10,$A632*2,0),'Mapping A'!$B$6:$E$1011,4,0)=1,$E632,""),0)</f>
        <v>0</v>
      </c>
      <c r="O632" s="519">
        <f ca="1">_xlfn.IFNA(IF(VLOOKUP($B632&amp;OFFSET(O$10,$A632*2,0),'Mapping A'!$B$6:$E$1011,4,0)=1,$E632,""),0)</f>
        <v>0</v>
      </c>
      <c r="P632" s="519">
        <f ca="1">_xlfn.IFNA(IF(VLOOKUP($B632&amp;OFFSET(P$10,$A632*2,0),'Mapping A'!$B$6:$E$1011,4,0)=1,$E632,""),0)</f>
        <v>0</v>
      </c>
      <c r="Q632" s="519">
        <f ca="1">_xlfn.IFNA(IF(VLOOKUP($B632&amp;OFFSET(Q$10,$A632*2,0),'Mapping A'!$B$6:$E$1011,4,0)=1,$E632,""),0)</f>
        <v>0</v>
      </c>
      <c r="R632" s="519">
        <f ca="1">_xlfn.IFNA(IF(VLOOKUP($B632&amp;OFFSET(R$10,$A632*2,0),'Mapping A'!$B$6:$E$1011,4,0)=1,$E632,""),0)</f>
        <v>0</v>
      </c>
      <c r="S632" s="519">
        <f ca="1">_xlfn.IFNA(IF(VLOOKUP($B632&amp;OFFSET(S$10,$A632*2,0),'Mapping A'!$B$6:$E$1011,4,0)=1,$E632,""),0)</f>
        <v>0</v>
      </c>
      <c r="T632" s="519">
        <f ca="1">_xlfn.IFNA(IF(VLOOKUP($B632&amp;OFFSET(T$10,$A632*2,0),'Mapping A'!$B$6:$E$1011,4,0)=1,$E632,""),0)</f>
        <v>0</v>
      </c>
      <c r="Y632" s="534" t="str">
        <f t="shared" si="657"/>
        <v>MRPSWN2201 SWN5</v>
      </c>
      <c r="Z632" s="519" t="str">
        <f>Volumes!H60</f>
        <v>MRP</v>
      </c>
      <c r="AA632" s="519" t="str">
        <f>Volumes!I60</f>
        <v>SWN2201 SWN5</v>
      </c>
      <c r="AB632" s="519">
        <f>Volumes!J60</f>
        <v>27.377792149999994</v>
      </c>
      <c r="AC632" s="170"/>
      <c r="AE632" s="519">
        <f t="shared" ca="1" si="641"/>
        <v>0</v>
      </c>
      <c r="AF632" s="519">
        <f t="shared" ca="1" si="642"/>
        <v>0</v>
      </c>
      <c r="AG632" s="519">
        <f t="shared" ca="1" si="643"/>
        <v>0</v>
      </c>
      <c r="AH632" s="519">
        <f t="shared" ca="1" si="644"/>
        <v>0</v>
      </c>
      <c r="AI632" s="519">
        <f t="shared" ca="1" si="645"/>
        <v>0</v>
      </c>
      <c r="AJ632" s="519">
        <f t="shared" ca="1" si="646"/>
        <v>0</v>
      </c>
      <c r="AK632" s="519">
        <f t="shared" ca="1" si="647"/>
        <v>0</v>
      </c>
      <c r="AL632" s="519">
        <f t="shared" ca="1" si="648"/>
        <v>0</v>
      </c>
      <c r="AM632" s="519">
        <f t="shared" ca="1" si="649"/>
        <v>0</v>
      </c>
      <c r="AN632" s="519">
        <f t="shared" ca="1" si="650"/>
        <v>0</v>
      </c>
      <c r="AO632" s="519">
        <f t="shared" ca="1" si="651"/>
        <v>0</v>
      </c>
      <c r="AP632" s="519">
        <f t="shared" ca="1" si="652"/>
        <v>0</v>
      </c>
      <c r="AQ632" s="519">
        <f t="shared" ca="1" si="653"/>
        <v>0</v>
      </c>
    </row>
    <row r="633" spans="1:43" x14ac:dyDescent="0.3">
      <c r="A633" s="556">
        <f t="shared" si="654"/>
        <v>4</v>
      </c>
      <c r="B633" s="519" t="str">
        <f t="shared" si="655"/>
        <v>TGA</v>
      </c>
      <c r="C633" s="519" t="str">
        <f>Volumes!H61</f>
        <v>Trustpower</v>
      </c>
      <c r="D633" s="519" t="str">
        <f>Volumes!I61</f>
        <v>TGA0331 KMI0</v>
      </c>
      <c r="E633" s="519">
        <f>Volumes!J61</f>
        <v>153.24485000000004</v>
      </c>
      <c r="G633" s="525"/>
      <c r="H633" s="519">
        <f ca="1">_xlfn.IFNA(IF(VLOOKUP($B633&amp;OFFSET(H$10,$A633*2,0),'Mapping A'!$B$6:$E$1011,4,0)=1,$E633,""),0)</f>
        <v>0</v>
      </c>
      <c r="I633" s="519">
        <f ca="1">_xlfn.IFNA(IF(VLOOKUP($B633&amp;OFFSET(I$10,$A633*2,0),'Mapping A'!$B$6:$E$1011,4,0)=1,$E633,""),0)</f>
        <v>0</v>
      </c>
      <c r="J633" s="519">
        <f ca="1">_xlfn.IFNA(IF(VLOOKUP($B633&amp;OFFSET(J$10,$A633*2,0),'Mapping A'!$B$6:$E$1011,4,0)=1,$E633,""),0)</f>
        <v>0</v>
      </c>
      <c r="K633" s="519">
        <f ca="1">_xlfn.IFNA(IF(VLOOKUP($B633&amp;OFFSET(K$10,$A633*2,0),'Mapping A'!$B$6:$E$1011,4,0)=1,$E633,""),0)</f>
        <v>0</v>
      </c>
      <c r="L633" s="519">
        <f ca="1">_xlfn.IFNA(IF(VLOOKUP($B633&amp;OFFSET(L$10,$A633*2,0),'Mapping A'!$B$6:$E$1011,4,0)=1,$E633,""),0)</f>
        <v>0</v>
      </c>
      <c r="M633" s="519">
        <f ca="1">_xlfn.IFNA(IF(VLOOKUP($B633&amp;OFFSET(M$10,$A633*2,0),'Mapping A'!$B$6:$E$1011,4,0)=1,$E633,""),0)</f>
        <v>0</v>
      </c>
      <c r="N633" s="519">
        <f ca="1">_xlfn.IFNA(IF(VLOOKUP($B633&amp;OFFSET(N$10,$A633*2,0),'Mapping A'!$B$6:$E$1011,4,0)=1,$E633,""),0)</f>
        <v>0</v>
      </c>
      <c r="O633" s="519">
        <f ca="1">_xlfn.IFNA(IF(VLOOKUP($B633&amp;OFFSET(O$10,$A633*2,0),'Mapping A'!$B$6:$E$1011,4,0)=1,$E633,""),0)</f>
        <v>0</v>
      </c>
      <c r="P633" s="519">
        <f ca="1">_xlfn.IFNA(IF(VLOOKUP($B633&amp;OFFSET(P$10,$A633*2,0),'Mapping A'!$B$6:$E$1011,4,0)=1,$E633,""),0)</f>
        <v>0</v>
      </c>
      <c r="Q633" s="519">
        <f ca="1">_xlfn.IFNA(IF(VLOOKUP($B633&amp;OFFSET(Q$10,$A633*2,0),'Mapping A'!$B$6:$E$1011,4,0)=1,$E633,""),0)</f>
        <v>0</v>
      </c>
      <c r="R633" s="519">
        <f ca="1">_xlfn.IFNA(IF(VLOOKUP($B633&amp;OFFSET(R$10,$A633*2,0),'Mapping A'!$B$6:$E$1011,4,0)=1,$E633,""),0)</f>
        <v>0</v>
      </c>
      <c r="S633" s="519">
        <f ca="1">_xlfn.IFNA(IF(VLOOKUP($B633&amp;OFFSET(S$10,$A633*2,0),'Mapping A'!$B$6:$E$1011,4,0)=1,$E633,""),0)</f>
        <v>0</v>
      </c>
      <c r="T633" s="519">
        <f ca="1">_xlfn.IFNA(IF(VLOOKUP($B633&amp;OFFSET(T$10,$A633*2,0),'Mapping A'!$B$6:$E$1011,4,0)=1,$E633,""),0)</f>
        <v>0</v>
      </c>
      <c r="Y633" s="534" t="str">
        <f t="shared" si="657"/>
        <v>TrustpowerTGA0331 KMI0</v>
      </c>
      <c r="Z633" s="519" t="str">
        <f>Volumes!H61</f>
        <v>Trustpower</v>
      </c>
      <c r="AA633" s="519" t="str">
        <f>Volumes!I61</f>
        <v>TGA0331 KMI0</v>
      </c>
      <c r="AB633" s="519">
        <f>Volumes!J61</f>
        <v>153.24485000000004</v>
      </c>
      <c r="AC633" s="170"/>
      <c r="AE633" s="519">
        <f t="shared" ca="1" si="641"/>
        <v>0</v>
      </c>
      <c r="AF633" s="519">
        <f t="shared" ca="1" si="642"/>
        <v>0</v>
      </c>
      <c r="AG633" s="519">
        <f t="shared" ca="1" si="643"/>
        <v>0</v>
      </c>
      <c r="AH633" s="519">
        <f t="shared" ca="1" si="644"/>
        <v>0</v>
      </c>
      <c r="AI633" s="519">
        <f t="shared" ca="1" si="645"/>
        <v>0</v>
      </c>
      <c r="AJ633" s="519">
        <f t="shared" ca="1" si="646"/>
        <v>0</v>
      </c>
      <c r="AK633" s="519">
        <f t="shared" ca="1" si="647"/>
        <v>0</v>
      </c>
      <c r="AL633" s="519">
        <f t="shared" ca="1" si="648"/>
        <v>0</v>
      </c>
      <c r="AM633" s="519">
        <f t="shared" ca="1" si="649"/>
        <v>0</v>
      </c>
      <c r="AN633" s="519">
        <f t="shared" ca="1" si="650"/>
        <v>0</v>
      </c>
      <c r="AO633" s="519">
        <f t="shared" ca="1" si="651"/>
        <v>0</v>
      </c>
      <c r="AP633" s="519">
        <f t="shared" ca="1" si="652"/>
        <v>0</v>
      </c>
      <c r="AQ633" s="519">
        <f t="shared" ca="1" si="653"/>
        <v>0</v>
      </c>
    </row>
    <row r="634" spans="1:43" x14ac:dyDescent="0.3">
      <c r="A634" s="556">
        <f t="shared" si="654"/>
        <v>4</v>
      </c>
      <c r="B634" s="519" t="str">
        <f t="shared" si="655"/>
        <v>THI</v>
      </c>
      <c r="C634" s="519" t="str">
        <f>Volumes!H62</f>
        <v>Contact</v>
      </c>
      <c r="D634" s="519" t="str">
        <f>Volumes!I62</f>
        <v>THI2201 THI1</v>
      </c>
      <c r="E634" s="519">
        <f>Volumes!J62</f>
        <v>459.44272626500003</v>
      </c>
      <c r="G634" s="525"/>
      <c r="H634" s="519">
        <f ca="1">_xlfn.IFNA(IF(VLOOKUP($B634&amp;OFFSET(H$10,$A634*2,0),'Mapping A'!$B$6:$E$1011,4,0)=1,$E634,""),0)</f>
        <v>0</v>
      </c>
      <c r="I634" s="519">
        <f ca="1">_xlfn.IFNA(IF(VLOOKUP($B634&amp;OFFSET(I$10,$A634*2,0),'Mapping A'!$B$6:$E$1011,4,0)=1,$E634,""),0)</f>
        <v>0</v>
      </c>
      <c r="J634" s="519">
        <f ca="1">_xlfn.IFNA(IF(VLOOKUP($B634&amp;OFFSET(J$10,$A634*2,0),'Mapping A'!$B$6:$E$1011,4,0)=1,$E634,""),0)</f>
        <v>0</v>
      </c>
      <c r="K634" s="519">
        <f ca="1">_xlfn.IFNA(IF(VLOOKUP($B634&amp;OFFSET(K$10,$A634*2,0),'Mapping A'!$B$6:$E$1011,4,0)=1,$E634,""),0)</f>
        <v>0</v>
      </c>
      <c r="L634" s="519">
        <f ca="1">_xlfn.IFNA(IF(VLOOKUP($B634&amp;OFFSET(L$10,$A634*2,0),'Mapping A'!$B$6:$E$1011,4,0)=1,$E634,""),0)</f>
        <v>0</v>
      </c>
      <c r="M634" s="519">
        <f ca="1">_xlfn.IFNA(IF(VLOOKUP($B634&amp;OFFSET(M$10,$A634*2,0),'Mapping A'!$B$6:$E$1011,4,0)=1,$E634,""),0)</f>
        <v>0</v>
      </c>
      <c r="N634" s="519">
        <f ca="1">_xlfn.IFNA(IF(VLOOKUP($B634&amp;OFFSET(N$10,$A634*2,0),'Mapping A'!$B$6:$E$1011,4,0)=1,$E634,""),0)</f>
        <v>0</v>
      </c>
      <c r="O634" s="519">
        <f ca="1">_xlfn.IFNA(IF(VLOOKUP($B634&amp;OFFSET(O$10,$A634*2,0),'Mapping A'!$B$6:$E$1011,4,0)=1,$E634,""),0)</f>
        <v>0</v>
      </c>
      <c r="P634" s="519">
        <f ca="1">_xlfn.IFNA(IF(VLOOKUP($B634&amp;OFFSET(P$10,$A634*2,0),'Mapping A'!$B$6:$E$1011,4,0)=1,$E634,""),0)</f>
        <v>0</v>
      </c>
      <c r="Q634" s="519">
        <f ca="1">_xlfn.IFNA(IF(VLOOKUP($B634&amp;OFFSET(Q$10,$A634*2,0),'Mapping A'!$B$6:$E$1011,4,0)=1,$E634,""),0)</f>
        <v>0</v>
      </c>
      <c r="R634" s="519">
        <f ca="1">_xlfn.IFNA(IF(VLOOKUP($B634&amp;OFFSET(R$10,$A634*2,0),'Mapping A'!$B$6:$E$1011,4,0)=1,$E634,""),0)</f>
        <v>0</v>
      </c>
      <c r="S634" s="519">
        <f ca="1">_xlfn.IFNA(IF(VLOOKUP($B634&amp;OFFSET(S$10,$A634*2,0),'Mapping A'!$B$6:$E$1011,4,0)=1,$E634,""),0)</f>
        <v>0</v>
      </c>
      <c r="T634" s="519">
        <f ca="1">_xlfn.IFNA(IF(VLOOKUP($B634&amp;OFFSET(T$10,$A634*2,0),'Mapping A'!$B$6:$E$1011,4,0)=1,$E634,""),0)</f>
        <v>0</v>
      </c>
      <c r="Y634" s="534" t="str">
        <f t="shared" si="657"/>
        <v>ContactTHI2201 THI1</v>
      </c>
      <c r="Z634" s="519" t="str">
        <f>Volumes!H62</f>
        <v>Contact</v>
      </c>
      <c r="AA634" s="519" t="str">
        <f>Volumes!I62</f>
        <v>THI2201 THI1</v>
      </c>
      <c r="AB634" s="519">
        <f>Volumes!J62</f>
        <v>459.44272626500003</v>
      </c>
      <c r="AC634" s="170"/>
      <c r="AE634" s="519">
        <f t="shared" ca="1" si="641"/>
        <v>0</v>
      </c>
      <c r="AF634" s="519">
        <f t="shared" ca="1" si="642"/>
        <v>0</v>
      </c>
      <c r="AG634" s="519">
        <f t="shared" ca="1" si="643"/>
        <v>0</v>
      </c>
      <c r="AH634" s="519">
        <f t="shared" ca="1" si="644"/>
        <v>0</v>
      </c>
      <c r="AI634" s="519">
        <f t="shared" ca="1" si="645"/>
        <v>0</v>
      </c>
      <c r="AJ634" s="519">
        <f t="shared" ca="1" si="646"/>
        <v>0</v>
      </c>
      <c r="AK634" s="519">
        <f t="shared" ca="1" si="647"/>
        <v>0</v>
      </c>
      <c r="AL634" s="519">
        <f t="shared" ca="1" si="648"/>
        <v>0</v>
      </c>
      <c r="AM634" s="519">
        <f t="shared" ca="1" si="649"/>
        <v>0</v>
      </c>
      <c r="AN634" s="519">
        <f t="shared" ca="1" si="650"/>
        <v>0</v>
      </c>
      <c r="AO634" s="519">
        <f t="shared" ca="1" si="651"/>
        <v>0</v>
      </c>
      <c r="AP634" s="519">
        <f t="shared" ca="1" si="652"/>
        <v>0</v>
      </c>
      <c r="AQ634" s="519">
        <f t="shared" ca="1" si="653"/>
        <v>0</v>
      </c>
    </row>
    <row r="635" spans="1:43" x14ac:dyDescent="0.3">
      <c r="A635" s="556">
        <f t="shared" si="654"/>
        <v>4</v>
      </c>
      <c r="B635" s="519" t="str">
        <f t="shared" si="655"/>
        <v>THI</v>
      </c>
      <c r="C635" s="519" t="str">
        <f>Volumes!H63</f>
        <v>Contact</v>
      </c>
      <c r="D635" s="519" t="str">
        <f>Volumes!I63</f>
        <v>THI2201 THI2</v>
      </c>
      <c r="E635" s="519">
        <f>Volumes!J63</f>
        <v>459.3073273</v>
      </c>
      <c r="G635" s="525"/>
      <c r="H635" s="519">
        <f ca="1">_xlfn.IFNA(IF(VLOOKUP($B635&amp;OFFSET(H$10,$A635*2,0),'Mapping A'!$B$6:$E$1011,4,0)=1,$E635,""),0)</f>
        <v>0</v>
      </c>
      <c r="I635" s="519">
        <f ca="1">_xlfn.IFNA(IF(VLOOKUP($B635&amp;OFFSET(I$10,$A635*2,0),'Mapping A'!$B$6:$E$1011,4,0)=1,$E635,""),0)</f>
        <v>0</v>
      </c>
      <c r="J635" s="519">
        <f ca="1">_xlfn.IFNA(IF(VLOOKUP($B635&amp;OFFSET(J$10,$A635*2,0),'Mapping A'!$B$6:$E$1011,4,0)=1,$E635,""),0)</f>
        <v>0</v>
      </c>
      <c r="K635" s="519">
        <f ca="1">_xlfn.IFNA(IF(VLOOKUP($B635&amp;OFFSET(K$10,$A635*2,0),'Mapping A'!$B$6:$E$1011,4,0)=1,$E635,""),0)</f>
        <v>0</v>
      </c>
      <c r="L635" s="519">
        <f ca="1">_xlfn.IFNA(IF(VLOOKUP($B635&amp;OFFSET(L$10,$A635*2,0),'Mapping A'!$B$6:$E$1011,4,0)=1,$E635,""),0)</f>
        <v>0</v>
      </c>
      <c r="M635" s="519">
        <f ca="1">_xlfn.IFNA(IF(VLOOKUP($B635&amp;OFFSET(M$10,$A635*2,0),'Mapping A'!$B$6:$E$1011,4,0)=1,$E635,""),0)</f>
        <v>0</v>
      </c>
      <c r="N635" s="519">
        <f ca="1">_xlfn.IFNA(IF(VLOOKUP($B635&amp;OFFSET(N$10,$A635*2,0),'Mapping A'!$B$6:$E$1011,4,0)=1,$E635,""),0)</f>
        <v>0</v>
      </c>
      <c r="O635" s="519">
        <f ca="1">_xlfn.IFNA(IF(VLOOKUP($B635&amp;OFFSET(O$10,$A635*2,0),'Mapping A'!$B$6:$E$1011,4,0)=1,$E635,""),0)</f>
        <v>0</v>
      </c>
      <c r="P635" s="519">
        <f ca="1">_xlfn.IFNA(IF(VLOOKUP($B635&amp;OFFSET(P$10,$A635*2,0),'Mapping A'!$B$6:$E$1011,4,0)=1,$E635,""),0)</f>
        <v>0</v>
      </c>
      <c r="Q635" s="519">
        <f ca="1">_xlfn.IFNA(IF(VLOOKUP($B635&amp;OFFSET(Q$10,$A635*2,0),'Mapping A'!$B$6:$E$1011,4,0)=1,$E635,""),0)</f>
        <v>0</v>
      </c>
      <c r="R635" s="519">
        <f ca="1">_xlfn.IFNA(IF(VLOOKUP($B635&amp;OFFSET(R$10,$A635*2,0),'Mapping A'!$B$6:$E$1011,4,0)=1,$E635,""),0)</f>
        <v>0</v>
      </c>
      <c r="S635" s="519">
        <f ca="1">_xlfn.IFNA(IF(VLOOKUP($B635&amp;OFFSET(S$10,$A635*2,0),'Mapping A'!$B$6:$E$1011,4,0)=1,$E635,""),0)</f>
        <v>0</v>
      </c>
      <c r="T635" s="519">
        <f ca="1">_xlfn.IFNA(IF(VLOOKUP($B635&amp;OFFSET(T$10,$A635*2,0),'Mapping A'!$B$6:$E$1011,4,0)=1,$E635,""),0)</f>
        <v>0</v>
      </c>
      <c r="Y635" s="534" t="str">
        <f t="shared" si="657"/>
        <v>ContactTHI2201 THI2</v>
      </c>
      <c r="Z635" s="519" t="str">
        <f>Volumes!H63</f>
        <v>Contact</v>
      </c>
      <c r="AA635" s="519" t="str">
        <f>Volumes!I63</f>
        <v>THI2201 THI2</v>
      </c>
      <c r="AB635" s="519">
        <f>Volumes!J63</f>
        <v>459.3073273</v>
      </c>
      <c r="AC635" s="170"/>
      <c r="AE635" s="519">
        <f t="shared" ca="1" si="641"/>
        <v>0</v>
      </c>
      <c r="AF635" s="519">
        <f t="shared" ca="1" si="642"/>
        <v>0</v>
      </c>
      <c r="AG635" s="519">
        <f t="shared" ca="1" si="643"/>
        <v>0</v>
      </c>
      <c r="AH635" s="519">
        <f t="shared" ca="1" si="644"/>
        <v>0</v>
      </c>
      <c r="AI635" s="519">
        <f t="shared" ca="1" si="645"/>
        <v>0</v>
      </c>
      <c r="AJ635" s="519">
        <f t="shared" ca="1" si="646"/>
        <v>0</v>
      </c>
      <c r="AK635" s="519">
        <f t="shared" ca="1" si="647"/>
        <v>0</v>
      </c>
      <c r="AL635" s="519">
        <f t="shared" ca="1" si="648"/>
        <v>0</v>
      </c>
      <c r="AM635" s="519">
        <f t="shared" ca="1" si="649"/>
        <v>0</v>
      </c>
      <c r="AN635" s="519">
        <f t="shared" ca="1" si="650"/>
        <v>0</v>
      </c>
      <c r="AO635" s="519">
        <f t="shared" ca="1" si="651"/>
        <v>0</v>
      </c>
      <c r="AP635" s="519">
        <f t="shared" ca="1" si="652"/>
        <v>0</v>
      </c>
      <c r="AQ635" s="519">
        <f t="shared" ca="1" si="653"/>
        <v>0</v>
      </c>
    </row>
    <row r="636" spans="1:43" x14ac:dyDescent="0.3">
      <c r="A636" s="556">
        <f t="shared" si="654"/>
        <v>4</v>
      </c>
      <c r="B636" s="519" t="str">
        <f t="shared" si="655"/>
        <v>TKA</v>
      </c>
      <c r="C636" s="519" t="str">
        <f>Volumes!H64</f>
        <v>Genesis</v>
      </c>
      <c r="D636" s="519" t="str">
        <f>Volumes!I64</f>
        <v>TKA0111 TKA0</v>
      </c>
      <c r="E636" s="519">
        <f>Volumes!J64</f>
        <v>0</v>
      </c>
      <c r="G636" s="525"/>
      <c r="H636" s="519">
        <f ca="1">_xlfn.IFNA(IF(VLOOKUP($B636&amp;OFFSET(H$10,$A636*2,0),'Mapping A'!$B$6:$E$1011,4,0)=1,$E636,""),0)</f>
        <v>0</v>
      </c>
      <c r="I636" s="519">
        <f ca="1">_xlfn.IFNA(IF(VLOOKUP($B636&amp;OFFSET(I$10,$A636*2,0),'Mapping A'!$B$6:$E$1011,4,0)=1,$E636,""),0)</f>
        <v>0</v>
      </c>
      <c r="J636" s="519">
        <f ca="1">_xlfn.IFNA(IF(VLOOKUP($B636&amp;OFFSET(J$10,$A636*2,0),'Mapping A'!$B$6:$E$1011,4,0)=1,$E636,""),0)</f>
        <v>0</v>
      </c>
      <c r="K636" s="519">
        <f ca="1">_xlfn.IFNA(IF(VLOOKUP($B636&amp;OFFSET(K$10,$A636*2,0),'Mapping A'!$B$6:$E$1011,4,0)=1,$E636,""),0)</f>
        <v>0</v>
      </c>
      <c r="L636" s="519">
        <f ca="1">_xlfn.IFNA(IF(VLOOKUP($B636&amp;OFFSET(L$10,$A636*2,0),'Mapping A'!$B$6:$E$1011,4,0)=1,$E636,""),0)</f>
        <v>0</v>
      </c>
      <c r="M636" s="519">
        <f ca="1">_xlfn.IFNA(IF(VLOOKUP($B636&amp;OFFSET(M$10,$A636*2,0),'Mapping A'!$B$6:$E$1011,4,0)=1,$E636,""),0)</f>
        <v>0</v>
      </c>
      <c r="N636" s="519">
        <f ca="1">_xlfn.IFNA(IF(VLOOKUP($B636&amp;OFFSET(N$10,$A636*2,0),'Mapping A'!$B$6:$E$1011,4,0)=1,$E636,""),0)</f>
        <v>0</v>
      </c>
      <c r="O636" s="519">
        <f ca="1">_xlfn.IFNA(IF(VLOOKUP($B636&amp;OFFSET(O$10,$A636*2,0),'Mapping A'!$B$6:$E$1011,4,0)=1,$E636,""),0)</f>
        <v>0</v>
      </c>
      <c r="P636" s="519">
        <f ca="1">_xlfn.IFNA(IF(VLOOKUP($B636&amp;OFFSET(P$10,$A636*2,0),'Mapping A'!$B$6:$E$1011,4,0)=1,$E636,""),0)</f>
        <v>0</v>
      </c>
      <c r="Q636" s="519">
        <f ca="1">_xlfn.IFNA(IF(VLOOKUP($B636&amp;OFFSET(Q$10,$A636*2,0),'Mapping A'!$B$6:$E$1011,4,0)=1,$E636,""),0)</f>
        <v>0</v>
      </c>
      <c r="R636" s="519">
        <f ca="1">_xlfn.IFNA(IF(VLOOKUP($B636&amp;OFFSET(R$10,$A636*2,0),'Mapping A'!$B$6:$E$1011,4,0)=1,$E636,""),0)</f>
        <v>0</v>
      </c>
      <c r="S636" s="519">
        <f ca="1">_xlfn.IFNA(IF(VLOOKUP($B636&amp;OFFSET(S$10,$A636*2,0),'Mapping A'!$B$6:$E$1011,4,0)=1,$E636,""),0)</f>
        <v>0</v>
      </c>
      <c r="T636" s="519">
        <f ca="1">_xlfn.IFNA(IF(VLOOKUP($B636&amp;OFFSET(T$10,$A636*2,0),'Mapping A'!$B$6:$E$1011,4,0)=1,$E636,""),0)</f>
        <v>0</v>
      </c>
      <c r="Y636" s="534" t="str">
        <f t="shared" si="657"/>
        <v>GenesisTKA0111 TKA0</v>
      </c>
      <c r="Z636" s="519" t="str">
        <f>Volumes!H64</f>
        <v>Genesis</v>
      </c>
      <c r="AA636" s="519" t="str">
        <f>Volumes!I64</f>
        <v>TKA0111 TKA0</v>
      </c>
      <c r="AB636" s="519">
        <f>Volumes!J64</f>
        <v>0</v>
      </c>
      <c r="AC636" s="170"/>
      <c r="AE636" s="519">
        <f t="shared" ca="1" si="641"/>
        <v>0</v>
      </c>
      <c r="AF636" s="519">
        <f t="shared" ca="1" si="642"/>
        <v>0</v>
      </c>
      <c r="AG636" s="519">
        <f t="shared" ca="1" si="643"/>
        <v>0</v>
      </c>
      <c r="AH636" s="519">
        <f t="shared" ca="1" si="644"/>
        <v>0</v>
      </c>
      <c r="AI636" s="519">
        <f t="shared" ca="1" si="645"/>
        <v>0</v>
      </c>
      <c r="AJ636" s="519">
        <f t="shared" ca="1" si="646"/>
        <v>0</v>
      </c>
      <c r="AK636" s="519">
        <f t="shared" ca="1" si="647"/>
        <v>0</v>
      </c>
      <c r="AL636" s="519">
        <f t="shared" ca="1" si="648"/>
        <v>0</v>
      </c>
      <c r="AM636" s="519">
        <f t="shared" ca="1" si="649"/>
        <v>0</v>
      </c>
      <c r="AN636" s="519">
        <f t="shared" ca="1" si="650"/>
        <v>0</v>
      </c>
      <c r="AO636" s="519">
        <f t="shared" ca="1" si="651"/>
        <v>0</v>
      </c>
      <c r="AP636" s="519">
        <f t="shared" ca="1" si="652"/>
        <v>0</v>
      </c>
      <c r="AQ636" s="519">
        <f t="shared" ca="1" si="653"/>
        <v>0</v>
      </c>
    </row>
    <row r="637" spans="1:43" x14ac:dyDescent="0.3">
      <c r="A637" s="556">
        <f t="shared" si="654"/>
        <v>4</v>
      </c>
      <c r="B637" s="519" t="str">
        <f t="shared" si="655"/>
        <v>TKA</v>
      </c>
      <c r="C637" s="519" t="str">
        <f>Volumes!H65</f>
        <v>Genesis</v>
      </c>
      <c r="D637" s="519" t="str">
        <f>Volumes!I65</f>
        <v>TKA0111 TKA1</v>
      </c>
      <c r="E637" s="519">
        <f>Volumes!J65</f>
        <v>51.151683320001034</v>
      </c>
      <c r="G637" s="525"/>
      <c r="H637" s="519">
        <f ca="1">_xlfn.IFNA(IF(VLOOKUP($B637&amp;OFFSET(H$10,$A637*2,0),'Mapping A'!$B$6:$E$1011,4,0)=1,$E637,""),0)</f>
        <v>0</v>
      </c>
      <c r="I637" s="519">
        <f ca="1">_xlfn.IFNA(IF(VLOOKUP($B637&amp;OFFSET(I$10,$A637*2,0),'Mapping A'!$B$6:$E$1011,4,0)=1,$E637,""),0)</f>
        <v>0</v>
      </c>
      <c r="J637" s="519">
        <f ca="1">_xlfn.IFNA(IF(VLOOKUP($B637&amp;OFFSET(J$10,$A637*2,0),'Mapping A'!$B$6:$E$1011,4,0)=1,$E637,""),0)</f>
        <v>0</v>
      </c>
      <c r="K637" s="519">
        <f ca="1">_xlfn.IFNA(IF(VLOOKUP($B637&amp;OFFSET(K$10,$A637*2,0),'Mapping A'!$B$6:$E$1011,4,0)=1,$E637,""),0)</f>
        <v>0</v>
      </c>
      <c r="L637" s="519">
        <f ca="1">_xlfn.IFNA(IF(VLOOKUP($B637&amp;OFFSET(L$10,$A637*2,0),'Mapping A'!$B$6:$E$1011,4,0)=1,$E637,""),0)</f>
        <v>0</v>
      </c>
      <c r="M637" s="519">
        <f ca="1">_xlfn.IFNA(IF(VLOOKUP($B637&amp;OFFSET(M$10,$A637*2,0),'Mapping A'!$B$6:$E$1011,4,0)=1,$E637,""),0)</f>
        <v>0</v>
      </c>
      <c r="N637" s="519">
        <f ca="1">_xlfn.IFNA(IF(VLOOKUP($B637&amp;OFFSET(N$10,$A637*2,0),'Mapping A'!$B$6:$E$1011,4,0)=1,$E637,""),0)</f>
        <v>0</v>
      </c>
      <c r="O637" s="519">
        <f ca="1">_xlfn.IFNA(IF(VLOOKUP($B637&amp;OFFSET(O$10,$A637*2,0),'Mapping A'!$B$6:$E$1011,4,0)=1,$E637,""),0)</f>
        <v>51.151683320001034</v>
      </c>
      <c r="P637" s="519">
        <f ca="1">_xlfn.IFNA(IF(VLOOKUP($B637&amp;OFFSET(P$10,$A637*2,0),'Mapping A'!$B$6:$E$1011,4,0)=1,$E637,""),0)</f>
        <v>0</v>
      </c>
      <c r="Q637" s="519">
        <f ca="1">_xlfn.IFNA(IF(VLOOKUP($B637&amp;OFFSET(Q$10,$A637*2,0),'Mapping A'!$B$6:$E$1011,4,0)=1,$E637,""),0)</f>
        <v>0</v>
      </c>
      <c r="R637" s="519">
        <f ca="1">_xlfn.IFNA(IF(VLOOKUP($B637&amp;OFFSET(R$10,$A637*2,0),'Mapping A'!$B$6:$E$1011,4,0)=1,$E637,""),0)</f>
        <v>0</v>
      </c>
      <c r="S637" s="519">
        <f ca="1">_xlfn.IFNA(IF(VLOOKUP($B637&amp;OFFSET(S$10,$A637*2,0),'Mapping A'!$B$6:$E$1011,4,0)=1,$E637,""),0)</f>
        <v>0</v>
      </c>
      <c r="T637" s="519">
        <f ca="1">_xlfn.IFNA(IF(VLOOKUP($B637&amp;OFFSET(T$10,$A637*2,0),'Mapping A'!$B$6:$E$1011,4,0)=1,$E637,""),0)</f>
        <v>0</v>
      </c>
      <c r="Y637" s="534" t="str">
        <f t="shared" si="657"/>
        <v>GenesisTKA0111 TKA1</v>
      </c>
      <c r="Z637" s="519" t="str">
        <f>Volumes!H65</f>
        <v>Genesis</v>
      </c>
      <c r="AA637" s="519" t="str">
        <f>Volumes!I65</f>
        <v>TKA0111 TKA1</v>
      </c>
      <c r="AB637" s="519">
        <f>Volumes!J65</f>
        <v>51.151683320001034</v>
      </c>
      <c r="AC637" s="170"/>
      <c r="AE637" s="519">
        <f t="shared" ca="1" si="641"/>
        <v>0</v>
      </c>
      <c r="AF637" s="519">
        <f t="shared" ca="1" si="642"/>
        <v>0</v>
      </c>
      <c r="AG637" s="519">
        <f t="shared" ca="1" si="643"/>
        <v>0</v>
      </c>
      <c r="AH637" s="519">
        <f t="shared" ca="1" si="644"/>
        <v>0</v>
      </c>
      <c r="AI637" s="519">
        <f t="shared" ca="1" si="645"/>
        <v>0</v>
      </c>
      <c r="AJ637" s="519">
        <f t="shared" ca="1" si="646"/>
        <v>0</v>
      </c>
      <c r="AK637" s="519">
        <f t="shared" ca="1" si="647"/>
        <v>0</v>
      </c>
      <c r="AL637" s="519">
        <f t="shared" ca="1" si="648"/>
        <v>7.2710276196660834E-3</v>
      </c>
      <c r="AM637" s="519">
        <f t="shared" ca="1" si="649"/>
        <v>0</v>
      </c>
      <c r="AN637" s="519">
        <f t="shared" ca="1" si="650"/>
        <v>0</v>
      </c>
      <c r="AO637" s="519">
        <f t="shared" ca="1" si="651"/>
        <v>0</v>
      </c>
      <c r="AP637" s="519">
        <f t="shared" ca="1" si="652"/>
        <v>0</v>
      </c>
      <c r="AQ637" s="519">
        <f t="shared" ca="1" si="653"/>
        <v>0</v>
      </c>
    </row>
    <row r="638" spans="1:43" x14ac:dyDescent="0.3">
      <c r="A638" s="556">
        <f t="shared" si="654"/>
        <v>4</v>
      </c>
      <c r="B638" s="519" t="str">
        <f t="shared" si="655"/>
        <v>TKB</v>
      </c>
      <c r="C638" s="519" t="str">
        <f>Volumes!H66</f>
        <v>Genesis</v>
      </c>
      <c r="D638" s="519" t="str">
        <f>Volumes!I66</f>
        <v>TKB2201 TKB0</v>
      </c>
      <c r="E638" s="519">
        <f>Volumes!J66</f>
        <v>0</v>
      </c>
      <c r="G638" s="525"/>
      <c r="H638" s="519">
        <f ca="1">_xlfn.IFNA(IF(VLOOKUP($B638&amp;OFFSET(H$10,$A638*2,0),'Mapping A'!$B$6:$E$1011,4,0)=1,$E638,""),0)</f>
        <v>0</v>
      </c>
      <c r="I638" s="519">
        <f ca="1">_xlfn.IFNA(IF(VLOOKUP($B638&amp;OFFSET(I$10,$A638*2,0),'Mapping A'!$B$6:$E$1011,4,0)=1,$E638,""),0)</f>
        <v>0</v>
      </c>
      <c r="J638" s="519">
        <f ca="1">_xlfn.IFNA(IF(VLOOKUP($B638&amp;OFFSET(J$10,$A638*2,0),'Mapping A'!$B$6:$E$1011,4,0)=1,$E638,""),0)</f>
        <v>0</v>
      </c>
      <c r="K638" s="519">
        <f ca="1">_xlfn.IFNA(IF(VLOOKUP($B638&amp;OFFSET(K$10,$A638*2,0),'Mapping A'!$B$6:$E$1011,4,0)=1,$E638,""),0)</f>
        <v>0</v>
      </c>
      <c r="L638" s="519">
        <f ca="1">_xlfn.IFNA(IF(VLOOKUP($B638&amp;OFFSET(L$10,$A638*2,0),'Mapping A'!$B$6:$E$1011,4,0)=1,$E638,""),0)</f>
        <v>0</v>
      </c>
      <c r="M638" s="519">
        <f ca="1">_xlfn.IFNA(IF(VLOOKUP($B638&amp;OFFSET(M$10,$A638*2,0),'Mapping A'!$B$6:$E$1011,4,0)=1,$E638,""),0)</f>
        <v>0</v>
      </c>
      <c r="N638" s="519">
        <f ca="1">_xlfn.IFNA(IF(VLOOKUP($B638&amp;OFFSET(N$10,$A638*2,0),'Mapping A'!$B$6:$E$1011,4,0)=1,$E638,""),0)</f>
        <v>0</v>
      </c>
      <c r="O638" s="519">
        <f ca="1">_xlfn.IFNA(IF(VLOOKUP($B638&amp;OFFSET(O$10,$A638*2,0),'Mapping A'!$B$6:$E$1011,4,0)=1,$E638,""),0)</f>
        <v>0</v>
      </c>
      <c r="P638" s="519">
        <f ca="1">_xlfn.IFNA(IF(VLOOKUP($B638&amp;OFFSET(P$10,$A638*2,0),'Mapping A'!$B$6:$E$1011,4,0)=1,$E638,""),0)</f>
        <v>0</v>
      </c>
      <c r="Q638" s="519">
        <f ca="1">_xlfn.IFNA(IF(VLOOKUP($B638&amp;OFFSET(Q$10,$A638*2,0),'Mapping A'!$B$6:$E$1011,4,0)=1,$E638,""),0)</f>
        <v>0</v>
      </c>
      <c r="R638" s="519">
        <f ca="1">_xlfn.IFNA(IF(VLOOKUP($B638&amp;OFFSET(R$10,$A638*2,0),'Mapping A'!$B$6:$E$1011,4,0)=1,$E638,""),0)</f>
        <v>0</v>
      </c>
      <c r="S638" s="519">
        <f ca="1">_xlfn.IFNA(IF(VLOOKUP($B638&amp;OFFSET(S$10,$A638*2,0),'Mapping A'!$B$6:$E$1011,4,0)=1,$E638,""),0)</f>
        <v>0</v>
      </c>
      <c r="T638" s="519">
        <f ca="1">_xlfn.IFNA(IF(VLOOKUP($B638&amp;OFFSET(T$10,$A638*2,0),'Mapping A'!$B$6:$E$1011,4,0)=1,$E638,""),0)</f>
        <v>0</v>
      </c>
      <c r="Y638" s="534" t="str">
        <f t="shared" si="657"/>
        <v>GenesisTKB2201 TKB0</v>
      </c>
      <c r="Z638" s="519" t="str">
        <f>Volumes!H66</f>
        <v>Genesis</v>
      </c>
      <c r="AA638" s="519" t="str">
        <f>Volumes!I66</f>
        <v>TKB2201 TKB0</v>
      </c>
      <c r="AB638" s="519">
        <f>Volumes!J66</f>
        <v>0</v>
      </c>
      <c r="AC638" s="170"/>
      <c r="AE638" s="519">
        <f t="shared" ca="1" si="641"/>
        <v>0</v>
      </c>
      <c r="AF638" s="519">
        <f t="shared" ca="1" si="642"/>
        <v>0</v>
      </c>
      <c r="AG638" s="519">
        <f t="shared" ca="1" si="643"/>
        <v>0</v>
      </c>
      <c r="AH638" s="519">
        <f t="shared" ca="1" si="644"/>
        <v>0</v>
      </c>
      <c r="AI638" s="519">
        <f t="shared" ca="1" si="645"/>
        <v>0</v>
      </c>
      <c r="AJ638" s="519">
        <f t="shared" ca="1" si="646"/>
        <v>0</v>
      </c>
      <c r="AK638" s="519">
        <f t="shared" ca="1" si="647"/>
        <v>0</v>
      </c>
      <c r="AL638" s="519">
        <f t="shared" ca="1" si="648"/>
        <v>0</v>
      </c>
      <c r="AM638" s="519">
        <f t="shared" ca="1" si="649"/>
        <v>0</v>
      </c>
      <c r="AN638" s="519">
        <f t="shared" ca="1" si="650"/>
        <v>0</v>
      </c>
      <c r="AO638" s="519">
        <f t="shared" ca="1" si="651"/>
        <v>0</v>
      </c>
      <c r="AP638" s="519">
        <f t="shared" ca="1" si="652"/>
        <v>0</v>
      </c>
      <c r="AQ638" s="519">
        <f t="shared" ca="1" si="653"/>
        <v>0</v>
      </c>
    </row>
    <row r="639" spans="1:43" x14ac:dyDescent="0.3">
      <c r="A639" s="556">
        <f t="shared" si="654"/>
        <v>4</v>
      </c>
      <c r="B639" s="519" t="str">
        <f t="shared" si="655"/>
        <v>TKB</v>
      </c>
      <c r="C639" s="519" t="str">
        <f>Volumes!H67</f>
        <v>Genesis</v>
      </c>
      <c r="D639" s="519" t="str">
        <f>Volumes!I67</f>
        <v>TKB2201 TKB1</v>
      </c>
      <c r="E639" s="519">
        <f>Volumes!J67</f>
        <v>795.29663079998124</v>
      </c>
      <c r="G639" s="525"/>
      <c r="H639" s="519">
        <f ca="1">_xlfn.IFNA(IF(VLOOKUP($B639&amp;OFFSET(H$10,$A639*2,0),'Mapping A'!$B$6:$E$1011,4,0)=1,$E639,""),0)</f>
        <v>0</v>
      </c>
      <c r="I639" s="519">
        <f ca="1">_xlfn.IFNA(IF(VLOOKUP($B639&amp;OFFSET(I$10,$A639*2,0),'Mapping A'!$B$6:$E$1011,4,0)=1,$E639,""),0)</f>
        <v>0</v>
      </c>
      <c r="J639" s="519">
        <f ca="1">_xlfn.IFNA(IF(VLOOKUP($B639&amp;OFFSET(J$10,$A639*2,0),'Mapping A'!$B$6:$E$1011,4,0)=1,$E639,""),0)</f>
        <v>0</v>
      </c>
      <c r="K639" s="519">
        <f ca="1">_xlfn.IFNA(IF(VLOOKUP($B639&amp;OFFSET(K$10,$A639*2,0),'Mapping A'!$B$6:$E$1011,4,0)=1,$E639,""),0)</f>
        <v>0</v>
      </c>
      <c r="L639" s="519">
        <f ca="1">_xlfn.IFNA(IF(VLOOKUP($B639&amp;OFFSET(L$10,$A639*2,0),'Mapping A'!$B$6:$E$1011,4,0)=1,$E639,""),0)</f>
        <v>0</v>
      </c>
      <c r="M639" s="519">
        <f ca="1">_xlfn.IFNA(IF(VLOOKUP($B639&amp;OFFSET(M$10,$A639*2,0),'Mapping A'!$B$6:$E$1011,4,0)=1,$E639,""),0)</f>
        <v>0</v>
      </c>
      <c r="N639" s="519">
        <f ca="1">_xlfn.IFNA(IF(VLOOKUP($B639&amp;OFFSET(N$10,$A639*2,0),'Mapping A'!$B$6:$E$1011,4,0)=1,$E639,""),0)</f>
        <v>0</v>
      </c>
      <c r="O639" s="519">
        <f ca="1">_xlfn.IFNA(IF(VLOOKUP($B639&amp;OFFSET(O$10,$A639*2,0),'Mapping A'!$B$6:$E$1011,4,0)=1,$E639,""),0)</f>
        <v>795.29663079998124</v>
      </c>
      <c r="P639" s="519">
        <f ca="1">_xlfn.IFNA(IF(VLOOKUP($B639&amp;OFFSET(P$10,$A639*2,0),'Mapping A'!$B$6:$E$1011,4,0)=1,$E639,""),0)</f>
        <v>0</v>
      </c>
      <c r="Q639" s="519">
        <f ca="1">_xlfn.IFNA(IF(VLOOKUP($B639&amp;OFFSET(Q$10,$A639*2,0),'Mapping A'!$B$6:$E$1011,4,0)=1,$E639,""),0)</f>
        <v>0</v>
      </c>
      <c r="R639" s="519">
        <f ca="1">_xlfn.IFNA(IF(VLOOKUP($B639&amp;OFFSET(R$10,$A639*2,0),'Mapping A'!$B$6:$E$1011,4,0)=1,$E639,""),0)</f>
        <v>0</v>
      </c>
      <c r="S639" s="519">
        <f ca="1">_xlfn.IFNA(IF(VLOOKUP($B639&amp;OFFSET(S$10,$A639*2,0),'Mapping A'!$B$6:$E$1011,4,0)=1,$E639,""),0)</f>
        <v>0</v>
      </c>
      <c r="T639" s="519">
        <f ca="1">_xlfn.IFNA(IF(VLOOKUP($B639&amp;OFFSET(T$10,$A639*2,0),'Mapping A'!$B$6:$E$1011,4,0)=1,$E639,""),0)</f>
        <v>0</v>
      </c>
      <c r="Y639" s="534" t="str">
        <f t="shared" si="657"/>
        <v>GenesisTKB2201 TKB1</v>
      </c>
      <c r="Z639" s="519" t="str">
        <f>Volumes!H67</f>
        <v>Genesis</v>
      </c>
      <c r="AA639" s="519" t="str">
        <f>Volumes!I67</f>
        <v>TKB2201 TKB1</v>
      </c>
      <c r="AB639" s="519">
        <f>Volumes!J67</f>
        <v>795.29663079998124</v>
      </c>
      <c r="AC639" s="170"/>
      <c r="AE639" s="519">
        <f t="shared" ref="AE639:AE652" ca="1" si="658">IF(SUMIF($A$22:$A$652,$A639,H$22:H$652)=0,0,OFFSET(H$11,$A639*2,0)*H$7*H639/SUMIF($A$22:$A$652,$A639,H$22:H$652))</f>
        <v>0</v>
      </c>
      <c r="AF639" s="519">
        <f t="shared" ref="AF639:AF652" ca="1" si="659">IF(SUMIF($A$22:$A$652,$A639,I$22:I$652)=0,0,OFFSET(I$11,$A639*2,0)*I$7*I639/SUMIF($A$22:$A$652,$A639,I$22:I$652))</f>
        <v>0</v>
      </c>
      <c r="AG639" s="519">
        <f t="shared" ref="AG639:AG652" ca="1" si="660">IF(SUMIF($A$22:$A$652,$A639,J$22:J$652)=0,0,OFFSET(J$11,$A639*2,0)*J$7*J639/SUMIF($A$22:$A$652,$A639,J$22:J$652))</f>
        <v>0</v>
      </c>
      <c r="AH639" s="519">
        <f t="shared" ref="AH639:AH652" ca="1" si="661">IF(SUMIF($A$22:$A$652,$A639,K$22:K$652)=0,0,OFFSET(K$11,$A639*2,0)*K$7*K639/SUMIF($A$22:$A$652,$A639,K$22:K$652))</f>
        <v>0</v>
      </c>
      <c r="AI639" s="519">
        <f t="shared" ref="AI639:AI652" ca="1" si="662">IF(SUMIF($A$22:$A$652,$A639,L$22:L$652)=0,0,OFFSET(L$11,$A639*2,0)*L$7*L639/SUMIF($A$22:$A$652,$A639,L$22:L$652))</f>
        <v>0</v>
      </c>
      <c r="AJ639" s="519">
        <f t="shared" ref="AJ639:AJ652" ca="1" si="663">IF(SUMIF($A$22:$A$652,$A639,M$22:M$652)=0,0,OFFSET(M$11,$A639*2,0)*M$7*M639/SUMIF($A$22:$A$652,$A639,M$22:M$652))</f>
        <v>0</v>
      </c>
      <c r="AK639" s="519">
        <f t="shared" ref="AK639:AK652" ca="1" si="664">IF(SUMIF($A$22:$A$652,$A639,N$22:N$652)=0,0,OFFSET(N$11,$A639*2,0)*N$7*N639/SUMIF($A$22:$A$652,$A639,N$22:N$652))</f>
        <v>0</v>
      </c>
      <c r="AL639" s="519">
        <f t="shared" ref="AL639:AL652" ca="1" si="665">IF(SUMIF($A$22:$A$652,$A639,O$22:O$652)=0,0,OFFSET(O$11,$A639*2,0)*O$7*O639/SUMIF($A$22:$A$652,$A639,O$22:O$652))</f>
        <v>0.11304855271718803</v>
      </c>
      <c r="AM639" s="519">
        <f t="shared" ref="AM639:AM652" ca="1" si="666">IF(SUMIF($A$22:$A$652,$A639,P$22:P$652)=0,0,OFFSET(P$11,$A639*2,0)*P$7*P639/SUMIF($A$22:$A$652,$A639,P$22:P$652))</f>
        <v>0</v>
      </c>
      <c r="AN639" s="519">
        <f t="shared" ref="AN639:AN652" ca="1" si="667">IF(SUMIF($A$22:$A$652,$A639,Q$22:Q$652)=0,0,OFFSET(Q$11,$A639*2,0)*Q$7*Q639/SUMIF($A$22:$A$652,$A639,Q$22:Q$652))</f>
        <v>0</v>
      </c>
      <c r="AO639" s="519">
        <f t="shared" ref="AO639:AO652" ca="1" si="668">IF(SUMIF($A$22:$A$652,$A639,R$22:R$652)=0,0,OFFSET(R$11,$A639*2,0)*R$7*R639/SUMIF($A$22:$A$652,$A639,R$22:R$652))</f>
        <v>0</v>
      </c>
      <c r="AP639" s="519">
        <f t="shared" ref="AP639:AP652" ca="1" si="669">IF(SUMIF($A$22:$A$652,$A639,S$22:S$652)=0,0,OFFSET(S$11,$A639*2,0)*S$7*S639/SUMIF($A$22:$A$652,$A639,S$22:S$652))</f>
        <v>0</v>
      </c>
      <c r="AQ639" s="519">
        <f t="shared" ref="AQ639:AQ652" ca="1" si="670">IF(SUMIF($A$22:$A$652,$A639,T$22:T$652)=0,0,OFFSET(T$11,$A639*2,0)*T$7*T639/SUMIF($A$22:$A$652,$A639,T$22:T$652))</f>
        <v>0</v>
      </c>
    </row>
    <row r="640" spans="1:43" x14ac:dyDescent="0.3">
      <c r="A640" s="556">
        <f t="shared" ref="A640:A652" si="671">A557+1</f>
        <v>4</v>
      </c>
      <c r="B640" s="519" t="str">
        <f t="shared" ref="B640:B652" si="672">LEFT(D640,3)</f>
        <v>TKU</v>
      </c>
      <c r="C640" s="519" t="str">
        <f>Volumes!H68</f>
        <v>Genesis</v>
      </c>
      <c r="D640" s="519" t="str">
        <f>Volumes!I68</f>
        <v>TKU2201 TKU0</v>
      </c>
      <c r="E640" s="519">
        <f>Volumes!J68</f>
        <v>599.30407976499782</v>
      </c>
      <c r="G640" s="525"/>
      <c r="H640" s="519">
        <f ca="1">_xlfn.IFNA(IF(VLOOKUP($B640&amp;OFFSET(H$10,$A640*2,0),'Mapping A'!$B$6:$E$1011,4,0)=1,$E640,""),0)</f>
        <v>0</v>
      </c>
      <c r="I640" s="519">
        <f ca="1">_xlfn.IFNA(IF(VLOOKUP($B640&amp;OFFSET(I$10,$A640*2,0),'Mapping A'!$B$6:$E$1011,4,0)=1,$E640,""),0)</f>
        <v>0</v>
      </c>
      <c r="J640" s="519">
        <f ca="1">_xlfn.IFNA(IF(VLOOKUP($B640&amp;OFFSET(J$10,$A640*2,0),'Mapping A'!$B$6:$E$1011,4,0)=1,$E640,""),0)</f>
        <v>0</v>
      </c>
      <c r="K640" s="519">
        <f ca="1">_xlfn.IFNA(IF(VLOOKUP($B640&amp;OFFSET(K$10,$A640*2,0),'Mapping A'!$B$6:$E$1011,4,0)=1,$E640,""),0)</f>
        <v>0</v>
      </c>
      <c r="L640" s="519">
        <f ca="1">_xlfn.IFNA(IF(VLOOKUP($B640&amp;OFFSET(L$10,$A640*2,0),'Mapping A'!$B$6:$E$1011,4,0)=1,$E640,""),0)</f>
        <v>0</v>
      </c>
      <c r="M640" s="519">
        <f ca="1">_xlfn.IFNA(IF(VLOOKUP($B640&amp;OFFSET(M$10,$A640*2,0),'Mapping A'!$B$6:$E$1011,4,0)=1,$E640,""),0)</f>
        <v>0</v>
      </c>
      <c r="N640" s="519">
        <f ca="1">_xlfn.IFNA(IF(VLOOKUP($B640&amp;OFFSET(N$10,$A640*2,0),'Mapping A'!$B$6:$E$1011,4,0)=1,$E640,""),0)</f>
        <v>0</v>
      </c>
      <c r="O640" s="519">
        <f ca="1">_xlfn.IFNA(IF(VLOOKUP($B640&amp;OFFSET(O$10,$A640*2,0),'Mapping A'!$B$6:$E$1011,4,0)=1,$E640,""),0)</f>
        <v>0</v>
      </c>
      <c r="P640" s="519">
        <f ca="1">_xlfn.IFNA(IF(VLOOKUP($B640&amp;OFFSET(P$10,$A640*2,0),'Mapping A'!$B$6:$E$1011,4,0)=1,$E640,""),0)</f>
        <v>0</v>
      </c>
      <c r="Q640" s="519">
        <f ca="1">_xlfn.IFNA(IF(VLOOKUP($B640&amp;OFFSET(Q$10,$A640*2,0),'Mapping A'!$B$6:$E$1011,4,0)=1,$E640,""),0)</f>
        <v>0</v>
      </c>
      <c r="R640" s="519">
        <f ca="1">_xlfn.IFNA(IF(VLOOKUP($B640&amp;OFFSET(R$10,$A640*2,0),'Mapping A'!$B$6:$E$1011,4,0)=1,$E640,""),0)</f>
        <v>0</v>
      </c>
      <c r="S640" s="519">
        <f ca="1">_xlfn.IFNA(IF(VLOOKUP($B640&amp;OFFSET(S$10,$A640*2,0),'Mapping A'!$B$6:$E$1011,4,0)=1,$E640,""),0)</f>
        <v>0</v>
      </c>
      <c r="T640" s="519">
        <f ca="1">_xlfn.IFNA(IF(VLOOKUP($B640&amp;OFFSET(T$10,$A640*2,0),'Mapping A'!$B$6:$E$1011,4,0)=1,$E640,""),0)</f>
        <v>0</v>
      </c>
      <c r="Y640" s="534" t="str">
        <f t="shared" si="657"/>
        <v>GenesisTKU2201 TKU0</v>
      </c>
      <c r="Z640" s="519" t="str">
        <f>Volumes!H68</f>
        <v>Genesis</v>
      </c>
      <c r="AA640" s="519" t="str">
        <f>Volumes!I68</f>
        <v>TKU2201 TKU0</v>
      </c>
      <c r="AB640" s="519">
        <f>Volumes!J68</f>
        <v>599.30407976499782</v>
      </c>
      <c r="AC640" s="170"/>
      <c r="AE640" s="519">
        <f t="shared" ca="1" si="658"/>
        <v>0</v>
      </c>
      <c r="AF640" s="519">
        <f t="shared" ca="1" si="659"/>
        <v>0</v>
      </c>
      <c r="AG640" s="519">
        <f t="shared" ca="1" si="660"/>
        <v>0</v>
      </c>
      <c r="AH640" s="519">
        <f t="shared" ca="1" si="661"/>
        <v>0</v>
      </c>
      <c r="AI640" s="519">
        <f t="shared" ca="1" si="662"/>
        <v>0</v>
      </c>
      <c r="AJ640" s="519">
        <f t="shared" ca="1" si="663"/>
        <v>0</v>
      </c>
      <c r="AK640" s="519">
        <f t="shared" ca="1" si="664"/>
        <v>0</v>
      </c>
      <c r="AL640" s="519">
        <f t="shared" ca="1" si="665"/>
        <v>0</v>
      </c>
      <c r="AM640" s="519">
        <f t="shared" ca="1" si="666"/>
        <v>0</v>
      </c>
      <c r="AN640" s="519">
        <f t="shared" ca="1" si="667"/>
        <v>0</v>
      </c>
      <c r="AO640" s="519">
        <f t="shared" ca="1" si="668"/>
        <v>0</v>
      </c>
      <c r="AP640" s="519">
        <f t="shared" ca="1" si="669"/>
        <v>0</v>
      </c>
      <c r="AQ640" s="519">
        <f t="shared" ca="1" si="670"/>
        <v>0</v>
      </c>
    </row>
    <row r="641" spans="1:43" x14ac:dyDescent="0.3">
      <c r="A641" s="556">
        <f t="shared" si="671"/>
        <v>4</v>
      </c>
      <c r="B641" s="519" t="str">
        <f t="shared" si="672"/>
        <v>TUI</v>
      </c>
      <c r="C641" s="519" t="str">
        <f>Volumes!H69</f>
        <v>Genesis</v>
      </c>
      <c r="D641" s="519" t="str">
        <f>Volumes!I69</f>
        <v>TUI1101 KTW0</v>
      </c>
      <c r="E641" s="519">
        <f>Volumes!J69</f>
        <v>82.35616998000458</v>
      </c>
      <c r="G641" s="525"/>
      <c r="H641" s="519">
        <f ca="1">_xlfn.IFNA(IF(VLOOKUP($B641&amp;OFFSET(H$10,$A641*2,0),'Mapping A'!$B$6:$E$1011,4,0)=1,$E641,""),0)</f>
        <v>0</v>
      </c>
      <c r="I641" s="519">
        <f ca="1">_xlfn.IFNA(IF(VLOOKUP($B641&amp;OFFSET(I$10,$A641*2,0),'Mapping A'!$B$6:$E$1011,4,0)=1,$E641,""),0)</f>
        <v>0</v>
      </c>
      <c r="J641" s="519">
        <f ca="1">_xlfn.IFNA(IF(VLOOKUP($B641&amp;OFFSET(J$10,$A641*2,0),'Mapping A'!$B$6:$E$1011,4,0)=1,$E641,""),0)</f>
        <v>0</v>
      </c>
      <c r="K641" s="519">
        <f ca="1">_xlfn.IFNA(IF(VLOOKUP($B641&amp;OFFSET(K$10,$A641*2,0),'Mapping A'!$B$6:$E$1011,4,0)=1,$E641,""),0)</f>
        <v>0</v>
      </c>
      <c r="L641" s="519">
        <f ca="1">_xlfn.IFNA(IF(VLOOKUP($B641&amp;OFFSET(L$10,$A641*2,0),'Mapping A'!$B$6:$E$1011,4,0)=1,$E641,""),0)</f>
        <v>0</v>
      </c>
      <c r="M641" s="519">
        <f ca="1">_xlfn.IFNA(IF(VLOOKUP($B641&amp;OFFSET(M$10,$A641*2,0),'Mapping A'!$B$6:$E$1011,4,0)=1,$E641,""),0)</f>
        <v>0</v>
      </c>
      <c r="N641" s="519">
        <f ca="1">_xlfn.IFNA(IF(VLOOKUP($B641&amp;OFFSET(N$10,$A641*2,0),'Mapping A'!$B$6:$E$1011,4,0)=1,$E641,""),0)</f>
        <v>0</v>
      </c>
      <c r="O641" s="519">
        <f ca="1">_xlfn.IFNA(IF(VLOOKUP($B641&amp;OFFSET(O$10,$A641*2,0),'Mapping A'!$B$6:$E$1011,4,0)=1,$E641,""),0)</f>
        <v>0</v>
      </c>
      <c r="P641" s="519">
        <f ca="1">_xlfn.IFNA(IF(VLOOKUP($B641&amp;OFFSET(P$10,$A641*2,0),'Mapping A'!$B$6:$E$1011,4,0)=1,$E641,""),0)</f>
        <v>0</v>
      </c>
      <c r="Q641" s="519">
        <f ca="1">_xlfn.IFNA(IF(VLOOKUP($B641&amp;OFFSET(Q$10,$A641*2,0),'Mapping A'!$B$6:$E$1011,4,0)=1,$E641,""),0)</f>
        <v>0</v>
      </c>
      <c r="R641" s="519">
        <f ca="1">_xlfn.IFNA(IF(VLOOKUP($B641&amp;OFFSET(R$10,$A641*2,0),'Mapping A'!$B$6:$E$1011,4,0)=1,$E641,""),0)</f>
        <v>0</v>
      </c>
      <c r="S641" s="519">
        <f ca="1">_xlfn.IFNA(IF(VLOOKUP($B641&amp;OFFSET(S$10,$A641*2,0),'Mapping A'!$B$6:$E$1011,4,0)=1,$E641,""),0)</f>
        <v>0</v>
      </c>
      <c r="T641" s="519">
        <f ca="1">_xlfn.IFNA(IF(VLOOKUP($B641&amp;OFFSET(T$10,$A641*2,0),'Mapping A'!$B$6:$E$1011,4,0)=1,$E641,""),0)</f>
        <v>0</v>
      </c>
      <c r="Y641" s="534" t="str">
        <f t="shared" si="657"/>
        <v>GenesisTUI1101 KTW0</v>
      </c>
      <c r="Z641" s="519" t="str">
        <f>Volumes!H69</f>
        <v>Genesis</v>
      </c>
      <c r="AA641" s="519" t="str">
        <f>Volumes!I69</f>
        <v>TUI1101 KTW0</v>
      </c>
      <c r="AB641" s="519">
        <f>Volumes!J69</f>
        <v>82.35616998000458</v>
      </c>
      <c r="AC641" s="170"/>
      <c r="AE641" s="519">
        <f t="shared" ca="1" si="658"/>
        <v>0</v>
      </c>
      <c r="AF641" s="519">
        <f t="shared" ca="1" si="659"/>
        <v>0</v>
      </c>
      <c r="AG641" s="519">
        <f t="shared" ca="1" si="660"/>
        <v>0</v>
      </c>
      <c r="AH641" s="519">
        <f t="shared" ca="1" si="661"/>
        <v>0</v>
      </c>
      <c r="AI641" s="519">
        <f t="shared" ca="1" si="662"/>
        <v>0</v>
      </c>
      <c r="AJ641" s="519">
        <f t="shared" ca="1" si="663"/>
        <v>0</v>
      </c>
      <c r="AK641" s="519">
        <f t="shared" ca="1" si="664"/>
        <v>0</v>
      </c>
      <c r="AL641" s="519">
        <f t="shared" ca="1" si="665"/>
        <v>0</v>
      </c>
      <c r="AM641" s="519">
        <f t="shared" ca="1" si="666"/>
        <v>0</v>
      </c>
      <c r="AN641" s="519">
        <f t="shared" ca="1" si="667"/>
        <v>0</v>
      </c>
      <c r="AO641" s="519">
        <f t="shared" ca="1" si="668"/>
        <v>0</v>
      </c>
      <c r="AP641" s="519">
        <f t="shared" ca="1" si="669"/>
        <v>0</v>
      </c>
      <c r="AQ641" s="519">
        <f t="shared" ca="1" si="670"/>
        <v>0</v>
      </c>
    </row>
    <row r="642" spans="1:43" x14ac:dyDescent="0.3">
      <c r="A642" s="556">
        <f t="shared" si="671"/>
        <v>4</v>
      </c>
      <c r="B642" s="519" t="str">
        <f t="shared" si="672"/>
        <v>TUI</v>
      </c>
      <c r="C642" s="519" t="str">
        <f>Volumes!H70</f>
        <v>Genesis</v>
      </c>
      <c r="D642" s="519" t="str">
        <f>Volumes!I70</f>
        <v>TUI1101 PRI0</v>
      </c>
      <c r="E642" s="519">
        <f>Volumes!J70</f>
        <v>136.43332245998818</v>
      </c>
      <c r="G642" s="525"/>
      <c r="H642" s="519">
        <f ca="1">_xlfn.IFNA(IF(VLOOKUP($B642&amp;OFFSET(H$10,$A642*2,0),'Mapping A'!$B$6:$E$1011,4,0)=1,$E642,""),0)</f>
        <v>0</v>
      </c>
      <c r="I642" s="519">
        <f ca="1">_xlfn.IFNA(IF(VLOOKUP($B642&amp;OFFSET(I$10,$A642*2,0),'Mapping A'!$B$6:$E$1011,4,0)=1,$E642,""),0)</f>
        <v>0</v>
      </c>
      <c r="J642" s="519">
        <f ca="1">_xlfn.IFNA(IF(VLOOKUP($B642&amp;OFFSET(J$10,$A642*2,0),'Mapping A'!$B$6:$E$1011,4,0)=1,$E642,""),0)</f>
        <v>0</v>
      </c>
      <c r="K642" s="519">
        <f ca="1">_xlfn.IFNA(IF(VLOOKUP($B642&amp;OFFSET(K$10,$A642*2,0),'Mapping A'!$B$6:$E$1011,4,0)=1,$E642,""),0)</f>
        <v>0</v>
      </c>
      <c r="L642" s="519">
        <f ca="1">_xlfn.IFNA(IF(VLOOKUP($B642&amp;OFFSET(L$10,$A642*2,0),'Mapping A'!$B$6:$E$1011,4,0)=1,$E642,""),0)</f>
        <v>0</v>
      </c>
      <c r="M642" s="519">
        <f ca="1">_xlfn.IFNA(IF(VLOOKUP($B642&amp;OFFSET(M$10,$A642*2,0),'Mapping A'!$B$6:$E$1011,4,0)=1,$E642,""),0)</f>
        <v>0</v>
      </c>
      <c r="N642" s="519">
        <f ca="1">_xlfn.IFNA(IF(VLOOKUP($B642&amp;OFFSET(N$10,$A642*2,0),'Mapping A'!$B$6:$E$1011,4,0)=1,$E642,""),0)</f>
        <v>0</v>
      </c>
      <c r="O642" s="519">
        <f ca="1">_xlfn.IFNA(IF(VLOOKUP($B642&amp;OFFSET(O$10,$A642*2,0),'Mapping A'!$B$6:$E$1011,4,0)=1,$E642,""),0)</f>
        <v>0</v>
      </c>
      <c r="P642" s="519">
        <f ca="1">_xlfn.IFNA(IF(VLOOKUP($B642&amp;OFFSET(P$10,$A642*2,0),'Mapping A'!$B$6:$E$1011,4,0)=1,$E642,""),0)</f>
        <v>0</v>
      </c>
      <c r="Q642" s="519">
        <f ca="1">_xlfn.IFNA(IF(VLOOKUP($B642&amp;OFFSET(Q$10,$A642*2,0),'Mapping A'!$B$6:$E$1011,4,0)=1,$E642,""),0)</f>
        <v>0</v>
      </c>
      <c r="R642" s="519">
        <f ca="1">_xlfn.IFNA(IF(VLOOKUP($B642&amp;OFFSET(R$10,$A642*2,0),'Mapping A'!$B$6:$E$1011,4,0)=1,$E642,""),0)</f>
        <v>0</v>
      </c>
      <c r="S642" s="519">
        <f ca="1">_xlfn.IFNA(IF(VLOOKUP($B642&amp;OFFSET(S$10,$A642*2,0),'Mapping A'!$B$6:$E$1011,4,0)=1,$E642,""),0)</f>
        <v>0</v>
      </c>
      <c r="T642" s="519">
        <f ca="1">_xlfn.IFNA(IF(VLOOKUP($B642&amp;OFFSET(T$10,$A642*2,0),'Mapping A'!$B$6:$E$1011,4,0)=1,$E642,""),0)</f>
        <v>0</v>
      </c>
      <c r="Y642" s="534" t="str">
        <f t="shared" si="657"/>
        <v>GenesisTUI1101 PRI0</v>
      </c>
      <c r="Z642" s="519" t="str">
        <f>Volumes!H70</f>
        <v>Genesis</v>
      </c>
      <c r="AA642" s="519" t="str">
        <f>Volumes!I70</f>
        <v>TUI1101 PRI0</v>
      </c>
      <c r="AB642" s="519">
        <f>Volumes!J70</f>
        <v>136.43332245998818</v>
      </c>
      <c r="AC642" s="170"/>
      <c r="AE642" s="519">
        <f t="shared" ca="1" si="658"/>
        <v>0</v>
      </c>
      <c r="AF642" s="519">
        <f t="shared" ca="1" si="659"/>
        <v>0</v>
      </c>
      <c r="AG642" s="519">
        <f t="shared" ca="1" si="660"/>
        <v>0</v>
      </c>
      <c r="AH642" s="519">
        <f t="shared" ca="1" si="661"/>
        <v>0</v>
      </c>
      <c r="AI642" s="519">
        <f t="shared" ca="1" si="662"/>
        <v>0</v>
      </c>
      <c r="AJ642" s="519">
        <f t="shared" ca="1" si="663"/>
        <v>0</v>
      </c>
      <c r="AK642" s="519">
        <f t="shared" ca="1" si="664"/>
        <v>0</v>
      </c>
      <c r="AL642" s="519">
        <f t="shared" ca="1" si="665"/>
        <v>0</v>
      </c>
      <c r="AM642" s="519">
        <f t="shared" ca="1" si="666"/>
        <v>0</v>
      </c>
      <c r="AN642" s="519">
        <f t="shared" ca="1" si="667"/>
        <v>0</v>
      </c>
      <c r="AO642" s="519">
        <f t="shared" ca="1" si="668"/>
        <v>0</v>
      </c>
      <c r="AP642" s="519">
        <f t="shared" ca="1" si="669"/>
        <v>0</v>
      </c>
      <c r="AQ642" s="519">
        <f t="shared" ca="1" si="670"/>
        <v>0</v>
      </c>
    </row>
    <row r="643" spans="1:43" x14ac:dyDescent="0.3">
      <c r="A643" s="556">
        <f t="shared" si="671"/>
        <v>4</v>
      </c>
      <c r="B643" s="519" t="str">
        <f t="shared" si="672"/>
        <v>TUI</v>
      </c>
      <c r="C643" s="519" t="str">
        <f>Volumes!H71</f>
        <v>Genesis</v>
      </c>
      <c r="D643" s="519" t="str">
        <f>Volumes!I71</f>
        <v>TUI1101 TUI0</v>
      </c>
      <c r="E643" s="519">
        <f>Volumes!J71</f>
        <v>182.38105642499457</v>
      </c>
      <c r="G643" s="525"/>
      <c r="H643" s="519">
        <f ca="1">_xlfn.IFNA(IF(VLOOKUP($B643&amp;OFFSET(H$10,$A643*2,0),'Mapping A'!$B$6:$E$1011,4,0)=1,$E643,""),0)</f>
        <v>0</v>
      </c>
      <c r="I643" s="519">
        <f ca="1">_xlfn.IFNA(IF(VLOOKUP($B643&amp;OFFSET(I$10,$A643*2,0),'Mapping A'!$B$6:$E$1011,4,0)=1,$E643,""),0)</f>
        <v>0</v>
      </c>
      <c r="J643" s="519">
        <f ca="1">_xlfn.IFNA(IF(VLOOKUP($B643&amp;OFFSET(J$10,$A643*2,0),'Mapping A'!$B$6:$E$1011,4,0)=1,$E643,""),0)</f>
        <v>0</v>
      </c>
      <c r="K643" s="519">
        <f ca="1">_xlfn.IFNA(IF(VLOOKUP($B643&amp;OFFSET(K$10,$A643*2,0),'Mapping A'!$B$6:$E$1011,4,0)=1,$E643,""),0)</f>
        <v>0</v>
      </c>
      <c r="L643" s="519">
        <f ca="1">_xlfn.IFNA(IF(VLOOKUP($B643&amp;OFFSET(L$10,$A643*2,0),'Mapping A'!$B$6:$E$1011,4,0)=1,$E643,""),0)</f>
        <v>0</v>
      </c>
      <c r="M643" s="519">
        <f ca="1">_xlfn.IFNA(IF(VLOOKUP($B643&amp;OFFSET(M$10,$A643*2,0),'Mapping A'!$B$6:$E$1011,4,0)=1,$E643,""),0)</f>
        <v>0</v>
      </c>
      <c r="N643" s="519">
        <f ca="1">_xlfn.IFNA(IF(VLOOKUP($B643&amp;OFFSET(N$10,$A643*2,0),'Mapping A'!$B$6:$E$1011,4,0)=1,$E643,""),0)</f>
        <v>0</v>
      </c>
      <c r="O643" s="519">
        <f ca="1">_xlfn.IFNA(IF(VLOOKUP($B643&amp;OFFSET(O$10,$A643*2,0),'Mapping A'!$B$6:$E$1011,4,0)=1,$E643,""),0)</f>
        <v>0</v>
      </c>
      <c r="P643" s="519">
        <f ca="1">_xlfn.IFNA(IF(VLOOKUP($B643&amp;OFFSET(P$10,$A643*2,0),'Mapping A'!$B$6:$E$1011,4,0)=1,$E643,""),0)</f>
        <v>0</v>
      </c>
      <c r="Q643" s="519">
        <f ca="1">_xlfn.IFNA(IF(VLOOKUP($B643&amp;OFFSET(Q$10,$A643*2,0),'Mapping A'!$B$6:$E$1011,4,0)=1,$E643,""),0)</f>
        <v>0</v>
      </c>
      <c r="R643" s="519">
        <f ca="1">_xlfn.IFNA(IF(VLOOKUP($B643&amp;OFFSET(R$10,$A643*2,0),'Mapping A'!$B$6:$E$1011,4,0)=1,$E643,""),0)</f>
        <v>0</v>
      </c>
      <c r="S643" s="519">
        <f ca="1">_xlfn.IFNA(IF(VLOOKUP($B643&amp;OFFSET(S$10,$A643*2,0),'Mapping A'!$B$6:$E$1011,4,0)=1,$E643,""),0)</f>
        <v>0</v>
      </c>
      <c r="T643" s="519">
        <f ca="1">_xlfn.IFNA(IF(VLOOKUP($B643&amp;OFFSET(T$10,$A643*2,0),'Mapping A'!$B$6:$E$1011,4,0)=1,$E643,""),0)</f>
        <v>0</v>
      </c>
      <c r="Y643" s="534" t="str">
        <f t="shared" si="657"/>
        <v>GenesisTUI1101 TUI0</v>
      </c>
      <c r="Z643" s="519" t="str">
        <f>Volumes!H71</f>
        <v>Genesis</v>
      </c>
      <c r="AA643" s="519" t="str">
        <f>Volumes!I71</f>
        <v>TUI1101 TUI0</v>
      </c>
      <c r="AB643" s="519">
        <f>Volumes!J71</f>
        <v>182.38105642499457</v>
      </c>
      <c r="AC643" s="170"/>
      <c r="AE643" s="519">
        <f t="shared" ca="1" si="658"/>
        <v>0</v>
      </c>
      <c r="AF643" s="519">
        <f t="shared" ca="1" si="659"/>
        <v>0</v>
      </c>
      <c r="AG643" s="519">
        <f t="shared" ca="1" si="660"/>
        <v>0</v>
      </c>
      <c r="AH643" s="519">
        <f t="shared" ca="1" si="661"/>
        <v>0</v>
      </c>
      <c r="AI643" s="519">
        <f t="shared" ca="1" si="662"/>
        <v>0</v>
      </c>
      <c r="AJ643" s="519">
        <f t="shared" ca="1" si="663"/>
        <v>0</v>
      </c>
      <c r="AK643" s="519">
        <f t="shared" ca="1" si="664"/>
        <v>0</v>
      </c>
      <c r="AL643" s="519">
        <f t="shared" ca="1" si="665"/>
        <v>0</v>
      </c>
      <c r="AM643" s="519">
        <f t="shared" ca="1" si="666"/>
        <v>0</v>
      </c>
      <c r="AN643" s="519">
        <f t="shared" ca="1" si="667"/>
        <v>0</v>
      </c>
      <c r="AO643" s="519">
        <f t="shared" ca="1" si="668"/>
        <v>0</v>
      </c>
      <c r="AP643" s="519">
        <f t="shared" ca="1" si="669"/>
        <v>0</v>
      </c>
      <c r="AQ643" s="519">
        <f t="shared" ca="1" si="670"/>
        <v>0</v>
      </c>
    </row>
    <row r="644" spans="1:43" x14ac:dyDescent="0.3">
      <c r="A644" s="556">
        <f t="shared" si="671"/>
        <v>4</v>
      </c>
      <c r="B644" s="519" t="str">
        <f t="shared" si="672"/>
        <v>TWH</v>
      </c>
      <c r="C644" s="519" t="str">
        <f>Volumes!H72</f>
        <v>Contact</v>
      </c>
      <c r="D644" s="519" t="str">
        <f>Volumes!I72</f>
        <v>TWH0331 TRC1</v>
      </c>
      <c r="E644" s="519">
        <f>Volumes!J72</f>
        <v>297.69103500000006</v>
      </c>
      <c r="G644" s="525"/>
      <c r="H644" s="519">
        <f ca="1">_xlfn.IFNA(IF(VLOOKUP($B644&amp;OFFSET(H$10,$A644*2,0),'Mapping A'!$B$6:$E$1011,4,0)=1,$E644,""),0)</f>
        <v>0</v>
      </c>
      <c r="I644" s="519">
        <f ca="1">_xlfn.IFNA(IF(VLOOKUP($B644&amp;OFFSET(I$10,$A644*2,0),'Mapping A'!$B$6:$E$1011,4,0)=1,$E644,""),0)</f>
        <v>0</v>
      </c>
      <c r="J644" s="519">
        <f ca="1">_xlfn.IFNA(IF(VLOOKUP($B644&amp;OFFSET(J$10,$A644*2,0),'Mapping A'!$B$6:$E$1011,4,0)=1,$E644,""),0)</f>
        <v>0</v>
      </c>
      <c r="K644" s="519">
        <f ca="1">_xlfn.IFNA(IF(VLOOKUP($B644&amp;OFFSET(K$10,$A644*2,0),'Mapping A'!$B$6:$E$1011,4,0)=1,$E644,""),0)</f>
        <v>0</v>
      </c>
      <c r="L644" s="519">
        <f ca="1">_xlfn.IFNA(IF(VLOOKUP($B644&amp;OFFSET(L$10,$A644*2,0),'Mapping A'!$B$6:$E$1011,4,0)=1,$E644,""),0)</f>
        <v>0</v>
      </c>
      <c r="M644" s="519">
        <f ca="1">_xlfn.IFNA(IF(VLOOKUP($B644&amp;OFFSET(M$10,$A644*2,0),'Mapping A'!$B$6:$E$1011,4,0)=1,$E644,""),0)</f>
        <v>0</v>
      </c>
      <c r="N644" s="519">
        <f ca="1">_xlfn.IFNA(IF(VLOOKUP($B644&amp;OFFSET(N$10,$A644*2,0),'Mapping A'!$B$6:$E$1011,4,0)=1,$E644,""),0)</f>
        <v>0</v>
      </c>
      <c r="O644" s="519">
        <f ca="1">_xlfn.IFNA(IF(VLOOKUP($B644&amp;OFFSET(O$10,$A644*2,0),'Mapping A'!$B$6:$E$1011,4,0)=1,$E644,""),0)</f>
        <v>0</v>
      </c>
      <c r="P644" s="519">
        <f ca="1">_xlfn.IFNA(IF(VLOOKUP($B644&amp;OFFSET(P$10,$A644*2,0),'Mapping A'!$B$6:$E$1011,4,0)=1,$E644,""),0)</f>
        <v>0</v>
      </c>
      <c r="Q644" s="519">
        <f ca="1">_xlfn.IFNA(IF(VLOOKUP($B644&amp;OFFSET(Q$10,$A644*2,0),'Mapping A'!$B$6:$E$1011,4,0)=1,$E644,""),0)</f>
        <v>0</v>
      </c>
      <c r="R644" s="519">
        <f ca="1">_xlfn.IFNA(IF(VLOOKUP($B644&amp;OFFSET(R$10,$A644*2,0),'Mapping A'!$B$6:$E$1011,4,0)=1,$E644,""),0)</f>
        <v>0</v>
      </c>
      <c r="S644" s="519">
        <f ca="1">_xlfn.IFNA(IF(VLOOKUP($B644&amp;OFFSET(S$10,$A644*2,0),'Mapping A'!$B$6:$E$1011,4,0)=1,$E644,""),0)</f>
        <v>0</v>
      </c>
      <c r="T644" s="519">
        <f ca="1">_xlfn.IFNA(IF(VLOOKUP($B644&amp;OFFSET(T$10,$A644*2,0),'Mapping A'!$B$6:$E$1011,4,0)=1,$E644,""),0)</f>
        <v>0</v>
      </c>
      <c r="Y644" s="534" t="str">
        <f t="shared" si="657"/>
        <v>ContactTWH0331 TRC1</v>
      </c>
      <c r="Z644" s="519" t="str">
        <f>Volumes!H72</f>
        <v>Contact</v>
      </c>
      <c r="AA644" s="519" t="str">
        <f>Volumes!I72</f>
        <v>TWH0331 TRC1</v>
      </c>
      <c r="AB644" s="519">
        <f>Volumes!J72</f>
        <v>297.69103500000006</v>
      </c>
      <c r="AC644" s="170"/>
      <c r="AE644" s="519">
        <f t="shared" ca="1" si="658"/>
        <v>0</v>
      </c>
      <c r="AF644" s="519">
        <f t="shared" ca="1" si="659"/>
        <v>0</v>
      </c>
      <c r="AG644" s="519">
        <f t="shared" ca="1" si="660"/>
        <v>0</v>
      </c>
      <c r="AH644" s="519">
        <f t="shared" ca="1" si="661"/>
        <v>0</v>
      </c>
      <c r="AI644" s="519">
        <f t="shared" ca="1" si="662"/>
        <v>0</v>
      </c>
      <c r="AJ644" s="519">
        <f t="shared" ca="1" si="663"/>
        <v>0</v>
      </c>
      <c r="AK644" s="519">
        <f t="shared" ca="1" si="664"/>
        <v>0</v>
      </c>
      <c r="AL644" s="519">
        <f t="shared" ca="1" si="665"/>
        <v>0</v>
      </c>
      <c r="AM644" s="519">
        <f t="shared" ca="1" si="666"/>
        <v>0</v>
      </c>
      <c r="AN644" s="519">
        <f t="shared" ca="1" si="667"/>
        <v>0</v>
      </c>
      <c r="AO644" s="519">
        <f t="shared" ca="1" si="668"/>
        <v>0</v>
      </c>
      <c r="AP644" s="519">
        <f t="shared" ca="1" si="669"/>
        <v>0</v>
      </c>
      <c r="AQ644" s="519">
        <f t="shared" ca="1" si="670"/>
        <v>0</v>
      </c>
    </row>
    <row r="645" spans="1:43" x14ac:dyDescent="0.3">
      <c r="A645" s="556">
        <f t="shared" si="671"/>
        <v>4</v>
      </c>
      <c r="B645" s="519" t="str">
        <f t="shared" si="672"/>
        <v>WHI</v>
      </c>
      <c r="C645" s="519" t="str">
        <f>Volumes!H73</f>
        <v>Contact</v>
      </c>
      <c r="D645" s="519" t="str">
        <f>Volumes!I73</f>
        <v>WHI2201 WHI0</v>
      </c>
      <c r="E645" s="519">
        <f>Volumes!J73</f>
        <v>0.88031785999999979</v>
      </c>
      <c r="G645" s="525"/>
      <c r="H645" s="519">
        <f ca="1">_xlfn.IFNA(IF(VLOOKUP($B645&amp;OFFSET(H$10,$A645*2,0),'Mapping A'!$B$6:$E$1011,4,0)=1,$E645,""),0)</f>
        <v>0</v>
      </c>
      <c r="I645" s="519">
        <f ca="1">_xlfn.IFNA(IF(VLOOKUP($B645&amp;OFFSET(I$10,$A645*2,0),'Mapping A'!$B$6:$E$1011,4,0)=1,$E645,""),0)</f>
        <v>0</v>
      </c>
      <c r="J645" s="519">
        <f ca="1">_xlfn.IFNA(IF(VLOOKUP($B645&amp;OFFSET(J$10,$A645*2,0),'Mapping A'!$B$6:$E$1011,4,0)=1,$E645,""),0)</f>
        <v>0</v>
      </c>
      <c r="K645" s="519">
        <f ca="1">_xlfn.IFNA(IF(VLOOKUP($B645&amp;OFFSET(K$10,$A645*2,0),'Mapping A'!$B$6:$E$1011,4,0)=1,$E645,""),0)</f>
        <v>0</v>
      </c>
      <c r="L645" s="519">
        <f ca="1">_xlfn.IFNA(IF(VLOOKUP($B645&amp;OFFSET(L$10,$A645*2,0),'Mapping A'!$B$6:$E$1011,4,0)=1,$E645,""),0)</f>
        <v>0</v>
      </c>
      <c r="M645" s="519">
        <f ca="1">_xlfn.IFNA(IF(VLOOKUP($B645&amp;OFFSET(M$10,$A645*2,0),'Mapping A'!$B$6:$E$1011,4,0)=1,$E645,""),0)</f>
        <v>0</v>
      </c>
      <c r="N645" s="519">
        <f ca="1">_xlfn.IFNA(IF(VLOOKUP($B645&amp;OFFSET(N$10,$A645*2,0),'Mapping A'!$B$6:$E$1011,4,0)=1,$E645,""),0)</f>
        <v>0</v>
      </c>
      <c r="O645" s="519">
        <f ca="1">_xlfn.IFNA(IF(VLOOKUP($B645&amp;OFFSET(O$10,$A645*2,0),'Mapping A'!$B$6:$E$1011,4,0)=1,$E645,""),0)</f>
        <v>0</v>
      </c>
      <c r="P645" s="519">
        <f ca="1">_xlfn.IFNA(IF(VLOOKUP($B645&amp;OFFSET(P$10,$A645*2,0),'Mapping A'!$B$6:$E$1011,4,0)=1,$E645,""),0)</f>
        <v>0</v>
      </c>
      <c r="Q645" s="519">
        <f ca="1">_xlfn.IFNA(IF(VLOOKUP($B645&amp;OFFSET(Q$10,$A645*2,0),'Mapping A'!$B$6:$E$1011,4,0)=1,$E645,""),0)</f>
        <v>0</v>
      </c>
      <c r="R645" s="519">
        <f ca="1">_xlfn.IFNA(IF(VLOOKUP($B645&amp;OFFSET(R$10,$A645*2,0),'Mapping A'!$B$6:$E$1011,4,0)=1,$E645,""),0)</f>
        <v>0</v>
      </c>
      <c r="S645" s="519">
        <f ca="1">_xlfn.IFNA(IF(VLOOKUP($B645&amp;OFFSET(S$10,$A645*2,0),'Mapping A'!$B$6:$E$1011,4,0)=1,$E645,""),0)</f>
        <v>0</v>
      </c>
      <c r="T645" s="519">
        <f ca="1">_xlfn.IFNA(IF(VLOOKUP($B645&amp;OFFSET(T$10,$A645*2,0),'Mapping A'!$B$6:$E$1011,4,0)=1,$E645,""),0)</f>
        <v>0</v>
      </c>
      <c r="Y645" s="534" t="str">
        <f t="shared" si="657"/>
        <v>ContactWHI2201 WHI0</v>
      </c>
      <c r="Z645" s="519" t="str">
        <f>Volumes!H73</f>
        <v>Contact</v>
      </c>
      <c r="AA645" s="519" t="str">
        <f>Volumes!I73</f>
        <v>WHI2201 WHI0</v>
      </c>
      <c r="AB645" s="519">
        <f>Volumes!J73</f>
        <v>0.88031785999999979</v>
      </c>
      <c r="AC645" s="170"/>
      <c r="AE645" s="519">
        <f t="shared" ca="1" si="658"/>
        <v>0</v>
      </c>
      <c r="AF645" s="519">
        <f t="shared" ca="1" si="659"/>
        <v>0</v>
      </c>
      <c r="AG645" s="519">
        <f t="shared" ca="1" si="660"/>
        <v>0</v>
      </c>
      <c r="AH645" s="519">
        <f t="shared" ca="1" si="661"/>
        <v>0</v>
      </c>
      <c r="AI645" s="519">
        <f t="shared" ca="1" si="662"/>
        <v>0</v>
      </c>
      <c r="AJ645" s="519">
        <f t="shared" ca="1" si="663"/>
        <v>0</v>
      </c>
      <c r="AK645" s="519">
        <f t="shared" ca="1" si="664"/>
        <v>0</v>
      </c>
      <c r="AL645" s="519">
        <f t="shared" ca="1" si="665"/>
        <v>0</v>
      </c>
      <c r="AM645" s="519">
        <f t="shared" ca="1" si="666"/>
        <v>0</v>
      </c>
      <c r="AN645" s="519">
        <f t="shared" ca="1" si="667"/>
        <v>0</v>
      </c>
      <c r="AO645" s="519">
        <f t="shared" ca="1" si="668"/>
        <v>0</v>
      </c>
      <c r="AP645" s="519">
        <f t="shared" ca="1" si="669"/>
        <v>0</v>
      </c>
      <c r="AQ645" s="519">
        <f t="shared" ca="1" si="670"/>
        <v>0</v>
      </c>
    </row>
    <row r="646" spans="1:43" x14ac:dyDescent="0.3">
      <c r="A646" s="556">
        <f t="shared" si="671"/>
        <v>4</v>
      </c>
      <c r="B646" s="519" t="str">
        <f t="shared" si="672"/>
        <v>WKM</v>
      </c>
      <c r="C646" s="519" t="str">
        <f>Volumes!H74</f>
        <v>Mokai JV</v>
      </c>
      <c r="D646" s="519" t="str">
        <f>Volumes!I74</f>
        <v>WKM2201 MOK0</v>
      </c>
      <c r="E646" s="519">
        <f>Volumes!J74</f>
        <v>915.048</v>
      </c>
      <c r="G646" s="525"/>
      <c r="H646" s="519">
        <f ca="1">_xlfn.IFNA(IF(VLOOKUP($B646&amp;OFFSET(H$10,$A646*2,0),'Mapping A'!$B$6:$E$1011,4,0)=1,$E646,""),0)</f>
        <v>0</v>
      </c>
      <c r="I646" s="519">
        <f ca="1">_xlfn.IFNA(IF(VLOOKUP($B646&amp;OFFSET(I$10,$A646*2,0),'Mapping A'!$B$6:$E$1011,4,0)=1,$E646,""),0)</f>
        <v>0</v>
      </c>
      <c r="J646" s="519">
        <f ca="1">_xlfn.IFNA(IF(VLOOKUP($B646&amp;OFFSET(J$10,$A646*2,0),'Mapping A'!$B$6:$E$1011,4,0)=1,$E646,""),0)</f>
        <v>0</v>
      </c>
      <c r="K646" s="519">
        <f ca="1">_xlfn.IFNA(IF(VLOOKUP($B646&amp;OFFSET(K$10,$A646*2,0),'Mapping A'!$B$6:$E$1011,4,0)=1,$E646,""),0)</f>
        <v>0</v>
      </c>
      <c r="L646" s="519">
        <f ca="1">_xlfn.IFNA(IF(VLOOKUP($B646&amp;OFFSET(L$10,$A646*2,0),'Mapping A'!$B$6:$E$1011,4,0)=1,$E646,""),0)</f>
        <v>0</v>
      </c>
      <c r="M646" s="519">
        <f ca="1">_xlfn.IFNA(IF(VLOOKUP($B646&amp;OFFSET(M$10,$A646*2,0),'Mapping A'!$B$6:$E$1011,4,0)=1,$E646,""),0)</f>
        <v>0</v>
      </c>
      <c r="N646" s="519">
        <f ca="1">_xlfn.IFNA(IF(VLOOKUP($B646&amp;OFFSET(N$10,$A646*2,0),'Mapping A'!$B$6:$E$1011,4,0)=1,$E646,""),0)</f>
        <v>0</v>
      </c>
      <c r="O646" s="519">
        <f ca="1">_xlfn.IFNA(IF(VLOOKUP($B646&amp;OFFSET(O$10,$A646*2,0),'Mapping A'!$B$6:$E$1011,4,0)=1,$E646,""),0)</f>
        <v>0</v>
      </c>
      <c r="P646" s="519">
        <f ca="1">_xlfn.IFNA(IF(VLOOKUP($B646&amp;OFFSET(P$10,$A646*2,0),'Mapping A'!$B$6:$E$1011,4,0)=1,$E646,""),0)</f>
        <v>0</v>
      </c>
      <c r="Q646" s="519">
        <f ca="1">_xlfn.IFNA(IF(VLOOKUP($B646&amp;OFFSET(Q$10,$A646*2,0),'Mapping A'!$B$6:$E$1011,4,0)=1,$E646,""),0)</f>
        <v>0</v>
      </c>
      <c r="R646" s="519">
        <f ca="1">_xlfn.IFNA(IF(VLOOKUP($B646&amp;OFFSET(R$10,$A646*2,0),'Mapping A'!$B$6:$E$1011,4,0)=1,$E646,""),0)</f>
        <v>0</v>
      </c>
      <c r="S646" s="519">
        <f ca="1">_xlfn.IFNA(IF(VLOOKUP($B646&amp;OFFSET(S$10,$A646*2,0),'Mapping A'!$B$6:$E$1011,4,0)=1,$E646,""),0)</f>
        <v>0</v>
      </c>
      <c r="T646" s="519">
        <f ca="1">_xlfn.IFNA(IF(VLOOKUP($B646&amp;OFFSET(T$10,$A646*2,0),'Mapping A'!$B$6:$E$1011,4,0)=1,$E646,""),0)</f>
        <v>0</v>
      </c>
      <c r="Y646" s="534" t="str">
        <f t="shared" si="657"/>
        <v>Mokai JVWKM2201 MOK0</v>
      </c>
      <c r="Z646" s="519" t="str">
        <f>Volumes!H74</f>
        <v>Mokai JV</v>
      </c>
      <c r="AA646" s="519" t="str">
        <f>Volumes!I74</f>
        <v>WKM2201 MOK0</v>
      </c>
      <c r="AB646" s="519">
        <f>Volumes!J74</f>
        <v>915.048</v>
      </c>
      <c r="AC646" s="170"/>
      <c r="AE646" s="519">
        <f t="shared" ca="1" si="658"/>
        <v>0</v>
      </c>
      <c r="AF646" s="519">
        <f t="shared" ca="1" si="659"/>
        <v>0</v>
      </c>
      <c r="AG646" s="519">
        <f t="shared" ca="1" si="660"/>
        <v>0</v>
      </c>
      <c r="AH646" s="519">
        <f t="shared" ca="1" si="661"/>
        <v>0</v>
      </c>
      <c r="AI646" s="519">
        <f t="shared" ca="1" si="662"/>
        <v>0</v>
      </c>
      <c r="AJ646" s="519">
        <f t="shared" ca="1" si="663"/>
        <v>0</v>
      </c>
      <c r="AK646" s="519">
        <f t="shared" ca="1" si="664"/>
        <v>0</v>
      </c>
      <c r="AL646" s="519">
        <f t="shared" ca="1" si="665"/>
        <v>0</v>
      </c>
      <c r="AM646" s="519">
        <f t="shared" ca="1" si="666"/>
        <v>0</v>
      </c>
      <c r="AN646" s="519">
        <f t="shared" ca="1" si="667"/>
        <v>0</v>
      </c>
      <c r="AO646" s="519">
        <f t="shared" ca="1" si="668"/>
        <v>0</v>
      </c>
      <c r="AP646" s="519">
        <f t="shared" ca="1" si="669"/>
        <v>0</v>
      </c>
      <c r="AQ646" s="519">
        <f t="shared" ca="1" si="670"/>
        <v>0</v>
      </c>
    </row>
    <row r="647" spans="1:43" x14ac:dyDescent="0.3">
      <c r="A647" s="556">
        <f t="shared" si="671"/>
        <v>4</v>
      </c>
      <c r="B647" s="519" t="str">
        <f t="shared" si="672"/>
        <v>WKM</v>
      </c>
      <c r="C647" s="519" t="str">
        <f>Volumes!H75</f>
        <v>MRP</v>
      </c>
      <c r="D647" s="519" t="str">
        <f>Volumes!I75</f>
        <v>WKM2201 WKM0</v>
      </c>
      <c r="E647" s="519">
        <f>Volumes!J75</f>
        <v>413.43386354500046</v>
      </c>
      <c r="G647" s="525"/>
      <c r="H647" s="519">
        <f ca="1">_xlfn.IFNA(IF(VLOOKUP($B647&amp;OFFSET(H$10,$A647*2,0),'Mapping A'!$B$6:$E$1011,4,0)=1,$E647,""),0)</f>
        <v>0</v>
      </c>
      <c r="I647" s="519">
        <f ca="1">_xlfn.IFNA(IF(VLOOKUP($B647&amp;OFFSET(I$10,$A647*2,0),'Mapping A'!$B$6:$E$1011,4,0)=1,$E647,""),0)</f>
        <v>0</v>
      </c>
      <c r="J647" s="519">
        <f ca="1">_xlfn.IFNA(IF(VLOOKUP($B647&amp;OFFSET(J$10,$A647*2,0),'Mapping A'!$B$6:$E$1011,4,0)=1,$E647,""),0)</f>
        <v>0</v>
      </c>
      <c r="K647" s="519">
        <f ca="1">_xlfn.IFNA(IF(VLOOKUP($B647&amp;OFFSET(K$10,$A647*2,0),'Mapping A'!$B$6:$E$1011,4,0)=1,$E647,""),0)</f>
        <v>0</v>
      </c>
      <c r="L647" s="519">
        <f ca="1">_xlfn.IFNA(IF(VLOOKUP($B647&amp;OFFSET(L$10,$A647*2,0),'Mapping A'!$B$6:$E$1011,4,0)=1,$E647,""),0)</f>
        <v>0</v>
      </c>
      <c r="M647" s="519">
        <f ca="1">_xlfn.IFNA(IF(VLOOKUP($B647&amp;OFFSET(M$10,$A647*2,0),'Mapping A'!$B$6:$E$1011,4,0)=1,$E647,""),0)</f>
        <v>0</v>
      </c>
      <c r="N647" s="519">
        <f ca="1">_xlfn.IFNA(IF(VLOOKUP($B647&amp;OFFSET(N$10,$A647*2,0),'Mapping A'!$B$6:$E$1011,4,0)=1,$E647,""),0)</f>
        <v>0</v>
      </c>
      <c r="O647" s="519">
        <f ca="1">_xlfn.IFNA(IF(VLOOKUP($B647&amp;OFFSET(O$10,$A647*2,0),'Mapping A'!$B$6:$E$1011,4,0)=1,$E647,""),0)</f>
        <v>0</v>
      </c>
      <c r="P647" s="519">
        <f ca="1">_xlfn.IFNA(IF(VLOOKUP($B647&amp;OFFSET(P$10,$A647*2,0),'Mapping A'!$B$6:$E$1011,4,0)=1,$E647,""),0)</f>
        <v>0</v>
      </c>
      <c r="Q647" s="519">
        <f ca="1">_xlfn.IFNA(IF(VLOOKUP($B647&amp;OFFSET(Q$10,$A647*2,0),'Mapping A'!$B$6:$E$1011,4,0)=1,$E647,""),0)</f>
        <v>0</v>
      </c>
      <c r="R647" s="519">
        <f ca="1">_xlfn.IFNA(IF(VLOOKUP($B647&amp;OFFSET(R$10,$A647*2,0),'Mapping A'!$B$6:$E$1011,4,0)=1,$E647,""),0)</f>
        <v>0</v>
      </c>
      <c r="S647" s="519">
        <f ca="1">_xlfn.IFNA(IF(VLOOKUP($B647&amp;OFFSET(S$10,$A647*2,0),'Mapping A'!$B$6:$E$1011,4,0)=1,$E647,""),0)</f>
        <v>0</v>
      </c>
      <c r="T647" s="519">
        <f ca="1">_xlfn.IFNA(IF(VLOOKUP($B647&amp;OFFSET(T$10,$A647*2,0),'Mapping A'!$B$6:$E$1011,4,0)=1,$E647,""),0)</f>
        <v>0</v>
      </c>
      <c r="Y647" s="534" t="str">
        <f t="shared" si="657"/>
        <v>MRPWKM2201 WKM0</v>
      </c>
      <c r="Z647" s="519" t="str">
        <f>Volumes!H75</f>
        <v>MRP</v>
      </c>
      <c r="AA647" s="519" t="str">
        <f>Volumes!I75</f>
        <v>WKM2201 WKM0</v>
      </c>
      <c r="AB647" s="519">
        <f>Volumes!J75</f>
        <v>413.43386354500046</v>
      </c>
      <c r="AC647" s="170"/>
      <c r="AE647" s="519">
        <f t="shared" ca="1" si="658"/>
        <v>0</v>
      </c>
      <c r="AF647" s="519">
        <f t="shared" ca="1" si="659"/>
        <v>0</v>
      </c>
      <c r="AG647" s="519">
        <f t="shared" ca="1" si="660"/>
        <v>0</v>
      </c>
      <c r="AH647" s="519">
        <f t="shared" ca="1" si="661"/>
        <v>0</v>
      </c>
      <c r="AI647" s="519">
        <f t="shared" ca="1" si="662"/>
        <v>0</v>
      </c>
      <c r="AJ647" s="519">
        <f t="shared" ca="1" si="663"/>
        <v>0</v>
      </c>
      <c r="AK647" s="519">
        <f t="shared" ca="1" si="664"/>
        <v>0</v>
      </c>
      <c r="AL647" s="519">
        <f t="shared" ca="1" si="665"/>
        <v>0</v>
      </c>
      <c r="AM647" s="519">
        <f t="shared" ca="1" si="666"/>
        <v>0</v>
      </c>
      <c r="AN647" s="519">
        <f t="shared" ca="1" si="667"/>
        <v>0</v>
      </c>
      <c r="AO647" s="519">
        <f t="shared" ca="1" si="668"/>
        <v>0</v>
      </c>
      <c r="AP647" s="519">
        <f t="shared" ca="1" si="669"/>
        <v>0</v>
      </c>
      <c r="AQ647" s="519">
        <f t="shared" ca="1" si="670"/>
        <v>0</v>
      </c>
    </row>
    <row r="648" spans="1:43" x14ac:dyDescent="0.3">
      <c r="A648" s="556">
        <f t="shared" si="671"/>
        <v>4</v>
      </c>
      <c r="B648" s="519" t="str">
        <f t="shared" si="672"/>
        <v>WPA</v>
      </c>
      <c r="C648" s="519" t="str">
        <f>Volumes!H76</f>
        <v>MRP</v>
      </c>
      <c r="D648" s="519" t="str">
        <f>Volumes!I76</f>
        <v>WPA2201 WPA0</v>
      </c>
      <c r="E648" s="519">
        <f>Volumes!J76</f>
        <v>205.38359761500072</v>
      </c>
      <c r="G648" s="525"/>
      <c r="H648" s="519">
        <f ca="1">_xlfn.IFNA(IF(VLOOKUP($B648&amp;OFFSET(H$10,$A648*2,0),'Mapping A'!$B$6:$E$1011,4,0)=1,$E648,""),0)</f>
        <v>0</v>
      </c>
      <c r="I648" s="519">
        <f ca="1">_xlfn.IFNA(IF(VLOOKUP($B648&amp;OFFSET(I$10,$A648*2,0),'Mapping A'!$B$6:$E$1011,4,0)=1,$E648,""),0)</f>
        <v>0</v>
      </c>
      <c r="J648" s="519">
        <f ca="1">_xlfn.IFNA(IF(VLOOKUP($B648&amp;OFFSET(J$10,$A648*2,0),'Mapping A'!$B$6:$E$1011,4,0)=1,$E648,""),0)</f>
        <v>0</v>
      </c>
      <c r="K648" s="519">
        <f ca="1">_xlfn.IFNA(IF(VLOOKUP($B648&amp;OFFSET(K$10,$A648*2,0),'Mapping A'!$B$6:$E$1011,4,0)=1,$E648,""),0)</f>
        <v>0</v>
      </c>
      <c r="L648" s="519">
        <f ca="1">_xlfn.IFNA(IF(VLOOKUP($B648&amp;OFFSET(L$10,$A648*2,0),'Mapping A'!$B$6:$E$1011,4,0)=1,$E648,""),0)</f>
        <v>0</v>
      </c>
      <c r="M648" s="519">
        <f ca="1">_xlfn.IFNA(IF(VLOOKUP($B648&amp;OFFSET(M$10,$A648*2,0),'Mapping A'!$B$6:$E$1011,4,0)=1,$E648,""),0)</f>
        <v>0</v>
      </c>
      <c r="N648" s="519">
        <f ca="1">_xlfn.IFNA(IF(VLOOKUP($B648&amp;OFFSET(N$10,$A648*2,0),'Mapping A'!$B$6:$E$1011,4,0)=1,$E648,""),0)</f>
        <v>0</v>
      </c>
      <c r="O648" s="519">
        <f ca="1">_xlfn.IFNA(IF(VLOOKUP($B648&amp;OFFSET(O$10,$A648*2,0),'Mapping A'!$B$6:$E$1011,4,0)=1,$E648,""),0)</f>
        <v>0</v>
      </c>
      <c r="P648" s="519">
        <f ca="1">_xlfn.IFNA(IF(VLOOKUP($B648&amp;OFFSET(P$10,$A648*2,0),'Mapping A'!$B$6:$E$1011,4,0)=1,$E648,""),0)</f>
        <v>0</v>
      </c>
      <c r="Q648" s="519">
        <f ca="1">_xlfn.IFNA(IF(VLOOKUP($B648&amp;OFFSET(Q$10,$A648*2,0),'Mapping A'!$B$6:$E$1011,4,0)=1,$E648,""),0)</f>
        <v>0</v>
      </c>
      <c r="R648" s="519">
        <f ca="1">_xlfn.IFNA(IF(VLOOKUP($B648&amp;OFFSET(R$10,$A648*2,0),'Mapping A'!$B$6:$E$1011,4,0)=1,$E648,""),0)</f>
        <v>0</v>
      </c>
      <c r="S648" s="519">
        <f ca="1">_xlfn.IFNA(IF(VLOOKUP($B648&amp;OFFSET(S$10,$A648*2,0),'Mapping A'!$B$6:$E$1011,4,0)=1,$E648,""),0)</f>
        <v>0</v>
      </c>
      <c r="T648" s="519">
        <f ca="1">_xlfn.IFNA(IF(VLOOKUP($B648&amp;OFFSET(T$10,$A648*2,0),'Mapping A'!$B$6:$E$1011,4,0)=1,$E648,""),0)</f>
        <v>0</v>
      </c>
      <c r="Y648" s="534" t="str">
        <f t="shared" si="657"/>
        <v>MRPWPA2201 WPA0</v>
      </c>
      <c r="Z648" s="519" t="str">
        <f>Volumes!H76</f>
        <v>MRP</v>
      </c>
      <c r="AA648" s="519" t="str">
        <f>Volumes!I76</f>
        <v>WPA2201 WPA0</v>
      </c>
      <c r="AB648" s="519">
        <f>Volumes!J76</f>
        <v>205.38359761500072</v>
      </c>
      <c r="AC648" s="170"/>
      <c r="AE648" s="519">
        <f t="shared" ca="1" si="658"/>
        <v>0</v>
      </c>
      <c r="AF648" s="519">
        <f t="shared" ca="1" si="659"/>
        <v>0</v>
      </c>
      <c r="AG648" s="519">
        <f t="shared" ca="1" si="660"/>
        <v>0</v>
      </c>
      <c r="AH648" s="519">
        <f t="shared" ca="1" si="661"/>
        <v>0</v>
      </c>
      <c r="AI648" s="519">
        <f t="shared" ca="1" si="662"/>
        <v>0</v>
      </c>
      <c r="AJ648" s="519">
        <f t="shared" ca="1" si="663"/>
        <v>0</v>
      </c>
      <c r="AK648" s="519">
        <f t="shared" ca="1" si="664"/>
        <v>0</v>
      </c>
      <c r="AL648" s="519">
        <f t="shared" ca="1" si="665"/>
        <v>0</v>
      </c>
      <c r="AM648" s="519">
        <f t="shared" ca="1" si="666"/>
        <v>0</v>
      </c>
      <c r="AN648" s="519">
        <f t="shared" ca="1" si="667"/>
        <v>0</v>
      </c>
      <c r="AO648" s="519">
        <f t="shared" ca="1" si="668"/>
        <v>0</v>
      </c>
      <c r="AP648" s="519">
        <f t="shared" ca="1" si="669"/>
        <v>0</v>
      </c>
      <c r="AQ648" s="519">
        <f t="shared" ca="1" si="670"/>
        <v>0</v>
      </c>
    </row>
    <row r="649" spans="1:43" x14ac:dyDescent="0.3">
      <c r="A649" s="556">
        <f t="shared" si="671"/>
        <v>4</v>
      </c>
      <c r="B649" s="519" t="str">
        <f t="shared" si="672"/>
        <v>WRK</v>
      </c>
      <c r="C649" s="519" t="str">
        <f>Volumes!H77</f>
        <v>MRP</v>
      </c>
      <c r="D649" s="519" t="str">
        <f>Volumes!I77</f>
        <v>WRK0331 RKA0</v>
      </c>
      <c r="E649" s="519">
        <f>Volumes!J77</f>
        <v>236.14349999999999</v>
      </c>
      <c r="G649" s="525"/>
      <c r="H649" s="519">
        <f ca="1">_xlfn.IFNA(IF(VLOOKUP($B649&amp;OFFSET(H$10,$A649*2,0),'Mapping A'!$B$6:$E$1011,4,0)=1,$E649,""),0)</f>
        <v>0</v>
      </c>
      <c r="I649" s="519">
        <f ca="1">_xlfn.IFNA(IF(VLOOKUP($B649&amp;OFFSET(I$10,$A649*2,0),'Mapping A'!$B$6:$E$1011,4,0)=1,$E649,""),0)</f>
        <v>0</v>
      </c>
      <c r="J649" s="519">
        <f ca="1">_xlfn.IFNA(IF(VLOOKUP($B649&amp;OFFSET(J$10,$A649*2,0),'Mapping A'!$B$6:$E$1011,4,0)=1,$E649,""),0)</f>
        <v>0</v>
      </c>
      <c r="K649" s="519">
        <f ca="1">_xlfn.IFNA(IF(VLOOKUP($B649&amp;OFFSET(K$10,$A649*2,0),'Mapping A'!$B$6:$E$1011,4,0)=1,$E649,""),0)</f>
        <v>0</v>
      </c>
      <c r="L649" s="519">
        <f ca="1">_xlfn.IFNA(IF(VLOOKUP($B649&amp;OFFSET(L$10,$A649*2,0),'Mapping A'!$B$6:$E$1011,4,0)=1,$E649,""),0)</f>
        <v>0</v>
      </c>
      <c r="M649" s="519">
        <f ca="1">_xlfn.IFNA(IF(VLOOKUP($B649&amp;OFFSET(M$10,$A649*2,0),'Mapping A'!$B$6:$E$1011,4,0)=1,$E649,""),0)</f>
        <v>0</v>
      </c>
      <c r="N649" s="519">
        <f ca="1">_xlfn.IFNA(IF(VLOOKUP($B649&amp;OFFSET(N$10,$A649*2,0),'Mapping A'!$B$6:$E$1011,4,0)=1,$E649,""),0)</f>
        <v>0</v>
      </c>
      <c r="O649" s="519">
        <f ca="1">_xlfn.IFNA(IF(VLOOKUP($B649&amp;OFFSET(O$10,$A649*2,0),'Mapping A'!$B$6:$E$1011,4,0)=1,$E649,""),0)</f>
        <v>0</v>
      </c>
      <c r="P649" s="519">
        <f ca="1">_xlfn.IFNA(IF(VLOOKUP($B649&amp;OFFSET(P$10,$A649*2,0),'Mapping A'!$B$6:$E$1011,4,0)=1,$E649,""),0)</f>
        <v>0</v>
      </c>
      <c r="Q649" s="519">
        <f ca="1">_xlfn.IFNA(IF(VLOOKUP($B649&amp;OFFSET(Q$10,$A649*2,0),'Mapping A'!$B$6:$E$1011,4,0)=1,$E649,""),0)</f>
        <v>0</v>
      </c>
      <c r="R649" s="519">
        <f ca="1">_xlfn.IFNA(IF(VLOOKUP($B649&amp;OFFSET(R$10,$A649*2,0),'Mapping A'!$B$6:$E$1011,4,0)=1,$E649,""),0)</f>
        <v>0</v>
      </c>
      <c r="S649" s="519">
        <f ca="1">_xlfn.IFNA(IF(VLOOKUP($B649&amp;OFFSET(S$10,$A649*2,0),'Mapping A'!$B$6:$E$1011,4,0)=1,$E649,""),0)</f>
        <v>0</v>
      </c>
      <c r="T649" s="519">
        <f ca="1">_xlfn.IFNA(IF(VLOOKUP($B649&amp;OFFSET(T$10,$A649*2,0),'Mapping A'!$B$6:$E$1011,4,0)=1,$E649,""),0)</f>
        <v>0</v>
      </c>
      <c r="Y649" s="534" t="str">
        <f t="shared" si="657"/>
        <v>MRPWRK0331 RKA0</v>
      </c>
      <c r="Z649" s="519" t="str">
        <f>Volumes!H77</f>
        <v>MRP</v>
      </c>
      <c r="AA649" s="519" t="str">
        <f>Volumes!I77</f>
        <v>WRK0331 RKA0</v>
      </c>
      <c r="AB649" s="519">
        <f>Volumes!J77</f>
        <v>236.14349999999999</v>
      </c>
      <c r="AC649" s="170"/>
      <c r="AE649" s="519">
        <f t="shared" ca="1" si="658"/>
        <v>0</v>
      </c>
      <c r="AF649" s="519">
        <f t="shared" ca="1" si="659"/>
        <v>0</v>
      </c>
      <c r="AG649" s="519">
        <f t="shared" ca="1" si="660"/>
        <v>0</v>
      </c>
      <c r="AH649" s="519">
        <f t="shared" ca="1" si="661"/>
        <v>0</v>
      </c>
      <c r="AI649" s="519">
        <f t="shared" ca="1" si="662"/>
        <v>0</v>
      </c>
      <c r="AJ649" s="519">
        <f t="shared" ca="1" si="663"/>
        <v>0</v>
      </c>
      <c r="AK649" s="519">
        <f t="shared" ca="1" si="664"/>
        <v>0</v>
      </c>
      <c r="AL649" s="519">
        <f t="shared" ca="1" si="665"/>
        <v>0</v>
      </c>
      <c r="AM649" s="519">
        <f t="shared" ca="1" si="666"/>
        <v>0</v>
      </c>
      <c r="AN649" s="519">
        <f t="shared" ca="1" si="667"/>
        <v>0</v>
      </c>
      <c r="AO649" s="519">
        <f t="shared" ca="1" si="668"/>
        <v>0</v>
      </c>
      <c r="AP649" s="519">
        <f t="shared" ca="1" si="669"/>
        <v>0</v>
      </c>
      <c r="AQ649" s="519">
        <f t="shared" ca="1" si="670"/>
        <v>0</v>
      </c>
    </row>
    <row r="650" spans="1:43" x14ac:dyDescent="0.3">
      <c r="A650" s="556">
        <f t="shared" si="671"/>
        <v>4</v>
      </c>
      <c r="B650" s="519" t="str">
        <f t="shared" si="672"/>
        <v>WRK</v>
      </c>
      <c r="C650" s="519" t="str">
        <f>Volumes!H78</f>
        <v>Contact</v>
      </c>
      <c r="D650" s="519" t="str">
        <f>Volumes!I78</f>
        <v>WRK0331 TAA0</v>
      </c>
      <c r="E650" s="519">
        <f>Volumes!J78</f>
        <v>210.61750000000001</v>
      </c>
      <c r="G650" s="525"/>
      <c r="H650" s="519">
        <f ca="1">_xlfn.IFNA(IF(VLOOKUP($B650&amp;OFFSET(H$10,$A650*2,0),'Mapping A'!$B$6:$E$1011,4,0)=1,$E650,""),0)</f>
        <v>0</v>
      </c>
      <c r="I650" s="519">
        <f ca="1">_xlfn.IFNA(IF(VLOOKUP($B650&amp;OFFSET(I$10,$A650*2,0),'Mapping A'!$B$6:$E$1011,4,0)=1,$E650,""),0)</f>
        <v>0</v>
      </c>
      <c r="J650" s="519">
        <f ca="1">_xlfn.IFNA(IF(VLOOKUP($B650&amp;OFFSET(J$10,$A650*2,0),'Mapping A'!$B$6:$E$1011,4,0)=1,$E650,""),0)</f>
        <v>0</v>
      </c>
      <c r="K650" s="519">
        <f ca="1">_xlfn.IFNA(IF(VLOOKUP($B650&amp;OFFSET(K$10,$A650*2,0),'Mapping A'!$B$6:$E$1011,4,0)=1,$E650,""),0)</f>
        <v>0</v>
      </c>
      <c r="L650" s="519">
        <f ca="1">_xlfn.IFNA(IF(VLOOKUP($B650&amp;OFFSET(L$10,$A650*2,0),'Mapping A'!$B$6:$E$1011,4,0)=1,$E650,""),0)</f>
        <v>0</v>
      </c>
      <c r="M650" s="519">
        <f ca="1">_xlfn.IFNA(IF(VLOOKUP($B650&amp;OFFSET(M$10,$A650*2,0),'Mapping A'!$B$6:$E$1011,4,0)=1,$E650,""),0)</f>
        <v>0</v>
      </c>
      <c r="N650" s="519">
        <f ca="1">_xlfn.IFNA(IF(VLOOKUP($B650&amp;OFFSET(N$10,$A650*2,0),'Mapping A'!$B$6:$E$1011,4,0)=1,$E650,""),0)</f>
        <v>0</v>
      </c>
      <c r="O650" s="519">
        <f ca="1">_xlfn.IFNA(IF(VLOOKUP($B650&amp;OFFSET(O$10,$A650*2,0),'Mapping A'!$B$6:$E$1011,4,0)=1,$E650,""),0)</f>
        <v>0</v>
      </c>
      <c r="P650" s="519">
        <f ca="1">_xlfn.IFNA(IF(VLOOKUP($B650&amp;OFFSET(P$10,$A650*2,0),'Mapping A'!$B$6:$E$1011,4,0)=1,$E650,""),0)</f>
        <v>0</v>
      </c>
      <c r="Q650" s="519">
        <f ca="1">_xlfn.IFNA(IF(VLOOKUP($B650&amp;OFFSET(Q$10,$A650*2,0),'Mapping A'!$B$6:$E$1011,4,0)=1,$E650,""),0)</f>
        <v>0</v>
      </c>
      <c r="R650" s="519">
        <f ca="1">_xlfn.IFNA(IF(VLOOKUP($B650&amp;OFFSET(R$10,$A650*2,0),'Mapping A'!$B$6:$E$1011,4,0)=1,$E650,""),0)</f>
        <v>0</v>
      </c>
      <c r="S650" s="519">
        <f ca="1">_xlfn.IFNA(IF(VLOOKUP($B650&amp;OFFSET(S$10,$A650*2,0),'Mapping A'!$B$6:$E$1011,4,0)=1,$E650,""),0)</f>
        <v>0</v>
      </c>
      <c r="T650" s="519">
        <f ca="1">_xlfn.IFNA(IF(VLOOKUP($B650&amp;OFFSET(T$10,$A650*2,0),'Mapping A'!$B$6:$E$1011,4,0)=1,$E650,""),0)</f>
        <v>0</v>
      </c>
      <c r="Y650" s="534" t="str">
        <f t="shared" si="657"/>
        <v>ContactWRK0331 TAA0</v>
      </c>
      <c r="Z650" s="519" t="str">
        <f>Volumes!H78</f>
        <v>Contact</v>
      </c>
      <c r="AA650" s="519" t="str">
        <f>Volumes!I78</f>
        <v>WRK0331 TAA0</v>
      </c>
      <c r="AB650" s="519">
        <f>Volumes!J78</f>
        <v>210.61750000000001</v>
      </c>
      <c r="AC650" s="170"/>
      <c r="AE650" s="519">
        <f t="shared" ca="1" si="658"/>
        <v>0</v>
      </c>
      <c r="AF650" s="519">
        <f t="shared" ca="1" si="659"/>
        <v>0</v>
      </c>
      <c r="AG650" s="519">
        <f t="shared" ca="1" si="660"/>
        <v>0</v>
      </c>
      <c r="AH650" s="519">
        <f t="shared" ca="1" si="661"/>
        <v>0</v>
      </c>
      <c r="AI650" s="519">
        <f t="shared" ca="1" si="662"/>
        <v>0</v>
      </c>
      <c r="AJ650" s="519">
        <f t="shared" ca="1" si="663"/>
        <v>0</v>
      </c>
      <c r="AK650" s="519">
        <f t="shared" ca="1" si="664"/>
        <v>0</v>
      </c>
      <c r="AL650" s="519">
        <f t="shared" ca="1" si="665"/>
        <v>0</v>
      </c>
      <c r="AM650" s="519">
        <f t="shared" ca="1" si="666"/>
        <v>0</v>
      </c>
      <c r="AN650" s="519">
        <f t="shared" ca="1" si="667"/>
        <v>0</v>
      </c>
      <c r="AO650" s="519">
        <f t="shared" ca="1" si="668"/>
        <v>0</v>
      </c>
      <c r="AP650" s="519">
        <f t="shared" ca="1" si="669"/>
        <v>0</v>
      </c>
      <c r="AQ650" s="519">
        <f t="shared" ca="1" si="670"/>
        <v>0</v>
      </c>
    </row>
    <row r="651" spans="1:43" x14ac:dyDescent="0.3">
      <c r="A651" s="556">
        <f t="shared" si="671"/>
        <v>4</v>
      </c>
      <c r="B651" s="519" t="str">
        <f t="shared" si="672"/>
        <v>WRK</v>
      </c>
      <c r="C651" s="519" t="str">
        <f>Volumes!H79</f>
        <v>Contact</v>
      </c>
      <c r="D651" s="519" t="str">
        <f>Volumes!I79</f>
        <v>WRK2201 WRK0</v>
      </c>
      <c r="E651" s="519">
        <f>Volumes!J79</f>
        <v>1578.665</v>
      </c>
      <c r="G651" s="525"/>
      <c r="H651" s="519">
        <f ca="1">_xlfn.IFNA(IF(VLOOKUP($B651&amp;OFFSET(H$10,$A651*2,0),'Mapping A'!$B$6:$E$1011,4,0)=1,$E651,""),0)</f>
        <v>0</v>
      </c>
      <c r="I651" s="519">
        <f ca="1">_xlfn.IFNA(IF(VLOOKUP($B651&amp;OFFSET(I$10,$A651*2,0),'Mapping A'!$B$6:$E$1011,4,0)=1,$E651,""),0)</f>
        <v>0</v>
      </c>
      <c r="J651" s="519">
        <f ca="1">_xlfn.IFNA(IF(VLOOKUP($B651&amp;OFFSET(J$10,$A651*2,0),'Mapping A'!$B$6:$E$1011,4,0)=1,$E651,""),0)</f>
        <v>0</v>
      </c>
      <c r="K651" s="519">
        <f ca="1">_xlfn.IFNA(IF(VLOOKUP($B651&amp;OFFSET(K$10,$A651*2,0),'Mapping A'!$B$6:$E$1011,4,0)=1,$E651,""),0)</f>
        <v>0</v>
      </c>
      <c r="L651" s="519">
        <f ca="1">_xlfn.IFNA(IF(VLOOKUP($B651&amp;OFFSET(L$10,$A651*2,0),'Mapping A'!$B$6:$E$1011,4,0)=1,$E651,""),0)</f>
        <v>0</v>
      </c>
      <c r="M651" s="519">
        <f ca="1">_xlfn.IFNA(IF(VLOOKUP($B651&amp;OFFSET(M$10,$A651*2,0),'Mapping A'!$B$6:$E$1011,4,0)=1,$E651,""),0)</f>
        <v>0</v>
      </c>
      <c r="N651" s="519">
        <f ca="1">_xlfn.IFNA(IF(VLOOKUP($B651&amp;OFFSET(N$10,$A651*2,0),'Mapping A'!$B$6:$E$1011,4,0)=1,$E651,""),0)</f>
        <v>0</v>
      </c>
      <c r="O651" s="519">
        <f ca="1">_xlfn.IFNA(IF(VLOOKUP($B651&amp;OFFSET(O$10,$A651*2,0),'Mapping A'!$B$6:$E$1011,4,0)=1,$E651,""),0)</f>
        <v>0</v>
      </c>
      <c r="P651" s="519">
        <f ca="1">_xlfn.IFNA(IF(VLOOKUP($B651&amp;OFFSET(P$10,$A651*2,0),'Mapping A'!$B$6:$E$1011,4,0)=1,$E651,""),0)</f>
        <v>0</v>
      </c>
      <c r="Q651" s="519">
        <f ca="1">_xlfn.IFNA(IF(VLOOKUP($B651&amp;OFFSET(Q$10,$A651*2,0),'Mapping A'!$B$6:$E$1011,4,0)=1,$E651,""),0)</f>
        <v>0</v>
      </c>
      <c r="R651" s="519">
        <f ca="1">_xlfn.IFNA(IF(VLOOKUP($B651&amp;OFFSET(R$10,$A651*2,0),'Mapping A'!$B$6:$E$1011,4,0)=1,$E651,""),0)</f>
        <v>0</v>
      </c>
      <c r="S651" s="519">
        <f ca="1">_xlfn.IFNA(IF(VLOOKUP($B651&amp;OFFSET(S$10,$A651*2,0),'Mapping A'!$B$6:$E$1011,4,0)=1,$E651,""),0)</f>
        <v>0</v>
      </c>
      <c r="T651" s="519">
        <f ca="1">_xlfn.IFNA(IF(VLOOKUP($B651&amp;OFFSET(T$10,$A651*2,0),'Mapping A'!$B$6:$E$1011,4,0)=1,$E651,""),0)</f>
        <v>0</v>
      </c>
      <c r="Y651" s="534" t="str">
        <f t="shared" si="657"/>
        <v>ContactWRK2201 WRK0</v>
      </c>
      <c r="Z651" s="519" t="str">
        <f>Volumes!H79</f>
        <v>Contact</v>
      </c>
      <c r="AA651" s="519" t="str">
        <f>Volumes!I79</f>
        <v>WRK2201 WRK0</v>
      </c>
      <c r="AB651" s="519">
        <f>Volumes!J79</f>
        <v>1578.665</v>
      </c>
      <c r="AC651" s="170"/>
      <c r="AE651" s="519">
        <f t="shared" ca="1" si="658"/>
        <v>0</v>
      </c>
      <c r="AF651" s="519">
        <f t="shared" ca="1" si="659"/>
        <v>0</v>
      </c>
      <c r="AG651" s="519">
        <f t="shared" ca="1" si="660"/>
        <v>0</v>
      </c>
      <c r="AH651" s="519">
        <f t="shared" ca="1" si="661"/>
        <v>0</v>
      </c>
      <c r="AI651" s="519">
        <f t="shared" ca="1" si="662"/>
        <v>0</v>
      </c>
      <c r="AJ651" s="519">
        <f t="shared" ca="1" si="663"/>
        <v>0</v>
      </c>
      <c r="AK651" s="519">
        <f t="shared" ca="1" si="664"/>
        <v>0</v>
      </c>
      <c r="AL651" s="519">
        <f t="shared" ca="1" si="665"/>
        <v>0</v>
      </c>
      <c r="AM651" s="519">
        <f t="shared" ca="1" si="666"/>
        <v>0</v>
      </c>
      <c r="AN651" s="519">
        <f t="shared" ca="1" si="667"/>
        <v>0</v>
      </c>
      <c r="AO651" s="519">
        <f t="shared" ca="1" si="668"/>
        <v>0</v>
      </c>
      <c r="AP651" s="519">
        <f t="shared" ca="1" si="669"/>
        <v>0</v>
      </c>
      <c r="AQ651" s="519">
        <f t="shared" ca="1" si="670"/>
        <v>0</v>
      </c>
    </row>
    <row r="652" spans="1:43" x14ac:dyDescent="0.3">
      <c r="A652" s="556">
        <f t="shared" si="671"/>
        <v>4</v>
      </c>
      <c r="B652" s="519" t="str">
        <f t="shared" si="672"/>
        <v>WTK</v>
      </c>
      <c r="C652" s="519" t="str">
        <f>Volumes!H80</f>
        <v>Meridian</v>
      </c>
      <c r="D652" s="519" t="str">
        <f>Volumes!I80</f>
        <v>WTK0111 WTK0</v>
      </c>
      <c r="E652" s="519">
        <f>Volumes!J80</f>
        <v>557.59220314999993</v>
      </c>
      <c r="G652" s="525"/>
      <c r="H652" s="519">
        <f ca="1">_xlfn.IFNA(IF(VLOOKUP($B652&amp;OFFSET(H$10,$A652*2,0),'Mapping A'!$B$6:$E$1011,4,0)=1,$E652,""),0)</f>
        <v>0</v>
      </c>
      <c r="I652" s="519">
        <f ca="1">_xlfn.IFNA(IF(VLOOKUP($B652&amp;OFFSET(I$10,$A652*2,0),'Mapping A'!$B$6:$E$1011,4,0)=1,$E652,""),0)</f>
        <v>0</v>
      </c>
      <c r="J652" s="519">
        <f ca="1">_xlfn.IFNA(IF(VLOOKUP($B652&amp;OFFSET(J$10,$A652*2,0),'Mapping A'!$B$6:$E$1011,4,0)=1,$E652,""),0)</f>
        <v>0</v>
      </c>
      <c r="K652" s="519">
        <f ca="1">_xlfn.IFNA(IF(VLOOKUP($B652&amp;OFFSET(K$10,$A652*2,0),'Mapping A'!$B$6:$E$1011,4,0)=1,$E652,""),0)</f>
        <v>0</v>
      </c>
      <c r="L652" s="519">
        <f ca="1">_xlfn.IFNA(IF(VLOOKUP($B652&amp;OFFSET(L$10,$A652*2,0),'Mapping A'!$B$6:$E$1011,4,0)=1,$E652,""),0)</f>
        <v>0</v>
      </c>
      <c r="M652" s="519">
        <f ca="1">_xlfn.IFNA(IF(VLOOKUP($B652&amp;OFFSET(M$10,$A652*2,0),'Mapping A'!$B$6:$E$1011,4,0)=1,$E652,""),0)</f>
        <v>0</v>
      </c>
      <c r="N652" s="519">
        <f ca="1">_xlfn.IFNA(IF(VLOOKUP($B652&amp;OFFSET(N$10,$A652*2,0),'Mapping A'!$B$6:$E$1011,4,0)=1,$E652,""),0)</f>
        <v>0</v>
      </c>
      <c r="O652" s="519">
        <f ca="1">_xlfn.IFNA(IF(VLOOKUP($B652&amp;OFFSET(O$10,$A652*2,0),'Mapping A'!$B$6:$E$1011,4,0)=1,$E652,""),0)</f>
        <v>557.59220314999993</v>
      </c>
      <c r="P652" s="519">
        <f ca="1">_xlfn.IFNA(IF(VLOOKUP($B652&amp;OFFSET(P$10,$A652*2,0),'Mapping A'!$B$6:$E$1011,4,0)=1,$E652,""),0)</f>
        <v>0</v>
      </c>
      <c r="Q652" s="519">
        <f ca="1">_xlfn.IFNA(IF(VLOOKUP($B652&amp;OFFSET(Q$10,$A652*2,0),'Mapping A'!$B$6:$E$1011,4,0)=1,$E652,""),0)</f>
        <v>0</v>
      </c>
      <c r="R652" s="519">
        <f ca="1">_xlfn.IFNA(IF(VLOOKUP($B652&amp;OFFSET(R$10,$A652*2,0),'Mapping A'!$B$6:$E$1011,4,0)=1,$E652,""),0)</f>
        <v>0</v>
      </c>
      <c r="S652" s="519">
        <f ca="1">_xlfn.IFNA(IF(VLOOKUP($B652&amp;OFFSET(S$10,$A652*2,0),'Mapping A'!$B$6:$E$1011,4,0)=1,$E652,""),0)</f>
        <v>0</v>
      </c>
      <c r="T652" s="519">
        <f ca="1">_xlfn.IFNA(IF(VLOOKUP($B652&amp;OFFSET(T$10,$A652*2,0),'Mapping A'!$B$6:$E$1011,4,0)=1,$E652,""),0)</f>
        <v>0</v>
      </c>
      <c r="Y652" s="534" t="str">
        <f t="shared" si="657"/>
        <v>MeridianWTK0111 WTK0</v>
      </c>
      <c r="Z652" s="519" t="str">
        <f>Volumes!H80</f>
        <v>Meridian</v>
      </c>
      <c r="AA652" s="519" t="str">
        <f>Volumes!I80</f>
        <v>WTK0111 WTK0</v>
      </c>
      <c r="AB652" s="519">
        <f>Volumes!J80</f>
        <v>557.59220314999993</v>
      </c>
      <c r="AC652" s="170"/>
      <c r="AE652" s="519">
        <f t="shared" ca="1" si="658"/>
        <v>0</v>
      </c>
      <c r="AF652" s="519">
        <f t="shared" ca="1" si="659"/>
        <v>0</v>
      </c>
      <c r="AG652" s="519">
        <f t="shared" ca="1" si="660"/>
        <v>0</v>
      </c>
      <c r="AH652" s="519">
        <f t="shared" ca="1" si="661"/>
        <v>0</v>
      </c>
      <c r="AI652" s="519">
        <f t="shared" ca="1" si="662"/>
        <v>0</v>
      </c>
      <c r="AJ652" s="519">
        <f t="shared" ca="1" si="663"/>
        <v>0</v>
      </c>
      <c r="AK652" s="519">
        <f t="shared" ca="1" si="664"/>
        <v>0</v>
      </c>
      <c r="AL652" s="519">
        <f t="shared" ca="1" si="665"/>
        <v>7.9259724147315302E-2</v>
      </c>
      <c r="AM652" s="519">
        <f t="shared" ca="1" si="666"/>
        <v>0</v>
      </c>
      <c r="AN652" s="519">
        <f t="shared" ca="1" si="667"/>
        <v>0</v>
      </c>
      <c r="AO652" s="519">
        <f t="shared" ca="1" si="668"/>
        <v>0</v>
      </c>
      <c r="AP652" s="519">
        <f t="shared" ca="1" si="669"/>
        <v>0</v>
      </c>
      <c r="AQ652" s="519">
        <f t="shared" ca="1" si="670"/>
        <v>0</v>
      </c>
    </row>
    <row r="653" spans="1:43" x14ac:dyDescent="0.3">
      <c r="A653" s="556"/>
      <c r="C653" s="520"/>
      <c r="D653" s="520"/>
      <c r="E653" s="520"/>
      <c r="F653" s="520"/>
      <c r="G653" s="525"/>
      <c r="H653" s="544"/>
      <c r="I653" s="544"/>
      <c r="J653" s="544"/>
      <c r="K653" s="544"/>
      <c r="L653" s="544"/>
      <c r="M653" s="544"/>
      <c r="N653" s="544"/>
      <c r="O653" s="544"/>
      <c r="P653" s="544"/>
      <c r="Q653" s="544"/>
      <c r="R653" s="544"/>
      <c r="S653" s="544"/>
      <c r="T653" s="544"/>
      <c r="AJ653" s="535"/>
      <c r="AL653" s="535"/>
    </row>
    <row r="654" spans="1:43" x14ac:dyDescent="0.3">
      <c r="A654" s="556"/>
      <c r="C654" s="520"/>
      <c r="D654" s="520"/>
      <c r="E654" s="520"/>
      <c r="F654" s="520"/>
      <c r="G654" s="525"/>
      <c r="H654" s="544"/>
      <c r="I654" s="544"/>
      <c r="J654" s="544"/>
      <c r="K654" s="544"/>
      <c r="L654" s="544"/>
      <c r="M654" s="544"/>
      <c r="N654" s="544"/>
      <c r="O654" s="544"/>
      <c r="P654" s="544"/>
      <c r="Q654" s="544"/>
      <c r="R654" s="544"/>
      <c r="S654" s="544"/>
      <c r="T654" s="544"/>
      <c r="AJ654" s="535"/>
    </row>
    <row r="655" spans="1:43" x14ac:dyDescent="0.3">
      <c r="A655" s="556"/>
      <c r="C655" s="520"/>
      <c r="D655" s="520"/>
      <c r="E655" s="520"/>
      <c r="F655" s="520"/>
      <c r="G655" s="520"/>
      <c r="H655" s="544"/>
      <c r="I655" s="544"/>
      <c r="J655" s="544"/>
      <c r="K655" s="544"/>
      <c r="L655" s="544"/>
      <c r="M655" s="544"/>
      <c r="N655" s="544"/>
      <c r="O655" s="544"/>
      <c r="P655" s="544"/>
      <c r="Q655" s="544"/>
      <c r="R655" s="544"/>
      <c r="S655" s="544"/>
      <c r="T655" s="544"/>
      <c r="AJ655" s="535"/>
    </row>
    <row r="656" spans="1:43" x14ac:dyDescent="0.3">
      <c r="A656" s="556"/>
      <c r="C656" s="520"/>
      <c r="D656" s="520"/>
      <c r="E656" s="520"/>
      <c r="F656" s="520"/>
      <c r="G656" s="520"/>
      <c r="H656" s="544"/>
      <c r="I656" s="544"/>
      <c r="J656" s="544"/>
      <c r="K656" s="544"/>
      <c r="L656" s="544"/>
      <c r="M656" s="544"/>
      <c r="N656" s="544"/>
      <c r="O656" s="544"/>
      <c r="P656" s="544"/>
      <c r="Q656" s="544"/>
      <c r="R656" s="544"/>
      <c r="S656" s="544"/>
      <c r="T656" s="544"/>
    </row>
    <row r="657" spans="1:38" x14ac:dyDescent="0.3">
      <c r="A657" s="556"/>
      <c r="C657" s="520"/>
      <c r="D657" s="520"/>
      <c r="E657" s="520"/>
      <c r="F657" s="520"/>
      <c r="G657" s="520"/>
      <c r="H657" s="544"/>
      <c r="I657" s="544"/>
      <c r="J657" s="544"/>
      <c r="K657" s="544"/>
      <c r="L657" s="544"/>
      <c r="M657" s="544"/>
      <c r="N657" s="544"/>
      <c r="O657" s="544"/>
      <c r="P657" s="544"/>
      <c r="Q657" s="544"/>
      <c r="R657" s="544"/>
      <c r="S657" s="544"/>
      <c r="T657" s="544"/>
    </row>
    <row r="658" spans="1:38" x14ac:dyDescent="0.3">
      <c r="A658" s="556"/>
      <c r="C658" s="520"/>
      <c r="D658" s="520"/>
      <c r="E658" s="520"/>
      <c r="F658" s="520"/>
      <c r="G658" s="520"/>
      <c r="H658" s="544"/>
      <c r="I658" s="544"/>
      <c r="J658" s="544"/>
      <c r="K658" s="544"/>
      <c r="L658" s="544"/>
      <c r="M658" s="544"/>
      <c r="N658" s="544"/>
      <c r="O658" s="544"/>
      <c r="P658" s="544"/>
      <c r="Q658" s="544"/>
      <c r="R658" s="544"/>
      <c r="S658" s="544"/>
      <c r="T658" s="544"/>
      <c r="Z658" s="545"/>
    </row>
    <row r="659" spans="1:38" x14ac:dyDescent="0.3">
      <c r="A659" s="556"/>
      <c r="C659" s="520"/>
      <c r="D659" s="520"/>
      <c r="E659" s="520"/>
      <c r="F659" s="520"/>
      <c r="G659" s="520"/>
      <c r="H659" s="544"/>
      <c r="I659" s="544"/>
      <c r="J659" s="544"/>
      <c r="K659" s="544"/>
      <c r="L659" s="544"/>
      <c r="M659" s="544"/>
      <c r="N659" s="544"/>
      <c r="O659" s="544"/>
      <c r="P659" s="544"/>
      <c r="Q659" s="544"/>
      <c r="R659" s="544"/>
      <c r="S659" s="544"/>
      <c r="T659" s="544"/>
      <c r="Z659" s="546"/>
    </row>
    <row r="660" spans="1:38" x14ac:dyDescent="0.3">
      <c r="A660" s="556"/>
      <c r="C660" s="520"/>
      <c r="D660" s="520"/>
      <c r="E660" s="520"/>
      <c r="F660" s="520"/>
      <c r="G660" s="520"/>
      <c r="H660" s="544"/>
      <c r="I660" s="544"/>
      <c r="J660" s="544"/>
      <c r="K660" s="544"/>
      <c r="L660" s="544"/>
      <c r="M660" s="544"/>
      <c r="N660" s="544"/>
      <c r="O660" s="544"/>
      <c r="P660" s="544"/>
      <c r="Q660" s="544"/>
      <c r="R660" s="544"/>
      <c r="S660" s="544"/>
      <c r="T660" s="544"/>
      <c r="Z660" s="546"/>
    </row>
    <row r="661" spans="1:38" x14ac:dyDescent="0.3">
      <c r="A661" s="556"/>
      <c r="C661" s="520"/>
      <c r="D661" s="520"/>
      <c r="E661" s="520"/>
      <c r="F661" s="520"/>
      <c r="G661" s="520"/>
      <c r="H661" s="544"/>
      <c r="I661" s="544"/>
      <c r="J661" s="544"/>
      <c r="K661" s="544"/>
      <c r="L661" s="544"/>
      <c r="M661" s="544"/>
      <c r="N661" s="544"/>
      <c r="O661" s="544"/>
      <c r="P661" s="544"/>
      <c r="Q661" s="544"/>
      <c r="R661" s="544"/>
      <c r="S661" s="544"/>
      <c r="T661" s="544"/>
      <c r="Z661" s="546"/>
    </row>
    <row r="662" spans="1:38" x14ac:dyDescent="0.3">
      <c r="A662" s="556"/>
      <c r="C662" s="520"/>
      <c r="D662" s="520"/>
      <c r="E662" s="520"/>
      <c r="F662" s="520"/>
      <c r="G662" s="520"/>
      <c r="H662" s="544"/>
      <c r="I662" s="544"/>
      <c r="J662" s="544"/>
      <c r="K662" s="544"/>
      <c r="L662" s="544"/>
      <c r="M662" s="544"/>
      <c r="N662" s="544"/>
      <c r="O662" s="544"/>
      <c r="P662" s="544"/>
      <c r="Q662" s="544"/>
      <c r="R662" s="544"/>
      <c r="S662" s="544"/>
      <c r="T662" s="544"/>
      <c r="Z662" s="546"/>
    </row>
    <row r="663" spans="1:38" x14ac:dyDescent="0.3">
      <c r="A663" s="556"/>
      <c r="C663" s="520"/>
      <c r="D663" s="520"/>
      <c r="E663" s="520"/>
      <c r="F663" s="520"/>
      <c r="G663" s="520"/>
      <c r="H663" s="544"/>
      <c r="I663" s="544"/>
      <c r="J663" s="544"/>
      <c r="K663" s="544"/>
      <c r="L663" s="544"/>
      <c r="M663" s="544"/>
      <c r="N663" s="544"/>
      <c r="O663" s="544"/>
      <c r="P663" s="544"/>
      <c r="Q663" s="544"/>
      <c r="R663" s="544"/>
      <c r="S663" s="544"/>
      <c r="T663" s="544"/>
      <c r="Z663" s="546"/>
      <c r="AL663" s="547"/>
    </row>
    <row r="664" spans="1:38" x14ac:dyDescent="0.3">
      <c r="A664" s="556"/>
      <c r="C664" s="520"/>
      <c r="D664" s="520"/>
      <c r="E664" s="520"/>
      <c r="F664" s="520"/>
      <c r="G664" s="520"/>
      <c r="H664" s="544"/>
      <c r="I664" s="544"/>
      <c r="J664" s="544"/>
      <c r="K664" s="544"/>
      <c r="L664" s="544"/>
      <c r="M664" s="544"/>
      <c r="N664" s="544"/>
      <c r="O664" s="544"/>
      <c r="P664" s="544"/>
      <c r="Q664" s="544"/>
      <c r="R664" s="544"/>
      <c r="S664" s="544"/>
      <c r="T664" s="544"/>
      <c r="Z664" s="546"/>
    </row>
    <row r="665" spans="1:38" x14ac:dyDescent="0.3">
      <c r="A665" s="556"/>
      <c r="C665" s="520"/>
      <c r="D665" s="520"/>
      <c r="E665" s="520"/>
      <c r="F665" s="520"/>
      <c r="G665" s="520"/>
      <c r="H665" s="544"/>
      <c r="I665" s="544"/>
      <c r="J665" s="544"/>
      <c r="K665" s="544"/>
      <c r="L665" s="544"/>
      <c r="M665" s="544"/>
      <c r="N665" s="544"/>
      <c r="O665" s="544"/>
      <c r="P665" s="544"/>
      <c r="Q665" s="544"/>
      <c r="R665" s="544"/>
      <c r="S665" s="544"/>
      <c r="T665" s="544"/>
      <c r="Z665" s="548"/>
    </row>
    <row r="666" spans="1:38" x14ac:dyDescent="0.3">
      <c r="A666" s="556"/>
      <c r="C666" s="520"/>
      <c r="D666" s="520"/>
      <c r="E666" s="520"/>
      <c r="F666" s="520"/>
      <c r="G666" s="520"/>
      <c r="H666" s="544"/>
      <c r="I666" s="544"/>
      <c r="J666" s="544"/>
      <c r="K666" s="544"/>
      <c r="L666" s="544"/>
      <c r="M666" s="544"/>
      <c r="N666" s="544"/>
      <c r="O666" s="544"/>
      <c r="P666" s="544"/>
      <c r="Q666" s="544"/>
      <c r="R666" s="544"/>
      <c r="S666" s="544"/>
      <c r="T666" s="544"/>
      <c r="Z666" s="548"/>
    </row>
    <row r="667" spans="1:38" x14ac:dyDescent="0.3">
      <c r="A667" s="556"/>
      <c r="C667" s="520"/>
      <c r="D667" s="520"/>
      <c r="E667" s="520"/>
      <c r="F667" s="520"/>
      <c r="G667" s="520"/>
      <c r="H667" s="544"/>
      <c r="I667" s="544"/>
      <c r="J667" s="544"/>
      <c r="K667" s="544"/>
      <c r="L667" s="544"/>
      <c r="M667" s="544"/>
      <c r="N667" s="544"/>
      <c r="O667" s="544"/>
      <c r="P667" s="544"/>
      <c r="Q667" s="544"/>
      <c r="R667" s="544"/>
      <c r="S667" s="544"/>
      <c r="T667" s="544"/>
      <c r="Z667" s="548"/>
    </row>
    <row r="668" spans="1:38" x14ac:dyDescent="0.3">
      <c r="A668" s="556"/>
      <c r="C668" s="520"/>
      <c r="D668" s="520"/>
      <c r="E668" s="520"/>
      <c r="F668" s="520"/>
      <c r="G668" s="520"/>
      <c r="H668" s="544"/>
      <c r="I668" s="544"/>
      <c r="J668" s="544"/>
      <c r="K668" s="544"/>
      <c r="L668" s="544"/>
      <c r="M668" s="544"/>
      <c r="N668" s="544"/>
      <c r="O668" s="544"/>
      <c r="P668" s="544"/>
      <c r="Q668" s="544"/>
      <c r="R668" s="544"/>
      <c r="S668" s="544"/>
      <c r="T668" s="544"/>
      <c r="Z668" s="548"/>
    </row>
    <row r="669" spans="1:38" x14ac:dyDescent="0.3">
      <c r="A669" s="556"/>
      <c r="C669" s="520"/>
      <c r="D669" s="520"/>
      <c r="E669" s="520"/>
      <c r="F669" s="520"/>
      <c r="G669" s="520"/>
      <c r="H669" s="544"/>
      <c r="I669" s="544"/>
      <c r="J669" s="544"/>
      <c r="K669" s="544"/>
      <c r="L669" s="544"/>
      <c r="M669" s="544"/>
      <c r="N669" s="544"/>
      <c r="O669" s="544"/>
      <c r="P669" s="544"/>
      <c r="Q669" s="544"/>
      <c r="R669" s="544"/>
      <c r="S669" s="544"/>
      <c r="T669" s="544"/>
      <c r="Z669" s="548"/>
    </row>
    <row r="670" spans="1:38" x14ac:dyDescent="0.3">
      <c r="A670" s="556"/>
      <c r="C670" s="520"/>
      <c r="D670" s="520"/>
      <c r="E670" s="520"/>
      <c r="F670" s="520"/>
      <c r="G670" s="520"/>
      <c r="H670" s="544"/>
      <c r="I670" s="544"/>
      <c r="J670" s="544"/>
      <c r="K670" s="544"/>
      <c r="L670" s="544"/>
      <c r="M670" s="544"/>
      <c r="N670" s="544"/>
      <c r="O670" s="544"/>
      <c r="P670" s="544"/>
      <c r="Q670" s="544"/>
      <c r="R670" s="544"/>
      <c r="S670" s="544"/>
      <c r="T670" s="544"/>
      <c r="Z670" s="548"/>
    </row>
    <row r="671" spans="1:38" x14ac:dyDescent="0.3">
      <c r="A671" s="556"/>
      <c r="C671" s="520"/>
      <c r="D671" s="520"/>
      <c r="E671" s="520"/>
      <c r="F671" s="520"/>
      <c r="G671" s="520"/>
      <c r="H671" s="544"/>
      <c r="I671" s="544"/>
      <c r="J671" s="544"/>
      <c r="K671" s="544"/>
      <c r="L671" s="544"/>
      <c r="M671" s="544"/>
      <c r="N671" s="544"/>
      <c r="O671" s="544"/>
      <c r="P671" s="544"/>
      <c r="Q671" s="544"/>
      <c r="R671" s="544"/>
      <c r="S671" s="544"/>
      <c r="T671" s="544"/>
      <c r="Z671" s="548"/>
    </row>
    <row r="672" spans="1:38" x14ac:dyDescent="0.3">
      <c r="A672" s="556"/>
      <c r="C672" s="520"/>
      <c r="D672" s="520"/>
      <c r="E672" s="520"/>
      <c r="F672" s="520"/>
      <c r="G672" s="520"/>
      <c r="H672" s="544"/>
      <c r="I672" s="544"/>
      <c r="J672" s="544"/>
      <c r="K672" s="544"/>
      <c r="L672" s="544"/>
      <c r="M672" s="544"/>
      <c r="N672" s="544"/>
      <c r="O672" s="544"/>
      <c r="P672" s="544"/>
      <c r="Q672" s="544"/>
      <c r="R672" s="544"/>
      <c r="S672" s="544"/>
      <c r="T672" s="544"/>
      <c r="Z672" s="548"/>
    </row>
    <row r="673" spans="1:26" x14ac:dyDescent="0.3">
      <c r="A673" s="556"/>
      <c r="C673" s="520"/>
      <c r="D673" s="520"/>
      <c r="E673" s="520"/>
      <c r="F673" s="520"/>
      <c r="G673" s="520"/>
      <c r="H673" s="544"/>
      <c r="I673" s="544"/>
      <c r="J673" s="544"/>
      <c r="K673" s="544"/>
      <c r="L673" s="544"/>
      <c r="M673" s="544"/>
      <c r="N673" s="544"/>
      <c r="O673" s="544"/>
      <c r="P673" s="544"/>
      <c r="Q673" s="544"/>
      <c r="R673" s="544"/>
      <c r="S673" s="544"/>
      <c r="T673" s="544"/>
      <c r="Z673" s="548"/>
    </row>
    <row r="674" spans="1:26" x14ac:dyDescent="0.3">
      <c r="A674" s="556"/>
      <c r="C674" s="520"/>
      <c r="D674" s="520"/>
      <c r="E674" s="520"/>
      <c r="F674" s="520"/>
      <c r="G674" s="520"/>
      <c r="H674" s="544"/>
      <c r="I674" s="544"/>
      <c r="J674" s="544"/>
      <c r="K674" s="544"/>
      <c r="L674" s="544"/>
      <c r="M674" s="544"/>
      <c r="N674" s="544"/>
      <c r="O674" s="544"/>
      <c r="P674" s="544"/>
      <c r="Q674" s="544"/>
      <c r="R674" s="544"/>
      <c r="S674" s="544"/>
      <c r="T674" s="544"/>
      <c r="Z674" s="548"/>
    </row>
    <row r="675" spans="1:26" x14ac:dyDescent="0.3">
      <c r="A675" s="556"/>
      <c r="C675" s="520"/>
      <c r="D675" s="520"/>
      <c r="E675" s="520"/>
      <c r="F675" s="520"/>
      <c r="G675" s="520"/>
      <c r="H675" s="544"/>
      <c r="I675" s="544"/>
      <c r="J675" s="544"/>
      <c r="K675" s="544"/>
      <c r="L675" s="544"/>
      <c r="M675" s="544"/>
      <c r="N675" s="544"/>
      <c r="O675" s="544"/>
      <c r="P675" s="544"/>
      <c r="Q675" s="544"/>
      <c r="R675" s="544"/>
      <c r="S675" s="544"/>
      <c r="T675" s="544"/>
      <c r="Z675" s="548"/>
    </row>
    <row r="676" spans="1:26" x14ac:dyDescent="0.3">
      <c r="A676" s="556"/>
      <c r="C676" s="520"/>
      <c r="D676" s="520"/>
      <c r="E676" s="520"/>
      <c r="F676" s="520"/>
      <c r="G676" s="520"/>
      <c r="H676" s="544"/>
      <c r="I676" s="544"/>
      <c r="J676" s="544"/>
      <c r="K676" s="544"/>
      <c r="L676" s="544"/>
      <c r="M676" s="544"/>
      <c r="N676" s="544"/>
      <c r="O676" s="544"/>
      <c r="P676" s="544"/>
      <c r="Q676" s="544"/>
      <c r="R676" s="544"/>
      <c r="S676" s="544"/>
      <c r="T676" s="544"/>
      <c r="Z676" s="548"/>
    </row>
    <row r="677" spans="1:26" x14ac:dyDescent="0.3">
      <c r="A677" s="556"/>
      <c r="C677" s="520"/>
      <c r="D677" s="520"/>
      <c r="E677" s="520"/>
      <c r="F677" s="520"/>
      <c r="G677" s="520"/>
      <c r="H677" s="544"/>
      <c r="I677" s="544"/>
      <c r="J677" s="544"/>
      <c r="K677" s="544"/>
      <c r="L677" s="544"/>
      <c r="M677" s="544"/>
      <c r="N677" s="544"/>
      <c r="O677" s="544"/>
      <c r="P677" s="544"/>
      <c r="Q677" s="544"/>
      <c r="R677" s="544"/>
      <c r="S677" s="544"/>
      <c r="T677" s="544"/>
      <c r="Z677" s="548"/>
    </row>
    <row r="678" spans="1:26" x14ac:dyDescent="0.3">
      <c r="A678" s="556"/>
      <c r="C678" s="520"/>
      <c r="D678" s="520"/>
      <c r="E678" s="520"/>
      <c r="F678" s="520"/>
      <c r="G678" s="520"/>
      <c r="H678" s="544"/>
      <c r="I678" s="544"/>
      <c r="J678" s="544"/>
      <c r="K678" s="544"/>
      <c r="L678" s="544"/>
      <c r="M678" s="544"/>
      <c r="N678" s="544"/>
      <c r="O678" s="544"/>
      <c r="P678" s="544"/>
      <c r="Q678" s="544"/>
      <c r="R678" s="544"/>
      <c r="S678" s="544"/>
      <c r="T678" s="544"/>
      <c r="Z678" s="548"/>
    </row>
    <row r="679" spans="1:26" x14ac:dyDescent="0.3">
      <c r="A679" s="556"/>
      <c r="C679" s="520"/>
      <c r="D679" s="520"/>
      <c r="E679" s="520"/>
      <c r="F679" s="520"/>
      <c r="G679" s="520"/>
      <c r="H679" s="544"/>
      <c r="I679" s="544"/>
      <c r="J679" s="544"/>
      <c r="K679" s="544"/>
      <c r="L679" s="544"/>
      <c r="M679" s="544"/>
      <c r="N679" s="544"/>
      <c r="O679" s="544"/>
      <c r="P679" s="544"/>
      <c r="Q679" s="544"/>
      <c r="R679" s="544"/>
      <c r="S679" s="544"/>
      <c r="T679" s="544"/>
      <c r="Z679" s="548"/>
    </row>
    <row r="680" spans="1:26" x14ac:dyDescent="0.3">
      <c r="A680" s="556"/>
      <c r="C680" s="520"/>
      <c r="D680" s="520"/>
      <c r="E680" s="520"/>
      <c r="F680" s="520"/>
      <c r="G680" s="520"/>
      <c r="H680" s="544"/>
      <c r="I680" s="544"/>
      <c r="J680" s="544"/>
      <c r="K680" s="544"/>
      <c r="L680" s="544"/>
      <c r="M680" s="544"/>
      <c r="N680" s="544"/>
      <c r="O680" s="544"/>
      <c r="P680" s="544"/>
      <c r="Q680" s="544"/>
      <c r="R680" s="544"/>
      <c r="S680" s="544"/>
      <c r="T680" s="544"/>
      <c r="Z680" s="548"/>
    </row>
    <row r="681" spans="1:26" x14ac:dyDescent="0.3">
      <c r="A681" s="556"/>
      <c r="C681" s="520"/>
      <c r="D681" s="520"/>
      <c r="E681" s="520"/>
      <c r="F681" s="520"/>
      <c r="G681" s="520"/>
      <c r="H681" s="544"/>
      <c r="I681" s="544"/>
      <c r="J681" s="544"/>
      <c r="K681" s="544"/>
      <c r="L681" s="544"/>
      <c r="M681" s="544"/>
      <c r="N681" s="544"/>
      <c r="O681" s="544"/>
      <c r="P681" s="544"/>
      <c r="Q681" s="544"/>
      <c r="R681" s="544"/>
      <c r="S681" s="544"/>
      <c r="T681" s="544"/>
      <c r="Z681" s="548"/>
    </row>
    <row r="682" spans="1:26" x14ac:dyDescent="0.3">
      <c r="A682" s="556"/>
      <c r="C682" s="520"/>
      <c r="D682" s="520"/>
      <c r="E682" s="520"/>
      <c r="F682" s="520"/>
      <c r="G682" s="520"/>
      <c r="H682" s="544"/>
      <c r="I682" s="544"/>
      <c r="J682" s="544"/>
      <c r="K682" s="544"/>
      <c r="L682" s="544"/>
      <c r="M682" s="544"/>
      <c r="N682" s="544"/>
      <c r="O682" s="544"/>
      <c r="P682" s="544"/>
      <c r="Q682" s="544"/>
      <c r="R682" s="544"/>
      <c r="S682" s="544"/>
      <c r="T682" s="544"/>
      <c r="Z682" s="546"/>
    </row>
    <row r="683" spans="1:26" x14ac:dyDescent="0.3">
      <c r="A683" s="556"/>
      <c r="C683" s="520"/>
      <c r="D683" s="520"/>
      <c r="E683" s="520"/>
      <c r="F683" s="520"/>
      <c r="G683" s="520"/>
      <c r="H683" s="544"/>
      <c r="I683" s="544"/>
      <c r="J683" s="544"/>
      <c r="K683" s="544"/>
      <c r="L683" s="544"/>
      <c r="M683" s="544"/>
      <c r="N683" s="544"/>
      <c r="O683" s="544"/>
      <c r="P683" s="544"/>
      <c r="Q683" s="544"/>
      <c r="R683" s="544"/>
      <c r="S683" s="544"/>
      <c r="T683" s="544"/>
      <c r="Z683" s="546"/>
    </row>
    <row r="684" spans="1:26" x14ac:dyDescent="0.3">
      <c r="A684" s="556"/>
      <c r="C684" s="520"/>
      <c r="D684" s="520"/>
      <c r="E684" s="520"/>
      <c r="F684" s="520"/>
      <c r="G684" s="520"/>
      <c r="H684" s="544"/>
      <c r="I684" s="544"/>
      <c r="J684" s="544"/>
      <c r="K684" s="544"/>
      <c r="L684" s="544"/>
      <c r="M684" s="544"/>
      <c r="N684" s="544"/>
      <c r="O684" s="544"/>
      <c r="P684" s="544"/>
      <c r="Q684" s="544"/>
      <c r="R684" s="544"/>
      <c r="S684" s="544"/>
      <c r="T684" s="544"/>
      <c r="Z684" s="546"/>
    </row>
    <row r="685" spans="1:26" x14ac:dyDescent="0.3">
      <c r="A685" s="556"/>
      <c r="C685" s="520"/>
      <c r="D685" s="520"/>
      <c r="E685" s="520"/>
      <c r="F685" s="520"/>
      <c r="G685" s="520"/>
      <c r="H685" s="544"/>
      <c r="I685" s="544"/>
      <c r="J685" s="544"/>
      <c r="K685" s="544"/>
      <c r="L685" s="544"/>
      <c r="M685" s="544"/>
      <c r="N685" s="544"/>
      <c r="O685" s="544"/>
      <c r="P685" s="544"/>
      <c r="Q685" s="544"/>
      <c r="R685" s="544"/>
      <c r="S685" s="544"/>
      <c r="T685" s="544"/>
      <c r="Z685" s="546"/>
    </row>
    <row r="686" spans="1:26" x14ac:dyDescent="0.3">
      <c r="A686" s="556"/>
      <c r="C686" s="520"/>
      <c r="D686" s="520"/>
      <c r="E686" s="520"/>
      <c r="F686" s="520"/>
      <c r="G686" s="520"/>
      <c r="H686" s="544"/>
      <c r="I686" s="544"/>
      <c r="J686" s="544"/>
      <c r="K686" s="544"/>
      <c r="L686" s="544"/>
      <c r="M686" s="544"/>
      <c r="N686" s="544"/>
      <c r="O686" s="544"/>
      <c r="P686" s="544"/>
      <c r="Q686" s="544"/>
      <c r="R686" s="544"/>
      <c r="S686" s="544"/>
      <c r="T686" s="544"/>
      <c r="Z686" s="546"/>
    </row>
    <row r="687" spans="1:26" x14ac:dyDescent="0.3">
      <c r="A687" s="556"/>
      <c r="C687" s="520"/>
      <c r="D687" s="520"/>
      <c r="E687" s="520"/>
      <c r="F687" s="520"/>
      <c r="G687" s="520"/>
      <c r="H687" s="544"/>
      <c r="I687" s="544"/>
      <c r="J687" s="544"/>
      <c r="K687" s="544"/>
      <c r="L687" s="544"/>
      <c r="M687" s="544"/>
      <c r="N687" s="544"/>
      <c r="O687" s="544"/>
      <c r="P687" s="544"/>
      <c r="Q687" s="544"/>
      <c r="R687" s="544"/>
      <c r="S687" s="544"/>
      <c r="T687" s="544"/>
      <c r="Z687" s="546"/>
    </row>
    <row r="688" spans="1:26" x14ac:dyDescent="0.3">
      <c r="A688" s="556"/>
      <c r="C688" s="520"/>
      <c r="D688" s="520"/>
      <c r="E688" s="520"/>
      <c r="F688" s="520"/>
      <c r="G688" s="520"/>
      <c r="H688" s="544"/>
      <c r="I688" s="544"/>
      <c r="J688" s="544"/>
      <c r="K688" s="544"/>
      <c r="L688" s="544"/>
      <c r="M688" s="544"/>
      <c r="N688" s="544"/>
      <c r="O688" s="544"/>
      <c r="P688" s="544"/>
      <c r="Q688" s="544"/>
      <c r="R688" s="544"/>
      <c r="S688" s="544"/>
      <c r="T688" s="544"/>
      <c r="Z688" s="549"/>
    </row>
    <row r="689" spans="1:26" x14ac:dyDescent="0.3">
      <c r="A689" s="556"/>
      <c r="C689" s="520"/>
      <c r="D689" s="520"/>
      <c r="E689" s="520"/>
      <c r="F689" s="520"/>
      <c r="G689" s="520"/>
      <c r="H689" s="544"/>
      <c r="I689" s="544"/>
      <c r="J689" s="544"/>
      <c r="K689" s="544"/>
      <c r="L689" s="544"/>
      <c r="M689" s="544"/>
      <c r="N689" s="544"/>
      <c r="O689" s="544"/>
      <c r="P689" s="544"/>
      <c r="Q689" s="544"/>
      <c r="R689" s="544"/>
      <c r="S689" s="544"/>
      <c r="T689" s="544"/>
      <c r="Z689" s="545"/>
    </row>
    <row r="690" spans="1:26" x14ac:dyDescent="0.3">
      <c r="A690" s="556"/>
      <c r="C690" s="520"/>
      <c r="D690" s="520"/>
      <c r="E690" s="520"/>
      <c r="F690" s="520"/>
      <c r="G690" s="520"/>
      <c r="H690" s="544"/>
      <c r="I690" s="544"/>
      <c r="J690" s="544"/>
      <c r="K690" s="544"/>
      <c r="L690" s="544"/>
      <c r="M690" s="544"/>
      <c r="N690" s="544"/>
      <c r="O690" s="544"/>
      <c r="P690" s="544"/>
      <c r="Q690" s="544"/>
      <c r="R690" s="544"/>
      <c r="S690" s="544"/>
      <c r="T690" s="544"/>
      <c r="Z690" s="546"/>
    </row>
    <row r="691" spans="1:26" x14ac:dyDescent="0.3">
      <c r="A691" s="556"/>
      <c r="C691" s="520"/>
      <c r="D691" s="520"/>
      <c r="E691" s="520"/>
      <c r="F691" s="520"/>
      <c r="G691" s="520"/>
      <c r="H691" s="544"/>
      <c r="I691" s="544"/>
      <c r="J691" s="544"/>
      <c r="K691" s="544"/>
      <c r="L691" s="544"/>
      <c r="M691" s="544"/>
      <c r="N691" s="544"/>
      <c r="O691" s="544"/>
      <c r="P691" s="544"/>
      <c r="Q691" s="544"/>
      <c r="R691" s="544"/>
      <c r="S691" s="544"/>
      <c r="T691" s="544"/>
      <c r="Z691" s="546"/>
    </row>
    <row r="692" spans="1:26" x14ac:dyDescent="0.3">
      <c r="A692" s="556"/>
      <c r="C692" s="520"/>
      <c r="D692" s="520"/>
      <c r="E692" s="520"/>
      <c r="F692" s="520"/>
      <c r="G692" s="520"/>
      <c r="H692" s="544"/>
      <c r="I692" s="544"/>
      <c r="J692" s="544"/>
      <c r="K692" s="544"/>
      <c r="L692" s="544"/>
      <c r="M692" s="544"/>
      <c r="N692" s="544"/>
      <c r="O692" s="544"/>
      <c r="P692" s="544"/>
      <c r="Q692" s="544"/>
      <c r="R692" s="544"/>
      <c r="S692" s="544"/>
      <c r="T692" s="544"/>
      <c r="Z692" s="546"/>
    </row>
    <row r="693" spans="1:26" x14ac:dyDescent="0.3">
      <c r="A693" s="556"/>
      <c r="C693" s="520"/>
      <c r="D693" s="520"/>
      <c r="E693" s="520"/>
      <c r="F693" s="520"/>
      <c r="G693" s="520"/>
      <c r="H693" s="544"/>
      <c r="I693" s="544"/>
      <c r="J693" s="544"/>
      <c r="K693" s="544"/>
      <c r="L693" s="544"/>
      <c r="M693" s="544"/>
      <c r="N693" s="544"/>
      <c r="O693" s="544"/>
      <c r="P693" s="544"/>
      <c r="Q693" s="544"/>
      <c r="R693" s="544"/>
      <c r="S693" s="544"/>
      <c r="T693" s="544"/>
      <c r="Z693" s="546"/>
    </row>
    <row r="694" spans="1:26" x14ac:dyDescent="0.3">
      <c r="A694" s="556"/>
      <c r="C694" s="520"/>
      <c r="D694" s="520"/>
      <c r="E694" s="520"/>
      <c r="F694" s="520"/>
      <c r="G694" s="520"/>
      <c r="H694" s="544"/>
      <c r="I694" s="544"/>
      <c r="J694" s="544"/>
      <c r="K694" s="544"/>
      <c r="L694" s="544"/>
      <c r="M694" s="544"/>
      <c r="N694" s="544"/>
      <c r="O694" s="544"/>
      <c r="P694" s="544"/>
      <c r="Q694" s="544"/>
      <c r="R694" s="544"/>
      <c r="S694" s="544"/>
      <c r="T694" s="544"/>
      <c r="Z694" s="546"/>
    </row>
    <row r="695" spans="1:26" x14ac:dyDescent="0.3">
      <c r="A695" s="556"/>
      <c r="C695" s="520"/>
      <c r="D695" s="520"/>
      <c r="E695" s="520"/>
      <c r="F695" s="520"/>
      <c r="G695" s="520"/>
      <c r="H695" s="544"/>
      <c r="I695" s="544"/>
      <c r="J695" s="544"/>
      <c r="K695" s="544"/>
      <c r="L695" s="544"/>
      <c r="M695" s="544"/>
      <c r="N695" s="544"/>
      <c r="O695" s="544"/>
      <c r="P695" s="544"/>
      <c r="Q695" s="544"/>
      <c r="R695" s="544"/>
      <c r="S695" s="544"/>
      <c r="T695" s="544"/>
      <c r="Z695" s="546"/>
    </row>
    <row r="696" spans="1:26" x14ac:dyDescent="0.3">
      <c r="A696" s="556"/>
      <c r="C696" s="520"/>
      <c r="D696" s="520"/>
      <c r="E696" s="520"/>
      <c r="F696" s="520"/>
      <c r="G696" s="520"/>
      <c r="H696" s="544"/>
      <c r="I696" s="544"/>
      <c r="J696" s="544"/>
      <c r="K696" s="544"/>
      <c r="L696" s="544"/>
      <c r="M696" s="544"/>
      <c r="N696" s="544"/>
      <c r="O696" s="544"/>
      <c r="P696" s="544"/>
      <c r="Q696" s="544"/>
      <c r="R696" s="544"/>
      <c r="S696" s="544"/>
      <c r="T696" s="544"/>
      <c r="Z696" s="546"/>
    </row>
    <row r="697" spans="1:26" x14ac:dyDescent="0.3">
      <c r="A697" s="556"/>
      <c r="C697" s="520"/>
      <c r="D697" s="520"/>
      <c r="E697" s="520"/>
      <c r="F697" s="520"/>
      <c r="G697" s="520"/>
      <c r="H697" s="544"/>
      <c r="I697" s="544"/>
      <c r="J697" s="544"/>
      <c r="K697" s="544"/>
      <c r="L697" s="544"/>
      <c r="M697" s="544"/>
      <c r="N697" s="544"/>
      <c r="O697" s="544"/>
      <c r="P697" s="544"/>
      <c r="Q697" s="544"/>
      <c r="R697" s="544"/>
      <c r="S697" s="544"/>
      <c r="T697" s="544"/>
      <c r="Z697" s="546"/>
    </row>
    <row r="698" spans="1:26" x14ac:dyDescent="0.3">
      <c r="A698" s="556"/>
      <c r="C698" s="520"/>
      <c r="D698" s="520"/>
      <c r="E698" s="520"/>
      <c r="F698" s="520"/>
      <c r="G698" s="520"/>
      <c r="H698" s="544"/>
      <c r="I698" s="544"/>
      <c r="J698" s="544"/>
      <c r="K698" s="544"/>
      <c r="L698" s="544"/>
      <c r="M698" s="544"/>
      <c r="N698" s="544"/>
      <c r="O698" s="544"/>
      <c r="P698" s="544"/>
      <c r="Q698" s="544"/>
      <c r="R698" s="544"/>
      <c r="S698" s="544"/>
      <c r="T698" s="544"/>
      <c r="Z698" s="546"/>
    </row>
    <row r="699" spans="1:26" x14ac:dyDescent="0.3">
      <c r="A699" s="556"/>
      <c r="C699" s="520"/>
      <c r="D699" s="520"/>
      <c r="E699" s="520"/>
      <c r="F699" s="520"/>
      <c r="G699" s="520"/>
      <c r="H699" s="544"/>
      <c r="I699" s="544"/>
      <c r="J699" s="544"/>
      <c r="K699" s="544"/>
      <c r="L699" s="544"/>
      <c r="M699" s="544"/>
      <c r="N699" s="544"/>
      <c r="O699" s="544"/>
      <c r="P699" s="544"/>
      <c r="Q699" s="544"/>
      <c r="R699" s="544"/>
      <c r="S699" s="544"/>
      <c r="T699" s="544"/>
      <c r="Z699" s="546"/>
    </row>
    <row r="700" spans="1:26" x14ac:dyDescent="0.3">
      <c r="A700" s="556"/>
      <c r="C700" s="520"/>
      <c r="D700" s="520"/>
      <c r="E700" s="520"/>
      <c r="F700" s="520"/>
      <c r="G700" s="520"/>
      <c r="H700" s="544"/>
      <c r="I700" s="544"/>
      <c r="J700" s="544"/>
      <c r="K700" s="544"/>
      <c r="L700" s="544"/>
      <c r="M700" s="544"/>
      <c r="N700" s="544"/>
      <c r="O700" s="544"/>
      <c r="P700" s="544"/>
      <c r="Q700" s="544"/>
      <c r="R700" s="544"/>
      <c r="S700" s="544"/>
      <c r="T700" s="544"/>
      <c r="Z700" s="546"/>
    </row>
    <row r="701" spans="1:26" x14ac:dyDescent="0.3">
      <c r="A701" s="556"/>
      <c r="C701" s="520"/>
      <c r="D701" s="520"/>
      <c r="E701" s="520"/>
      <c r="F701" s="520"/>
      <c r="G701" s="520"/>
      <c r="H701" s="544"/>
      <c r="I701" s="544"/>
      <c r="J701" s="544"/>
      <c r="K701" s="544"/>
      <c r="L701" s="544"/>
      <c r="M701" s="544"/>
      <c r="N701" s="544"/>
      <c r="O701" s="544"/>
      <c r="P701" s="544"/>
      <c r="Q701" s="544"/>
      <c r="R701" s="544"/>
      <c r="S701" s="544"/>
      <c r="T701" s="544"/>
      <c r="Z701" s="549"/>
    </row>
    <row r="702" spans="1:26" x14ac:dyDescent="0.3">
      <c r="A702" s="556"/>
      <c r="C702" s="520"/>
      <c r="D702" s="520"/>
      <c r="E702" s="520"/>
      <c r="F702" s="520"/>
      <c r="G702" s="520"/>
      <c r="H702" s="544"/>
      <c r="I702" s="544"/>
      <c r="J702" s="544"/>
      <c r="K702" s="544"/>
      <c r="L702" s="544"/>
      <c r="M702" s="544"/>
      <c r="N702" s="544"/>
      <c r="O702" s="544"/>
      <c r="P702" s="544"/>
      <c r="Q702" s="544"/>
      <c r="R702" s="544"/>
      <c r="S702" s="544"/>
      <c r="T702" s="544"/>
      <c r="Z702" s="545"/>
    </row>
    <row r="703" spans="1:26" x14ac:dyDescent="0.3">
      <c r="A703" s="556"/>
      <c r="C703" s="520"/>
      <c r="D703" s="520"/>
      <c r="E703" s="520"/>
      <c r="F703" s="520"/>
      <c r="G703" s="520"/>
      <c r="H703" s="544"/>
      <c r="I703" s="544"/>
      <c r="J703" s="544"/>
      <c r="K703" s="544"/>
      <c r="L703" s="544"/>
      <c r="M703" s="544"/>
      <c r="N703" s="544"/>
      <c r="O703" s="544"/>
      <c r="P703" s="544"/>
      <c r="Q703" s="544"/>
      <c r="R703" s="544"/>
      <c r="S703" s="544"/>
      <c r="T703" s="544"/>
      <c r="Z703" s="546"/>
    </row>
    <row r="704" spans="1:26" x14ac:dyDescent="0.3">
      <c r="A704" s="556"/>
      <c r="C704" s="520"/>
      <c r="D704" s="520"/>
      <c r="E704" s="520"/>
      <c r="F704" s="520"/>
      <c r="G704" s="520"/>
      <c r="H704" s="544"/>
      <c r="I704" s="544"/>
      <c r="J704" s="544"/>
      <c r="K704" s="544"/>
      <c r="L704" s="544"/>
      <c r="M704" s="544"/>
      <c r="N704" s="544"/>
      <c r="O704" s="544"/>
      <c r="P704" s="544"/>
      <c r="Q704" s="544"/>
      <c r="R704" s="544"/>
      <c r="S704" s="544"/>
      <c r="T704" s="544"/>
      <c r="Z704" s="546"/>
    </row>
    <row r="705" spans="1:26" x14ac:dyDescent="0.3">
      <c r="A705" s="556"/>
      <c r="C705" s="520"/>
      <c r="D705" s="520"/>
      <c r="E705" s="520"/>
      <c r="F705" s="520"/>
      <c r="G705" s="520"/>
      <c r="H705" s="544"/>
      <c r="I705" s="544"/>
      <c r="J705" s="544"/>
      <c r="K705" s="544"/>
      <c r="L705" s="544"/>
      <c r="M705" s="544"/>
      <c r="N705" s="544"/>
      <c r="O705" s="544"/>
      <c r="P705" s="544"/>
      <c r="Q705" s="544"/>
      <c r="R705" s="544"/>
      <c r="S705" s="544"/>
      <c r="T705" s="544"/>
      <c r="Z705" s="546"/>
    </row>
    <row r="706" spans="1:26" x14ac:dyDescent="0.3">
      <c r="A706" s="556"/>
      <c r="C706" s="520"/>
      <c r="D706" s="520"/>
      <c r="E706" s="520"/>
      <c r="F706" s="520"/>
      <c r="G706" s="520"/>
      <c r="H706" s="544"/>
      <c r="I706" s="544"/>
      <c r="J706" s="544"/>
      <c r="K706" s="544"/>
      <c r="L706" s="544"/>
      <c r="M706" s="544"/>
      <c r="N706" s="544"/>
      <c r="O706" s="544"/>
      <c r="P706" s="544"/>
      <c r="Q706" s="544"/>
      <c r="R706" s="544"/>
      <c r="S706" s="544"/>
      <c r="T706" s="544"/>
      <c r="Z706" s="546"/>
    </row>
    <row r="707" spans="1:26" x14ac:dyDescent="0.3">
      <c r="A707" s="556"/>
      <c r="C707" s="520"/>
      <c r="D707" s="520"/>
      <c r="E707" s="520"/>
      <c r="F707" s="520"/>
      <c r="G707" s="520"/>
      <c r="H707" s="544"/>
      <c r="I707" s="544"/>
      <c r="J707" s="544"/>
      <c r="K707" s="544"/>
      <c r="L707" s="544"/>
      <c r="M707" s="544"/>
      <c r="N707" s="544"/>
      <c r="O707" s="544"/>
      <c r="P707" s="544"/>
      <c r="Q707" s="544"/>
      <c r="R707" s="544"/>
      <c r="S707" s="544"/>
      <c r="T707" s="544"/>
      <c r="Z707" s="546"/>
    </row>
    <row r="708" spans="1:26" x14ac:dyDescent="0.3">
      <c r="A708" s="556"/>
      <c r="C708" s="520"/>
      <c r="D708" s="520"/>
      <c r="E708" s="520"/>
      <c r="F708" s="520"/>
      <c r="G708" s="520"/>
      <c r="H708" s="544"/>
      <c r="I708" s="544"/>
      <c r="J708" s="544"/>
      <c r="K708" s="544"/>
      <c r="L708" s="544"/>
      <c r="M708" s="544"/>
      <c r="N708" s="544"/>
      <c r="O708" s="544"/>
      <c r="P708" s="544"/>
      <c r="Q708" s="544"/>
      <c r="R708" s="544"/>
      <c r="S708" s="544"/>
      <c r="T708" s="544"/>
      <c r="Z708" s="546"/>
    </row>
    <row r="709" spans="1:26" x14ac:dyDescent="0.3">
      <c r="A709" s="556"/>
      <c r="C709" s="520"/>
      <c r="D709" s="520"/>
      <c r="E709" s="520"/>
      <c r="F709" s="520"/>
      <c r="G709" s="520"/>
      <c r="H709" s="544"/>
      <c r="I709" s="544"/>
      <c r="J709" s="544"/>
      <c r="K709" s="544"/>
      <c r="L709" s="544"/>
      <c r="M709" s="544"/>
      <c r="N709" s="544"/>
      <c r="O709" s="544"/>
      <c r="P709" s="544"/>
      <c r="Q709" s="544"/>
      <c r="R709" s="544"/>
      <c r="S709" s="544"/>
      <c r="T709" s="544"/>
      <c r="Z709" s="546"/>
    </row>
    <row r="710" spans="1:26" x14ac:dyDescent="0.3">
      <c r="A710" s="556"/>
      <c r="C710" s="520"/>
      <c r="D710" s="520"/>
      <c r="E710" s="520"/>
      <c r="F710" s="520"/>
      <c r="G710" s="520"/>
      <c r="H710" s="544"/>
      <c r="I710" s="544"/>
      <c r="J710" s="544"/>
      <c r="K710" s="544"/>
      <c r="L710" s="544"/>
      <c r="M710" s="544"/>
      <c r="N710" s="544"/>
      <c r="O710" s="544"/>
      <c r="P710" s="544"/>
      <c r="Q710" s="544"/>
      <c r="R710" s="544"/>
      <c r="S710" s="544"/>
      <c r="T710" s="544"/>
      <c r="Z710" s="546"/>
    </row>
    <row r="711" spans="1:26" x14ac:dyDescent="0.3">
      <c r="A711" s="556"/>
      <c r="C711" s="520"/>
      <c r="D711" s="520"/>
      <c r="E711" s="520"/>
      <c r="F711" s="520"/>
      <c r="G711" s="520"/>
      <c r="H711" s="544"/>
      <c r="I711" s="544"/>
      <c r="J711" s="544"/>
      <c r="K711" s="544"/>
      <c r="L711" s="544"/>
      <c r="M711" s="544"/>
      <c r="N711" s="544"/>
      <c r="O711" s="544"/>
      <c r="P711" s="544"/>
      <c r="Q711" s="544"/>
      <c r="R711" s="544"/>
      <c r="S711" s="544"/>
      <c r="T711" s="544"/>
      <c r="Z711" s="546"/>
    </row>
    <row r="712" spans="1:26" x14ac:dyDescent="0.3">
      <c r="A712" s="556"/>
      <c r="C712" s="520"/>
      <c r="D712" s="520"/>
      <c r="E712" s="520"/>
      <c r="F712" s="520"/>
      <c r="G712" s="520"/>
      <c r="H712" s="544"/>
      <c r="I712" s="544"/>
      <c r="J712" s="544"/>
      <c r="K712" s="544"/>
      <c r="L712" s="544"/>
      <c r="M712" s="544"/>
      <c r="N712" s="544"/>
      <c r="O712" s="544"/>
      <c r="P712" s="544"/>
      <c r="Q712" s="544"/>
      <c r="R712" s="544"/>
      <c r="S712" s="544"/>
      <c r="T712" s="544"/>
      <c r="Z712" s="546"/>
    </row>
    <row r="713" spans="1:26" x14ac:dyDescent="0.3">
      <c r="A713" s="556"/>
      <c r="C713" s="520"/>
      <c r="D713" s="520"/>
      <c r="E713" s="520"/>
      <c r="F713" s="520"/>
      <c r="G713" s="520"/>
      <c r="H713" s="544"/>
      <c r="I713" s="544"/>
      <c r="J713" s="544"/>
      <c r="K713" s="544"/>
      <c r="L713" s="544"/>
      <c r="M713" s="544"/>
      <c r="N713" s="544"/>
      <c r="O713" s="544"/>
      <c r="P713" s="544"/>
      <c r="Q713" s="544"/>
      <c r="R713" s="544"/>
      <c r="S713" s="544"/>
      <c r="T713" s="544"/>
      <c r="Z713" s="546"/>
    </row>
    <row r="714" spans="1:26" x14ac:dyDescent="0.3">
      <c r="A714" s="556"/>
      <c r="C714" s="520"/>
      <c r="D714" s="520"/>
      <c r="E714" s="520"/>
      <c r="F714" s="520"/>
      <c r="G714" s="520"/>
      <c r="H714" s="544"/>
      <c r="I714" s="544"/>
      <c r="J714" s="544"/>
      <c r="K714" s="544"/>
      <c r="L714" s="544"/>
      <c r="M714" s="544"/>
      <c r="N714" s="544"/>
      <c r="O714" s="544"/>
      <c r="P714" s="544"/>
      <c r="Q714" s="544"/>
      <c r="R714" s="544"/>
      <c r="S714" s="544"/>
      <c r="T714" s="544"/>
      <c r="Z714" s="546"/>
    </row>
    <row r="715" spans="1:26" x14ac:dyDescent="0.3">
      <c r="A715" s="556"/>
      <c r="C715" s="520"/>
      <c r="D715" s="520"/>
      <c r="E715" s="520"/>
      <c r="F715" s="520"/>
      <c r="G715" s="520"/>
      <c r="H715" s="544"/>
      <c r="I715" s="544"/>
      <c r="J715" s="544"/>
      <c r="K715" s="544"/>
      <c r="L715" s="544"/>
      <c r="M715" s="544"/>
      <c r="N715" s="544"/>
      <c r="O715" s="544"/>
      <c r="P715" s="544"/>
      <c r="Q715" s="544"/>
      <c r="R715" s="544"/>
      <c r="S715" s="544"/>
      <c r="T715" s="544"/>
      <c r="Z715" s="550"/>
    </row>
    <row r="716" spans="1:26" x14ac:dyDescent="0.3">
      <c r="A716" s="556"/>
      <c r="C716" s="520"/>
      <c r="D716" s="520"/>
      <c r="E716" s="520"/>
      <c r="F716" s="520"/>
      <c r="G716" s="520"/>
      <c r="H716" s="544"/>
      <c r="I716" s="544"/>
      <c r="J716" s="544"/>
      <c r="K716" s="544"/>
      <c r="L716" s="544"/>
      <c r="M716" s="544"/>
      <c r="N716" s="544"/>
      <c r="O716" s="544"/>
      <c r="P716" s="544"/>
      <c r="Q716" s="544"/>
      <c r="R716" s="544"/>
      <c r="S716" s="544"/>
      <c r="T716" s="544"/>
    </row>
    <row r="717" spans="1:26" x14ac:dyDescent="0.3">
      <c r="A717" s="556"/>
      <c r="C717" s="520"/>
      <c r="D717" s="520"/>
      <c r="E717" s="520"/>
      <c r="F717" s="520"/>
      <c r="G717" s="520"/>
      <c r="H717" s="544"/>
      <c r="I717" s="544"/>
      <c r="J717" s="544"/>
      <c r="K717" s="544"/>
      <c r="L717" s="544"/>
      <c r="M717" s="544"/>
      <c r="N717" s="544"/>
      <c r="O717" s="544"/>
      <c r="P717" s="544"/>
      <c r="Q717" s="544"/>
      <c r="R717" s="544"/>
      <c r="S717" s="544"/>
      <c r="T717" s="544"/>
    </row>
    <row r="718" spans="1:26" x14ac:dyDescent="0.3">
      <c r="A718" s="556"/>
      <c r="C718" s="520"/>
      <c r="D718" s="520"/>
      <c r="E718" s="520"/>
      <c r="F718" s="520"/>
      <c r="G718" s="520"/>
      <c r="H718" s="544"/>
      <c r="I718" s="544"/>
      <c r="J718" s="544"/>
      <c r="K718" s="544"/>
      <c r="L718" s="544"/>
      <c r="M718" s="544"/>
      <c r="N718" s="544"/>
      <c r="O718" s="544"/>
      <c r="P718" s="544"/>
      <c r="Q718" s="544"/>
      <c r="R718" s="544"/>
      <c r="S718" s="544"/>
      <c r="T718" s="544"/>
    </row>
    <row r="719" spans="1:26" x14ac:dyDescent="0.3">
      <c r="A719" s="556"/>
      <c r="C719" s="520"/>
      <c r="D719" s="520"/>
      <c r="E719" s="520"/>
      <c r="F719" s="520"/>
      <c r="G719" s="520"/>
      <c r="H719" s="544"/>
      <c r="I719" s="544"/>
      <c r="J719" s="544"/>
      <c r="K719" s="544"/>
      <c r="L719" s="544"/>
      <c r="M719" s="544"/>
      <c r="N719" s="544"/>
      <c r="O719" s="544"/>
      <c r="P719" s="544"/>
      <c r="Q719" s="544"/>
      <c r="R719" s="544"/>
      <c r="S719" s="544"/>
      <c r="T719" s="544"/>
    </row>
    <row r="720" spans="1:26" x14ac:dyDescent="0.3">
      <c r="A720" s="556"/>
      <c r="C720" s="520"/>
      <c r="D720" s="520"/>
      <c r="E720" s="520"/>
      <c r="F720" s="520"/>
      <c r="G720" s="520"/>
      <c r="H720" s="544"/>
      <c r="I720" s="544"/>
      <c r="J720" s="544"/>
      <c r="K720" s="544"/>
      <c r="L720" s="544"/>
      <c r="M720" s="544"/>
      <c r="N720" s="544"/>
      <c r="O720" s="544"/>
      <c r="P720" s="544"/>
      <c r="Q720" s="544"/>
      <c r="R720" s="544"/>
      <c r="S720" s="544"/>
      <c r="T720" s="544"/>
    </row>
    <row r="721" spans="1:20" x14ac:dyDescent="0.3">
      <c r="A721" s="556"/>
      <c r="C721" s="520"/>
      <c r="D721" s="520"/>
      <c r="E721" s="520"/>
      <c r="F721" s="520"/>
      <c r="G721" s="520"/>
      <c r="H721" s="544"/>
      <c r="I721" s="544"/>
      <c r="J721" s="544"/>
      <c r="K721" s="544"/>
      <c r="L721" s="544"/>
      <c r="M721" s="544"/>
      <c r="N721" s="544"/>
      <c r="O721" s="544"/>
      <c r="P721" s="544"/>
      <c r="Q721" s="544"/>
      <c r="R721" s="544"/>
      <c r="S721" s="544"/>
      <c r="T721" s="544"/>
    </row>
    <row r="722" spans="1:20" x14ac:dyDescent="0.3">
      <c r="A722" s="556"/>
      <c r="C722" s="520"/>
      <c r="D722" s="520"/>
      <c r="E722" s="520"/>
      <c r="F722" s="520"/>
      <c r="G722" s="520"/>
      <c r="H722" s="544"/>
      <c r="I722" s="544"/>
      <c r="J722" s="544"/>
      <c r="K722" s="544"/>
      <c r="L722" s="544"/>
      <c r="M722" s="544"/>
      <c r="N722" s="544"/>
      <c r="O722" s="544"/>
      <c r="P722" s="544"/>
      <c r="Q722" s="544"/>
      <c r="R722" s="544"/>
      <c r="S722" s="544"/>
      <c r="T722" s="544"/>
    </row>
    <row r="723" spans="1:20" x14ac:dyDescent="0.3">
      <c r="A723" s="556"/>
      <c r="C723" s="520"/>
      <c r="D723" s="520"/>
      <c r="E723" s="520"/>
      <c r="F723" s="520"/>
      <c r="G723" s="520"/>
      <c r="H723" s="544"/>
      <c r="I723" s="544"/>
      <c r="J723" s="544"/>
      <c r="K723" s="544"/>
      <c r="L723" s="544"/>
      <c r="M723" s="544"/>
      <c r="N723" s="544"/>
      <c r="O723" s="544"/>
      <c r="P723" s="544"/>
      <c r="Q723" s="544"/>
      <c r="R723" s="544"/>
      <c r="S723" s="544"/>
      <c r="T723" s="544"/>
    </row>
    <row r="724" spans="1:20" x14ac:dyDescent="0.3">
      <c r="A724" s="556"/>
      <c r="C724" s="520"/>
      <c r="D724" s="520"/>
      <c r="E724" s="520"/>
      <c r="F724" s="520"/>
      <c r="G724" s="520"/>
      <c r="H724" s="544"/>
      <c r="I724" s="544"/>
      <c r="J724" s="544"/>
      <c r="K724" s="544"/>
      <c r="L724" s="544"/>
      <c r="M724" s="544"/>
      <c r="N724" s="544"/>
      <c r="O724" s="544"/>
      <c r="P724" s="544"/>
      <c r="Q724" s="544"/>
      <c r="R724" s="544"/>
      <c r="S724" s="544"/>
      <c r="T724" s="544"/>
    </row>
    <row r="725" spans="1:20" x14ac:dyDescent="0.3">
      <c r="A725" s="556"/>
      <c r="C725" s="520"/>
      <c r="D725" s="520"/>
      <c r="E725" s="520"/>
      <c r="F725" s="520"/>
      <c r="G725" s="520"/>
      <c r="H725" s="544"/>
      <c r="I725" s="544"/>
      <c r="J725" s="544"/>
      <c r="K725" s="544"/>
      <c r="L725" s="544"/>
      <c r="M725" s="544"/>
      <c r="N725" s="544"/>
      <c r="O725" s="544"/>
      <c r="P725" s="544"/>
      <c r="Q725" s="544"/>
      <c r="R725" s="544"/>
      <c r="S725" s="544"/>
      <c r="T725" s="544"/>
    </row>
    <row r="726" spans="1:20" x14ac:dyDescent="0.3">
      <c r="A726" s="556"/>
      <c r="C726" s="520"/>
      <c r="D726" s="520"/>
      <c r="E726" s="520"/>
      <c r="F726" s="520"/>
      <c r="G726" s="520"/>
      <c r="H726" s="544"/>
      <c r="I726" s="544"/>
      <c r="J726" s="544"/>
      <c r="K726" s="544"/>
      <c r="L726" s="544"/>
      <c r="M726" s="544"/>
      <c r="N726" s="544"/>
      <c r="O726" s="544"/>
      <c r="P726" s="544"/>
      <c r="Q726" s="544"/>
      <c r="R726" s="544"/>
      <c r="S726" s="544"/>
      <c r="T726" s="544"/>
    </row>
    <row r="727" spans="1:20" x14ac:dyDescent="0.3">
      <c r="A727" s="556"/>
      <c r="C727" s="520"/>
      <c r="D727" s="520"/>
      <c r="E727" s="520"/>
      <c r="F727" s="520"/>
      <c r="G727" s="520"/>
      <c r="H727" s="544"/>
      <c r="I727" s="544"/>
      <c r="J727" s="544"/>
      <c r="K727" s="544"/>
      <c r="L727" s="544"/>
      <c r="M727" s="544"/>
      <c r="N727" s="544"/>
      <c r="O727" s="544"/>
      <c r="P727" s="544"/>
      <c r="Q727" s="544"/>
      <c r="R727" s="544"/>
      <c r="S727" s="544"/>
      <c r="T727" s="544"/>
    </row>
    <row r="728" spans="1:20" x14ac:dyDescent="0.3">
      <c r="A728" s="556"/>
      <c r="C728" s="520"/>
      <c r="D728" s="520"/>
      <c r="E728" s="520"/>
      <c r="F728" s="520"/>
      <c r="G728" s="520"/>
      <c r="H728" s="544"/>
      <c r="I728" s="544"/>
      <c r="J728" s="544"/>
      <c r="K728" s="544"/>
      <c r="L728" s="544"/>
      <c r="M728" s="544"/>
      <c r="N728" s="544"/>
      <c r="O728" s="544"/>
      <c r="P728" s="544"/>
      <c r="Q728" s="544"/>
      <c r="R728" s="544"/>
      <c r="S728" s="544"/>
      <c r="T728" s="544"/>
    </row>
    <row r="729" spans="1:20" x14ac:dyDescent="0.3">
      <c r="A729" s="556"/>
      <c r="C729" s="520"/>
      <c r="D729" s="520"/>
      <c r="E729" s="520"/>
      <c r="F729" s="520"/>
      <c r="G729" s="520"/>
      <c r="H729" s="544"/>
      <c r="I729" s="544"/>
      <c r="J729" s="544"/>
      <c r="K729" s="544"/>
      <c r="L729" s="544"/>
      <c r="M729" s="544"/>
      <c r="N729" s="544"/>
      <c r="O729" s="544"/>
      <c r="P729" s="544"/>
      <c r="Q729" s="544"/>
      <c r="R729" s="544"/>
      <c r="S729" s="544"/>
      <c r="T729" s="544"/>
    </row>
    <row r="730" spans="1:20" x14ac:dyDescent="0.3">
      <c r="A730" s="556"/>
      <c r="C730" s="520"/>
      <c r="D730" s="520"/>
      <c r="E730" s="520"/>
      <c r="F730" s="520"/>
      <c r="G730" s="520"/>
      <c r="H730" s="544"/>
      <c r="I730" s="544"/>
      <c r="J730" s="544"/>
      <c r="K730" s="544"/>
      <c r="L730" s="544"/>
      <c r="M730" s="544"/>
      <c r="N730" s="544"/>
      <c r="O730" s="544"/>
      <c r="P730" s="544"/>
      <c r="Q730" s="544"/>
      <c r="R730" s="544"/>
      <c r="S730" s="544"/>
      <c r="T730" s="544"/>
    </row>
    <row r="731" spans="1:20" x14ac:dyDescent="0.3">
      <c r="A731" s="556"/>
      <c r="C731" s="520"/>
      <c r="D731" s="520"/>
      <c r="E731" s="520"/>
      <c r="F731" s="520"/>
      <c r="G731" s="520"/>
      <c r="H731" s="544"/>
      <c r="I731" s="544"/>
      <c r="J731" s="544"/>
      <c r="K731" s="544"/>
      <c r="L731" s="544"/>
      <c r="M731" s="544"/>
      <c r="N731" s="544"/>
      <c r="O731" s="544"/>
      <c r="P731" s="544"/>
      <c r="Q731" s="544"/>
      <c r="R731" s="544"/>
      <c r="S731" s="544"/>
      <c r="T731" s="544"/>
    </row>
    <row r="732" spans="1:20" x14ac:dyDescent="0.3">
      <c r="A732" s="556"/>
      <c r="C732" s="520"/>
      <c r="D732" s="520"/>
      <c r="E732" s="520"/>
      <c r="F732" s="520"/>
      <c r="G732" s="520"/>
      <c r="H732" s="544"/>
      <c r="I732" s="544"/>
      <c r="J732" s="544"/>
      <c r="K732" s="544"/>
      <c r="L732" s="544"/>
      <c r="M732" s="544"/>
      <c r="N732" s="544"/>
      <c r="O732" s="544"/>
      <c r="P732" s="544"/>
      <c r="Q732" s="544"/>
      <c r="R732" s="544"/>
      <c r="S732" s="544"/>
      <c r="T732" s="544"/>
    </row>
    <row r="733" spans="1:20" x14ac:dyDescent="0.3">
      <c r="A733" s="556"/>
      <c r="C733" s="520"/>
      <c r="D733" s="520"/>
      <c r="E733" s="520"/>
      <c r="F733" s="520"/>
      <c r="G733" s="520"/>
      <c r="H733" s="544"/>
      <c r="I733" s="544"/>
      <c r="J733" s="544"/>
      <c r="K733" s="544"/>
      <c r="L733" s="544"/>
      <c r="M733" s="544"/>
      <c r="N733" s="544"/>
      <c r="O733" s="544"/>
      <c r="P733" s="544"/>
      <c r="Q733" s="544"/>
      <c r="R733" s="544"/>
      <c r="S733" s="544"/>
      <c r="T733" s="544"/>
    </row>
    <row r="734" spans="1:20" x14ac:dyDescent="0.3">
      <c r="A734" s="556"/>
      <c r="C734" s="520"/>
      <c r="D734" s="520"/>
      <c r="E734" s="520"/>
      <c r="F734" s="520"/>
      <c r="G734" s="520"/>
      <c r="H734" s="544"/>
      <c r="I734" s="544"/>
      <c r="J734" s="544"/>
      <c r="K734" s="544"/>
      <c r="L734" s="544"/>
      <c r="M734" s="544"/>
      <c r="N734" s="544"/>
      <c r="O734" s="544"/>
      <c r="P734" s="544"/>
      <c r="Q734" s="544"/>
      <c r="R734" s="544"/>
      <c r="S734" s="544"/>
      <c r="T734" s="544"/>
    </row>
    <row r="735" spans="1:20" x14ac:dyDescent="0.3">
      <c r="A735" s="556"/>
      <c r="C735" s="520"/>
      <c r="D735" s="520"/>
      <c r="E735" s="520"/>
      <c r="F735" s="520"/>
      <c r="G735" s="520"/>
      <c r="H735" s="544"/>
      <c r="I735" s="544"/>
      <c r="J735" s="544"/>
      <c r="K735" s="544"/>
      <c r="L735" s="544"/>
      <c r="M735" s="544"/>
      <c r="N735" s="544"/>
      <c r="O735" s="544"/>
      <c r="P735" s="544"/>
      <c r="Q735" s="544"/>
      <c r="R735" s="544"/>
      <c r="S735" s="544"/>
      <c r="T735" s="544"/>
    </row>
    <row r="736" spans="1:20" x14ac:dyDescent="0.3">
      <c r="A736" s="556"/>
      <c r="C736" s="520"/>
      <c r="D736" s="520"/>
      <c r="E736" s="520"/>
      <c r="F736" s="520"/>
      <c r="G736" s="520"/>
      <c r="H736" s="544"/>
      <c r="I736" s="544"/>
      <c r="J736" s="544"/>
      <c r="K736" s="544"/>
      <c r="L736" s="544"/>
      <c r="M736" s="544"/>
      <c r="N736" s="544"/>
      <c r="O736" s="544"/>
      <c r="P736" s="544"/>
      <c r="Q736" s="544"/>
      <c r="R736" s="544"/>
      <c r="S736" s="544"/>
      <c r="T736" s="544"/>
    </row>
    <row r="737" spans="1:20" x14ac:dyDescent="0.3">
      <c r="A737" s="556"/>
      <c r="C737" s="520"/>
      <c r="D737" s="520"/>
      <c r="E737" s="520"/>
      <c r="F737" s="520"/>
      <c r="G737" s="520"/>
      <c r="H737" s="544"/>
      <c r="I737" s="544"/>
      <c r="J737" s="544"/>
      <c r="K737" s="544"/>
      <c r="L737" s="544"/>
      <c r="M737" s="544"/>
      <c r="N737" s="544"/>
      <c r="O737" s="544"/>
      <c r="P737" s="544"/>
      <c r="Q737" s="544"/>
      <c r="R737" s="544"/>
      <c r="S737" s="544"/>
      <c r="T737" s="544"/>
    </row>
    <row r="738" spans="1:20" x14ac:dyDescent="0.3">
      <c r="A738" s="556"/>
      <c r="C738" s="520"/>
      <c r="D738" s="520"/>
      <c r="E738" s="520"/>
      <c r="F738" s="520"/>
      <c r="G738" s="520"/>
      <c r="H738" s="544"/>
      <c r="I738" s="544"/>
      <c r="J738" s="544"/>
      <c r="K738" s="544"/>
      <c r="L738" s="544"/>
      <c r="M738" s="544"/>
      <c r="N738" s="544"/>
      <c r="O738" s="544"/>
      <c r="P738" s="544"/>
      <c r="Q738" s="544"/>
      <c r="R738" s="544"/>
      <c r="S738" s="544"/>
      <c r="T738" s="544"/>
    </row>
    <row r="739" spans="1:20" x14ac:dyDescent="0.3">
      <c r="A739" s="556"/>
      <c r="C739" s="520"/>
      <c r="D739" s="520"/>
      <c r="E739" s="520"/>
      <c r="F739" s="520"/>
      <c r="G739" s="520"/>
      <c r="H739" s="544"/>
      <c r="I739" s="544"/>
      <c r="J739" s="544"/>
      <c r="K739" s="544"/>
      <c r="L739" s="544"/>
      <c r="M739" s="544"/>
      <c r="N739" s="544"/>
      <c r="O739" s="544"/>
      <c r="P739" s="544"/>
      <c r="Q739" s="544"/>
      <c r="R739" s="544"/>
      <c r="S739" s="544"/>
      <c r="T739" s="544"/>
    </row>
    <row r="740" spans="1:20" x14ac:dyDescent="0.3">
      <c r="A740" s="556"/>
      <c r="C740" s="520"/>
      <c r="D740" s="520"/>
      <c r="E740" s="520"/>
      <c r="F740" s="520"/>
      <c r="G740" s="520"/>
      <c r="H740" s="544"/>
      <c r="I740" s="544"/>
      <c r="J740" s="544"/>
      <c r="K740" s="544"/>
      <c r="L740" s="544"/>
      <c r="M740" s="544"/>
      <c r="N740" s="544"/>
      <c r="O740" s="544"/>
      <c r="P740" s="544"/>
      <c r="Q740" s="544"/>
      <c r="R740" s="544"/>
      <c r="S740" s="544"/>
      <c r="T740" s="544"/>
    </row>
    <row r="741" spans="1:20" x14ac:dyDescent="0.3">
      <c r="A741" s="556"/>
      <c r="C741" s="520"/>
      <c r="D741" s="520"/>
      <c r="E741" s="520"/>
      <c r="F741" s="520"/>
      <c r="G741" s="520"/>
      <c r="H741" s="544"/>
      <c r="I741" s="544"/>
      <c r="J741" s="544"/>
      <c r="K741" s="544"/>
      <c r="L741" s="544"/>
      <c r="M741" s="544"/>
      <c r="N741" s="544"/>
      <c r="O741" s="544"/>
      <c r="P741" s="544"/>
      <c r="Q741" s="544"/>
      <c r="R741" s="544"/>
      <c r="S741" s="544"/>
      <c r="T741" s="544"/>
    </row>
    <row r="742" spans="1:20" x14ac:dyDescent="0.3">
      <c r="A742" s="556"/>
      <c r="C742" s="520"/>
      <c r="D742" s="520"/>
      <c r="E742" s="520"/>
      <c r="F742" s="520"/>
      <c r="G742" s="520"/>
      <c r="H742" s="544"/>
      <c r="I742" s="544"/>
      <c r="J742" s="544"/>
      <c r="K742" s="544"/>
      <c r="L742" s="544"/>
      <c r="M742" s="544"/>
      <c r="N742" s="544"/>
      <c r="O742" s="544"/>
      <c r="P742" s="544"/>
      <c r="Q742" s="544"/>
      <c r="R742" s="544"/>
      <c r="S742" s="544"/>
      <c r="T742" s="544"/>
    </row>
    <row r="743" spans="1:20" x14ac:dyDescent="0.3">
      <c r="A743" s="556"/>
      <c r="C743" s="520"/>
      <c r="D743" s="520"/>
      <c r="E743" s="520"/>
      <c r="F743" s="520"/>
      <c r="G743" s="520"/>
      <c r="H743" s="544"/>
      <c r="I743" s="544"/>
      <c r="J743" s="544"/>
      <c r="K743" s="544"/>
      <c r="L743" s="544"/>
      <c r="M743" s="544"/>
      <c r="N743" s="544"/>
      <c r="O743" s="544"/>
      <c r="P743" s="544"/>
      <c r="Q743" s="544"/>
      <c r="R743" s="544"/>
      <c r="S743" s="544"/>
      <c r="T743" s="544"/>
    </row>
    <row r="744" spans="1:20" x14ac:dyDescent="0.3">
      <c r="A744" s="556"/>
      <c r="C744" s="520"/>
      <c r="D744" s="520"/>
      <c r="E744" s="520"/>
      <c r="F744" s="520"/>
      <c r="G744" s="520"/>
      <c r="H744" s="544"/>
      <c r="I744" s="544"/>
      <c r="J744" s="544"/>
      <c r="K744" s="544"/>
      <c r="L744" s="544"/>
      <c r="M744" s="544"/>
      <c r="N744" s="544"/>
      <c r="O744" s="544"/>
      <c r="P744" s="544"/>
      <c r="Q744" s="544"/>
      <c r="R744" s="544"/>
      <c r="S744" s="544"/>
      <c r="T744" s="544"/>
    </row>
    <row r="745" spans="1:20" x14ac:dyDescent="0.3">
      <c r="A745" s="556"/>
      <c r="C745" s="520"/>
      <c r="D745" s="520"/>
      <c r="E745" s="520"/>
      <c r="F745" s="520"/>
      <c r="G745" s="520"/>
      <c r="H745" s="544"/>
      <c r="I745" s="544"/>
      <c r="J745" s="544"/>
      <c r="K745" s="544"/>
      <c r="L745" s="544"/>
      <c r="M745" s="544"/>
      <c r="N745" s="544"/>
      <c r="O745" s="544"/>
      <c r="P745" s="544"/>
      <c r="Q745" s="544"/>
      <c r="R745" s="544"/>
      <c r="S745" s="544"/>
      <c r="T745" s="544"/>
    </row>
    <row r="746" spans="1:20" x14ac:dyDescent="0.3">
      <c r="A746" s="556"/>
      <c r="C746" s="520"/>
      <c r="D746" s="520"/>
      <c r="E746" s="520"/>
      <c r="F746" s="520"/>
      <c r="G746" s="520"/>
      <c r="H746" s="544"/>
      <c r="I746" s="544"/>
      <c r="J746" s="544"/>
      <c r="K746" s="544"/>
      <c r="L746" s="544"/>
      <c r="M746" s="544"/>
      <c r="N746" s="544"/>
      <c r="O746" s="544"/>
      <c r="P746" s="544"/>
      <c r="Q746" s="544"/>
      <c r="R746" s="544"/>
      <c r="S746" s="544"/>
      <c r="T746" s="544"/>
    </row>
    <row r="747" spans="1:20" x14ac:dyDescent="0.3">
      <c r="A747" s="556"/>
      <c r="C747" s="520"/>
      <c r="D747" s="520"/>
      <c r="E747" s="520"/>
      <c r="F747" s="520"/>
      <c r="G747" s="520"/>
      <c r="H747" s="544"/>
      <c r="I747" s="544"/>
      <c r="J747" s="544"/>
      <c r="K747" s="544"/>
      <c r="L747" s="544"/>
      <c r="M747" s="544"/>
      <c r="N747" s="544"/>
      <c r="O747" s="544"/>
      <c r="P747" s="544"/>
      <c r="Q747" s="544"/>
      <c r="R747" s="544"/>
      <c r="S747" s="544"/>
      <c r="T747" s="544"/>
    </row>
    <row r="748" spans="1:20" x14ac:dyDescent="0.3">
      <c r="A748" s="556"/>
      <c r="C748" s="520"/>
      <c r="D748" s="520"/>
      <c r="E748" s="520"/>
      <c r="F748" s="520"/>
      <c r="G748" s="520"/>
      <c r="H748" s="544"/>
      <c r="I748" s="544"/>
      <c r="J748" s="544"/>
      <c r="K748" s="544"/>
      <c r="L748" s="544"/>
      <c r="M748" s="544"/>
      <c r="N748" s="544"/>
      <c r="O748" s="544"/>
      <c r="P748" s="544"/>
      <c r="Q748" s="544"/>
      <c r="R748" s="544"/>
      <c r="S748" s="544"/>
      <c r="T748" s="544"/>
    </row>
    <row r="749" spans="1:20" x14ac:dyDescent="0.3">
      <c r="A749" s="556"/>
      <c r="C749" s="520"/>
      <c r="D749" s="520"/>
      <c r="E749" s="520"/>
      <c r="F749" s="520"/>
      <c r="G749" s="520"/>
      <c r="H749" s="544"/>
      <c r="I749" s="544"/>
      <c r="J749" s="544"/>
      <c r="K749" s="544"/>
      <c r="L749" s="544"/>
      <c r="M749" s="544"/>
      <c r="N749" s="544"/>
      <c r="O749" s="544"/>
      <c r="P749" s="544"/>
      <c r="Q749" s="544"/>
      <c r="R749" s="544"/>
      <c r="S749" s="544"/>
      <c r="T749" s="544"/>
    </row>
    <row r="750" spans="1:20" x14ac:dyDescent="0.3">
      <c r="A750" s="556"/>
      <c r="C750" s="520"/>
      <c r="D750" s="520"/>
      <c r="E750" s="520"/>
      <c r="F750" s="520"/>
      <c r="G750" s="520"/>
      <c r="H750" s="544"/>
      <c r="I750" s="544"/>
      <c r="J750" s="544"/>
      <c r="K750" s="544"/>
      <c r="L750" s="544"/>
      <c r="M750" s="544"/>
      <c r="N750" s="544"/>
      <c r="O750" s="544"/>
      <c r="P750" s="544"/>
      <c r="Q750" s="544"/>
      <c r="R750" s="544"/>
      <c r="S750" s="544"/>
      <c r="T750" s="544"/>
    </row>
    <row r="751" spans="1:20" x14ac:dyDescent="0.3">
      <c r="A751" s="556"/>
      <c r="C751" s="520"/>
      <c r="D751" s="520"/>
      <c r="E751" s="520"/>
      <c r="F751" s="520"/>
      <c r="G751" s="520"/>
      <c r="H751" s="544"/>
      <c r="I751" s="544"/>
      <c r="J751" s="544"/>
      <c r="K751" s="544"/>
      <c r="L751" s="544"/>
      <c r="M751" s="544"/>
      <c r="N751" s="544"/>
      <c r="O751" s="544"/>
      <c r="P751" s="544"/>
      <c r="Q751" s="544"/>
      <c r="R751" s="544"/>
      <c r="S751" s="544"/>
      <c r="T751" s="544"/>
    </row>
    <row r="752" spans="1:20" x14ac:dyDescent="0.3">
      <c r="A752" s="556"/>
      <c r="C752" s="520"/>
      <c r="D752" s="520"/>
      <c r="E752" s="520"/>
      <c r="F752" s="520"/>
      <c r="G752" s="520"/>
      <c r="H752" s="544"/>
      <c r="I752" s="544"/>
      <c r="J752" s="544"/>
      <c r="K752" s="544"/>
      <c r="L752" s="544"/>
      <c r="M752" s="544"/>
      <c r="N752" s="544"/>
      <c r="O752" s="544"/>
      <c r="P752" s="544"/>
      <c r="Q752" s="544"/>
      <c r="R752" s="544"/>
      <c r="S752" s="544"/>
      <c r="T752" s="544"/>
    </row>
    <row r="753" spans="1:20" x14ac:dyDescent="0.3">
      <c r="A753" s="556"/>
      <c r="C753" s="520"/>
      <c r="D753" s="520"/>
      <c r="E753" s="520"/>
      <c r="F753" s="520"/>
      <c r="G753" s="520"/>
      <c r="H753" s="544"/>
      <c r="I753" s="544"/>
      <c r="J753" s="544"/>
      <c r="K753" s="544"/>
      <c r="L753" s="544"/>
      <c r="M753" s="544"/>
      <c r="N753" s="544"/>
      <c r="O753" s="544"/>
      <c r="P753" s="544"/>
      <c r="Q753" s="544"/>
      <c r="R753" s="544"/>
      <c r="S753" s="544"/>
      <c r="T753" s="544"/>
    </row>
    <row r="754" spans="1:20" x14ac:dyDescent="0.3">
      <c r="A754" s="556"/>
      <c r="C754" s="520"/>
      <c r="D754" s="520"/>
      <c r="E754" s="520"/>
      <c r="F754" s="520"/>
      <c r="G754" s="520"/>
      <c r="H754" s="544"/>
      <c r="I754" s="544"/>
      <c r="J754" s="544"/>
      <c r="K754" s="544"/>
      <c r="L754" s="544"/>
      <c r="M754" s="544"/>
      <c r="N754" s="544"/>
      <c r="O754" s="544"/>
      <c r="P754" s="544"/>
      <c r="Q754" s="544"/>
      <c r="R754" s="544"/>
      <c r="S754" s="544"/>
      <c r="T754" s="544"/>
    </row>
    <row r="755" spans="1:20" x14ac:dyDescent="0.3">
      <c r="A755" s="556"/>
      <c r="C755" s="520"/>
      <c r="D755" s="520"/>
      <c r="E755" s="520"/>
      <c r="F755" s="520"/>
      <c r="G755" s="520"/>
      <c r="H755" s="544"/>
      <c r="I755" s="544"/>
      <c r="J755" s="544"/>
      <c r="K755" s="544"/>
      <c r="L755" s="544"/>
      <c r="M755" s="544"/>
      <c r="N755" s="544"/>
      <c r="O755" s="544"/>
      <c r="P755" s="544"/>
      <c r="Q755" s="544"/>
      <c r="R755" s="544"/>
      <c r="S755" s="544"/>
      <c r="T755" s="544"/>
    </row>
    <row r="756" spans="1:20" x14ac:dyDescent="0.3">
      <c r="A756" s="556"/>
      <c r="C756" s="520"/>
      <c r="D756" s="520"/>
      <c r="E756" s="520"/>
      <c r="F756" s="520"/>
      <c r="G756" s="520"/>
      <c r="H756" s="544"/>
      <c r="I756" s="544"/>
      <c r="J756" s="544"/>
      <c r="K756" s="544"/>
      <c r="L756" s="544"/>
      <c r="M756" s="544"/>
      <c r="N756" s="544"/>
      <c r="O756" s="544"/>
      <c r="P756" s="544"/>
      <c r="Q756" s="544"/>
      <c r="R756" s="544"/>
      <c r="S756" s="544"/>
      <c r="T756" s="544"/>
    </row>
    <row r="757" spans="1:20" x14ac:dyDescent="0.3">
      <c r="A757" s="556"/>
      <c r="C757" s="520"/>
      <c r="D757" s="520"/>
      <c r="E757" s="520"/>
      <c r="F757" s="520"/>
      <c r="G757" s="520"/>
      <c r="H757" s="544"/>
      <c r="I757" s="544"/>
      <c r="J757" s="544"/>
      <c r="K757" s="544"/>
      <c r="L757" s="544"/>
      <c r="M757" s="544"/>
      <c r="N757" s="544"/>
      <c r="O757" s="544"/>
      <c r="P757" s="544"/>
      <c r="Q757" s="544"/>
      <c r="R757" s="544"/>
      <c r="S757" s="544"/>
      <c r="T757" s="544"/>
    </row>
    <row r="758" spans="1:20" x14ac:dyDescent="0.3">
      <c r="A758" s="556"/>
      <c r="C758" s="520"/>
      <c r="D758" s="520"/>
      <c r="E758" s="520"/>
      <c r="F758" s="520"/>
      <c r="G758" s="520"/>
      <c r="H758" s="544"/>
      <c r="I758" s="544"/>
      <c r="J758" s="544"/>
      <c r="K758" s="544"/>
      <c r="L758" s="544"/>
      <c r="M758" s="544"/>
      <c r="N758" s="544"/>
      <c r="O758" s="544"/>
      <c r="P758" s="544"/>
      <c r="Q758" s="544"/>
      <c r="R758" s="544"/>
      <c r="S758" s="544"/>
      <c r="T758" s="544"/>
    </row>
    <row r="759" spans="1:20" x14ac:dyDescent="0.3">
      <c r="A759" s="556"/>
      <c r="C759" s="520"/>
      <c r="D759" s="520"/>
      <c r="E759" s="520"/>
      <c r="F759" s="520"/>
      <c r="G759" s="520"/>
      <c r="H759" s="544"/>
      <c r="I759" s="544"/>
      <c r="J759" s="544"/>
      <c r="K759" s="544"/>
      <c r="L759" s="544"/>
      <c r="M759" s="544"/>
      <c r="N759" s="544"/>
      <c r="O759" s="544"/>
      <c r="P759" s="544"/>
      <c r="Q759" s="544"/>
      <c r="R759" s="544"/>
      <c r="S759" s="544"/>
      <c r="T759" s="544"/>
    </row>
    <row r="760" spans="1:20" x14ac:dyDescent="0.3">
      <c r="A760" s="556"/>
      <c r="C760" s="520"/>
      <c r="D760" s="520"/>
      <c r="E760" s="520"/>
      <c r="F760" s="520"/>
      <c r="G760" s="520"/>
      <c r="H760" s="544"/>
      <c r="I760" s="544"/>
      <c r="J760" s="544"/>
      <c r="K760" s="544"/>
      <c r="L760" s="544"/>
      <c r="M760" s="544"/>
      <c r="N760" s="544"/>
      <c r="O760" s="544"/>
      <c r="P760" s="544"/>
      <c r="Q760" s="544"/>
      <c r="R760" s="544"/>
      <c r="S760" s="544"/>
      <c r="T760" s="544"/>
    </row>
    <row r="761" spans="1:20" x14ac:dyDescent="0.3">
      <c r="A761" s="556"/>
      <c r="C761" s="520"/>
      <c r="D761" s="520"/>
      <c r="E761" s="520"/>
      <c r="F761" s="520"/>
      <c r="G761" s="520"/>
      <c r="H761" s="544"/>
      <c r="I761" s="544"/>
      <c r="J761" s="544"/>
      <c r="K761" s="544"/>
      <c r="L761" s="544"/>
      <c r="M761" s="544"/>
      <c r="N761" s="544"/>
      <c r="O761" s="544"/>
      <c r="P761" s="544"/>
      <c r="Q761" s="544"/>
      <c r="R761" s="544"/>
      <c r="S761" s="544"/>
      <c r="T761" s="544"/>
    </row>
    <row r="762" spans="1:20" x14ac:dyDescent="0.3">
      <c r="A762" s="556"/>
      <c r="C762" s="520"/>
      <c r="D762" s="520"/>
      <c r="E762" s="520"/>
      <c r="F762" s="520"/>
      <c r="G762" s="520"/>
      <c r="H762" s="544"/>
      <c r="I762" s="544"/>
      <c r="J762" s="544"/>
      <c r="K762" s="544"/>
      <c r="L762" s="544"/>
      <c r="M762" s="544"/>
      <c r="N762" s="544"/>
      <c r="O762" s="544"/>
      <c r="P762" s="544"/>
      <c r="Q762" s="544"/>
      <c r="R762" s="544"/>
      <c r="S762" s="544"/>
      <c r="T762" s="544"/>
    </row>
    <row r="763" spans="1:20" x14ac:dyDescent="0.3">
      <c r="A763" s="556"/>
      <c r="C763" s="520"/>
      <c r="D763" s="520"/>
      <c r="E763" s="520"/>
      <c r="F763" s="520"/>
      <c r="G763" s="520"/>
      <c r="H763" s="544"/>
      <c r="I763" s="544"/>
      <c r="J763" s="544"/>
      <c r="K763" s="544"/>
      <c r="L763" s="544"/>
      <c r="M763" s="544"/>
      <c r="N763" s="544"/>
      <c r="O763" s="544"/>
      <c r="P763" s="544"/>
      <c r="Q763" s="544"/>
      <c r="R763" s="544"/>
      <c r="S763" s="544"/>
      <c r="T763" s="544"/>
    </row>
    <row r="764" spans="1:20" x14ac:dyDescent="0.3">
      <c r="A764" s="556"/>
      <c r="C764" s="520"/>
      <c r="D764" s="520"/>
      <c r="E764" s="520"/>
      <c r="F764" s="520"/>
      <c r="G764" s="520"/>
      <c r="H764" s="544"/>
      <c r="I764" s="544"/>
      <c r="J764" s="544"/>
      <c r="K764" s="544"/>
      <c r="L764" s="544"/>
      <c r="M764" s="544"/>
      <c r="N764" s="544"/>
      <c r="O764" s="544"/>
      <c r="P764" s="544"/>
      <c r="Q764" s="544"/>
      <c r="R764" s="544"/>
      <c r="S764" s="544"/>
      <c r="T764" s="544"/>
    </row>
    <row r="765" spans="1:20" x14ac:dyDescent="0.3">
      <c r="A765" s="556"/>
      <c r="C765" s="520"/>
      <c r="D765" s="520"/>
      <c r="E765" s="520"/>
      <c r="F765" s="520"/>
      <c r="G765" s="520"/>
      <c r="H765" s="544"/>
      <c r="I765" s="544"/>
      <c r="J765" s="544"/>
      <c r="K765" s="544"/>
      <c r="L765" s="544"/>
      <c r="M765" s="544"/>
      <c r="N765" s="544"/>
      <c r="O765" s="544"/>
      <c r="P765" s="544"/>
      <c r="Q765" s="544"/>
      <c r="R765" s="544"/>
      <c r="S765" s="544"/>
      <c r="T765" s="544"/>
    </row>
    <row r="766" spans="1:20" x14ac:dyDescent="0.3">
      <c r="A766" s="556"/>
      <c r="C766" s="520"/>
      <c r="D766" s="520"/>
      <c r="E766" s="520"/>
      <c r="F766" s="520"/>
      <c r="G766" s="520"/>
      <c r="H766" s="544"/>
      <c r="I766" s="544"/>
      <c r="J766" s="544"/>
      <c r="K766" s="544"/>
      <c r="L766" s="544"/>
      <c r="M766" s="544"/>
      <c r="N766" s="544"/>
      <c r="O766" s="544"/>
      <c r="P766" s="544"/>
      <c r="Q766" s="544"/>
      <c r="R766" s="544"/>
      <c r="S766" s="544"/>
      <c r="T766" s="544"/>
    </row>
    <row r="767" spans="1:20" x14ac:dyDescent="0.3">
      <c r="A767" s="556"/>
      <c r="C767" s="520"/>
      <c r="D767" s="520"/>
      <c r="E767" s="520"/>
      <c r="F767" s="520"/>
      <c r="G767" s="520"/>
      <c r="H767" s="544"/>
      <c r="I767" s="544"/>
      <c r="J767" s="544"/>
      <c r="K767" s="544"/>
      <c r="L767" s="544"/>
      <c r="M767" s="544"/>
      <c r="N767" s="544"/>
      <c r="O767" s="544"/>
      <c r="P767" s="544"/>
      <c r="Q767" s="544"/>
      <c r="R767" s="544"/>
      <c r="S767" s="544"/>
      <c r="T767" s="544"/>
    </row>
    <row r="768" spans="1:20" x14ac:dyDescent="0.3">
      <c r="A768" s="556"/>
      <c r="C768" s="520"/>
      <c r="D768" s="520"/>
      <c r="E768" s="520"/>
      <c r="F768" s="520"/>
      <c r="G768" s="520"/>
      <c r="H768" s="544"/>
      <c r="I768" s="544"/>
      <c r="J768" s="544"/>
      <c r="K768" s="544"/>
      <c r="L768" s="544"/>
      <c r="M768" s="544"/>
      <c r="N768" s="544"/>
      <c r="O768" s="544"/>
      <c r="P768" s="544"/>
      <c r="Q768" s="544"/>
      <c r="R768" s="544"/>
      <c r="S768" s="544"/>
      <c r="T768" s="544"/>
    </row>
    <row r="769" spans="1:20" x14ac:dyDescent="0.3">
      <c r="A769" s="556"/>
      <c r="C769" s="520"/>
      <c r="D769" s="520"/>
      <c r="E769" s="520"/>
      <c r="F769" s="520"/>
      <c r="G769" s="520"/>
      <c r="H769" s="544"/>
      <c r="I769" s="544"/>
      <c r="J769" s="544"/>
      <c r="K769" s="544"/>
      <c r="L769" s="544"/>
      <c r="M769" s="544"/>
      <c r="N769" s="544"/>
      <c r="O769" s="544"/>
      <c r="P769" s="544"/>
      <c r="Q769" s="544"/>
      <c r="R769" s="544"/>
      <c r="S769" s="544"/>
      <c r="T769" s="544"/>
    </row>
    <row r="770" spans="1:20" x14ac:dyDescent="0.3">
      <c r="A770" s="556"/>
      <c r="C770" s="520"/>
      <c r="D770" s="520"/>
      <c r="E770" s="520"/>
      <c r="F770" s="520"/>
      <c r="G770" s="520"/>
      <c r="H770" s="544"/>
      <c r="I770" s="544"/>
      <c r="J770" s="544"/>
      <c r="K770" s="544"/>
      <c r="L770" s="544"/>
      <c r="M770" s="544"/>
      <c r="N770" s="544"/>
      <c r="O770" s="544"/>
      <c r="P770" s="544"/>
      <c r="Q770" s="544"/>
      <c r="R770" s="544"/>
      <c r="S770" s="544"/>
      <c r="T770" s="544"/>
    </row>
    <row r="771" spans="1:20" x14ac:dyDescent="0.3">
      <c r="A771" s="556"/>
      <c r="C771" s="520"/>
      <c r="D771" s="520"/>
      <c r="E771" s="520"/>
      <c r="F771" s="520"/>
      <c r="G771" s="520"/>
      <c r="H771" s="544"/>
      <c r="I771" s="544"/>
      <c r="J771" s="544"/>
      <c r="K771" s="544"/>
      <c r="L771" s="544"/>
      <c r="M771" s="544"/>
      <c r="N771" s="544"/>
      <c r="O771" s="544"/>
      <c r="P771" s="544"/>
      <c r="Q771" s="544"/>
      <c r="R771" s="544"/>
      <c r="S771" s="544"/>
      <c r="T771" s="544"/>
    </row>
    <row r="772" spans="1:20" x14ac:dyDescent="0.3">
      <c r="A772" s="556"/>
      <c r="C772" s="520"/>
      <c r="D772" s="520"/>
      <c r="E772" s="520"/>
      <c r="F772" s="520"/>
      <c r="G772" s="520"/>
      <c r="H772" s="544"/>
      <c r="I772" s="544"/>
      <c r="J772" s="544"/>
      <c r="K772" s="544"/>
      <c r="L772" s="544"/>
      <c r="M772" s="544"/>
      <c r="N772" s="544"/>
      <c r="O772" s="544"/>
      <c r="P772" s="544"/>
      <c r="Q772" s="544"/>
      <c r="R772" s="544"/>
      <c r="S772" s="544"/>
      <c r="T772" s="544"/>
    </row>
    <row r="773" spans="1:20" x14ac:dyDescent="0.3">
      <c r="A773" s="556"/>
      <c r="C773" s="520"/>
      <c r="D773" s="520"/>
      <c r="E773" s="520"/>
      <c r="F773" s="520"/>
      <c r="G773" s="520"/>
      <c r="H773" s="544"/>
      <c r="I773" s="544"/>
      <c r="J773" s="544"/>
      <c r="K773" s="544"/>
      <c r="L773" s="544"/>
      <c r="M773" s="544"/>
      <c r="N773" s="544"/>
      <c r="O773" s="544"/>
      <c r="P773" s="544"/>
      <c r="Q773" s="544"/>
      <c r="R773" s="544"/>
      <c r="S773" s="544"/>
      <c r="T773" s="544"/>
    </row>
    <row r="774" spans="1:20" x14ac:dyDescent="0.3">
      <c r="A774" s="556"/>
      <c r="C774" s="520"/>
      <c r="D774" s="520"/>
      <c r="E774" s="520"/>
      <c r="F774" s="520"/>
      <c r="G774" s="520"/>
      <c r="H774" s="544"/>
      <c r="I774" s="544"/>
      <c r="J774" s="544"/>
      <c r="K774" s="544"/>
      <c r="L774" s="544"/>
      <c r="M774" s="544"/>
      <c r="N774" s="544"/>
      <c r="O774" s="544"/>
      <c r="P774" s="544"/>
      <c r="Q774" s="544"/>
      <c r="R774" s="544"/>
      <c r="S774" s="544"/>
      <c r="T774" s="544"/>
    </row>
    <row r="775" spans="1:20" x14ac:dyDescent="0.3">
      <c r="A775" s="556"/>
      <c r="C775" s="520"/>
      <c r="D775" s="520"/>
      <c r="E775" s="520"/>
      <c r="F775" s="520"/>
      <c r="G775" s="520"/>
      <c r="H775" s="544"/>
      <c r="I775" s="544"/>
      <c r="J775" s="544"/>
      <c r="K775" s="544"/>
      <c r="L775" s="544"/>
      <c r="M775" s="544"/>
      <c r="N775" s="544"/>
      <c r="O775" s="544"/>
      <c r="P775" s="544"/>
      <c r="Q775" s="544"/>
      <c r="R775" s="544"/>
      <c r="S775" s="544"/>
      <c r="T775" s="544"/>
    </row>
    <row r="776" spans="1:20" x14ac:dyDescent="0.3">
      <c r="A776" s="556"/>
      <c r="C776" s="520"/>
      <c r="D776" s="520"/>
      <c r="E776" s="520"/>
      <c r="F776" s="520"/>
      <c r="G776" s="520"/>
      <c r="H776" s="544"/>
      <c r="I776" s="544"/>
      <c r="J776" s="544"/>
      <c r="K776" s="544"/>
      <c r="L776" s="544"/>
      <c r="M776" s="544"/>
      <c r="N776" s="544"/>
      <c r="O776" s="544"/>
      <c r="P776" s="544"/>
      <c r="Q776" s="544"/>
      <c r="R776" s="544"/>
      <c r="S776" s="544"/>
      <c r="T776" s="544"/>
    </row>
    <row r="777" spans="1:20" x14ac:dyDescent="0.3">
      <c r="A777" s="556"/>
      <c r="C777" s="520"/>
      <c r="D777" s="520"/>
      <c r="E777" s="520"/>
      <c r="F777" s="520"/>
      <c r="G777" s="520"/>
      <c r="H777" s="544"/>
      <c r="I777" s="544"/>
      <c r="J777" s="544"/>
      <c r="K777" s="544"/>
      <c r="L777" s="544"/>
      <c r="M777" s="544"/>
      <c r="N777" s="544"/>
      <c r="O777" s="544"/>
      <c r="P777" s="544"/>
      <c r="Q777" s="544"/>
      <c r="R777" s="544"/>
      <c r="S777" s="544"/>
      <c r="T777" s="544"/>
    </row>
    <row r="778" spans="1:20" x14ac:dyDescent="0.3">
      <c r="A778" s="556"/>
      <c r="C778" s="520"/>
      <c r="D778" s="520"/>
      <c r="E778" s="520"/>
      <c r="F778" s="520"/>
      <c r="G778" s="520"/>
      <c r="H778" s="544"/>
      <c r="I778" s="544"/>
      <c r="J778" s="544"/>
      <c r="K778" s="544"/>
      <c r="L778" s="544"/>
      <c r="M778" s="544"/>
      <c r="N778" s="544"/>
      <c r="O778" s="544"/>
      <c r="P778" s="544"/>
      <c r="Q778" s="544"/>
      <c r="R778" s="544"/>
      <c r="S778" s="544"/>
      <c r="T778" s="544"/>
    </row>
    <row r="779" spans="1:20" x14ac:dyDescent="0.3">
      <c r="A779" s="556"/>
      <c r="C779" s="520"/>
      <c r="D779" s="520"/>
      <c r="E779" s="520"/>
      <c r="F779" s="520"/>
      <c r="G779" s="520"/>
      <c r="H779" s="544"/>
      <c r="I779" s="544"/>
      <c r="J779" s="544"/>
      <c r="K779" s="544"/>
      <c r="L779" s="544"/>
      <c r="M779" s="544"/>
      <c r="N779" s="544"/>
      <c r="O779" s="544"/>
      <c r="P779" s="544"/>
      <c r="Q779" s="544"/>
      <c r="R779" s="544"/>
      <c r="S779" s="544"/>
      <c r="T779" s="544"/>
    </row>
    <row r="780" spans="1:20" x14ac:dyDescent="0.3">
      <c r="A780" s="556"/>
      <c r="C780" s="520"/>
      <c r="D780" s="520"/>
      <c r="E780" s="520"/>
      <c r="F780" s="520"/>
      <c r="G780" s="520"/>
      <c r="H780" s="544"/>
      <c r="I780" s="544"/>
      <c r="J780" s="544"/>
      <c r="K780" s="544"/>
      <c r="L780" s="544"/>
      <c r="M780" s="544"/>
      <c r="N780" s="544"/>
      <c r="O780" s="544"/>
      <c r="P780" s="544"/>
      <c r="Q780" s="544"/>
      <c r="R780" s="544"/>
      <c r="S780" s="544"/>
      <c r="T780" s="544"/>
    </row>
    <row r="781" spans="1:20" x14ac:dyDescent="0.3">
      <c r="A781" s="556"/>
      <c r="C781" s="520"/>
      <c r="D781" s="520"/>
      <c r="E781" s="520"/>
      <c r="F781" s="520"/>
      <c r="G781" s="520"/>
      <c r="H781" s="544"/>
      <c r="I781" s="544"/>
      <c r="J781" s="544"/>
      <c r="K781" s="544"/>
      <c r="L781" s="544"/>
      <c r="M781" s="544"/>
      <c r="N781" s="544"/>
      <c r="O781" s="544"/>
      <c r="P781" s="544"/>
      <c r="Q781" s="544"/>
      <c r="R781" s="544"/>
      <c r="S781" s="544"/>
      <c r="T781" s="544"/>
    </row>
    <row r="782" spans="1:20" x14ac:dyDescent="0.3">
      <c r="A782" s="556"/>
      <c r="C782" s="520"/>
      <c r="D782" s="520"/>
      <c r="E782" s="520"/>
      <c r="F782" s="520"/>
      <c r="G782" s="520"/>
      <c r="H782" s="544"/>
      <c r="I782" s="544"/>
      <c r="J782" s="544"/>
      <c r="K782" s="544"/>
      <c r="L782" s="544"/>
      <c r="M782" s="544"/>
      <c r="N782" s="544"/>
      <c r="O782" s="544"/>
      <c r="P782" s="544"/>
      <c r="Q782" s="544"/>
      <c r="R782" s="544"/>
      <c r="S782" s="544"/>
      <c r="T782" s="544"/>
    </row>
    <row r="783" spans="1:20" x14ac:dyDescent="0.3">
      <c r="A783" s="556"/>
      <c r="C783" s="520"/>
      <c r="D783" s="520"/>
      <c r="E783" s="520"/>
      <c r="F783" s="520"/>
      <c r="G783" s="520"/>
      <c r="H783" s="544"/>
      <c r="I783" s="544"/>
      <c r="J783" s="544"/>
      <c r="K783" s="544"/>
      <c r="L783" s="544"/>
      <c r="M783" s="544"/>
      <c r="N783" s="544"/>
      <c r="O783" s="544"/>
      <c r="P783" s="544"/>
      <c r="Q783" s="544"/>
      <c r="R783" s="544"/>
      <c r="S783" s="544"/>
      <c r="T783" s="544"/>
    </row>
    <row r="784" spans="1:20" x14ac:dyDescent="0.3">
      <c r="A784" s="556"/>
      <c r="C784" s="520"/>
      <c r="D784" s="520"/>
      <c r="E784" s="520"/>
      <c r="F784" s="520"/>
      <c r="G784" s="520"/>
      <c r="H784" s="544"/>
      <c r="I784" s="544"/>
      <c r="J784" s="544"/>
      <c r="K784" s="544"/>
      <c r="L784" s="544"/>
      <c r="M784" s="544"/>
      <c r="N784" s="544"/>
      <c r="O784" s="544"/>
      <c r="P784" s="544"/>
      <c r="Q784" s="544"/>
      <c r="R784" s="544"/>
      <c r="S784" s="544"/>
      <c r="T784" s="544"/>
    </row>
    <row r="785" spans="1:20" x14ac:dyDescent="0.3">
      <c r="A785" s="556"/>
      <c r="C785" s="520"/>
      <c r="D785" s="520"/>
      <c r="E785" s="520"/>
      <c r="F785" s="520"/>
      <c r="G785" s="520"/>
      <c r="H785" s="544"/>
      <c r="I785" s="544"/>
      <c r="J785" s="544"/>
      <c r="K785" s="544"/>
      <c r="L785" s="544"/>
      <c r="M785" s="544"/>
      <c r="N785" s="544"/>
      <c r="O785" s="544"/>
      <c r="P785" s="544"/>
      <c r="Q785" s="544"/>
      <c r="R785" s="544"/>
      <c r="S785" s="544"/>
      <c r="T785" s="544"/>
    </row>
    <row r="786" spans="1:20" x14ac:dyDescent="0.3">
      <c r="A786" s="556"/>
      <c r="C786" s="520"/>
      <c r="D786" s="520"/>
      <c r="E786" s="520"/>
      <c r="F786" s="520"/>
      <c r="G786" s="520"/>
      <c r="H786" s="544"/>
      <c r="I786" s="544"/>
      <c r="J786" s="544"/>
      <c r="K786" s="544"/>
      <c r="L786" s="544"/>
      <c r="M786" s="544"/>
      <c r="N786" s="544"/>
      <c r="O786" s="544"/>
      <c r="P786" s="544"/>
      <c r="Q786" s="544"/>
      <c r="R786" s="544"/>
      <c r="S786" s="544"/>
      <c r="T786" s="544"/>
    </row>
    <row r="787" spans="1:20" x14ac:dyDescent="0.3">
      <c r="A787" s="556"/>
      <c r="C787" s="520"/>
      <c r="D787" s="520"/>
      <c r="E787" s="520"/>
      <c r="F787" s="520"/>
      <c r="G787" s="520"/>
      <c r="H787" s="544"/>
      <c r="I787" s="544"/>
      <c r="J787" s="544"/>
      <c r="K787" s="544"/>
      <c r="L787" s="544"/>
      <c r="M787" s="544"/>
      <c r="N787" s="544"/>
      <c r="O787" s="544"/>
      <c r="P787" s="544"/>
      <c r="Q787" s="544"/>
      <c r="R787" s="544"/>
      <c r="S787" s="544"/>
      <c r="T787" s="544"/>
    </row>
    <row r="788" spans="1:20" x14ac:dyDescent="0.3">
      <c r="A788" s="556"/>
      <c r="C788" s="520"/>
      <c r="D788" s="520"/>
      <c r="E788" s="520"/>
      <c r="F788" s="520"/>
      <c r="G788" s="520"/>
      <c r="H788" s="544"/>
      <c r="I788" s="544"/>
      <c r="J788" s="544"/>
      <c r="K788" s="544"/>
      <c r="L788" s="544"/>
      <c r="M788" s="544"/>
      <c r="N788" s="544"/>
      <c r="O788" s="544"/>
      <c r="P788" s="544"/>
      <c r="Q788" s="544"/>
      <c r="R788" s="544"/>
      <c r="S788" s="544"/>
      <c r="T788" s="544"/>
    </row>
    <row r="789" spans="1:20" x14ac:dyDescent="0.3">
      <c r="A789" s="556"/>
      <c r="C789" s="520"/>
      <c r="D789" s="520"/>
      <c r="E789" s="520"/>
      <c r="F789" s="520"/>
      <c r="G789" s="520"/>
      <c r="H789" s="544"/>
      <c r="I789" s="544"/>
      <c r="J789" s="544"/>
      <c r="K789" s="544"/>
      <c r="L789" s="544"/>
      <c r="M789" s="544"/>
      <c r="N789" s="544"/>
      <c r="O789" s="544"/>
      <c r="P789" s="544"/>
      <c r="Q789" s="544"/>
      <c r="R789" s="544"/>
      <c r="S789" s="544"/>
      <c r="T789" s="544"/>
    </row>
    <row r="790" spans="1:20" x14ac:dyDescent="0.3">
      <c r="A790" s="556"/>
      <c r="C790" s="520"/>
      <c r="D790" s="520"/>
      <c r="E790" s="520"/>
      <c r="F790" s="520"/>
      <c r="G790" s="520"/>
      <c r="H790" s="544"/>
      <c r="I790" s="544"/>
      <c r="J790" s="544"/>
      <c r="K790" s="544"/>
      <c r="L790" s="544"/>
      <c r="M790" s="544"/>
      <c r="N790" s="544"/>
      <c r="O790" s="544"/>
      <c r="P790" s="544"/>
      <c r="Q790" s="544"/>
      <c r="R790" s="544"/>
      <c r="S790" s="544"/>
      <c r="T790" s="544"/>
    </row>
    <row r="791" spans="1:20" x14ac:dyDescent="0.3">
      <c r="A791" s="556"/>
      <c r="C791" s="520"/>
      <c r="D791" s="520"/>
      <c r="E791" s="520"/>
      <c r="F791" s="520"/>
      <c r="G791" s="520"/>
      <c r="H791" s="544"/>
      <c r="I791" s="544"/>
      <c r="J791" s="544"/>
      <c r="K791" s="544"/>
      <c r="L791" s="544"/>
      <c r="M791" s="544"/>
      <c r="N791" s="544"/>
      <c r="O791" s="544"/>
      <c r="P791" s="544"/>
      <c r="Q791" s="544"/>
      <c r="R791" s="544"/>
      <c r="S791" s="544"/>
      <c r="T791" s="544"/>
    </row>
    <row r="792" spans="1:20" x14ac:dyDescent="0.3">
      <c r="A792" s="556"/>
      <c r="C792" s="520"/>
      <c r="D792" s="520"/>
      <c r="E792" s="520"/>
      <c r="F792" s="520"/>
      <c r="G792" s="520"/>
      <c r="H792" s="544"/>
      <c r="I792" s="544"/>
      <c r="J792" s="544"/>
      <c r="K792" s="544"/>
      <c r="L792" s="544"/>
      <c r="M792" s="544"/>
      <c r="N792" s="544"/>
      <c r="O792" s="544"/>
      <c r="P792" s="544"/>
      <c r="Q792" s="544"/>
      <c r="R792" s="544"/>
      <c r="S792" s="544"/>
      <c r="T792" s="544"/>
    </row>
    <row r="793" spans="1:20" x14ac:dyDescent="0.3">
      <c r="A793" s="556"/>
      <c r="C793" s="520"/>
      <c r="D793" s="520"/>
      <c r="E793" s="520"/>
      <c r="F793" s="520"/>
      <c r="G793" s="520"/>
      <c r="H793" s="544"/>
      <c r="I793" s="544"/>
      <c r="J793" s="544"/>
      <c r="K793" s="544"/>
      <c r="L793" s="544"/>
      <c r="M793" s="544"/>
      <c r="N793" s="544"/>
      <c r="O793" s="544"/>
      <c r="P793" s="544"/>
      <c r="Q793" s="544"/>
      <c r="R793" s="544"/>
      <c r="S793" s="544"/>
      <c r="T793" s="544"/>
    </row>
    <row r="794" spans="1:20" x14ac:dyDescent="0.3">
      <c r="A794" s="556"/>
      <c r="C794" s="520"/>
      <c r="D794" s="520"/>
      <c r="E794" s="520"/>
      <c r="F794" s="520"/>
      <c r="G794" s="520"/>
      <c r="H794" s="544"/>
      <c r="I794" s="544"/>
      <c r="J794" s="544"/>
      <c r="K794" s="544"/>
      <c r="L794" s="544"/>
      <c r="M794" s="544"/>
      <c r="N794" s="544"/>
      <c r="O794" s="544"/>
      <c r="P794" s="544"/>
      <c r="Q794" s="544"/>
      <c r="R794" s="544"/>
      <c r="S794" s="544"/>
      <c r="T794" s="544"/>
    </row>
    <row r="795" spans="1:20" x14ac:dyDescent="0.3">
      <c r="A795" s="556"/>
      <c r="C795" s="520"/>
      <c r="D795" s="520"/>
      <c r="E795" s="520"/>
      <c r="F795" s="520"/>
      <c r="G795" s="520"/>
      <c r="H795" s="544"/>
      <c r="I795" s="544"/>
      <c r="J795" s="544"/>
      <c r="K795" s="544"/>
      <c r="L795" s="544"/>
      <c r="M795" s="544"/>
      <c r="N795" s="544"/>
      <c r="O795" s="544"/>
      <c r="P795" s="544"/>
      <c r="Q795" s="544"/>
      <c r="R795" s="544"/>
      <c r="S795" s="544"/>
      <c r="T795" s="544"/>
    </row>
    <row r="796" spans="1:20" x14ac:dyDescent="0.3">
      <c r="A796" s="556"/>
      <c r="C796" s="520"/>
      <c r="D796" s="520"/>
      <c r="E796" s="520"/>
      <c r="F796" s="520"/>
      <c r="G796" s="520"/>
      <c r="H796" s="544"/>
      <c r="I796" s="544"/>
      <c r="J796" s="544"/>
      <c r="K796" s="544"/>
      <c r="L796" s="544"/>
      <c r="M796" s="544"/>
      <c r="N796" s="544"/>
      <c r="O796" s="544"/>
      <c r="P796" s="544"/>
      <c r="Q796" s="544"/>
      <c r="R796" s="544"/>
      <c r="S796" s="544"/>
      <c r="T796" s="544"/>
    </row>
    <row r="797" spans="1:20" x14ac:dyDescent="0.3">
      <c r="A797" s="556"/>
      <c r="C797" s="520"/>
      <c r="D797" s="520"/>
      <c r="E797" s="520"/>
      <c r="F797" s="520"/>
      <c r="G797" s="520"/>
      <c r="H797" s="544"/>
      <c r="I797" s="544"/>
      <c r="J797" s="544"/>
      <c r="K797" s="544"/>
      <c r="L797" s="544"/>
      <c r="M797" s="544"/>
      <c r="N797" s="544"/>
      <c r="O797" s="544"/>
      <c r="P797" s="544"/>
      <c r="Q797" s="544"/>
      <c r="R797" s="544"/>
      <c r="S797" s="544"/>
      <c r="T797" s="544"/>
    </row>
    <row r="798" spans="1:20" x14ac:dyDescent="0.3">
      <c r="A798" s="556"/>
      <c r="C798" s="520"/>
      <c r="D798" s="520"/>
      <c r="E798" s="520"/>
      <c r="F798" s="520"/>
      <c r="G798" s="520"/>
      <c r="H798" s="544"/>
      <c r="I798" s="544"/>
      <c r="J798" s="544"/>
      <c r="K798" s="544"/>
      <c r="L798" s="544"/>
      <c r="M798" s="544"/>
      <c r="N798" s="544"/>
      <c r="O798" s="544"/>
      <c r="P798" s="544"/>
      <c r="Q798" s="544"/>
      <c r="R798" s="544"/>
      <c r="S798" s="544"/>
      <c r="T798" s="544"/>
    </row>
    <row r="799" spans="1:20" x14ac:dyDescent="0.3">
      <c r="A799" s="556"/>
      <c r="C799" s="520"/>
      <c r="D799" s="520"/>
      <c r="E799" s="520"/>
      <c r="F799" s="520"/>
      <c r="G799" s="520"/>
      <c r="H799" s="544"/>
      <c r="I799" s="544"/>
      <c r="J799" s="544"/>
      <c r="K799" s="544"/>
      <c r="L799" s="544"/>
      <c r="M799" s="544"/>
      <c r="N799" s="544"/>
      <c r="O799" s="544"/>
      <c r="P799" s="544"/>
      <c r="Q799" s="544"/>
      <c r="R799" s="544"/>
      <c r="S799" s="544"/>
      <c r="T799" s="544"/>
    </row>
    <row r="800" spans="1:20" x14ac:dyDescent="0.3">
      <c r="A800" s="556"/>
      <c r="C800" s="520"/>
      <c r="D800" s="520"/>
      <c r="E800" s="520"/>
      <c r="F800" s="520"/>
      <c r="G800" s="520"/>
      <c r="H800" s="520"/>
      <c r="I800" s="520"/>
      <c r="J800" s="520"/>
      <c r="K800" s="520"/>
      <c r="L800" s="520"/>
      <c r="M800" s="520"/>
      <c r="N800" s="520"/>
      <c r="O800" s="520"/>
      <c r="P800" s="520"/>
      <c r="Q800" s="520"/>
      <c r="R800" s="520"/>
      <c r="S800" s="520"/>
      <c r="T800" s="520"/>
    </row>
    <row r="801" spans="1:20" x14ac:dyDescent="0.3">
      <c r="A801" s="556"/>
      <c r="C801" s="520"/>
      <c r="D801" s="520"/>
      <c r="E801" s="520"/>
      <c r="F801" s="520"/>
      <c r="G801" s="520"/>
      <c r="H801" s="529"/>
      <c r="I801" s="529"/>
      <c r="J801" s="529"/>
      <c r="K801" s="529"/>
      <c r="L801" s="529"/>
      <c r="M801" s="529"/>
      <c r="N801" s="529"/>
      <c r="O801" s="529"/>
      <c r="P801" s="529"/>
      <c r="Q801" s="529"/>
      <c r="R801" s="529"/>
      <c r="S801" s="529"/>
      <c r="T801" s="529"/>
    </row>
    <row r="802" spans="1:20" x14ac:dyDescent="0.3">
      <c r="A802" s="556"/>
      <c r="C802" s="551"/>
      <c r="D802" s="551"/>
      <c r="E802" s="551"/>
      <c r="F802" s="520"/>
      <c r="G802" s="520"/>
      <c r="H802" s="520"/>
      <c r="I802" s="520"/>
      <c r="J802" s="520"/>
      <c r="K802" s="520"/>
      <c r="L802" s="520"/>
      <c r="M802" s="520"/>
      <c r="N802" s="520"/>
      <c r="O802" s="520"/>
      <c r="P802" s="520"/>
      <c r="Q802" s="520"/>
      <c r="R802" s="520"/>
      <c r="S802" s="520"/>
      <c r="T802" s="520"/>
    </row>
    <row r="803" spans="1:20" x14ac:dyDescent="0.3">
      <c r="A803" s="556"/>
      <c r="C803" s="520"/>
      <c r="D803" s="520"/>
      <c r="E803" s="520"/>
      <c r="F803" s="520"/>
      <c r="G803" s="520"/>
      <c r="H803" s="544"/>
      <c r="I803" s="544"/>
      <c r="J803" s="544"/>
      <c r="K803" s="544"/>
      <c r="L803" s="544"/>
      <c r="M803" s="544"/>
      <c r="N803" s="544"/>
      <c r="O803" s="544"/>
      <c r="P803" s="544"/>
      <c r="Q803" s="544"/>
      <c r="R803" s="544"/>
      <c r="S803" s="544"/>
      <c r="T803" s="544"/>
    </row>
    <row r="804" spans="1:20" x14ac:dyDescent="0.3">
      <c r="A804" s="556"/>
      <c r="C804" s="520"/>
      <c r="D804" s="520"/>
      <c r="E804" s="520"/>
      <c r="F804" s="520"/>
      <c r="G804" s="520"/>
      <c r="H804" s="544"/>
      <c r="I804" s="544"/>
      <c r="J804" s="544"/>
      <c r="K804" s="544"/>
      <c r="L804" s="544"/>
      <c r="M804" s="544"/>
      <c r="N804" s="544"/>
      <c r="O804" s="544"/>
      <c r="P804" s="544"/>
      <c r="Q804" s="544"/>
      <c r="R804" s="544"/>
      <c r="S804" s="544"/>
      <c r="T804" s="544"/>
    </row>
    <row r="805" spans="1:20" x14ac:dyDescent="0.3">
      <c r="A805" s="556"/>
      <c r="C805" s="520"/>
      <c r="D805" s="520"/>
      <c r="E805" s="520"/>
      <c r="F805" s="520"/>
      <c r="G805" s="520"/>
      <c r="H805" s="544"/>
      <c r="I805" s="544"/>
      <c r="J805" s="544"/>
      <c r="K805" s="544"/>
      <c r="L805" s="544"/>
      <c r="M805" s="544"/>
      <c r="N805" s="544"/>
      <c r="O805" s="544"/>
      <c r="P805" s="544"/>
      <c r="Q805" s="544"/>
      <c r="R805" s="544"/>
      <c r="S805" s="544"/>
      <c r="T805" s="544"/>
    </row>
    <row r="806" spans="1:20" x14ac:dyDescent="0.3">
      <c r="A806" s="556"/>
      <c r="C806" s="520"/>
      <c r="D806" s="520"/>
      <c r="E806" s="520"/>
      <c r="F806" s="520"/>
      <c r="G806" s="520"/>
      <c r="H806" s="544"/>
      <c r="I806" s="544"/>
      <c r="J806" s="544"/>
      <c r="K806" s="544"/>
      <c r="L806" s="544"/>
      <c r="M806" s="544"/>
      <c r="N806" s="544"/>
      <c r="O806" s="544"/>
      <c r="P806" s="544"/>
      <c r="Q806" s="544"/>
      <c r="R806" s="544"/>
      <c r="S806" s="544"/>
      <c r="T806" s="544"/>
    </row>
    <row r="807" spans="1:20" x14ac:dyDescent="0.3">
      <c r="A807" s="556"/>
      <c r="C807" s="520"/>
      <c r="D807" s="520"/>
      <c r="E807" s="520"/>
      <c r="F807" s="520"/>
      <c r="G807" s="520"/>
      <c r="H807" s="544"/>
      <c r="I807" s="544"/>
      <c r="J807" s="544"/>
      <c r="K807" s="544"/>
      <c r="L807" s="544"/>
      <c r="M807" s="544"/>
      <c r="N807" s="544"/>
      <c r="O807" s="544"/>
      <c r="P807" s="544"/>
      <c r="Q807" s="544"/>
      <c r="R807" s="544"/>
      <c r="S807" s="544"/>
      <c r="T807" s="544"/>
    </row>
    <row r="808" spans="1:20" x14ac:dyDescent="0.3">
      <c r="A808" s="556"/>
      <c r="C808" s="520"/>
      <c r="D808" s="520"/>
      <c r="E808" s="520"/>
      <c r="F808" s="520"/>
      <c r="G808" s="520"/>
      <c r="H808" s="544"/>
      <c r="I808" s="544"/>
      <c r="J808" s="544"/>
      <c r="K808" s="544"/>
      <c r="L808" s="544"/>
      <c r="M808" s="544"/>
      <c r="N808" s="544"/>
      <c r="O808" s="544"/>
      <c r="P808" s="544"/>
      <c r="Q808" s="544"/>
      <c r="R808" s="544"/>
      <c r="S808" s="544"/>
      <c r="T808" s="544"/>
    </row>
    <row r="809" spans="1:20" x14ac:dyDescent="0.3">
      <c r="A809" s="556"/>
      <c r="C809" s="520"/>
      <c r="D809" s="520"/>
      <c r="E809" s="520"/>
      <c r="F809" s="520"/>
      <c r="G809" s="520"/>
      <c r="H809" s="544"/>
      <c r="I809" s="544"/>
      <c r="J809" s="544"/>
      <c r="K809" s="544"/>
      <c r="L809" s="544"/>
      <c r="M809" s="544"/>
      <c r="N809" s="544"/>
      <c r="O809" s="544"/>
      <c r="P809" s="544"/>
      <c r="Q809" s="544"/>
      <c r="R809" s="544"/>
      <c r="S809" s="544"/>
      <c r="T809" s="544"/>
    </row>
    <row r="810" spans="1:20" x14ac:dyDescent="0.3">
      <c r="A810" s="556"/>
      <c r="C810" s="520"/>
      <c r="D810" s="520"/>
      <c r="E810" s="520"/>
      <c r="F810" s="520"/>
      <c r="G810" s="520"/>
      <c r="H810" s="544"/>
      <c r="I810" s="544"/>
      <c r="J810" s="544"/>
      <c r="K810" s="544"/>
      <c r="L810" s="544"/>
      <c r="M810" s="544"/>
      <c r="N810" s="544"/>
      <c r="O810" s="544"/>
      <c r="P810" s="544"/>
      <c r="Q810" s="544"/>
      <c r="R810" s="544"/>
      <c r="S810" s="544"/>
      <c r="T810" s="544"/>
    </row>
    <row r="811" spans="1:20" x14ac:dyDescent="0.3">
      <c r="A811" s="556"/>
      <c r="C811" s="520"/>
      <c r="D811" s="520"/>
      <c r="E811" s="520"/>
      <c r="F811" s="520"/>
      <c r="G811" s="520"/>
      <c r="H811" s="544"/>
      <c r="I811" s="544"/>
      <c r="J811" s="544"/>
      <c r="K811" s="544"/>
      <c r="L811" s="544"/>
      <c r="M811" s="544"/>
      <c r="N811" s="544"/>
      <c r="O811" s="544"/>
      <c r="P811" s="544"/>
      <c r="Q811" s="544"/>
      <c r="R811" s="544"/>
      <c r="S811" s="544"/>
      <c r="T811" s="544"/>
    </row>
    <row r="812" spans="1:20" x14ac:dyDescent="0.3">
      <c r="A812" s="556"/>
      <c r="C812" s="520"/>
      <c r="D812" s="520"/>
      <c r="E812" s="520"/>
      <c r="F812" s="520"/>
      <c r="G812" s="520"/>
      <c r="H812" s="544"/>
      <c r="I812" s="544"/>
      <c r="J812" s="544"/>
      <c r="K812" s="544"/>
      <c r="L812" s="544"/>
      <c r="M812" s="544"/>
      <c r="N812" s="544"/>
      <c r="O812" s="544"/>
      <c r="P812" s="544"/>
      <c r="Q812" s="544"/>
      <c r="R812" s="544"/>
      <c r="S812" s="544"/>
      <c r="T812" s="544"/>
    </row>
    <row r="813" spans="1:20" x14ac:dyDescent="0.3">
      <c r="A813" s="556"/>
      <c r="C813" s="520"/>
      <c r="D813" s="520"/>
      <c r="E813" s="520"/>
      <c r="F813" s="520"/>
      <c r="G813" s="520"/>
      <c r="H813" s="544"/>
      <c r="I813" s="544"/>
      <c r="J813" s="544"/>
      <c r="K813" s="544"/>
      <c r="L813" s="544"/>
      <c r="M813" s="544"/>
      <c r="N813" s="544"/>
      <c r="O813" s="544"/>
      <c r="P813" s="544"/>
      <c r="Q813" s="544"/>
      <c r="R813" s="544"/>
      <c r="S813" s="544"/>
      <c r="T813" s="544"/>
    </row>
    <row r="814" spans="1:20" x14ac:dyDescent="0.3">
      <c r="A814" s="556"/>
      <c r="C814" s="520"/>
      <c r="D814" s="520"/>
      <c r="E814" s="520"/>
      <c r="F814" s="520"/>
      <c r="G814" s="520"/>
      <c r="H814" s="544"/>
      <c r="I814" s="544"/>
      <c r="J814" s="544"/>
      <c r="K814" s="544"/>
      <c r="L814" s="544"/>
      <c r="M814" s="544"/>
      <c r="N814" s="544"/>
      <c r="O814" s="544"/>
      <c r="P814" s="544"/>
      <c r="Q814" s="544"/>
      <c r="R814" s="544"/>
      <c r="S814" s="544"/>
      <c r="T814" s="544"/>
    </row>
    <row r="815" spans="1:20" x14ac:dyDescent="0.3">
      <c r="A815" s="556"/>
      <c r="C815" s="520"/>
      <c r="D815" s="520"/>
      <c r="E815" s="520"/>
      <c r="F815" s="520"/>
      <c r="G815" s="520"/>
      <c r="H815" s="544"/>
      <c r="I815" s="544"/>
      <c r="J815" s="544"/>
      <c r="K815" s="544"/>
      <c r="L815" s="544"/>
      <c r="M815" s="544"/>
      <c r="N815" s="544"/>
      <c r="O815" s="544"/>
      <c r="P815" s="544"/>
      <c r="Q815" s="544"/>
      <c r="R815" s="544"/>
      <c r="S815" s="544"/>
      <c r="T815" s="544"/>
    </row>
    <row r="816" spans="1:20" x14ac:dyDescent="0.3">
      <c r="A816" s="556"/>
      <c r="C816" s="520"/>
      <c r="D816" s="520"/>
      <c r="E816" s="520"/>
      <c r="F816" s="520"/>
      <c r="G816" s="520"/>
      <c r="H816" s="544"/>
      <c r="I816" s="544"/>
      <c r="J816" s="544"/>
      <c r="K816" s="544"/>
      <c r="L816" s="544"/>
      <c r="M816" s="544"/>
      <c r="N816" s="544"/>
      <c r="O816" s="544"/>
      <c r="P816" s="544"/>
      <c r="Q816" s="544"/>
      <c r="R816" s="544"/>
      <c r="S816" s="544"/>
      <c r="T816" s="544"/>
    </row>
    <row r="817" spans="1:20" x14ac:dyDescent="0.3">
      <c r="A817" s="556"/>
      <c r="C817" s="520"/>
      <c r="D817" s="520"/>
      <c r="E817" s="520"/>
      <c r="F817" s="520"/>
      <c r="G817" s="520"/>
      <c r="H817" s="544"/>
      <c r="I817" s="544"/>
      <c r="J817" s="544"/>
      <c r="K817" s="544"/>
      <c r="L817" s="544"/>
      <c r="M817" s="544"/>
      <c r="N817" s="544"/>
      <c r="O817" s="544"/>
      <c r="P817" s="544"/>
      <c r="Q817" s="544"/>
      <c r="R817" s="544"/>
      <c r="S817" s="544"/>
      <c r="T817" s="544"/>
    </row>
    <row r="818" spans="1:20" x14ac:dyDescent="0.3">
      <c r="A818" s="556"/>
      <c r="C818" s="520"/>
      <c r="D818" s="520"/>
      <c r="E818" s="520"/>
      <c r="F818" s="520"/>
      <c r="G818" s="520"/>
      <c r="H818" s="544"/>
      <c r="I818" s="544"/>
      <c r="J818" s="544"/>
      <c r="K818" s="544"/>
      <c r="L818" s="544"/>
      <c r="M818" s="544"/>
      <c r="N818" s="544"/>
      <c r="O818" s="544"/>
      <c r="P818" s="544"/>
      <c r="Q818" s="544"/>
      <c r="R818" s="544"/>
      <c r="S818" s="544"/>
      <c r="T818" s="544"/>
    </row>
    <row r="819" spans="1:20" x14ac:dyDescent="0.3">
      <c r="A819" s="556"/>
      <c r="C819" s="520"/>
      <c r="D819" s="520"/>
      <c r="E819" s="520"/>
      <c r="F819" s="520"/>
      <c r="G819" s="520"/>
      <c r="H819" s="544"/>
      <c r="I819" s="544"/>
      <c r="J819" s="544"/>
      <c r="K819" s="544"/>
      <c r="L819" s="544"/>
      <c r="M819" s="544"/>
      <c r="N819" s="544"/>
      <c r="O819" s="544"/>
      <c r="P819" s="544"/>
      <c r="Q819" s="544"/>
      <c r="R819" s="544"/>
      <c r="S819" s="544"/>
      <c r="T819" s="544"/>
    </row>
    <row r="820" spans="1:20" x14ac:dyDescent="0.3">
      <c r="A820" s="556"/>
      <c r="C820" s="520"/>
      <c r="D820" s="520"/>
      <c r="E820" s="520"/>
      <c r="F820" s="520"/>
      <c r="G820" s="520"/>
      <c r="H820" s="544"/>
      <c r="I820" s="544"/>
      <c r="J820" s="544"/>
      <c r="K820" s="544"/>
      <c r="L820" s="544"/>
      <c r="M820" s="544"/>
      <c r="N820" s="544"/>
      <c r="O820" s="544"/>
      <c r="P820" s="544"/>
      <c r="Q820" s="544"/>
      <c r="R820" s="544"/>
      <c r="S820" s="544"/>
      <c r="T820" s="544"/>
    </row>
    <row r="821" spans="1:20" x14ac:dyDescent="0.3">
      <c r="A821" s="556"/>
      <c r="C821" s="520"/>
      <c r="D821" s="520"/>
      <c r="E821" s="520"/>
      <c r="F821" s="520"/>
      <c r="G821" s="520"/>
      <c r="H821" s="544"/>
      <c r="I821" s="544"/>
      <c r="J821" s="544"/>
      <c r="K821" s="544"/>
      <c r="L821" s="544"/>
      <c r="M821" s="544"/>
      <c r="N821" s="544"/>
      <c r="O821" s="544"/>
      <c r="P821" s="544"/>
      <c r="Q821" s="544"/>
      <c r="R821" s="544"/>
      <c r="S821" s="544"/>
      <c r="T821" s="544"/>
    </row>
    <row r="822" spans="1:20" x14ac:dyDescent="0.3">
      <c r="A822" s="556"/>
      <c r="C822" s="520"/>
      <c r="D822" s="520"/>
      <c r="E822" s="520"/>
      <c r="F822" s="520"/>
      <c r="G822" s="520"/>
      <c r="H822" s="544"/>
      <c r="I822" s="544"/>
      <c r="J822" s="544"/>
      <c r="K822" s="544"/>
      <c r="L822" s="544"/>
      <c r="M822" s="544"/>
      <c r="N822" s="544"/>
      <c r="O822" s="544"/>
      <c r="P822" s="544"/>
      <c r="Q822" s="544"/>
      <c r="R822" s="544"/>
      <c r="S822" s="544"/>
      <c r="T822" s="544"/>
    </row>
    <row r="823" spans="1:20" x14ac:dyDescent="0.3">
      <c r="A823" s="556"/>
      <c r="C823" s="520"/>
      <c r="D823" s="520"/>
      <c r="E823" s="520"/>
      <c r="F823" s="520"/>
      <c r="G823" s="520"/>
      <c r="H823" s="544"/>
      <c r="I823" s="544"/>
      <c r="J823" s="544"/>
      <c r="K823" s="544"/>
      <c r="L823" s="544"/>
      <c r="M823" s="544"/>
      <c r="N823" s="544"/>
      <c r="O823" s="544"/>
      <c r="P823" s="544"/>
      <c r="Q823" s="544"/>
      <c r="R823" s="544"/>
      <c r="S823" s="544"/>
      <c r="T823" s="544"/>
    </row>
    <row r="824" spans="1:20" x14ac:dyDescent="0.3">
      <c r="A824" s="556"/>
      <c r="C824" s="520"/>
      <c r="D824" s="520"/>
      <c r="E824" s="520"/>
      <c r="F824" s="520"/>
      <c r="G824" s="520"/>
      <c r="H824" s="544"/>
      <c r="I824" s="544"/>
      <c r="J824" s="544"/>
      <c r="K824" s="544"/>
      <c r="L824" s="544"/>
      <c r="M824" s="544"/>
      <c r="N824" s="544"/>
      <c r="O824" s="544"/>
      <c r="P824" s="544"/>
      <c r="Q824" s="544"/>
      <c r="R824" s="544"/>
      <c r="S824" s="544"/>
      <c r="T824" s="544"/>
    </row>
    <row r="825" spans="1:20" x14ac:dyDescent="0.3">
      <c r="A825" s="556"/>
      <c r="C825" s="520"/>
      <c r="D825" s="520"/>
      <c r="E825" s="520"/>
      <c r="F825" s="520"/>
      <c r="G825" s="520"/>
      <c r="H825" s="544"/>
      <c r="I825" s="544"/>
      <c r="J825" s="544"/>
      <c r="K825" s="544"/>
      <c r="L825" s="544"/>
      <c r="M825" s="544"/>
      <c r="N825" s="544"/>
      <c r="O825" s="544"/>
      <c r="P825" s="544"/>
      <c r="Q825" s="544"/>
      <c r="R825" s="544"/>
      <c r="S825" s="544"/>
      <c r="T825" s="544"/>
    </row>
    <row r="826" spans="1:20" x14ac:dyDescent="0.3">
      <c r="A826" s="556"/>
      <c r="C826" s="520"/>
      <c r="D826" s="520"/>
      <c r="E826" s="520"/>
      <c r="F826" s="520"/>
      <c r="G826" s="520"/>
      <c r="H826" s="544"/>
      <c r="I826" s="544"/>
      <c r="J826" s="544"/>
      <c r="K826" s="544"/>
      <c r="L826" s="544"/>
      <c r="M826" s="544"/>
      <c r="N826" s="544"/>
      <c r="O826" s="544"/>
      <c r="P826" s="544"/>
      <c r="Q826" s="544"/>
      <c r="R826" s="544"/>
      <c r="S826" s="544"/>
      <c r="T826" s="544"/>
    </row>
    <row r="827" spans="1:20" x14ac:dyDescent="0.3">
      <c r="A827" s="556"/>
      <c r="C827" s="520"/>
      <c r="D827" s="520"/>
      <c r="E827" s="520"/>
      <c r="F827" s="520"/>
      <c r="G827" s="520"/>
      <c r="H827" s="544"/>
      <c r="I827" s="544"/>
      <c r="J827" s="544"/>
      <c r="K827" s="544"/>
      <c r="L827" s="544"/>
      <c r="M827" s="544"/>
      <c r="N827" s="544"/>
      <c r="O827" s="544"/>
      <c r="P827" s="544"/>
      <c r="Q827" s="544"/>
      <c r="R827" s="544"/>
      <c r="S827" s="544"/>
      <c r="T827" s="544"/>
    </row>
    <row r="828" spans="1:20" x14ac:dyDescent="0.3">
      <c r="A828" s="556"/>
      <c r="C828" s="520"/>
      <c r="D828" s="520"/>
      <c r="E828" s="520"/>
      <c r="F828" s="520"/>
      <c r="G828" s="520"/>
      <c r="H828" s="544"/>
      <c r="I828" s="544"/>
      <c r="J828" s="544"/>
      <c r="K828" s="544"/>
      <c r="L828" s="544"/>
      <c r="M828" s="544"/>
      <c r="N828" s="544"/>
      <c r="O828" s="544"/>
      <c r="P828" s="544"/>
      <c r="Q828" s="544"/>
      <c r="R828" s="544"/>
      <c r="S828" s="544"/>
      <c r="T828" s="544"/>
    </row>
    <row r="829" spans="1:20" x14ac:dyDescent="0.3">
      <c r="A829" s="556"/>
      <c r="C829" s="520"/>
      <c r="D829" s="520"/>
      <c r="E829" s="520"/>
      <c r="F829" s="520"/>
      <c r="G829" s="520"/>
      <c r="H829" s="544"/>
      <c r="I829" s="544"/>
      <c r="J829" s="544"/>
      <c r="K829" s="544"/>
      <c r="L829" s="544"/>
      <c r="M829" s="544"/>
      <c r="N829" s="544"/>
      <c r="O829" s="544"/>
      <c r="P829" s="544"/>
      <c r="Q829" s="544"/>
      <c r="R829" s="544"/>
      <c r="S829" s="544"/>
      <c r="T829" s="544"/>
    </row>
    <row r="830" spans="1:20" x14ac:dyDescent="0.3">
      <c r="A830" s="556"/>
      <c r="C830" s="520"/>
      <c r="D830" s="520"/>
      <c r="E830" s="520"/>
      <c r="F830" s="520"/>
      <c r="G830" s="520"/>
      <c r="H830" s="544"/>
      <c r="I830" s="544"/>
      <c r="J830" s="544"/>
      <c r="K830" s="544"/>
      <c r="L830" s="544"/>
      <c r="M830" s="544"/>
      <c r="N830" s="544"/>
      <c r="O830" s="544"/>
      <c r="P830" s="544"/>
      <c r="Q830" s="544"/>
      <c r="R830" s="544"/>
      <c r="S830" s="544"/>
      <c r="T830" s="544"/>
    </row>
    <row r="831" spans="1:20" x14ac:dyDescent="0.3">
      <c r="A831" s="556"/>
      <c r="C831" s="520"/>
      <c r="D831" s="520"/>
      <c r="E831" s="520"/>
      <c r="F831" s="520"/>
      <c r="G831" s="520"/>
      <c r="H831" s="544"/>
      <c r="I831" s="544"/>
      <c r="J831" s="544"/>
      <c r="K831" s="544"/>
      <c r="L831" s="544"/>
      <c r="M831" s="544"/>
      <c r="N831" s="544"/>
      <c r="O831" s="544"/>
      <c r="P831" s="544"/>
      <c r="Q831" s="544"/>
      <c r="R831" s="544"/>
      <c r="S831" s="544"/>
      <c r="T831" s="544"/>
    </row>
    <row r="832" spans="1:20" x14ac:dyDescent="0.3">
      <c r="A832" s="556"/>
      <c r="C832" s="520"/>
      <c r="D832" s="520"/>
      <c r="E832" s="520"/>
      <c r="F832" s="520"/>
      <c r="G832" s="520"/>
      <c r="H832" s="544"/>
      <c r="I832" s="544"/>
      <c r="J832" s="544"/>
      <c r="K832" s="544"/>
      <c r="L832" s="544"/>
      <c r="M832" s="544"/>
      <c r="N832" s="544"/>
      <c r="O832" s="544"/>
      <c r="P832" s="544"/>
      <c r="Q832" s="544"/>
      <c r="R832" s="544"/>
      <c r="S832" s="544"/>
      <c r="T832" s="544"/>
    </row>
    <row r="833" spans="1:20" x14ac:dyDescent="0.3">
      <c r="A833" s="556"/>
      <c r="C833" s="520"/>
      <c r="D833" s="520"/>
      <c r="E833" s="520"/>
      <c r="F833" s="520"/>
      <c r="G833" s="520"/>
      <c r="H833" s="544"/>
      <c r="I833" s="544"/>
      <c r="J833" s="544"/>
      <c r="K833" s="544"/>
      <c r="L833" s="544"/>
      <c r="M833" s="544"/>
      <c r="N833" s="544"/>
      <c r="O833" s="544"/>
      <c r="P833" s="544"/>
      <c r="Q833" s="544"/>
      <c r="R833" s="544"/>
      <c r="S833" s="544"/>
      <c r="T833" s="544"/>
    </row>
    <row r="834" spans="1:20" x14ac:dyDescent="0.3">
      <c r="A834" s="556"/>
      <c r="C834" s="520"/>
      <c r="D834" s="520"/>
      <c r="E834" s="520"/>
      <c r="F834" s="520"/>
      <c r="G834" s="520"/>
      <c r="H834" s="544"/>
      <c r="I834" s="544"/>
      <c r="J834" s="544"/>
      <c r="K834" s="544"/>
      <c r="L834" s="544"/>
      <c r="M834" s="544"/>
      <c r="N834" s="544"/>
      <c r="O834" s="544"/>
      <c r="P834" s="544"/>
      <c r="Q834" s="544"/>
      <c r="R834" s="544"/>
      <c r="S834" s="544"/>
      <c r="T834" s="544"/>
    </row>
    <row r="835" spans="1:20" x14ac:dyDescent="0.3">
      <c r="A835" s="556"/>
      <c r="C835" s="520"/>
      <c r="D835" s="520"/>
      <c r="E835" s="520"/>
      <c r="F835" s="520"/>
      <c r="G835" s="520"/>
      <c r="H835" s="544"/>
      <c r="I835" s="544"/>
      <c r="J835" s="544"/>
      <c r="K835" s="544"/>
      <c r="L835" s="544"/>
      <c r="M835" s="544"/>
      <c r="N835" s="544"/>
      <c r="O835" s="544"/>
      <c r="P835" s="544"/>
      <c r="Q835" s="544"/>
      <c r="R835" s="544"/>
      <c r="S835" s="544"/>
      <c r="T835" s="544"/>
    </row>
    <row r="836" spans="1:20" x14ac:dyDescent="0.3">
      <c r="A836" s="556"/>
      <c r="C836" s="520"/>
      <c r="D836" s="520"/>
      <c r="E836" s="520"/>
      <c r="F836" s="520"/>
      <c r="G836" s="520"/>
      <c r="H836" s="544"/>
      <c r="I836" s="544"/>
      <c r="J836" s="544"/>
      <c r="K836" s="544"/>
      <c r="L836" s="544"/>
      <c r="M836" s="544"/>
      <c r="N836" s="544"/>
      <c r="O836" s="544"/>
      <c r="P836" s="544"/>
      <c r="Q836" s="544"/>
      <c r="R836" s="544"/>
      <c r="S836" s="544"/>
      <c r="T836" s="544"/>
    </row>
    <row r="837" spans="1:20" x14ac:dyDescent="0.3">
      <c r="A837" s="556"/>
      <c r="C837" s="520"/>
      <c r="D837" s="520"/>
      <c r="E837" s="520"/>
      <c r="F837" s="520"/>
      <c r="G837" s="520"/>
      <c r="H837" s="544"/>
      <c r="I837" s="544"/>
      <c r="J837" s="544"/>
      <c r="K837" s="544"/>
      <c r="L837" s="544"/>
      <c r="M837" s="544"/>
      <c r="N837" s="544"/>
      <c r="O837" s="544"/>
      <c r="P837" s="544"/>
      <c r="Q837" s="544"/>
      <c r="R837" s="544"/>
      <c r="S837" s="544"/>
      <c r="T837" s="544"/>
    </row>
    <row r="838" spans="1:20" x14ac:dyDescent="0.3">
      <c r="A838" s="556"/>
      <c r="C838" s="520"/>
      <c r="D838" s="520"/>
      <c r="E838" s="520"/>
      <c r="F838" s="520"/>
      <c r="G838" s="520"/>
      <c r="H838" s="544"/>
      <c r="I838" s="544"/>
      <c r="J838" s="544"/>
      <c r="K838" s="544"/>
      <c r="L838" s="544"/>
      <c r="M838" s="544"/>
      <c r="N838" s="544"/>
      <c r="O838" s="544"/>
      <c r="P838" s="544"/>
      <c r="Q838" s="544"/>
      <c r="R838" s="544"/>
      <c r="S838" s="544"/>
      <c r="T838" s="544"/>
    </row>
    <row r="839" spans="1:20" x14ac:dyDescent="0.3">
      <c r="A839" s="556"/>
      <c r="C839" s="520"/>
      <c r="D839" s="520"/>
      <c r="E839" s="520"/>
      <c r="F839" s="520"/>
      <c r="G839" s="520"/>
      <c r="H839" s="544"/>
      <c r="I839" s="544"/>
      <c r="J839" s="544"/>
      <c r="K839" s="544"/>
      <c r="L839" s="544"/>
      <c r="M839" s="544"/>
      <c r="N839" s="544"/>
      <c r="O839" s="544"/>
      <c r="P839" s="544"/>
      <c r="Q839" s="544"/>
      <c r="R839" s="544"/>
      <c r="S839" s="544"/>
      <c r="T839" s="544"/>
    </row>
    <row r="840" spans="1:20" x14ac:dyDescent="0.3">
      <c r="A840" s="556"/>
      <c r="C840" s="520"/>
      <c r="D840" s="520"/>
      <c r="E840" s="520"/>
      <c r="F840" s="520"/>
      <c r="G840" s="520"/>
      <c r="H840" s="544"/>
      <c r="I840" s="544"/>
      <c r="J840" s="544"/>
      <c r="K840" s="544"/>
      <c r="L840" s="544"/>
      <c r="M840" s="544"/>
      <c r="N840" s="544"/>
      <c r="O840" s="544"/>
      <c r="P840" s="544"/>
      <c r="Q840" s="544"/>
      <c r="R840" s="544"/>
      <c r="S840" s="544"/>
      <c r="T840" s="544"/>
    </row>
    <row r="841" spans="1:20" x14ac:dyDescent="0.3">
      <c r="A841" s="556"/>
      <c r="C841" s="520"/>
      <c r="D841" s="520"/>
      <c r="E841" s="520"/>
      <c r="F841" s="520"/>
      <c r="G841" s="520"/>
      <c r="H841" s="544"/>
      <c r="I841" s="544"/>
      <c r="J841" s="544"/>
      <c r="K841" s="544"/>
      <c r="L841" s="544"/>
      <c r="M841" s="544"/>
      <c r="N841" s="544"/>
      <c r="O841" s="544"/>
      <c r="P841" s="544"/>
      <c r="Q841" s="544"/>
      <c r="R841" s="544"/>
      <c r="S841" s="544"/>
      <c r="T841" s="544"/>
    </row>
    <row r="842" spans="1:20" x14ac:dyDescent="0.3">
      <c r="A842" s="556"/>
      <c r="C842" s="520"/>
      <c r="D842" s="520"/>
      <c r="E842" s="520"/>
      <c r="F842" s="520"/>
      <c r="G842" s="520"/>
      <c r="H842" s="544"/>
      <c r="I842" s="544"/>
      <c r="J842" s="544"/>
      <c r="K842" s="544"/>
      <c r="L842" s="544"/>
      <c r="M842" s="544"/>
      <c r="N842" s="544"/>
      <c r="O842" s="544"/>
      <c r="P842" s="544"/>
      <c r="Q842" s="544"/>
      <c r="R842" s="544"/>
      <c r="S842" s="544"/>
      <c r="T842" s="544"/>
    </row>
    <row r="843" spans="1:20" x14ac:dyDescent="0.3">
      <c r="A843" s="556"/>
      <c r="C843" s="520"/>
      <c r="D843" s="520"/>
      <c r="E843" s="520"/>
      <c r="F843" s="520"/>
      <c r="G843" s="520"/>
      <c r="H843" s="544"/>
      <c r="I843" s="544"/>
      <c r="J843" s="544"/>
      <c r="K843" s="544"/>
      <c r="L843" s="544"/>
      <c r="M843" s="544"/>
      <c r="N843" s="544"/>
      <c r="O843" s="544"/>
      <c r="P843" s="544"/>
      <c r="Q843" s="544"/>
      <c r="R843" s="544"/>
      <c r="S843" s="544"/>
      <c r="T843" s="544"/>
    </row>
    <row r="844" spans="1:20" x14ac:dyDescent="0.3">
      <c r="A844" s="556"/>
      <c r="C844" s="520"/>
      <c r="D844" s="520"/>
      <c r="E844" s="520"/>
      <c r="F844" s="520"/>
      <c r="G844" s="520"/>
      <c r="H844" s="544"/>
      <c r="I844" s="544"/>
      <c r="J844" s="544"/>
      <c r="K844" s="544"/>
      <c r="L844" s="544"/>
      <c r="M844" s="544"/>
      <c r="N844" s="544"/>
      <c r="O844" s="544"/>
      <c r="P844" s="544"/>
      <c r="Q844" s="544"/>
      <c r="R844" s="544"/>
      <c r="S844" s="544"/>
      <c r="T844" s="544"/>
    </row>
    <row r="845" spans="1:20" x14ac:dyDescent="0.3">
      <c r="A845" s="556"/>
      <c r="C845" s="520"/>
      <c r="D845" s="520"/>
      <c r="E845" s="520"/>
      <c r="F845" s="520"/>
      <c r="G845" s="520"/>
      <c r="H845" s="544"/>
      <c r="I845" s="544"/>
      <c r="J845" s="544"/>
      <c r="K845" s="544"/>
      <c r="L845" s="544"/>
      <c r="M845" s="544"/>
      <c r="N845" s="544"/>
      <c r="O845" s="544"/>
      <c r="P845" s="544"/>
      <c r="Q845" s="544"/>
      <c r="R845" s="544"/>
      <c r="S845" s="544"/>
      <c r="T845" s="544"/>
    </row>
    <row r="846" spans="1:20" x14ac:dyDescent="0.3">
      <c r="A846" s="556"/>
      <c r="C846" s="520"/>
      <c r="D846" s="520"/>
      <c r="E846" s="520"/>
      <c r="F846" s="520"/>
      <c r="G846" s="520"/>
      <c r="H846" s="544"/>
      <c r="I846" s="544"/>
      <c r="J846" s="544"/>
      <c r="K846" s="544"/>
      <c r="L846" s="544"/>
      <c r="M846" s="544"/>
      <c r="N846" s="544"/>
      <c r="O846" s="544"/>
      <c r="P846" s="544"/>
      <c r="Q846" s="544"/>
      <c r="R846" s="544"/>
      <c r="S846" s="544"/>
      <c r="T846" s="544"/>
    </row>
    <row r="847" spans="1:20" x14ac:dyDescent="0.3">
      <c r="A847" s="556"/>
      <c r="C847" s="520"/>
      <c r="D847" s="520"/>
      <c r="E847" s="520"/>
      <c r="F847" s="520"/>
      <c r="G847" s="520"/>
      <c r="H847" s="544"/>
      <c r="I847" s="544"/>
      <c r="J847" s="544"/>
      <c r="K847" s="544"/>
      <c r="L847" s="544"/>
      <c r="M847" s="544"/>
      <c r="N847" s="544"/>
      <c r="O847" s="544"/>
      <c r="P847" s="544"/>
      <c r="Q847" s="544"/>
      <c r="R847" s="544"/>
      <c r="S847" s="544"/>
      <c r="T847" s="544"/>
    </row>
    <row r="848" spans="1:20" x14ac:dyDescent="0.3">
      <c r="A848" s="556"/>
      <c r="C848" s="520"/>
      <c r="D848" s="520"/>
      <c r="E848" s="520"/>
      <c r="F848" s="520"/>
      <c r="G848" s="520"/>
      <c r="H848" s="544"/>
      <c r="I848" s="544"/>
      <c r="J848" s="544"/>
      <c r="K848" s="544"/>
      <c r="L848" s="544"/>
      <c r="M848" s="544"/>
      <c r="N848" s="544"/>
      <c r="O848" s="544"/>
      <c r="P848" s="544"/>
      <c r="Q848" s="544"/>
      <c r="R848" s="544"/>
      <c r="S848" s="544"/>
      <c r="T848" s="544"/>
    </row>
    <row r="849" spans="1:20" x14ac:dyDescent="0.3">
      <c r="A849" s="556"/>
      <c r="C849" s="520"/>
      <c r="D849" s="520"/>
      <c r="E849" s="520"/>
      <c r="F849" s="520"/>
      <c r="G849" s="520"/>
      <c r="H849" s="544"/>
      <c r="I849" s="544"/>
      <c r="J849" s="544"/>
      <c r="K849" s="544"/>
      <c r="L849" s="544"/>
      <c r="M849" s="544"/>
      <c r="N849" s="544"/>
      <c r="O849" s="544"/>
      <c r="P849" s="544"/>
      <c r="Q849" s="544"/>
      <c r="R849" s="544"/>
      <c r="S849" s="544"/>
      <c r="T849" s="544"/>
    </row>
    <row r="850" spans="1:20" x14ac:dyDescent="0.3">
      <c r="A850" s="556"/>
      <c r="C850" s="520"/>
      <c r="D850" s="520"/>
      <c r="E850" s="520"/>
      <c r="F850" s="520"/>
      <c r="G850" s="520"/>
      <c r="H850" s="544"/>
      <c r="I850" s="544"/>
      <c r="J850" s="544"/>
      <c r="K850" s="544"/>
      <c r="L850" s="544"/>
      <c r="M850" s="544"/>
      <c r="N850" s="544"/>
      <c r="O850" s="544"/>
      <c r="P850" s="544"/>
      <c r="Q850" s="544"/>
      <c r="R850" s="544"/>
      <c r="S850" s="544"/>
      <c r="T850" s="544"/>
    </row>
    <row r="851" spans="1:20" x14ac:dyDescent="0.3">
      <c r="A851" s="556"/>
      <c r="C851" s="520"/>
      <c r="D851" s="520"/>
      <c r="E851" s="520"/>
      <c r="F851" s="520"/>
      <c r="G851" s="520"/>
      <c r="H851" s="544"/>
      <c r="I851" s="544"/>
      <c r="J851" s="544"/>
      <c r="K851" s="544"/>
      <c r="L851" s="544"/>
      <c r="M851" s="544"/>
      <c r="N851" s="544"/>
      <c r="O851" s="544"/>
      <c r="P851" s="544"/>
      <c r="Q851" s="544"/>
      <c r="R851" s="544"/>
      <c r="S851" s="544"/>
      <c r="T851" s="544"/>
    </row>
    <row r="852" spans="1:20" x14ac:dyDescent="0.3">
      <c r="A852" s="556"/>
      <c r="C852" s="520"/>
      <c r="D852" s="520"/>
      <c r="E852" s="520"/>
      <c r="F852" s="520"/>
      <c r="G852" s="520"/>
      <c r="H852" s="544"/>
      <c r="I852" s="544"/>
      <c r="J852" s="544"/>
      <c r="K852" s="544"/>
      <c r="L852" s="544"/>
      <c r="M852" s="544"/>
      <c r="N852" s="544"/>
      <c r="O852" s="544"/>
      <c r="P852" s="544"/>
      <c r="Q852" s="544"/>
      <c r="R852" s="544"/>
      <c r="S852" s="544"/>
      <c r="T852" s="544"/>
    </row>
    <row r="853" spans="1:20" x14ac:dyDescent="0.3">
      <c r="A853" s="556"/>
      <c r="C853" s="520"/>
      <c r="D853" s="520"/>
      <c r="E853" s="520"/>
      <c r="F853" s="520"/>
      <c r="G853" s="520"/>
      <c r="H853" s="544"/>
      <c r="I853" s="544"/>
      <c r="J853" s="544"/>
      <c r="K853" s="544"/>
      <c r="L853" s="544"/>
      <c r="M853" s="544"/>
      <c r="N853" s="544"/>
      <c r="O853" s="544"/>
      <c r="P853" s="544"/>
      <c r="Q853" s="544"/>
      <c r="R853" s="544"/>
      <c r="S853" s="544"/>
      <c r="T853" s="544"/>
    </row>
    <row r="854" spans="1:20" x14ac:dyDescent="0.3">
      <c r="A854" s="556"/>
      <c r="C854" s="520"/>
      <c r="D854" s="520"/>
      <c r="E854" s="520"/>
      <c r="F854" s="520"/>
      <c r="G854" s="520"/>
      <c r="H854" s="544"/>
      <c r="I854" s="544"/>
      <c r="J854" s="544"/>
      <c r="K854" s="544"/>
      <c r="L854" s="544"/>
      <c r="M854" s="544"/>
      <c r="N854" s="544"/>
      <c r="O854" s="544"/>
      <c r="P854" s="544"/>
      <c r="Q854" s="544"/>
      <c r="R854" s="544"/>
      <c r="S854" s="544"/>
      <c r="T854" s="544"/>
    </row>
    <row r="855" spans="1:20" x14ac:dyDescent="0.3">
      <c r="A855" s="556"/>
      <c r="C855" s="520"/>
      <c r="D855" s="520"/>
      <c r="E855" s="520"/>
      <c r="F855" s="520"/>
      <c r="G855" s="520"/>
      <c r="H855" s="544"/>
      <c r="I855" s="544"/>
      <c r="J855" s="544"/>
      <c r="K855" s="544"/>
      <c r="L855" s="544"/>
      <c r="M855" s="544"/>
      <c r="N855" s="544"/>
      <c r="O855" s="544"/>
      <c r="P855" s="544"/>
      <c r="Q855" s="544"/>
      <c r="R855" s="544"/>
      <c r="S855" s="544"/>
      <c r="T855" s="544"/>
    </row>
    <row r="856" spans="1:20" x14ac:dyDescent="0.3">
      <c r="A856" s="556"/>
      <c r="C856" s="520"/>
      <c r="D856" s="520"/>
      <c r="E856" s="520"/>
      <c r="F856" s="520"/>
      <c r="G856" s="520"/>
      <c r="H856" s="544"/>
      <c r="I856" s="544"/>
      <c r="J856" s="544"/>
      <c r="K856" s="544"/>
      <c r="L856" s="544"/>
      <c r="M856" s="544"/>
      <c r="N856" s="544"/>
      <c r="O856" s="544"/>
      <c r="P856" s="544"/>
      <c r="Q856" s="544"/>
      <c r="R856" s="544"/>
      <c r="S856" s="544"/>
      <c r="T856" s="544"/>
    </row>
    <row r="857" spans="1:20" x14ac:dyDescent="0.3">
      <c r="A857" s="556"/>
      <c r="C857" s="520"/>
      <c r="D857" s="520"/>
      <c r="E857" s="520"/>
      <c r="F857" s="520"/>
      <c r="G857" s="520"/>
      <c r="H857" s="544"/>
      <c r="I857" s="544"/>
      <c r="J857" s="544"/>
      <c r="K857" s="544"/>
      <c r="L857" s="544"/>
      <c r="M857" s="544"/>
      <c r="N857" s="544"/>
      <c r="O857" s="544"/>
      <c r="P857" s="544"/>
      <c r="Q857" s="544"/>
      <c r="R857" s="544"/>
      <c r="S857" s="544"/>
      <c r="T857" s="544"/>
    </row>
    <row r="858" spans="1:20" x14ac:dyDescent="0.3">
      <c r="A858" s="556"/>
      <c r="C858" s="520"/>
      <c r="D858" s="520"/>
      <c r="E858" s="520"/>
      <c r="F858" s="520"/>
      <c r="G858" s="520"/>
      <c r="H858" s="544"/>
      <c r="I858" s="544"/>
      <c r="J858" s="544"/>
      <c r="K858" s="544"/>
      <c r="L858" s="544"/>
      <c r="M858" s="544"/>
      <c r="N858" s="544"/>
      <c r="O858" s="544"/>
      <c r="P858" s="544"/>
      <c r="Q858" s="544"/>
      <c r="R858" s="544"/>
      <c r="S858" s="544"/>
      <c r="T858" s="544"/>
    </row>
    <row r="859" spans="1:20" x14ac:dyDescent="0.3">
      <c r="A859" s="556"/>
      <c r="C859" s="520"/>
      <c r="D859" s="520"/>
      <c r="E859" s="520"/>
      <c r="F859" s="520"/>
      <c r="G859" s="520"/>
      <c r="H859" s="544"/>
      <c r="I859" s="544"/>
      <c r="J859" s="544"/>
      <c r="K859" s="544"/>
      <c r="L859" s="544"/>
      <c r="M859" s="544"/>
      <c r="N859" s="544"/>
      <c r="O859" s="544"/>
      <c r="P859" s="544"/>
      <c r="Q859" s="544"/>
      <c r="R859" s="544"/>
      <c r="S859" s="544"/>
      <c r="T859" s="544"/>
    </row>
    <row r="860" spans="1:20" x14ac:dyDescent="0.3">
      <c r="A860" s="556"/>
      <c r="C860" s="520"/>
      <c r="D860" s="520"/>
      <c r="E860" s="520"/>
      <c r="F860" s="520"/>
      <c r="G860" s="520"/>
      <c r="H860" s="544"/>
      <c r="I860" s="544"/>
      <c r="J860" s="544"/>
      <c r="K860" s="544"/>
      <c r="L860" s="544"/>
      <c r="M860" s="544"/>
      <c r="N860" s="544"/>
      <c r="O860" s="544"/>
      <c r="P860" s="544"/>
      <c r="Q860" s="544"/>
      <c r="R860" s="544"/>
      <c r="S860" s="544"/>
      <c r="T860" s="544"/>
    </row>
    <row r="861" spans="1:20" x14ac:dyDescent="0.3">
      <c r="A861" s="556"/>
      <c r="C861" s="520"/>
      <c r="D861" s="520"/>
      <c r="E861" s="520"/>
      <c r="F861" s="520"/>
      <c r="G861" s="520"/>
      <c r="H861" s="544"/>
      <c r="I861" s="544"/>
      <c r="J861" s="544"/>
      <c r="K861" s="544"/>
      <c r="L861" s="544"/>
      <c r="M861" s="544"/>
      <c r="N861" s="544"/>
      <c r="O861" s="544"/>
      <c r="P861" s="544"/>
      <c r="Q861" s="544"/>
      <c r="R861" s="544"/>
      <c r="S861" s="544"/>
      <c r="T861" s="544"/>
    </row>
    <row r="862" spans="1:20" x14ac:dyDescent="0.3">
      <c r="A862" s="556"/>
      <c r="C862" s="520"/>
      <c r="D862" s="520"/>
      <c r="E862" s="520"/>
      <c r="F862" s="520"/>
      <c r="G862" s="520"/>
      <c r="H862" s="544"/>
      <c r="I862" s="544"/>
      <c r="J862" s="544"/>
      <c r="K862" s="544"/>
      <c r="L862" s="544"/>
      <c r="M862" s="544"/>
      <c r="N862" s="544"/>
      <c r="O862" s="544"/>
      <c r="P862" s="544"/>
      <c r="Q862" s="544"/>
      <c r="R862" s="544"/>
      <c r="S862" s="544"/>
      <c r="T862" s="544"/>
    </row>
    <row r="863" spans="1:20" x14ac:dyDescent="0.3">
      <c r="A863" s="556"/>
      <c r="C863" s="520"/>
      <c r="D863" s="520"/>
      <c r="E863" s="520"/>
      <c r="F863" s="520"/>
      <c r="G863" s="520"/>
      <c r="H863" s="544"/>
      <c r="I863" s="544"/>
      <c r="J863" s="544"/>
      <c r="K863" s="544"/>
      <c r="L863" s="544"/>
      <c r="M863" s="544"/>
      <c r="N863" s="544"/>
      <c r="O863" s="544"/>
      <c r="P863" s="544"/>
      <c r="Q863" s="544"/>
      <c r="R863" s="544"/>
      <c r="S863" s="544"/>
      <c r="T863" s="544"/>
    </row>
    <row r="864" spans="1:20" x14ac:dyDescent="0.3">
      <c r="A864" s="556"/>
      <c r="C864" s="520"/>
      <c r="D864" s="520"/>
      <c r="E864" s="520"/>
      <c r="F864" s="520"/>
      <c r="G864" s="520"/>
      <c r="H864" s="544"/>
      <c r="I864" s="544"/>
      <c r="J864" s="544"/>
      <c r="K864" s="544"/>
      <c r="L864" s="544"/>
      <c r="M864" s="544"/>
      <c r="N864" s="544"/>
      <c r="O864" s="544"/>
      <c r="P864" s="544"/>
      <c r="Q864" s="544"/>
      <c r="R864" s="544"/>
      <c r="S864" s="544"/>
      <c r="T864" s="544"/>
    </row>
    <row r="865" spans="1:20" x14ac:dyDescent="0.3">
      <c r="A865" s="556"/>
      <c r="C865" s="520"/>
      <c r="D865" s="520"/>
      <c r="E865" s="520"/>
      <c r="F865" s="520"/>
      <c r="G865" s="520"/>
      <c r="H865" s="544"/>
      <c r="I865" s="544"/>
      <c r="J865" s="544"/>
      <c r="K865" s="544"/>
      <c r="L865" s="544"/>
      <c r="M865" s="544"/>
      <c r="N865" s="544"/>
      <c r="O865" s="544"/>
      <c r="P865" s="544"/>
      <c r="Q865" s="544"/>
      <c r="R865" s="544"/>
      <c r="S865" s="544"/>
      <c r="T865" s="544"/>
    </row>
    <row r="866" spans="1:20" x14ac:dyDescent="0.3">
      <c r="A866" s="556"/>
      <c r="C866" s="520"/>
      <c r="D866" s="520"/>
      <c r="E866" s="520"/>
      <c r="F866" s="520"/>
      <c r="G866" s="520"/>
      <c r="H866" s="544"/>
      <c r="I866" s="544"/>
      <c r="J866" s="544"/>
      <c r="K866" s="544"/>
      <c r="L866" s="544"/>
      <c r="M866" s="544"/>
      <c r="N866" s="544"/>
      <c r="O866" s="544"/>
      <c r="P866" s="544"/>
      <c r="Q866" s="544"/>
      <c r="R866" s="544"/>
      <c r="S866" s="544"/>
      <c r="T866" s="544"/>
    </row>
    <row r="867" spans="1:20" x14ac:dyDescent="0.3">
      <c r="A867" s="556"/>
      <c r="C867" s="520"/>
      <c r="D867" s="520"/>
      <c r="E867" s="520"/>
      <c r="F867" s="520"/>
      <c r="G867" s="520"/>
      <c r="H867" s="544"/>
      <c r="I867" s="544"/>
      <c r="J867" s="544"/>
      <c r="K867" s="544"/>
      <c r="L867" s="544"/>
      <c r="M867" s="544"/>
      <c r="N867" s="544"/>
      <c r="O867" s="544"/>
      <c r="P867" s="544"/>
      <c r="Q867" s="544"/>
      <c r="R867" s="544"/>
      <c r="S867" s="544"/>
      <c r="T867" s="544"/>
    </row>
    <row r="868" spans="1:20" x14ac:dyDescent="0.3">
      <c r="A868" s="556"/>
      <c r="C868" s="520"/>
      <c r="D868" s="520"/>
      <c r="E868" s="520"/>
      <c r="F868" s="520"/>
      <c r="G868" s="520"/>
      <c r="H868" s="544"/>
      <c r="I868" s="544"/>
      <c r="J868" s="544"/>
      <c r="K868" s="544"/>
      <c r="L868" s="544"/>
      <c r="M868" s="544"/>
      <c r="N868" s="544"/>
      <c r="O868" s="544"/>
      <c r="P868" s="544"/>
      <c r="Q868" s="544"/>
      <c r="R868" s="544"/>
      <c r="S868" s="544"/>
      <c r="T868" s="544"/>
    </row>
    <row r="869" spans="1:20" x14ac:dyDescent="0.3">
      <c r="A869" s="556"/>
      <c r="C869" s="520"/>
      <c r="D869" s="520"/>
      <c r="E869" s="520"/>
      <c r="F869" s="520"/>
      <c r="G869" s="520"/>
      <c r="H869" s="544"/>
      <c r="I869" s="544"/>
      <c r="J869" s="544"/>
      <c r="K869" s="544"/>
      <c r="L869" s="544"/>
      <c r="M869" s="544"/>
      <c r="N869" s="544"/>
      <c r="O869" s="544"/>
      <c r="P869" s="544"/>
      <c r="Q869" s="544"/>
      <c r="R869" s="544"/>
      <c r="S869" s="544"/>
      <c r="T869" s="544"/>
    </row>
    <row r="870" spans="1:20" x14ac:dyDescent="0.3">
      <c r="A870" s="556"/>
      <c r="C870" s="520"/>
      <c r="D870" s="520"/>
      <c r="E870" s="520"/>
      <c r="F870" s="520"/>
      <c r="G870" s="520"/>
      <c r="H870" s="544"/>
      <c r="I870" s="544"/>
      <c r="J870" s="544"/>
      <c r="K870" s="544"/>
      <c r="L870" s="544"/>
      <c r="M870" s="544"/>
      <c r="N870" s="544"/>
      <c r="O870" s="544"/>
      <c r="P870" s="544"/>
      <c r="Q870" s="544"/>
      <c r="R870" s="544"/>
      <c r="S870" s="544"/>
      <c r="T870" s="544"/>
    </row>
    <row r="871" spans="1:20" x14ac:dyDescent="0.3">
      <c r="A871" s="556"/>
      <c r="C871" s="520"/>
      <c r="D871" s="520"/>
      <c r="E871" s="520"/>
      <c r="F871" s="520"/>
      <c r="G871" s="520"/>
      <c r="H871" s="544"/>
      <c r="I871" s="544"/>
      <c r="J871" s="544"/>
      <c r="K871" s="544"/>
      <c r="L871" s="544"/>
      <c r="M871" s="544"/>
      <c r="N871" s="544"/>
      <c r="O871" s="544"/>
      <c r="P871" s="544"/>
      <c r="Q871" s="544"/>
      <c r="R871" s="544"/>
      <c r="S871" s="544"/>
      <c r="T871" s="544"/>
    </row>
    <row r="872" spans="1:20" x14ac:dyDescent="0.3">
      <c r="A872" s="556"/>
      <c r="C872" s="520"/>
      <c r="D872" s="520"/>
      <c r="E872" s="520"/>
      <c r="F872" s="520"/>
      <c r="G872" s="520"/>
      <c r="H872" s="544"/>
      <c r="I872" s="544"/>
      <c r="J872" s="544"/>
      <c r="K872" s="544"/>
      <c r="L872" s="544"/>
      <c r="M872" s="544"/>
      <c r="N872" s="544"/>
      <c r="O872" s="544"/>
      <c r="P872" s="544"/>
      <c r="Q872" s="544"/>
      <c r="R872" s="544"/>
      <c r="S872" s="544"/>
      <c r="T872" s="544"/>
    </row>
    <row r="873" spans="1:20" x14ac:dyDescent="0.3">
      <c r="A873" s="556"/>
      <c r="C873" s="520"/>
      <c r="D873" s="520"/>
      <c r="E873" s="520"/>
      <c r="F873" s="520"/>
      <c r="G873" s="520"/>
      <c r="H873" s="544"/>
      <c r="I873" s="544"/>
      <c r="J873" s="544"/>
      <c r="K873" s="544"/>
      <c r="L873" s="544"/>
      <c r="M873" s="544"/>
      <c r="N873" s="544"/>
      <c r="O873" s="544"/>
      <c r="P873" s="544"/>
      <c r="Q873" s="544"/>
      <c r="R873" s="544"/>
      <c r="S873" s="544"/>
      <c r="T873" s="544"/>
    </row>
    <row r="874" spans="1:20" x14ac:dyDescent="0.3">
      <c r="A874" s="556"/>
      <c r="C874" s="520"/>
      <c r="D874" s="520"/>
      <c r="E874" s="520"/>
      <c r="F874" s="520"/>
      <c r="G874" s="520"/>
      <c r="H874" s="544"/>
      <c r="I874" s="544"/>
      <c r="J874" s="544"/>
      <c r="K874" s="544"/>
      <c r="L874" s="544"/>
      <c r="M874" s="544"/>
      <c r="N874" s="544"/>
      <c r="O874" s="544"/>
      <c r="P874" s="544"/>
      <c r="Q874" s="544"/>
      <c r="R874" s="544"/>
      <c r="S874" s="544"/>
      <c r="T874" s="544"/>
    </row>
    <row r="875" spans="1:20" x14ac:dyDescent="0.3">
      <c r="A875" s="556"/>
      <c r="C875" s="520"/>
      <c r="D875" s="520"/>
      <c r="E875" s="520"/>
      <c r="F875" s="520"/>
      <c r="G875" s="520"/>
      <c r="H875" s="544"/>
      <c r="I875" s="544"/>
      <c r="J875" s="544"/>
      <c r="K875" s="544"/>
      <c r="L875" s="544"/>
      <c r="M875" s="544"/>
      <c r="N875" s="544"/>
      <c r="O875" s="544"/>
      <c r="P875" s="544"/>
      <c r="Q875" s="544"/>
      <c r="R875" s="544"/>
      <c r="S875" s="544"/>
      <c r="T875" s="544"/>
    </row>
    <row r="876" spans="1:20" x14ac:dyDescent="0.3">
      <c r="A876" s="556"/>
      <c r="C876" s="520"/>
      <c r="D876" s="520"/>
      <c r="E876" s="520"/>
      <c r="F876" s="520"/>
      <c r="G876" s="520"/>
      <c r="H876" s="544"/>
      <c r="I876" s="544"/>
      <c r="J876" s="544"/>
      <c r="K876" s="544"/>
      <c r="L876" s="544"/>
      <c r="M876" s="544"/>
      <c r="N876" s="544"/>
      <c r="O876" s="544"/>
      <c r="P876" s="544"/>
      <c r="Q876" s="544"/>
      <c r="R876" s="544"/>
      <c r="S876" s="544"/>
      <c r="T876" s="544"/>
    </row>
    <row r="877" spans="1:20" x14ac:dyDescent="0.3">
      <c r="A877" s="556"/>
      <c r="C877" s="520"/>
      <c r="D877" s="520"/>
      <c r="E877" s="520"/>
      <c r="F877" s="520"/>
      <c r="G877" s="520"/>
      <c r="H877" s="544"/>
      <c r="I877" s="544"/>
      <c r="J877" s="544"/>
      <c r="K877" s="544"/>
      <c r="L877" s="544"/>
      <c r="M877" s="544"/>
      <c r="N877" s="544"/>
      <c r="O877" s="544"/>
      <c r="P877" s="544"/>
      <c r="Q877" s="544"/>
      <c r="R877" s="544"/>
      <c r="S877" s="544"/>
      <c r="T877" s="544"/>
    </row>
    <row r="878" spans="1:20" x14ac:dyDescent="0.3">
      <c r="A878" s="556"/>
      <c r="C878" s="520"/>
      <c r="D878" s="520"/>
      <c r="E878" s="520"/>
      <c r="F878" s="520"/>
      <c r="G878" s="520"/>
      <c r="H878" s="544"/>
      <c r="I878" s="544"/>
      <c r="J878" s="544"/>
      <c r="K878" s="544"/>
      <c r="L878" s="544"/>
      <c r="M878" s="544"/>
      <c r="N878" s="544"/>
      <c r="O878" s="544"/>
      <c r="P878" s="544"/>
      <c r="Q878" s="544"/>
      <c r="R878" s="544"/>
      <c r="S878" s="544"/>
      <c r="T878" s="544"/>
    </row>
    <row r="879" spans="1:20" x14ac:dyDescent="0.3">
      <c r="A879" s="556"/>
      <c r="C879" s="520"/>
      <c r="D879" s="520"/>
      <c r="E879" s="520"/>
      <c r="F879" s="520"/>
      <c r="G879" s="520"/>
      <c r="H879" s="544"/>
      <c r="I879" s="544"/>
      <c r="J879" s="544"/>
      <c r="K879" s="544"/>
      <c r="L879" s="544"/>
      <c r="M879" s="544"/>
      <c r="N879" s="544"/>
      <c r="O879" s="544"/>
      <c r="P879" s="544"/>
      <c r="Q879" s="544"/>
      <c r="R879" s="544"/>
      <c r="S879" s="544"/>
      <c r="T879" s="544"/>
    </row>
    <row r="880" spans="1:20" x14ac:dyDescent="0.3">
      <c r="A880" s="556"/>
      <c r="C880" s="520"/>
      <c r="D880" s="520"/>
      <c r="E880" s="520"/>
      <c r="F880" s="520"/>
      <c r="G880" s="520"/>
      <c r="H880" s="544"/>
      <c r="I880" s="544"/>
      <c r="J880" s="544"/>
      <c r="K880" s="544"/>
      <c r="L880" s="544"/>
      <c r="M880" s="544"/>
      <c r="N880" s="544"/>
      <c r="O880" s="544"/>
      <c r="P880" s="544"/>
      <c r="Q880" s="544"/>
      <c r="R880" s="544"/>
      <c r="S880" s="544"/>
      <c r="T880" s="544"/>
    </row>
    <row r="881" spans="1:20" x14ac:dyDescent="0.3">
      <c r="A881" s="556"/>
      <c r="C881" s="520"/>
      <c r="D881" s="520"/>
      <c r="E881" s="520"/>
      <c r="F881" s="520"/>
      <c r="G881" s="520"/>
      <c r="H881" s="544"/>
      <c r="I881" s="544"/>
      <c r="J881" s="544"/>
      <c r="K881" s="544"/>
      <c r="L881" s="544"/>
      <c r="M881" s="544"/>
      <c r="N881" s="544"/>
      <c r="O881" s="544"/>
      <c r="P881" s="544"/>
      <c r="Q881" s="544"/>
      <c r="R881" s="544"/>
      <c r="S881" s="544"/>
      <c r="T881" s="544"/>
    </row>
    <row r="882" spans="1:20" x14ac:dyDescent="0.3">
      <c r="A882" s="556"/>
      <c r="C882" s="520"/>
      <c r="D882" s="520"/>
      <c r="E882" s="520"/>
      <c r="F882" s="520"/>
      <c r="G882" s="520"/>
      <c r="H882" s="544"/>
      <c r="I882" s="544"/>
      <c r="J882" s="544"/>
      <c r="K882" s="544"/>
      <c r="L882" s="544"/>
      <c r="M882" s="544"/>
      <c r="N882" s="544"/>
      <c r="O882" s="544"/>
      <c r="P882" s="544"/>
      <c r="Q882" s="544"/>
      <c r="R882" s="544"/>
      <c r="S882" s="544"/>
      <c r="T882" s="544"/>
    </row>
    <row r="883" spans="1:20" x14ac:dyDescent="0.3">
      <c r="A883" s="556"/>
      <c r="C883" s="520"/>
      <c r="D883" s="520"/>
      <c r="E883" s="520"/>
      <c r="F883" s="520"/>
      <c r="G883" s="520"/>
      <c r="H883" s="544"/>
      <c r="I883" s="544"/>
      <c r="J883" s="544"/>
      <c r="K883" s="544"/>
      <c r="L883" s="544"/>
      <c r="M883" s="544"/>
      <c r="N883" s="544"/>
      <c r="O883" s="544"/>
      <c r="P883" s="544"/>
      <c r="Q883" s="544"/>
      <c r="R883" s="544"/>
      <c r="S883" s="544"/>
      <c r="T883" s="544"/>
    </row>
    <row r="884" spans="1:20" x14ac:dyDescent="0.3">
      <c r="A884" s="556"/>
      <c r="C884" s="520"/>
      <c r="D884" s="520"/>
      <c r="E884" s="520"/>
      <c r="F884" s="520"/>
      <c r="G884" s="520"/>
      <c r="H884" s="544"/>
      <c r="I884" s="544"/>
      <c r="J884" s="544"/>
      <c r="K884" s="544"/>
      <c r="L884" s="544"/>
      <c r="M884" s="544"/>
      <c r="N884" s="544"/>
      <c r="O884" s="544"/>
      <c r="P884" s="544"/>
      <c r="Q884" s="544"/>
      <c r="R884" s="544"/>
      <c r="S884" s="544"/>
      <c r="T884" s="544"/>
    </row>
    <row r="885" spans="1:20" x14ac:dyDescent="0.3">
      <c r="A885" s="556"/>
      <c r="C885" s="520"/>
      <c r="D885" s="520"/>
      <c r="E885" s="520"/>
      <c r="F885" s="520"/>
      <c r="G885" s="520"/>
      <c r="H885" s="544"/>
      <c r="I885" s="544"/>
      <c r="J885" s="544"/>
      <c r="K885" s="544"/>
      <c r="L885" s="544"/>
      <c r="M885" s="544"/>
      <c r="N885" s="544"/>
      <c r="O885" s="544"/>
      <c r="P885" s="544"/>
      <c r="Q885" s="544"/>
      <c r="R885" s="544"/>
      <c r="S885" s="544"/>
      <c r="T885" s="544"/>
    </row>
    <row r="886" spans="1:20" x14ac:dyDescent="0.3">
      <c r="A886" s="556"/>
      <c r="C886" s="520"/>
      <c r="D886" s="520"/>
      <c r="E886" s="520"/>
      <c r="F886" s="520"/>
      <c r="G886" s="520"/>
      <c r="H886" s="544"/>
      <c r="I886" s="544"/>
      <c r="J886" s="544"/>
      <c r="K886" s="544"/>
      <c r="L886" s="544"/>
      <c r="M886" s="544"/>
      <c r="N886" s="544"/>
      <c r="O886" s="544"/>
      <c r="P886" s="544"/>
      <c r="Q886" s="544"/>
      <c r="R886" s="544"/>
      <c r="S886" s="544"/>
      <c r="T886" s="544"/>
    </row>
    <row r="887" spans="1:20" x14ac:dyDescent="0.3">
      <c r="A887" s="556"/>
      <c r="C887" s="520"/>
      <c r="D887" s="520"/>
      <c r="E887" s="520"/>
      <c r="F887" s="520"/>
      <c r="G887" s="520"/>
      <c r="H887" s="544"/>
      <c r="I887" s="544"/>
      <c r="J887" s="544"/>
      <c r="K887" s="544"/>
      <c r="L887" s="544"/>
      <c r="M887" s="544"/>
      <c r="N887" s="544"/>
      <c r="O887" s="544"/>
      <c r="P887" s="544"/>
      <c r="Q887" s="544"/>
      <c r="R887" s="544"/>
      <c r="S887" s="544"/>
      <c r="T887" s="544"/>
    </row>
    <row r="888" spans="1:20" x14ac:dyDescent="0.3">
      <c r="A888" s="556"/>
      <c r="C888" s="520"/>
      <c r="D888" s="520"/>
      <c r="E888" s="520"/>
      <c r="F888" s="520"/>
      <c r="G888" s="520"/>
      <c r="H888" s="544"/>
      <c r="I888" s="544"/>
      <c r="J888" s="544"/>
      <c r="K888" s="544"/>
      <c r="L888" s="544"/>
      <c r="M888" s="544"/>
      <c r="N888" s="544"/>
      <c r="O888" s="544"/>
      <c r="P888" s="544"/>
      <c r="Q888" s="544"/>
      <c r="R888" s="544"/>
      <c r="S888" s="544"/>
      <c r="T888" s="544"/>
    </row>
    <row r="889" spans="1:20" x14ac:dyDescent="0.3">
      <c r="A889" s="556"/>
      <c r="C889" s="520"/>
      <c r="D889" s="520"/>
      <c r="E889" s="520"/>
      <c r="F889" s="520"/>
      <c r="G889" s="520"/>
      <c r="H889" s="544"/>
      <c r="I889" s="544"/>
      <c r="J889" s="544"/>
      <c r="K889" s="544"/>
      <c r="L889" s="544"/>
      <c r="M889" s="544"/>
      <c r="N889" s="544"/>
      <c r="O889" s="544"/>
      <c r="P889" s="544"/>
      <c r="Q889" s="544"/>
      <c r="R889" s="544"/>
      <c r="S889" s="544"/>
      <c r="T889" s="544"/>
    </row>
    <row r="890" spans="1:20" x14ac:dyDescent="0.3">
      <c r="A890" s="556"/>
      <c r="C890" s="520"/>
      <c r="D890" s="520"/>
      <c r="E890" s="520"/>
      <c r="F890" s="520"/>
      <c r="G890" s="520"/>
      <c r="H890" s="544"/>
      <c r="I890" s="544"/>
      <c r="J890" s="544"/>
      <c r="K890" s="544"/>
      <c r="L890" s="544"/>
      <c r="M890" s="544"/>
      <c r="N890" s="544"/>
      <c r="O890" s="544"/>
      <c r="P890" s="544"/>
      <c r="Q890" s="544"/>
      <c r="R890" s="544"/>
      <c r="S890" s="544"/>
      <c r="T890" s="544"/>
    </row>
    <row r="891" spans="1:20" x14ac:dyDescent="0.3">
      <c r="A891" s="556"/>
      <c r="C891" s="520"/>
      <c r="D891" s="520"/>
      <c r="E891" s="520"/>
      <c r="F891" s="520"/>
      <c r="G891" s="520"/>
      <c r="H891" s="544"/>
      <c r="I891" s="544"/>
      <c r="J891" s="544"/>
      <c r="K891" s="544"/>
      <c r="L891" s="544"/>
      <c r="M891" s="544"/>
      <c r="N891" s="544"/>
      <c r="O891" s="544"/>
      <c r="P891" s="544"/>
      <c r="Q891" s="544"/>
      <c r="R891" s="544"/>
      <c r="S891" s="544"/>
      <c r="T891" s="544"/>
    </row>
    <row r="892" spans="1:20" x14ac:dyDescent="0.3">
      <c r="A892" s="556"/>
      <c r="C892" s="520"/>
      <c r="D892" s="520"/>
      <c r="E892" s="520"/>
      <c r="F892" s="520"/>
      <c r="G892" s="520"/>
      <c r="H892" s="544"/>
      <c r="I892" s="544"/>
      <c r="J892" s="544"/>
      <c r="K892" s="544"/>
      <c r="L892" s="544"/>
      <c r="M892" s="544"/>
      <c r="N892" s="544"/>
      <c r="O892" s="544"/>
      <c r="P892" s="544"/>
      <c r="Q892" s="544"/>
      <c r="R892" s="544"/>
      <c r="S892" s="544"/>
      <c r="T892" s="544"/>
    </row>
    <row r="893" spans="1:20" x14ac:dyDescent="0.3">
      <c r="A893" s="556"/>
      <c r="C893" s="520"/>
      <c r="D893" s="520"/>
      <c r="E893" s="520"/>
      <c r="F893" s="520"/>
      <c r="G893" s="520"/>
      <c r="H893" s="544"/>
      <c r="I893" s="544"/>
      <c r="J893" s="544"/>
      <c r="K893" s="544"/>
      <c r="L893" s="544"/>
      <c r="M893" s="544"/>
      <c r="N893" s="544"/>
      <c r="O893" s="544"/>
      <c r="P893" s="544"/>
      <c r="Q893" s="544"/>
      <c r="R893" s="544"/>
      <c r="S893" s="544"/>
      <c r="T893" s="544"/>
    </row>
    <row r="894" spans="1:20" x14ac:dyDescent="0.3">
      <c r="A894" s="556"/>
      <c r="C894" s="520"/>
      <c r="D894" s="520"/>
      <c r="E894" s="520"/>
      <c r="F894" s="520"/>
      <c r="G894" s="520"/>
      <c r="H894" s="544"/>
      <c r="I894" s="544"/>
      <c r="J894" s="544"/>
      <c r="K894" s="544"/>
      <c r="L894" s="544"/>
      <c r="M894" s="544"/>
      <c r="N894" s="544"/>
      <c r="O894" s="544"/>
      <c r="P894" s="544"/>
      <c r="Q894" s="544"/>
      <c r="R894" s="544"/>
      <c r="S894" s="544"/>
      <c r="T894" s="544"/>
    </row>
    <row r="895" spans="1:20" x14ac:dyDescent="0.3">
      <c r="A895" s="556"/>
      <c r="C895" s="520"/>
      <c r="D895" s="520"/>
      <c r="E895" s="520"/>
      <c r="F895" s="520"/>
      <c r="G895" s="520"/>
      <c r="H895" s="544"/>
      <c r="I895" s="544"/>
      <c r="J895" s="544"/>
      <c r="K895" s="544"/>
      <c r="L895" s="544"/>
      <c r="M895" s="544"/>
      <c r="N895" s="544"/>
      <c r="O895" s="544"/>
      <c r="P895" s="544"/>
      <c r="Q895" s="544"/>
      <c r="R895" s="544"/>
      <c r="S895" s="544"/>
      <c r="T895" s="544"/>
    </row>
    <row r="896" spans="1:20" x14ac:dyDescent="0.3">
      <c r="A896" s="556"/>
      <c r="C896" s="520"/>
      <c r="D896" s="520"/>
      <c r="E896" s="520"/>
      <c r="F896" s="520"/>
      <c r="G896" s="520"/>
      <c r="H896" s="544"/>
      <c r="I896" s="544"/>
      <c r="J896" s="544"/>
      <c r="K896" s="544"/>
      <c r="L896" s="544"/>
      <c r="M896" s="544"/>
      <c r="N896" s="544"/>
      <c r="O896" s="544"/>
      <c r="P896" s="544"/>
      <c r="Q896" s="544"/>
      <c r="R896" s="544"/>
      <c r="S896" s="544"/>
      <c r="T896" s="544"/>
    </row>
    <row r="897" spans="1:20" x14ac:dyDescent="0.3">
      <c r="A897" s="556"/>
      <c r="C897" s="520"/>
      <c r="D897" s="520"/>
      <c r="E897" s="520"/>
      <c r="F897" s="520"/>
      <c r="G897" s="520"/>
      <c r="H897" s="544"/>
      <c r="I897" s="544"/>
      <c r="J897" s="544"/>
      <c r="K897" s="544"/>
      <c r="L897" s="544"/>
      <c r="M897" s="544"/>
      <c r="N897" s="544"/>
      <c r="O897" s="544"/>
      <c r="P897" s="544"/>
      <c r="Q897" s="544"/>
      <c r="R897" s="544"/>
      <c r="S897" s="544"/>
      <c r="T897" s="544"/>
    </row>
    <row r="898" spans="1:20" x14ac:dyDescent="0.3">
      <c r="A898" s="556"/>
      <c r="C898" s="520"/>
      <c r="D898" s="520"/>
      <c r="E898" s="520"/>
      <c r="F898" s="520"/>
      <c r="G898" s="520"/>
      <c r="H898" s="544"/>
      <c r="I898" s="544"/>
      <c r="J898" s="544"/>
      <c r="K898" s="544"/>
      <c r="L898" s="544"/>
      <c r="M898" s="544"/>
      <c r="N898" s="544"/>
      <c r="O898" s="544"/>
      <c r="P898" s="544"/>
      <c r="Q898" s="544"/>
      <c r="R898" s="544"/>
      <c r="S898" s="544"/>
      <c r="T898" s="544"/>
    </row>
    <row r="899" spans="1:20" x14ac:dyDescent="0.3">
      <c r="A899" s="556"/>
      <c r="C899" s="520"/>
      <c r="D899" s="520"/>
      <c r="E899" s="520"/>
      <c r="F899" s="520"/>
      <c r="G899" s="520"/>
      <c r="H899" s="544"/>
      <c r="I899" s="544"/>
      <c r="J899" s="544"/>
      <c r="K899" s="544"/>
      <c r="L899" s="544"/>
      <c r="M899" s="544"/>
      <c r="N899" s="544"/>
      <c r="O899" s="544"/>
      <c r="P899" s="544"/>
      <c r="Q899" s="544"/>
      <c r="R899" s="544"/>
      <c r="S899" s="544"/>
      <c r="T899" s="544"/>
    </row>
    <row r="900" spans="1:20" x14ac:dyDescent="0.3">
      <c r="A900" s="556"/>
      <c r="C900" s="520"/>
      <c r="D900" s="520"/>
      <c r="E900" s="520"/>
      <c r="F900" s="520"/>
      <c r="G900" s="520"/>
      <c r="H900" s="544"/>
      <c r="I900" s="544"/>
      <c r="J900" s="544"/>
      <c r="K900" s="544"/>
      <c r="L900" s="544"/>
      <c r="M900" s="544"/>
      <c r="N900" s="544"/>
      <c r="O900" s="544"/>
      <c r="P900" s="544"/>
      <c r="Q900" s="544"/>
      <c r="R900" s="544"/>
      <c r="S900" s="544"/>
      <c r="T900" s="544"/>
    </row>
    <row r="901" spans="1:20" x14ac:dyDescent="0.3">
      <c r="A901" s="556"/>
      <c r="C901" s="520"/>
      <c r="D901" s="520"/>
      <c r="E901" s="520"/>
      <c r="F901" s="520"/>
      <c r="G901" s="520"/>
      <c r="H901" s="544"/>
      <c r="I901" s="544"/>
      <c r="J901" s="544"/>
      <c r="K901" s="544"/>
      <c r="L901" s="544"/>
      <c r="M901" s="544"/>
      <c r="N901" s="544"/>
      <c r="O901" s="544"/>
      <c r="P901" s="544"/>
      <c r="Q901" s="544"/>
      <c r="R901" s="544"/>
      <c r="S901" s="544"/>
      <c r="T901" s="544"/>
    </row>
    <row r="902" spans="1:20" x14ac:dyDescent="0.3">
      <c r="A902" s="556"/>
      <c r="C902" s="520"/>
      <c r="D902" s="520"/>
      <c r="E902" s="520"/>
      <c r="F902" s="520"/>
      <c r="G902" s="520"/>
      <c r="H902" s="544"/>
      <c r="I902" s="544"/>
      <c r="J902" s="544"/>
      <c r="K902" s="544"/>
      <c r="L902" s="544"/>
      <c r="M902" s="544"/>
      <c r="N902" s="544"/>
      <c r="O902" s="544"/>
      <c r="P902" s="544"/>
      <c r="Q902" s="544"/>
      <c r="R902" s="544"/>
      <c r="S902" s="544"/>
      <c r="T902" s="544"/>
    </row>
    <row r="903" spans="1:20" x14ac:dyDescent="0.3">
      <c r="A903" s="556"/>
      <c r="C903" s="520"/>
      <c r="D903" s="520"/>
      <c r="E903" s="520"/>
      <c r="F903" s="520"/>
      <c r="G903" s="520"/>
      <c r="H903" s="544"/>
      <c r="I903" s="544"/>
      <c r="J903" s="544"/>
      <c r="K903" s="544"/>
      <c r="L903" s="544"/>
      <c r="M903" s="544"/>
      <c r="N903" s="544"/>
      <c r="O903" s="544"/>
      <c r="P903" s="544"/>
      <c r="Q903" s="544"/>
      <c r="R903" s="544"/>
      <c r="S903" s="544"/>
      <c r="T903" s="544"/>
    </row>
    <row r="904" spans="1:20" x14ac:dyDescent="0.3">
      <c r="A904" s="556"/>
      <c r="C904" s="520"/>
      <c r="D904" s="520"/>
      <c r="E904" s="520"/>
      <c r="F904" s="520"/>
      <c r="G904" s="520"/>
      <c r="H904" s="544"/>
      <c r="I904" s="544"/>
      <c r="J904" s="544"/>
      <c r="K904" s="544"/>
      <c r="L904" s="544"/>
      <c r="M904" s="544"/>
      <c r="N904" s="544"/>
      <c r="O904" s="544"/>
      <c r="P904" s="544"/>
      <c r="Q904" s="544"/>
      <c r="R904" s="544"/>
      <c r="S904" s="544"/>
      <c r="T904" s="544"/>
    </row>
    <row r="905" spans="1:20" x14ac:dyDescent="0.3">
      <c r="A905" s="556"/>
      <c r="C905" s="520"/>
      <c r="D905" s="520"/>
      <c r="E905" s="520"/>
      <c r="F905" s="520"/>
      <c r="G905" s="520"/>
      <c r="H905" s="544"/>
      <c r="I905" s="544"/>
      <c r="J905" s="544"/>
      <c r="K905" s="544"/>
      <c r="L905" s="544"/>
      <c r="M905" s="544"/>
      <c r="N905" s="544"/>
      <c r="O905" s="544"/>
      <c r="P905" s="544"/>
      <c r="Q905" s="544"/>
      <c r="R905" s="544"/>
      <c r="S905" s="544"/>
      <c r="T905" s="544"/>
    </row>
    <row r="906" spans="1:20" x14ac:dyDescent="0.3">
      <c r="A906" s="556"/>
      <c r="C906" s="520"/>
      <c r="D906" s="520"/>
      <c r="E906" s="520"/>
      <c r="F906" s="520"/>
      <c r="G906" s="520"/>
      <c r="H906" s="544"/>
      <c r="I906" s="544"/>
      <c r="J906" s="544"/>
      <c r="K906" s="544"/>
      <c r="L906" s="544"/>
      <c r="M906" s="544"/>
      <c r="N906" s="544"/>
      <c r="O906" s="544"/>
      <c r="P906" s="544"/>
      <c r="Q906" s="544"/>
      <c r="R906" s="544"/>
      <c r="S906" s="544"/>
      <c r="T906" s="544"/>
    </row>
    <row r="907" spans="1:20" x14ac:dyDescent="0.3">
      <c r="A907" s="556"/>
      <c r="C907" s="520"/>
      <c r="D907" s="520"/>
      <c r="E907" s="520"/>
      <c r="F907" s="520"/>
      <c r="G907" s="520"/>
      <c r="H907" s="544"/>
      <c r="I907" s="544"/>
      <c r="J907" s="544"/>
      <c r="K907" s="544"/>
      <c r="L907" s="544"/>
      <c r="M907" s="544"/>
      <c r="N907" s="544"/>
      <c r="O907" s="544"/>
      <c r="P907" s="544"/>
      <c r="Q907" s="544"/>
      <c r="R907" s="544"/>
      <c r="S907" s="544"/>
      <c r="T907" s="544"/>
    </row>
    <row r="908" spans="1:20" x14ac:dyDescent="0.3">
      <c r="A908" s="556"/>
      <c r="C908" s="520"/>
      <c r="D908" s="520"/>
      <c r="E908" s="520"/>
      <c r="F908" s="520"/>
      <c r="G908" s="520"/>
      <c r="H908" s="544"/>
      <c r="I908" s="544"/>
      <c r="J908" s="544"/>
      <c r="K908" s="544"/>
      <c r="L908" s="544"/>
      <c r="M908" s="544"/>
      <c r="N908" s="544"/>
      <c r="O908" s="544"/>
      <c r="P908" s="544"/>
      <c r="Q908" s="544"/>
      <c r="R908" s="544"/>
      <c r="S908" s="544"/>
      <c r="T908" s="544"/>
    </row>
    <row r="909" spans="1:20" x14ac:dyDescent="0.3">
      <c r="A909" s="556"/>
      <c r="C909" s="520"/>
      <c r="D909" s="520"/>
      <c r="E909" s="520"/>
      <c r="F909" s="520"/>
      <c r="G909" s="520"/>
      <c r="H909" s="544"/>
      <c r="I909" s="544"/>
      <c r="J909" s="544"/>
      <c r="K909" s="544"/>
      <c r="L909" s="544"/>
      <c r="M909" s="544"/>
      <c r="N909" s="544"/>
      <c r="O909" s="544"/>
      <c r="P909" s="544"/>
      <c r="Q909" s="544"/>
      <c r="R909" s="544"/>
      <c r="S909" s="544"/>
      <c r="T909" s="544"/>
    </row>
    <row r="910" spans="1:20" x14ac:dyDescent="0.3">
      <c r="A910" s="556"/>
      <c r="C910" s="520"/>
      <c r="D910" s="520"/>
      <c r="E910" s="520"/>
      <c r="F910" s="520"/>
      <c r="G910" s="520"/>
      <c r="H910" s="544"/>
      <c r="I910" s="544"/>
      <c r="J910" s="544"/>
      <c r="K910" s="544"/>
      <c r="L910" s="544"/>
      <c r="M910" s="544"/>
      <c r="N910" s="544"/>
      <c r="O910" s="544"/>
      <c r="P910" s="544"/>
      <c r="Q910" s="544"/>
      <c r="R910" s="544"/>
      <c r="S910" s="544"/>
      <c r="T910" s="544"/>
    </row>
    <row r="911" spans="1:20" x14ac:dyDescent="0.3">
      <c r="A911" s="556"/>
      <c r="C911" s="520"/>
      <c r="D911" s="520"/>
      <c r="E911" s="520"/>
      <c r="F911" s="520"/>
      <c r="G911" s="520"/>
      <c r="H911" s="544"/>
      <c r="I911" s="544"/>
      <c r="J911" s="544"/>
      <c r="K911" s="544"/>
      <c r="L911" s="544"/>
      <c r="M911" s="544"/>
      <c r="N911" s="544"/>
      <c r="O911" s="544"/>
      <c r="P911" s="544"/>
      <c r="Q911" s="544"/>
      <c r="R911" s="544"/>
      <c r="S911" s="544"/>
      <c r="T911" s="544"/>
    </row>
    <row r="912" spans="1:20" x14ac:dyDescent="0.3">
      <c r="A912" s="556"/>
      <c r="C912" s="520"/>
      <c r="D912" s="520"/>
      <c r="E912" s="520"/>
      <c r="F912" s="520"/>
      <c r="G912" s="520"/>
      <c r="H912" s="544"/>
      <c r="I912" s="544"/>
      <c r="J912" s="544"/>
      <c r="K912" s="544"/>
      <c r="L912" s="544"/>
      <c r="M912" s="544"/>
      <c r="N912" s="544"/>
      <c r="O912" s="544"/>
      <c r="P912" s="544"/>
      <c r="Q912" s="544"/>
      <c r="R912" s="544"/>
      <c r="S912" s="544"/>
      <c r="T912" s="544"/>
    </row>
    <row r="913" spans="1:20" x14ac:dyDescent="0.3">
      <c r="A913" s="556"/>
      <c r="C913" s="520"/>
      <c r="D913" s="520"/>
      <c r="E913" s="520"/>
      <c r="F913" s="520"/>
      <c r="G913" s="520"/>
      <c r="H913" s="544"/>
      <c r="I913" s="544"/>
      <c r="J913" s="544"/>
      <c r="K913" s="544"/>
      <c r="L913" s="544"/>
      <c r="M913" s="544"/>
      <c r="N913" s="544"/>
      <c r="O913" s="544"/>
      <c r="P913" s="544"/>
      <c r="Q913" s="544"/>
      <c r="R913" s="544"/>
      <c r="S913" s="544"/>
      <c r="T913" s="544"/>
    </row>
    <row r="914" spans="1:20" x14ac:dyDescent="0.3">
      <c r="A914" s="556"/>
      <c r="C914" s="520"/>
      <c r="D914" s="520"/>
      <c r="E914" s="520"/>
      <c r="F914" s="520"/>
      <c r="G914" s="520"/>
      <c r="H914" s="544"/>
      <c r="I914" s="544"/>
      <c r="J914" s="544"/>
      <c r="K914" s="544"/>
      <c r="L914" s="544"/>
      <c r="M914" s="544"/>
      <c r="N914" s="544"/>
      <c r="O914" s="544"/>
      <c r="P914" s="544"/>
      <c r="Q914" s="544"/>
      <c r="R914" s="544"/>
      <c r="S914" s="544"/>
      <c r="T914" s="544"/>
    </row>
    <row r="915" spans="1:20" x14ac:dyDescent="0.3">
      <c r="A915" s="556"/>
      <c r="C915" s="520"/>
      <c r="D915" s="520"/>
      <c r="E915" s="520"/>
      <c r="F915" s="520"/>
      <c r="G915" s="520"/>
      <c r="H915" s="544"/>
      <c r="I915" s="544"/>
      <c r="J915" s="544"/>
      <c r="K915" s="544"/>
      <c r="L915" s="544"/>
      <c r="M915" s="544"/>
      <c r="N915" s="544"/>
      <c r="O915" s="544"/>
      <c r="P915" s="544"/>
      <c r="Q915" s="544"/>
      <c r="R915" s="544"/>
      <c r="S915" s="544"/>
      <c r="T915" s="544"/>
    </row>
    <row r="916" spans="1:20" x14ac:dyDescent="0.3">
      <c r="A916" s="556"/>
      <c r="C916" s="520"/>
      <c r="D916" s="520"/>
      <c r="E916" s="520"/>
      <c r="F916" s="520"/>
      <c r="G916" s="520"/>
      <c r="H916" s="544"/>
      <c r="I916" s="544"/>
      <c r="J916" s="544"/>
      <c r="K916" s="544"/>
      <c r="L916" s="544"/>
      <c r="M916" s="544"/>
      <c r="N916" s="544"/>
      <c r="O916" s="544"/>
      <c r="P916" s="544"/>
      <c r="Q916" s="544"/>
      <c r="R916" s="544"/>
      <c r="S916" s="544"/>
      <c r="T916" s="544"/>
    </row>
    <row r="917" spans="1:20" x14ac:dyDescent="0.3">
      <c r="A917" s="556"/>
      <c r="C917" s="520"/>
      <c r="D917" s="520"/>
      <c r="E917" s="520"/>
      <c r="F917" s="520"/>
      <c r="G917" s="520"/>
      <c r="H917" s="544"/>
      <c r="I917" s="544"/>
      <c r="J917" s="544"/>
      <c r="K917" s="544"/>
      <c r="L917" s="544"/>
      <c r="M917" s="544"/>
      <c r="N917" s="544"/>
      <c r="O917" s="544"/>
      <c r="P917" s="544"/>
      <c r="Q917" s="544"/>
      <c r="R917" s="544"/>
      <c r="S917" s="544"/>
      <c r="T917" s="544"/>
    </row>
    <row r="918" spans="1:20" x14ac:dyDescent="0.3">
      <c r="A918" s="556"/>
      <c r="C918" s="520"/>
      <c r="D918" s="520"/>
      <c r="E918" s="520"/>
      <c r="F918" s="520"/>
      <c r="G918" s="520"/>
      <c r="H918" s="544"/>
      <c r="I918" s="544"/>
      <c r="J918" s="544"/>
      <c r="K918" s="544"/>
      <c r="L918" s="544"/>
      <c r="M918" s="544"/>
      <c r="N918" s="544"/>
      <c r="O918" s="544"/>
      <c r="P918" s="544"/>
      <c r="Q918" s="544"/>
      <c r="R918" s="544"/>
      <c r="S918" s="544"/>
      <c r="T918" s="544"/>
    </row>
    <row r="919" spans="1:20" x14ac:dyDescent="0.3">
      <c r="A919" s="556"/>
      <c r="C919" s="520"/>
      <c r="D919" s="520"/>
      <c r="E919" s="520"/>
      <c r="F919" s="520"/>
      <c r="G919" s="520"/>
      <c r="H919" s="544"/>
      <c r="I919" s="544"/>
      <c r="J919" s="544"/>
      <c r="K919" s="544"/>
      <c r="L919" s="544"/>
      <c r="M919" s="544"/>
      <c r="N919" s="544"/>
      <c r="O919" s="544"/>
      <c r="P919" s="544"/>
      <c r="Q919" s="544"/>
      <c r="R919" s="544"/>
      <c r="S919" s="544"/>
      <c r="T919" s="544"/>
    </row>
    <row r="920" spans="1:20" x14ac:dyDescent="0.3">
      <c r="A920" s="556"/>
      <c r="C920" s="520"/>
      <c r="D920" s="520"/>
      <c r="E920" s="520"/>
      <c r="F920" s="520"/>
      <c r="G920" s="520"/>
      <c r="H920" s="544"/>
      <c r="I920" s="544"/>
      <c r="J920" s="544"/>
      <c r="K920" s="544"/>
      <c r="L920" s="544"/>
      <c r="M920" s="544"/>
      <c r="N920" s="544"/>
      <c r="O920" s="544"/>
      <c r="P920" s="544"/>
      <c r="Q920" s="544"/>
      <c r="R920" s="544"/>
      <c r="S920" s="544"/>
      <c r="T920" s="544"/>
    </row>
    <row r="921" spans="1:20" x14ac:dyDescent="0.3">
      <c r="A921" s="556"/>
      <c r="C921" s="520"/>
      <c r="D921" s="520"/>
      <c r="E921" s="520"/>
      <c r="F921" s="520"/>
      <c r="G921" s="520"/>
      <c r="H921" s="544"/>
      <c r="I921" s="544"/>
      <c r="J921" s="544"/>
      <c r="K921" s="544"/>
      <c r="L921" s="544"/>
      <c r="M921" s="544"/>
      <c r="N921" s="544"/>
      <c r="O921" s="544"/>
      <c r="P921" s="544"/>
      <c r="Q921" s="544"/>
      <c r="R921" s="544"/>
      <c r="S921" s="544"/>
      <c r="T921" s="544"/>
    </row>
    <row r="922" spans="1:20" x14ac:dyDescent="0.3">
      <c r="A922" s="556"/>
      <c r="C922" s="520"/>
      <c r="D922" s="520"/>
      <c r="E922" s="520"/>
      <c r="F922" s="520"/>
      <c r="G922" s="520"/>
      <c r="H922" s="544"/>
      <c r="I922" s="544"/>
      <c r="J922" s="544"/>
      <c r="K922" s="544"/>
      <c r="L922" s="544"/>
      <c r="M922" s="544"/>
      <c r="N922" s="544"/>
      <c r="O922" s="544"/>
      <c r="P922" s="544"/>
      <c r="Q922" s="544"/>
      <c r="R922" s="544"/>
      <c r="S922" s="544"/>
      <c r="T922" s="544"/>
    </row>
    <row r="923" spans="1:20" x14ac:dyDescent="0.3">
      <c r="A923" s="556"/>
      <c r="C923" s="520"/>
      <c r="D923" s="520"/>
      <c r="E923" s="520"/>
      <c r="F923" s="520"/>
      <c r="G923" s="520"/>
      <c r="H923" s="544"/>
      <c r="I923" s="544"/>
      <c r="J923" s="544"/>
      <c r="K923" s="544"/>
      <c r="L923" s="544"/>
      <c r="M923" s="544"/>
      <c r="N923" s="544"/>
      <c r="O923" s="544"/>
      <c r="P923" s="544"/>
      <c r="Q923" s="544"/>
      <c r="R923" s="544"/>
      <c r="S923" s="544"/>
      <c r="T923" s="544"/>
    </row>
    <row r="924" spans="1:20" x14ac:dyDescent="0.3">
      <c r="A924" s="556"/>
      <c r="C924" s="520"/>
      <c r="D924" s="520"/>
      <c r="E924" s="520"/>
      <c r="F924" s="520"/>
      <c r="G924" s="520"/>
      <c r="H924" s="544"/>
      <c r="I924" s="544"/>
      <c r="J924" s="544"/>
      <c r="K924" s="544"/>
      <c r="L924" s="544"/>
      <c r="M924" s="544"/>
      <c r="N924" s="544"/>
      <c r="O924" s="544"/>
      <c r="P924" s="544"/>
      <c r="Q924" s="544"/>
      <c r="R924" s="544"/>
      <c r="S924" s="544"/>
      <c r="T924" s="544"/>
    </row>
    <row r="925" spans="1:20" x14ac:dyDescent="0.3">
      <c r="A925" s="556"/>
      <c r="C925" s="520"/>
      <c r="D925" s="520"/>
      <c r="E925" s="520"/>
      <c r="F925" s="520"/>
      <c r="G925" s="520"/>
      <c r="H925" s="544"/>
      <c r="I925" s="544"/>
      <c r="J925" s="544"/>
      <c r="K925" s="544"/>
      <c r="L925" s="544"/>
      <c r="M925" s="544"/>
      <c r="N925" s="544"/>
      <c r="O925" s="544"/>
      <c r="P925" s="544"/>
      <c r="Q925" s="544"/>
      <c r="R925" s="544"/>
      <c r="S925" s="544"/>
      <c r="T925" s="544"/>
    </row>
    <row r="926" spans="1:20" x14ac:dyDescent="0.3">
      <c r="A926" s="556"/>
      <c r="C926" s="520"/>
      <c r="D926" s="520"/>
      <c r="E926" s="520"/>
      <c r="F926" s="520"/>
      <c r="G926" s="520"/>
      <c r="H926" s="544"/>
      <c r="I926" s="544"/>
      <c r="J926" s="544"/>
      <c r="K926" s="544"/>
      <c r="L926" s="544"/>
      <c r="M926" s="544"/>
      <c r="N926" s="544"/>
      <c r="O926" s="544"/>
      <c r="P926" s="544"/>
      <c r="Q926" s="544"/>
      <c r="R926" s="544"/>
      <c r="S926" s="544"/>
      <c r="T926" s="544"/>
    </row>
    <row r="927" spans="1:20" x14ac:dyDescent="0.3">
      <c r="A927" s="556"/>
      <c r="C927" s="520"/>
      <c r="D927" s="520"/>
      <c r="E927" s="520"/>
      <c r="F927" s="520"/>
      <c r="G927" s="520"/>
      <c r="H927" s="544"/>
      <c r="I927" s="544"/>
      <c r="J927" s="544"/>
      <c r="K927" s="544"/>
      <c r="L927" s="544"/>
      <c r="M927" s="544"/>
      <c r="N927" s="544"/>
      <c r="O927" s="544"/>
      <c r="P927" s="544"/>
      <c r="Q927" s="544"/>
      <c r="R927" s="544"/>
      <c r="S927" s="544"/>
      <c r="T927" s="544"/>
    </row>
    <row r="928" spans="1:20" x14ac:dyDescent="0.3">
      <c r="A928" s="556"/>
      <c r="C928" s="520"/>
      <c r="D928" s="520"/>
      <c r="E928" s="520"/>
      <c r="F928" s="520"/>
      <c r="G928" s="520"/>
      <c r="H928" s="544"/>
      <c r="I928" s="544"/>
      <c r="J928" s="544"/>
      <c r="K928" s="544"/>
      <c r="L928" s="544"/>
      <c r="M928" s="544"/>
      <c r="N928" s="544"/>
      <c r="O928" s="544"/>
      <c r="P928" s="544"/>
      <c r="Q928" s="544"/>
      <c r="R928" s="544"/>
      <c r="S928" s="544"/>
      <c r="T928" s="544"/>
    </row>
    <row r="929" spans="1:20" x14ac:dyDescent="0.3">
      <c r="A929" s="556"/>
      <c r="C929" s="520"/>
      <c r="D929" s="520"/>
      <c r="E929" s="520"/>
      <c r="F929" s="520"/>
      <c r="G929" s="520"/>
      <c r="H929" s="544"/>
      <c r="I929" s="544"/>
      <c r="J929" s="544"/>
      <c r="K929" s="544"/>
      <c r="L929" s="544"/>
      <c r="M929" s="544"/>
      <c r="N929" s="544"/>
      <c r="O929" s="544"/>
      <c r="P929" s="544"/>
      <c r="Q929" s="544"/>
      <c r="R929" s="544"/>
      <c r="S929" s="544"/>
      <c r="T929" s="544"/>
    </row>
    <row r="930" spans="1:20" x14ac:dyDescent="0.3">
      <c r="A930" s="556"/>
      <c r="C930" s="520"/>
      <c r="D930" s="520"/>
      <c r="E930" s="520"/>
      <c r="F930" s="520"/>
      <c r="G930" s="520"/>
      <c r="H930" s="544"/>
      <c r="I930" s="544"/>
      <c r="J930" s="544"/>
      <c r="K930" s="544"/>
      <c r="L930" s="544"/>
      <c r="M930" s="544"/>
      <c r="N930" s="544"/>
      <c r="O930" s="544"/>
      <c r="P930" s="544"/>
      <c r="Q930" s="544"/>
      <c r="R930" s="544"/>
      <c r="S930" s="544"/>
      <c r="T930" s="544"/>
    </row>
    <row r="931" spans="1:20" x14ac:dyDescent="0.3">
      <c r="A931" s="556"/>
      <c r="C931" s="520"/>
      <c r="D931" s="520"/>
      <c r="E931" s="520"/>
      <c r="F931" s="520"/>
      <c r="G931" s="520"/>
      <c r="H931" s="544"/>
      <c r="I931" s="544"/>
      <c r="J931" s="544"/>
      <c r="K931" s="544"/>
      <c r="L931" s="544"/>
      <c r="M931" s="544"/>
      <c r="N931" s="544"/>
      <c r="O931" s="544"/>
      <c r="P931" s="544"/>
      <c r="Q931" s="544"/>
      <c r="R931" s="544"/>
      <c r="S931" s="544"/>
      <c r="T931" s="544"/>
    </row>
    <row r="932" spans="1:20" x14ac:dyDescent="0.3">
      <c r="A932" s="556"/>
      <c r="C932" s="520"/>
      <c r="D932" s="520"/>
      <c r="E932" s="520"/>
      <c r="F932" s="520"/>
      <c r="G932" s="520"/>
      <c r="H932" s="544"/>
      <c r="I932" s="544"/>
      <c r="J932" s="544"/>
      <c r="K932" s="544"/>
      <c r="L932" s="544"/>
      <c r="M932" s="544"/>
      <c r="N932" s="544"/>
      <c r="O932" s="544"/>
      <c r="P932" s="544"/>
      <c r="Q932" s="544"/>
      <c r="R932" s="544"/>
      <c r="S932" s="544"/>
      <c r="T932" s="544"/>
    </row>
    <row r="933" spans="1:20" x14ac:dyDescent="0.3">
      <c r="A933" s="556"/>
      <c r="C933" s="520"/>
      <c r="D933" s="520"/>
      <c r="E933" s="520"/>
      <c r="F933" s="520"/>
      <c r="G933" s="520"/>
      <c r="H933" s="544"/>
      <c r="I933" s="544"/>
      <c r="J933" s="544"/>
      <c r="K933" s="544"/>
      <c r="L933" s="544"/>
      <c r="M933" s="544"/>
      <c r="N933" s="544"/>
      <c r="O933" s="544"/>
      <c r="P933" s="544"/>
      <c r="Q933" s="544"/>
      <c r="R933" s="544"/>
      <c r="S933" s="544"/>
      <c r="T933" s="544"/>
    </row>
    <row r="934" spans="1:20" x14ac:dyDescent="0.3">
      <c r="A934" s="556"/>
      <c r="C934" s="520"/>
      <c r="D934" s="520"/>
      <c r="E934" s="520"/>
      <c r="F934" s="520"/>
      <c r="G934" s="520"/>
      <c r="H934" s="544"/>
      <c r="I934" s="544"/>
      <c r="J934" s="544"/>
      <c r="K934" s="544"/>
      <c r="L934" s="544"/>
      <c r="M934" s="544"/>
      <c r="N934" s="544"/>
      <c r="O934" s="544"/>
      <c r="P934" s="544"/>
      <c r="Q934" s="544"/>
      <c r="R934" s="544"/>
      <c r="S934" s="544"/>
      <c r="T934" s="544"/>
    </row>
    <row r="935" spans="1:20" x14ac:dyDescent="0.3">
      <c r="A935" s="556"/>
      <c r="C935" s="520"/>
      <c r="D935" s="520"/>
      <c r="E935" s="520"/>
      <c r="F935" s="520"/>
      <c r="G935" s="520"/>
      <c r="H935" s="544"/>
      <c r="I935" s="544"/>
      <c r="J935" s="544"/>
      <c r="K935" s="544"/>
      <c r="L935" s="544"/>
      <c r="M935" s="544"/>
      <c r="N935" s="544"/>
      <c r="O935" s="544"/>
      <c r="P935" s="544"/>
      <c r="Q935" s="544"/>
      <c r="R935" s="544"/>
      <c r="S935" s="544"/>
      <c r="T935" s="544"/>
    </row>
    <row r="936" spans="1:20" x14ac:dyDescent="0.3">
      <c r="A936" s="556"/>
      <c r="C936" s="520"/>
      <c r="D936" s="520"/>
      <c r="E936" s="520"/>
      <c r="F936" s="520"/>
      <c r="G936" s="520"/>
      <c r="H936" s="544"/>
      <c r="I936" s="544"/>
      <c r="J936" s="544"/>
      <c r="K936" s="544"/>
      <c r="L936" s="544"/>
      <c r="M936" s="544"/>
      <c r="N936" s="544"/>
      <c r="O936" s="544"/>
      <c r="P936" s="544"/>
      <c r="Q936" s="544"/>
      <c r="R936" s="544"/>
      <c r="S936" s="544"/>
      <c r="T936" s="544"/>
    </row>
    <row r="937" spans="1:20" x14ac:dyDescent="0.3">
      <c r="A937" s="556"/>
      <c r="C937" s="520"/>
      <c r="D937" s="520"/>
      <c r="E937" s="520"/>
      <c r="F937" s="520"/>
      <c r="G937" s="520"/>
      <c r="H937" s="544"/>
      <c r="I937" s="544"/>
      <c r="J937" s="544"/>
      <c r="K937" s="544"/>
      <c r="L937" s="544"/>
      <c r="M937" s="544"/>
      <c r="N937" s="544"/>
      <c r="O937" s="544"/>
      <c r="P937" s="544"/>
      <c r="Q937" s="544"/>
      <c r="R937" s="544"/>
      <c r="S937" s="544"/>
      <c r="T937" s="544"/>
    </row>
    <row r="938" spans="1:20" x14ac:dyDescent="0.3">
      <c r="A938" s="556"/>
      <c r="C938" s="520"/>
      <c r="D938" s="520"/>
      <c r="E938" s="520"/>
      <c r="F938" s="520"/>
      <c r="G938" s="520"/>
      <c r="H938" s="544"/>
      <c r="I938" s="544"/>
      <c r="J938" s="544"/>
      <c r="K938" s="544"/>
      <c r="L938" s="544"/>
      <c r="M938" s="544"/>
      <c r="N938" s="544"/>
      <c r="O938" s="544"/>
      <c r="P938" s="544"/>
      <c r="Q938" s="544"/>
      <c r="R938" s="544"/>
      <c r="S938" s="544"/>
      <c r="T938" s="544"/>
    </row>
    <row r="939" spans="1:20" x14ac:dyDescent="0.3">
      <c r="A939" s="556"/>
      <c r="C939" s="520"/>
      <c r="D939" s="520"/>
      <c r="E939" s="520"/>
      <c r="F939" s="520"/>
      <c r="G939" s="520"/>
      <c r="H939" s="544"/>
      <c r="I939" s="544"/>
      <c r="J939" s="544"/>
      <c r="K939" s="544"/>
      <c r="L939" s="544"/>
      <c r="M939" s="544"/>
      <c r="N939" s="544"/>
      <c r="O939" s="544"/>
      <c r="P939" s="544"/>
      <c r="Q939" s="544"/>
      <c r="R939" s="544"/>
      <c r="S939" s="544"/>
      <c r="T939" s="544"/>
    </row>
    <row r="940" spans="1:20" x14ac:dyDescent="0.3">
      <c r="A940" s="556"/>
      <c r="C940" s="520"/>
      <c r="D940" s="520"/>
      <c r="E940" s="520"/>
      <c r="F940" s="520"/>
      <c r="G940" s="520"/>
      <c r="H940" s="544"/>
      <c r="I940" s="544"/>
      <c r="J940" s="544"/>
      <c r="K940" s="544"/>
      <c r="L940" s="544"/>
      <c r="M940" s="544"/>
      <c r="N940" s="544"/>
      <c r="O940" s="544"/>
      <c r="P940" s="544"/>
      <c r="Q940" s="544"/>
      <c r="R940" s="544"/>
      <c r="S940" s="544"/>
      <c r="T940" s="544"/>
    </row>
    <row r="941" spans="1:20" x14ac:dyDescent="0.3">
      <c r="A941" s="556"/>
      <c r="C941" s="520"/>
      <c r="D941" s="520"/>
      <c r="E941" s="520"/>
      <c r="F941" s="520"/>
      <c r="G941" s="520"/>
      <c r="H941" s="544"/>
      <c r="I941" s="544"/>
      <c r="J941" s="544"/>
      <c r="K941" s="544"/>
      <c r="L941" s="544"/>
      <c r="M941" s="544"/>
      <c r="N941" s="544"/>
      <c r="O941" s="544"/>
      <c r="P941" s="544"/>
      <c r="Q941" s="544"/>
      <c r="R941" s="544"/>
      <c r="S941" s="544"/>
      <c r="T941" s="544"/>
    </row>
    <row r="942" spans="1:20" x14ac:dyDescent="0.3">
      <c r="A942" s="556"/>
      <c r="C942" s="520"/>
      <c r="D942" s="520"/>
      <c r="E942" s="520"/>
      <c r="F942" s="520"/>
      <c r="G942" s="520"/>
      <c r="H942" s="544"/>
      <c r="I942" s="544"/>
      <c r="J942" s="544"/>
      <c r="K942" s="544"/>
      <c r="L942" s="544"/>
      <c r="M942" s="544"/>
      <c r="N942" s="544"/>
      <c r="O942" s="544"/>
      <c r="P942" s="544"/>
      <c r="Q942" s="544"/>
      <c r="R942" s="544"/>
      <c r="S942" s="544"/>
      <c r="T942" s="544"/>
    </row>
    <row r="943" spans="1:20" x14ac:dyDescent="0.3">
      <c r="A943" s="556"/>
      <c r="C943" s="520"/>
      <c r="D943" s="520"/>
      <c r="E943" s="520"/>
      <c r="F943" s="520"/>
      <c r="G943" s="520"/>
      <c r="H943" s="544"/>
      <c r="I943" s="544"/>
      <c r="J943" s="544"/>
      <c r="K943" s="544"/>
      <c r="L943" s="544"/>
      <c r="M943" s="544"/>
      <c r="N943" s="544"/>
      <c r="O943" s="544"/>
      <c r="P943" s="544"/>
      <c r="Q943" s="544"/>
      <c r="R943" s="544"/>
      <c r="S943" s="544"/>
      <c r="T943" s="544"/>
    </row>
    <row r="944" spans="1:20" x14ac:dyDescent="0.3">
      <c r="A944" s="556"/>
      <c r="C944" s="520"/>
      <c r="D944" s="520"/>
      <c r="E944" s="520"/>
      <c r="F944" s="520"/>
      <c r="G944" s="520"/>
      <c r="H944" s="544"/>
      <c r="I944" s="544"/>
      <c r="J944" s="544"/>
      <c r="K944" s="544"/>
      <c r="L944" s="544"/>
      <c r="M944" s="544"/>
      <c r="N944" s="544"/>
      <c r="O944" s="544"/>
      <c r="P944" s="544"/>
      <c r="Q944" s="544"/>
      <c r="R944" s="544"/>
      <c r="S944" s="544"/>
      <c r="T944" s="544"/>
    </row>
    <row r="945" spans="1:20" x14ac:dyDescent="0.3">
      <c r="A945" s="556"/>
      <c r="C945" s="520"/>
      <c r="D945" s="520"/>
      <c r="E945" s="520"/>
      <c r="F945" s="520"/>
      <c r="G945" s="520"/>
      <c r="H945" s="544"/>
      <c r="I945" s="544"/>
      <c r="J945" s="544"/>
      <c r="K945" s="544"/>
      <c r="L945" s="544"/>
      <c r="M945" s="544"/>
      <c r="N945" s="544"/>
      <c r="O945" s="544"/>
      <c r="P945" s="544"/>
      <c r="Q945" s="544"/>
      <c r="R945" s="544"/>
      <c r="S945" s="544"/>
      <c r="T945" s="544"/>
    </row>
    <row r="946" spans="1:20" x14ac:dyDescent="0.3">
      <c r="A946" s="556"/>
      <c r="C946" s="520"/>
      <c r="D946" s="520"/>
      <c r="E946" s="520"/>
      <c r="F946" s="520"/>
      <c r="G946" s="520"/>
      <c r="H946" s="544"/>
      <c r="I946" s="544"/>
      <c r="J946" s="544"/>
      <c r="K946" s="544"/>
      <c r="L946" s="544"/>
      <c r="M946" s="544"/>
      <c r="N946" s="544"/>
      <c r="O946" s="544"/>
      <c r="P946" s="544"/>
      <c r="Q946" s="544"/>
      <c r="R946" s="544"/>
      <c r="S946" s="544"/>
      <c r="T946" s="544"/>
    </row>
    <row r="947" spans="1:20" x14ac:dyDescent="0.3">
      <c r="A947" s="556"/>
      <c r="C947" s="520"/>
      <c r="D947" s="520"/>
      <c r="E947" s="520"/>
      <c r="F947" s="520"/>
      <c r="G947" s="520"/>
      <c r="H947" s="544"/>
      <c r="I947" s="544"/>
      <c r="J947" s="544"/>
      <c r="K947" s="544"/>
      <c r="L947" s="544"/>
      <c r="M947" s="544"/>
      <c r="N947" s="544"/>
      <c r="O947" s="544"/>
      <c r="P947" s="544"/>
      <c r="Q947" s="544"/>
      <c r="R947" s="544"/>
      <c r="S947" s="544"/>
      <c r="T947" s="544"/>
    </row>
    <row r="948" spans="1:20" x14ac:dyDescent="0.3">
      <c r="A948" s="556"/>
      <c r="C948" s="520"/>
      <c r="D948" s="520"/>
      <c r="E948" s="520"/>
      <c r="F948" s="520"/>
      <c r="G948" s="520"/>
      <c r="H948" s="544"/>
      <c r="I948" s="544"/>
      <c r="J948" s="544"/>
      <c r="K948" s="544"/>
      <c r="L948" s="544"/>
      <c r="M948" s="544"/>
      <c r="N948" s="544"/>
      <c r="O948" s="544"/>
      <c r="P948" s="544"/>
      <c r="Q948" s="544"/>
      <c r="R948" s="544"/>
      <c r="S948" s="544"/>
      <c r="T948" s="544"/>
    </row>
    <row r="949" spans="1:20" x14ac:dyDescent="0.3">
      <c r="A949" s="556"/>
      <c r="C949" s="520"/>
      <c r="D949" s="520"/>
      <c r="E949" s="520"/>
      <c r="F949" s="520"/>
      <c r="G949" s="520"/>
      <c r="H949" s="544"/>
      <c r="I949" s="544"/>
      <c r="J949" s="544"/>
      <c r="K949" s="544"/>
      <c r="L949" s="544"/>
      <c r="M949" s="544"/>
      <c r="N949" s="544"/>
      <c r="O949" s="544"/>
      <c r="P949" s="544"/>
      <c r="Q949" s="544"/>
      <c r="R949" s="544"/>
      <c r="S949" s="544"/>
      <c r="T949" s="544"/>
    </row>
    <row r="950" spans="1:20" x14ac:dyDescent="0.3">
      <c r="A950" s="556"/>
      <c r="C950" s="520"/>
      <c r="D950" s="520"/>
      <c r="E950" s="520"/>
      <c r="F950" s="520"/>
      <c r="G950" s="520"/>
      <c r="H950" s="544"/>
      <c r="I950" s="544"/>
      <c r="J950" s="544"/>
      <c r="K950" s="544"/>
      <c r="L950" s="544"/>
      <c r="M950" s="544"/>
      <c r="N950" s="544"/>
      <c r="O950" s="544"/>
      <c r="P950" s="544"/>
      <c r="Q950" s="544"/>
      <c r="R950" s="544"/>
      <c r="S950" s="544"/>
      <c r="T950" s="544"/>
    </row>
    <row r="951" spans="1:20" x14ac:dyDescent="0.3">
      <c r="A951" s="556"/>
      <c r="C951" s="520"/>
      <c r="D951" s="520"/>
      <c r="E951" s="520"/>
      <c r="F951" s="520"/>
      <c r="G951" s="520"/>
      <c r="H951" s="544"/>
      <c r="I951" s="544"/>
      <c r="J951" s="544"/>
      <c r="K951" s="544"/>
      <c r="L951" s="544"/>
      <c r="M951" s="544"/>
      <c r="N951" s="544"/>
      <c r="O951" s="544"/>
      <c r="P951" s="544"/>
      <c r="Q951" s="544"/>
      <c r="R951" s="544"/>
      <c r="S951" s="544"/>
      <c r="T951" s="544"/>
    </row>
    <row r="952" spans="1:20" x14ac:dyDescent="0.3">
      <c r="A952" s="556"/>
      <c r="C952" s="520"/>
      <c r="D952" s="520"/>
      <c r="E952" s="520"/>
      <c r="F952" s="520"/>
      <c r="G952" s="520"/>
      <c r="H952" s="544"/>
      <c r="I952" s="544"/>
      <c r="J952" s="544"/>
      <c r="K952" s="544"/>
      <c r="L952" s="544"/>
      <c r="M952" s="544"/>
      <c r="N952" s="544"/>
      <c r="O952" s="544"/>
      <c r="P952" s="544"/>
      <c r="Q952" s="544"/>
      <c r="R952" s="544"/>
      <c r="S952" s="544"/>
      <c r="T952" s="544"/>
    </row>
    <row r="953" spans="1:20" x14ac:dyDescent="0.3">
      <c r="A953" s="556"/>
      <c r="C953" s="520"/>
      <c r="D953" s="520"/>
      <c r="E953" s="520"/>
      <c r="F953" s="520"/>
      <c r="G953" s="520"/>
      <c r="H953" s="544"/>
      <c r="I953" s="544"/>
      <c r="J953" s="544"/>
      <c r="K953" s="544"/>
      <c r="L953" s="544"/>
      <c r="M953" s="544"/>
      <c r="N953" s="544"/>
      <c r="O953" s="544"/>
      <c r="P953" s="544"/>
      <c r="Q953" s="544"/>
      <c r="R953" s="544"/>
      <c r="S953" s="544"/>
      <c r="T953" s="544"/>
    </row>
    <row r="954" spans="1:20" x14ac:dyDescent="0.3">
      <c r="A954" s="556"/>
      <c r="C954" s="520"/>
      <c r="D954" s="520"/>
      <c r="E954" s="520"/>
      <c r="F954" s="520"/>
      <c r="G954" s="520"/>
      <c r="H954" s="544"/>
      <c r="I954" s="544"/>
      <c r="J954" s="544"/>
      <c r="K954" s="544"/>
      <c r="L954" s="544"/>
      <c r="M954" s="544"/>
      <c r="N954" s="544"/>
      <c r="O954" s="544"/>
      <c r="P954" s="544"/>
      <c r="Q954" s="544"/>
      <c r="R954" s="544"/>
      <c r="S954" s="544"/>
      <c r="T954" s="544"/>
    </row>
    <row r="955" spans="1:20" x14ac:dyDescent="0.3">
      <c r="A955" s="556"/>
      <c r="C955" s="520"/>
      <c r="D955" s="520"/>
      <c r="E955" s="520"/>
      <c r="F955" s="520"/>
      <c r="G955" s="520"/>
      <c r="H955" s="544"/>
      <c r="I955" s="544"/>
      <c r="J955" s="544"/>
      <c r="K955" s="544"/>
      <c r="L955" s="544"/>
      <c r="M955" s="544"/>
      <c r="N955" s="544"/>
      <c r="O955" s="544"/>
      <c r="P955" s="544"/>
      <c r="Q955" s="544"/>
      <c r="R955" s="544"/>
      <c r="S955" s="544"/>
      <c r="T955" s="544"/>
    </row>
    <row r="956" spans="1:20" x14ac:dyDescent="0.3">
      <c r="A956" s="556"/>
      <c r="C956" s="520"/>
      <c r="D956" s="520"/>
      <c r="E956" s="520"/>
      <c r="F956" s="520"/>
      <c r="G956" s="520"/>
      <c r="H956" s="544"/>
      <c r="I956" s="544"/>
      <c r="J956" s="544"/>
      <c r="K956" s="544"/>
      <c r="L956" s="544"/>
      <c r="M956" s="544"/>
      <c r="N956" s="544"/>
      <c r="O956" s="544"/>
      <c r="P956" s="544"/>
      <c r="Q956" s="544"/>
      <c r="R956" s="544"/>
      <c r="S956" s="544"/>
      <c r="T956" s="544"/>
    </row>
    <row r="957" spans="1:20" x14ac:dyDescent="0.3">
      <c r="A957" s="556"/>
      <c r="C957" s="520"/>
      <c r="D957" s="520"/>
      <c r="E957" s="520"/>
      <c r="F957" s="520"/>
      <c r="G957" s="520"/>
      <c r="H957" s="544"/>
      <c r="I957" s="544"/>
      <c r="J957" s="544"/>
      <c r="K957" s="544"/>
      <c r="L957" s="544"/>
      <c r="M957" s="544"/>
      <c r="N957" s="544"/>
      <c r="O957" s="544"/>
      <c r="P957" s="544"/>
      <c r="Q957" s="544"/>
      <c r="R957" s="544"/>
      <c r="S957" s="544"/>
      <c r="T957" s="544"/>
    </row>
    <row r="958" spans="1:20" x14ac:dyDescent="0.3">
      <c r="A958" s="556"/>
      <c r="C958" s="520"/>
      <c r="D958" s="520"/>
      <c r="E958" s="520"/>
      <c r="F958" s="520"/>
      <c r="G958" s="520"/>
      <c r="H958" s="544"/>
      <c r="I958" s="544"/>
      <c r="J958" s="544"/>
      <c r="K958" s="544"/>
      <c r="L958" s="544"/>
      <c r="M958" s="544"/>
      <c r="N958" s="544"/>
      <c r="O958" s="544"/>
      <c r="P958" s="544"/>
      <c r="Q958" s="544"/>
      <c r="R958" s="544"/>
      <c r="S958" s="544"/>
      <c r="T958" s="544"/>
    </row>
    <row r="959" spans="1:20" x14ac:dyDescent="0.3">
      <c r="A959" s="556"/>
      <c r="C959" s="520"/>
      <c r="D959" s="520"/>
      <c r="E959" s="520"/>
      <c r="F959" s="520"/>
      <c r="G959" s="520"/>
      <c r="H959" s="544"/>
      <c r="I959" s="544"/>
      <c r="J959" s="544"/>
      <c r="K959" s="544"/>
      <c r="L959" s="544"/>
      <c r="M959" s="544"/>
      <c r="N959" s="544"/>
      <c r="O959" s="544"/>
      <c r="P959" s="544"/>
      <c r="Q959" s="544"/>
      <c r="R959" s="544"/>
      <c r="S959" s="544"/>
      <c r="T959" s="544"/>
    </row>
    <row r="960" spans="1:20" x14ac:dyDescent="0.3">
      <c r="A960" s="556"/>
      <c r="C960" s="520"/>
      <c r="D960" s="520"/>
      <c r="E960" s="520"/>
      <c r="F960" s="520"/>
      <c r="G960" s="520"/>
      <c r="H960" s="544"/>
      <c r="I960" s="544"/>
      <c r="J960" s="544"/>
      <c r="K960" s="544"/>
      <c r="L960" s="544"/>
      <c r="M960" s="544"/>
      <c r="N960" s="544"/>
      <c r="O960" s="544"/>
      <c r="P960" s="544"/>
      <c r="Q960" s="544"/>
      <c r="R960" s="544"/>
      <c r="S960" s="544"/>
      <c r="T960" s="544"/>
    </row>
    <row r="961" spans="1:20" x14ac:dyDescent="0.3">
      <c r="A961" s="556"/>
      <c r="C961" s="520"/>
      <c r="D961" s="520"/>
      <c r="E961" s="520"/>
      <c r="F961" s="520"/>
      <c r="G961" s="520"/>
      <c r="H961" s="544"/>
      <c r="I961" s="544"/>
      <c r="J961" s="544"/>
      <c r="K961" s="544"/>
      <c r="L961" s="544"/>
      <c r="M961" s="544"/>
      <c r="N961" s="544"/>
      <c r="O961" s="544"/>
      <c r="P961" s="544"/>
      <c r="Q961" s="544"/>
      <c r="R961" s="544"/>
      <c r="S961" s="544"/>
      <c r="T961" s="544"/>
    </row>
    <row r="962" spans="1:20" x14ac:dyDescent="0.3">
      <c r="A962" s="556"/>
      <c r="C962" s="520"/>
      <c r="D962" s="520"/>
      <c r="E962" s="520"/>
      <c r="F962" s="520"/>
      <c r="G962" s="520"/>
      <c r="H962" s="544"/>
      <c r="I962" s="544"/>
      <c r="J962" s="544"/>
      <c r="K962" s="544"/>
      <c r="L962" s="544"/>
      <c r="M962" s="544"/>
      <c r="N962" s="544"/>
      <c r="O962" s="544"/>
      <c r="P962" s="544"/>
      <c r="Q962" s="544"/>
      <c r="R962" s="544"/>
      <c r="S962" s="544"/>
      <c r="T962" s="544"/>
    </row>
    <row r="963" spans="1:20" x14ac:dyDescent="0.3">
      <c r="A963" s="556"/>
      <c r="C963" s="520"/>
      <c r="D963" s="520"/>
      <c r="E963" s="520"/>
      <c r="F963" s="520"/>
      <c r="G963" s="520"/>
      <c r="H963" s="544"/>
      <c r="I963" s="544"/>
      <c r="J963" s="544"/>
      <c r="K963" s="544"/>
      <c r="L963" s="544"/>
      <c r="M963" s="544"/>
      <c r="N963" s="544"/>
      <c r="O963" s="544"/>
      <c r="P963" s="544"/>
      <c r="Q963" s="544"/>
      <c r="R963" s="544"/>
      <c r="S963" s="544"/>
      <c r="T963" s="544"/>
    </row>
    <row r="964" spans="1:20" x14ac:dyDescent="0.3">
      <c r="A964" s="556"/>
      <c r="C964" s="520"/>
      <c r="D964" s="520"/>
      <c r="E964" s="520"/>
      <c r="F964" s="520"/>
      <c r="G964" s="520"/>
      <c r="H964" s="544"/>
      <c r="I964" s="544"/>
      <c r="J964" s="544"/>
      <c r="K964" s="544"/>
      <c r="L964" s="544"/>
      <c r="M964" s="544"/>
      <c r="N964" s="544"/>
      <c r="O964" s="544"/>
      <c r="P964" s="544"/>
      <c r="Q964" s="544"/>
      <c r="R964" s="544"/>
      <c r="S964" s="544"/>
      <c r="T964" s="544"/>
    </row>
    <row r="965" spans="1:20" x14ac:dyDescent="0.3">
      <c r="A965" s="556"/>
      <c r="C965" s="520"/>
      <c r="D965" s="520"/>
      <c r="E965" s="520"/>
      <c r="F965" s="520"/>
      <c r="G965" s="520"/>
      <c r="H965" s="544"/>
      <c r="I965" s="544"/>
      <c r="J965" s="544"/>
      <c r="K965" s="544"/>
      <c r="L965" s="544"/>
      <c r="M965" s="544"/>
      <c r="N965" s="544"/>
      <c r="O965" s="544"/>
      <c r="P965" s="544"/>
      <c r="Q965" s="544"/>
      <c r="R965" s="544"/>
      <c r="S965" s="544"/>
      <c r="T965" s="544"/>
    </row>
    <row r="966" spans="1:20" x14ac:dyDescent="0.3">
      <c r="A966" s="556"/>
      <c r="C966" s="520"/>
      <c r="D966" s="520"/>
      <c r="E966" s="520"/>
      <c r="F966" s="520"/>
      <c r="G966" s="520"/>
      <c r="H966" s="544"/>
      <c r="I966" s="544"/>
      <c r="J966" s="544"/>
      <c r="K966" s="544"/>
      <c r="L966" s="544"/>
      <c r="M966" s="544"/>
      <c r="N966" s="544"/>
      <c r="O966" s="544"/>
      <c r="P966" s="544"/>
      <c r="Q966" s="544"/>
      <c r="R966" s="544"/>
      <c r="S966" s="544"/>
      <c r="T966" s="544"/>
    </row>
    <row r="967" spans="1:20" x14ac:dyDescent="0.3">
      <c r="A967" s="556"/>
      <c r="C967" s="520"/>
      <c r="D967" s="520"/>
      <c r="E967" s="520"/>
      <c r="F967" s="520"/>
      <c r="G967" s="520"/>
      <c r="H967" s="544"/>
      <c r="I967" s="544"/>
      <c r="J967" s="544"/>
      <c r="K967" s="544"/>
      <c r="L967" s="544"/>
      <c r="M967" s="544"/>
      <c r="N967" s="544"/>
      <c r="O967" s="544"/>
      <c r="P967" s="544"/>
      <c r="Q967" s="544"/>
      <c r="R967" s="544"/>
      <c r="S967" s="544"/>
      <c r="T967" s="544"/>
    </row>
    <row r="968" spans="1:20" x14ac:dyDescent="0.3">
      <c r="A968" s="556"/>
      <c r="C968" s="520"/>
      <c r="D968" s="520"/>
      <c r="E968" s="520"/>
      <c r="F968" s="520"/>
      <c r="G968" s="520"/>
      <c r="H968" s="544"/>
      <c r="I968" s="544"/>
      <c r="J968" s="544"/>
      <c r="K968" s="544"/>
      <c r="L968" s="544"/>
      <c r="M968" s="544"/>
      <c r="N968" s="544"/>
      <c r="O968" s="544"/>
      <c r="P968" s="544"/>
      <c r="Q968" s="544"/>
      <c r="R968" s="544"/>
      <c r="S968" s="544"/>
      <c r="T968" s="544"/>
    </row>
    <row r="969" spans="1:20" x14ac:dyDescent="0.3">
      <c r="A969" s="556"/>
      <c r="C969" s="520"/>
      <c r="D969" s="520"/>
      <c r="E969" s="520"/>
      <c r="F969" s="520"/>
      <c r="G969" s="520"/>
      <c r="H969" s="544"/>
      <c r="I969" s="544"/>
      <c r="J969" s="544"/>
      <c r="K969" s="544"/>
      <c r="L969" s="544"/>
      <c r="M969" s="544"/>
      <c r="N969" s="544"/>
      <c r="O969" s="544"/>
      <c r="P969" s="544"/>
      <c r="Q969" s="544"/>
      <c r="R969" s="544"/>
      <c r="S969" s="544"/>
      <c r="T969" s="544"/>
    </row>
    <row r="970" spans="1:20" x14ac:dyDescent="0.3">
      <c r="A970" s="556"/>
      <c r="C970" s="520"/>
      <c r="D970" s="520"/>
      <c r="E970" s="520"/>
      <c r="F970" s="520"/>
      <c r="G970" s="520"/>
      <c r="H970" s="544"/>
      <c r="I970" s="544"/>
      <c r="J970" s="544"/>
      <c r="K970" s="544"/>
      <c r="L970" s="544"/>
      <c r="M970" s="544"/>
      <c r="N970" s="544"/>
      <c r="O970" s="544"/>
      <c r="P970" s="544"/>
      <c r="Q970" s="544"/>
      <c r="R970" s="544"/>
      <c r="S970" s="544"/>
      <c r="T970" s="544"/>
    </row>
    <row r="971" spans="1:20" x14ac:dyDescent="0.3">
      <c r="A971" s="556"/>
      <c r="C971" s="520"/>
      <c r="D971" s="520"/>
      <c r="E971" s="520"/>
      <c r="F971" s="520"/>
      <c r="G971" s="520"/>
      <c r="H971" s="544"/>
      <c r="I971" s="544"/>
      <c r="J971" s="544"/>
      <c r="K971" s="544"/>
      <c r="L971" s="544"/>
      <c r="M971" s="544"/>
      <c r="N971" s="544"/>
      <c r="O971" s="544"/>
      <c r="P971" s="544"/>
      <c r="Q971" s="544"/>
      <c r="R971" s="544"/>
      <c r="S971" s="544"/>
      <c r="T971" s="544"/>
    </row>
    <row r="972" spans="1:20" x14ac:dyDescent="0.3">
      <c r="A972" s="556"/>
      <c r="C972" s="520"/>
      <c r="D972" s="520"/>
      <c r="E972" s="520"/>
      <c r="F972" s="520"/>
      <c r="G972" s="520"/>
      <c r="H972" s="544"/>
      <c r="I972" s="544"/>
      <c r="J972" s="544"/>
      <c r="K972" s="544"/>
      <c r="L972" s="544"/>
      <c r="M972" s="544"/>
      <c r="N972" s="544"/>
      <c r="O972" s="544"/>
      <c r="P972" s="544"/>
      <c r="Q972" s="544"/>
      <c r="R972" s="544"/>
      <c r="S972" s="544"/>
      <c r="T972" s="544"/>
    </row>
    <row r="973" spans="1:20" x14ac:dyDescent="0.3">
      <c r="A973" s="556"/>
      <c r="C973" s="520"/>
      <c r="D973" s="520"/>
      <c r="E973" s="520"/>
      <c r="F973" s="520"/>
      <c r="G973" s="520"/>
      <c r="H973" s="544"/>
      <c r="I973" s="544"/>
      <c r="J973" s="544"/>
      <c r="K973" s="544"/>
      <c r="L973" s="544"/>
      <c r="M973" s="544"/>
      <c r="N973" s="544"/>
      <c r="O973" s="544"/>
      <c r="P973" s="544"/>
      <c r="Q973" s="544"/>
      <c r="R973" s="544"/>
      <c r="S973" s="544"/>
      <c r="T973" s="544"/>
    </row>
    <row r="974" spans="1:20" x14ac:dyDescent="0.3">
      <c r="A974" s="556"/>
      <c r="C974" s="520"/>
      <c r="D974" s="520"/>
      <c r="E974" s="520"/>
      <c r="F974" s="520"/>
      <c r="G974" s="520"/>
      <c r="H974" s="544"/>
      <c r="I974" s="544"/>
      <c r="J974" s="544"/>
      <c r="K974" s="544"/>
      <c r="L974" s="544"/>
      <c r="M974" s="544"/>
      <c r="N974" s="544"/>
      <c r="O974" s="544"/>
      <c r="P974" s="544"/>
      <c r="Q974" s="544"/>
      <c r="R974" s="544"/>
      <c r="S974" s="544"/>
      <c r="T974" s="544"/>
    </row>
    <row r="975" spans="1:20" x14ac:dyDescent="0.3">
      <c r="A975" s="556"/>
      <c r="C975" s="520"/>
      <c r="D975" s="520"/>
      <c r="E975" s="520"/>
      <c r="F975" s="520"/>
      <c r="G975" s="520"/>
      <c r="H975" s="544"/>
      <c r="I975" s="544"/>
      <c r="J975" s="544"/>
      <c r="K975" s="544"/>
      <c r="L975" s="544"/>
      <c r="M975" s="544"/>
      <c r="N975" s="544"/>
      <c r="O975" s="544"/>
      <c r="P975" s="544"/>
      <c r="Q975" s="544"/>
      <c r="R975" s="544"/>
      <c r="S975" s="544"/>
      <c r="T975" s="544"/>
    </row>
    <row r="976" spans="1:20" x14ac:dyDescent="0.3">
      <c r="A976" s="556"/>
      <c r="C976" s="520"/>
      <c r="D976" s="520"/>
      <c r="E976" s="520"/>
      <c r="F976" s="520"/>
      <c r="G976" s="520"/>
      <c r="H976" s="544"/>
      <c r="I976" s="544"/>
      <c r="J976" s="544"/>
      <c r="K976" s="544"/>
      <c r="L976" s="544"/>
      <c r="M976" s="544"/>
      <c r="N976" s="544"/>
      <c r="O976" s="544"/>
      <c r="P976" s="544"/>
      <c r="Q976" s="544"/>
      <c r="R976" s="544"/>
      <c r="S976" s="544"/>
      <c r="T976" s="544"/>
    </row>
    <row r="977" spans="1:20" x14ac:dyDescent="0.3">
      <c r="A977" s="556"/>
      <c r="C977" s="520"/>
      <c r="D977" s="520"/>
      <c r="E977" s="520"/>
      <c r="F977" s="520"/>
      <c r="G977" s="520"/>
      <c r="H977" s="544"/>
      <c r="I977" s="544"/>
      <c r="J977" s="544"/>
      <c r="K977" s="544"/>
      <c r="L977" s="544"/>
      <c r="M977" s="544"/>
      <c r="N977" s="544"/>
      <c r="O977" s="544"/>
      <c r="P977" s="544"/>
      <c r="Q977" s="544"/>
      <c r="R977" s="544"/>
      <c r="S977" s="544"/>
      <c r="T977" s="544"/>
    </row>
    <row r="978" spans="1:20" x14ac:dyDescent="0.3">
      <c r="A978" s="556"/>
      <c r="C978" s="520"/>
      <c r="D978" s="520"/>
      <c r="E978" s="520"/>
      <c r="F978" s="520"/>
      <c r="G978" s="520"/>
      <c r="H978" s="544"/>
      <c r="I978" s="544"/>
      <c r="J978" s="544"/>
      <c r="K978" s="544"/>
      <c r="L978" s="544"/>
      <c r="M978" s="544"/>
      <c r="N978" s="544"/>
      <c r="O978" s="544"/>
      <c r="P978" s="544"/>
      <c r="Q978" s="544"/>
      <c r="R978" s="544"/>
      <c r="S978" s="544"/>
      <c r="T978" s="544"/>
    </row>
    <row r="979" spans="1:20" x14ac:dyDescent="0.3">
      <c r="A979" s="556"/>
      <c r="C979" s="520"/>
      <c r="D979" s="520"/>
      <c r="E979" s="520"/>
      <c r="F979" s="520"/>
      <c r="G979" s="520"/>
      <c r="H979" s="544"/>
      <c r="I979" s="544"/>
      <c r="J979" s="544"/>
      <c r="K979" s="544"/>
      <c r="L979" s="544"/>
      <c r="M979" s="544"/>
      <c r="N979" s="544"/>
      <c r="O979" s="544"/>
      <c r="P979" s="544"/>
      <c r="Q979" s="544"/>
      <c r="R979" s="544"/>
      <c r="S979" s="544"/>
      <c r="T979" s="544"/>
    </row>
    <row r="980" spans="1:20" x14ac:dyDescent="0.3">
      <c r="A980" s="556"/>
      <c r="C980" s="520"/>
      <c r="D980" s="520"/>
      <c r="E980" s="520"/>
      <c r="F980" s="520"/>
      <c r="G980" s="520"/>
      <c r="H980" s="544"/>
      <c r="I980" s="544"/>
      <c r="J980" s="544"/>
      <c r="K980" s="544"/>
      <c r="L980" s="544"/>
      <c r="M980" s="544"/>
      <c r="N980" s="544"/>
      <c r="O980" s="544"/>
      <c r="P980" s="544"/>
      <c r="Q980" s="544"/>
      <c r="R980" s="544"/>
      <c r="S980" s="544"/>
      <c r="T980" s="544"/>
    </row>
    <row r="981" spans="1:20" x14ac:dyDescent="0.3">
      <c r="A981" s="556"/>
      <c r="C981" s="520"/>
      <c r="D981" s="520"/>
      <c r="E981" s="520"/>
      <c r="F981" s="520"/>
      <c r="G981" s="520"/>
      <c r="H981" s="544"/>
      <c r="I981" s="544"/>
      <c r="J981" s="544"/>
      <c r="K981" s="544"/>
      <c r="L981" s="544"/>
      <c r="M981" s="544"/>
      <c r="N981" s="544"/>
      <c r="O981" s="544"/>
      <c r="P981" s="544"/>
      <c r="Q981" s="544"/>
      <c r="R981" s="544"/>
      <c r="S981" s="544"/>
      <c r="T981" s="544"/>
    </row>
    <row r="982" spans="1:20" x14ac:dyDescent="0.3">
      <c r="A982" s="556"/>
      <c r="C982" s="520"/>
      <c r="D982" s="520"/>
      <c r="E982" s="520"/>
      <c r="F982" s="520"/>
      <c r="G982" s="520"/>
      <c r="H982" s="544"/>
      <c r="I982" s="544"/>
      <c r="J982" s="544"/>
      <c r="K982" s="544"/>
      <c r="L982" s="544"/>
      <c r="M982" s="544"/>
      <c r="N982" s="544"/>
      <c r="O982" s="544"/>
      <c r="P982" s="544"/>
      <c r="Q982" s="544"/>
      <c r="R982" s="544"/>
      <c r="S982" s="544"/>
      <c r="T982" s="544"/>
    </row>
    <row r="983" spans="1:20" x14ac:dyDescent="0.3">
      <c r="A983" s="556"/>
      <c r="C983" s="520"/>
      <c r="D983" s="520"/>
      <c r="E983" s="520"/>
      <c r="F983" s="520"/>
      <c r="G983" s="520"/>
      <c r="H983" s="544"/>
      <c r="I983" s="544"/>
      <c r="J983" s="544"/>
      <c r="K983" s="544"/>
      <c r="L983" s="544"/>
      <c r="M983" s="544"/>
      <c r="N983" s="544"/>
      <c r="O983" s="544"/>
      <c r="P983" s="544"/>
      <c r="Q983" s="544"/>
      <c r="R983" s="544"/>
      <c r="S983" s="544"/>
      <c r="T983" s="544"/>
    </row>
    <row r="984" spans="1:20" x14ac:dyDescent="0.3">
      <c r="A984" s="556"/>
      <c r="C984" s="520"/>
      <c r="D984" s="520"/>
      <c r="E984" s="520"/>
      <c r="F984" s="520"/>
      <c r="G984" s="520"/>
      <c r="H984" s="544"/>
      <c r="I984" s="544"/>
      <c r="J984" s="544"/>
      <c r="K984" s="544"/>
      <c r="L984" s="544"/>
      <c r="M984" s="544"/>
      <c r="N984" s="544"/>
      <c r="O984" s="544"/>
      <c r="P984" s="544"/>
      <c r="Q984" s="544"/>
      <c r="R984" s="544"/>
      <c r="S984" s="544"/>
      <c r="T984" s="544"/>
    </row>
    <row r="985" spans="1:20" x14ac:dyDescent="0.3">
      <c r="A985" s="556"/>
      <c r="C985" s="520"/>
      <c r="D985" s="520"/>
      <c r="E985" s="520"/>
      <c r="F985" s="520"/>
      <c r="G985" s="520"/>
      <c r="H985" s="544"/>
      <c r="I985" s="544"/>
      <c r="J985" s="544"/>
      <c r="K985" s="544"/>
      <c r="L985" s="544"/>
      <c r="M985" s="544"/>
      <c r="N985" s="544"/>
      <c r="O985" s="544"/>
      <c r="P985" s="544"/>
      <c r="Q985" s="544"/>
      <c r="R985" s="544"/>
      <c r="S985" s="544"/>
      <c r="T985" s="544"/>
    </row>
    <row r="986" spans="1:20" x14ac:dyDescent="0.3">
      <c r="A986" s="556"/>
      <c r="C986" s="520"/>
      <c r="D986" s="520"/>
      <c r="E986" s="520"/>
      <c r="F986" s="520"/>
      <c r="G986" s="520"/>
      <c r="H986" s="544"/>
      <c r="I986" s="544"/>
      <c r="J986" s="544"/>
      <c r="K986" s="544"/>
      <c r="L986" s="544"/>
      <c r="M986" s="544"/>
      <c r="N986" s="544"/>
      <c r="O986" s="544"/>
      <c r="P986" s="544"/>
      <c r="Q986" s="544"/>
      <c r="R986" s="544"/>
      <c r="S986" s="544"/>
      <c r="T986" s="544"/>
    </row>
    <row r="987" spans="1:20" x14ac:dyDescent="0.3">
      <c r="A987" s="556"/>
      <c r="C987" s="520"/>
      <c r="D987" s="520"/>
      <c r="E987" s="520"/>
      <c r="F987" s="520"/>
      <c r="G987" s="520"/>
      <c r="H987" s="544"/>
      <c r="I987" s="544"/>
      <c r="J987" s="544"/>
      <c r="K987" s="544"/>
      <c r="L987" s="544"/>
      <c r="M987" s="544"/>
      <c r="N987" s="544"/>
      <c r="O987" s="544"/>
      <c r="P987" s="544"/>
      <c r="Q987" s="544"/>
      <c r="R987" s="544"/>
      <c r="S987" s="544"/>
      <c r="T987" s="544"/>
    </row>
    <row r="988" spans="1:20" x14ac:dyDescent="0.3">
      <c r="A988" s="556"/>
      <c r="C988" s="520"/>
      <c r="D988" s="520"/>
      <c r="E988" s="520"/>
      <c r="F988" s="520"/>
      <c r="G988" s="520"/>
      <c r="H988" s="544"/>
      <c r="I988" s="544"/>
      <c r="J988" s="544"/>
      <c r="K988" s="544"/>
      <c r="L988" s="544"/>
      <c r="M988" s="544"/>
      <c r="N988" s="544"/>
      <c r="O988" s="544"/>
      <c r="P988" s="544"/>
      <c r="Q988" s="544"/>
      <c r="R988" s="544"/>
      <c r="S988" s="544"/>
      <c r="T988" s="544"/>
    </row>
    <row r="989" spans="1:20" x14ac:dyDescent="0.3">
      <c r="A989" s="556"/>
      <c r="C989" s="520"/>
      <c r="D989" s="520"/>
      <c r="E989" s="520"/>
      <c r="F989" s="520"/>
      <c r="G989" s="520"/>
      <c r="H989" s="544"/>
      <c r="I989" s="544"/>
      <c r="J989" s="544"/>
      <c r="K989" s="544"/>
      <c r="L989" s="544"/>
      <c r="M989" s="544"/>
      <c r="N989" s="544"/>
      <c r="O989" s="544"/>
      <c r="P989" s="544"/>
      <c r="Q989" s="544"/>
      <c r="R989" s="544"/>
      <c r="S989" s="544"/>
      <c r="T989" s="544"/>
    </row>
    <row r="990" spans="1:20" x14ac:dyDescent="0.3">
      <c r="A990" s="556"/>
      <c r="C990" s="520"/>
      <c r="D990" s="520"/>
      <c r="E990" s="520"/>
      <c r="F990" s="520"/>
      <c r="G990" s="520"/>
      <c r="H990" s="544"/>
      <c r="I990" s="544"/>
      <c r="J990" s="544"/>
      <c r="K990" s="544"/>
      <c r="L990" s="544"/>
      <c r="M990" s="544"/>
      <c r="N990" s="544"/>
      <c r="O990" s="544"/>
      <c r="P990" s="544"/>
      <c r="Q990" s="544"/>
      <c r="R990" s="544"/>
      <c r="S990" s="544"/>
      <c r="T990" s="544"/>
    </row>
    <row r="991" spans="1:20" x14ac:dyDescent="0.3">
      <c r="A991" s="556"/>
      <c r="C991" s="520"/>
      <c r="D991" s="520"/>
      <c r="E991" s="520"/>
      <c r="F991" s="520"/>
      <c r="G991" s="520"/>
      <c r="H991" s="544"/>
      <c r="I991" s="544"/>
      <c r="J991" s="544"/>
      <c r="K991" s="544"/>
      <c r="L991" s="544"/>
      <c r="M991" s="544"/>
      <c r="N991" s="544"/>
      <c r="O991" s="544"/>
      <c r="P991" s="544"/>
      <c r="Q991" s="544"/>
      <c r="R991" s="544"/>
      <c r="S991" s="544"/>
      <c r="T991" s="544"/>
    </row>
    <row r="992" spans="1:20" x14ac:dyDescent="0.3">
      <c r="A992" s="556"/>
      <c r="C992" s="520"/>
      <c r="D992" s="520"/>
      <c r="E992" s="520"/>
      <c r="F992" s="520"/>
      <c r="G992" s="520"/>
      <c r="H992" s="544"/>
      <c r="I992" s="544"/>
      <c r="J992" s="544"/>
      <c r="K992" s="544"/>
      <c r="L992" s="544"/>
      <c r="M992" s="544"/>
      <c r="N992" s="544"/>
      <c r="O992" s="544"/>
      <c r="P992" s="544"/>
      <c r="Q992" s="544"/>
      <c r="R992" s="544"/>
      <c r="S992" s="544"/>
      <c r="T992" s="544"/>
    </row>
    <row r="993" spans="1:20" x14ac:dyDescent="0.3">
      <c r="A993" s="556"/>
      <c r="C993" s="520"/>
      <c r="D993" s="520"/>
      <c r="E993" s="520"/>
      <c r="F993" s="520"/>
      <c r="G993" s="520"/>
      <c r="H993" s="544"/>
      <c r="I993" s="544"/>
      <c r="J993" s="544"/>
      <c r="K993" s="544"/>
      <c r="L993" s="544"/>
      <c r="M993" s="544"/>
      <c r="N993" s="544"/>
      <c r="O993" s="544"/>
      <c r="P993" s="544"/>
      <c r="Q993" s="544"/>
      <c r="R993" s="544"/>
      <c r="S993" s="544"/>
      <c r="T993" s="544"/>
    </row>
    <row r="994" spans="1:20" x14ac:dyDescent="0.3">
      <c r="A994" s="556"/>
      <c r="C994" s="520"/>
      <c r="D994" s="520"/>
      <c r="E994" s="520"/>
      <c r="F994" s="520"/>
      <c r="G994" s="520"/>
      <c r="H994" s="544"/>
      <c r="I994" s="544"/>
      <c r="J994" s="544"/>
      <c r="K994" s="544"/>
      <c r="L994" s="544"/>
      <c r="M994" s="544"/>
      <c r="N994" s="544"/>
      <c r="O994" s="544"/>
      <c r="P994" s="544"/>
      <c r="Q994" s="544"/>
      <c r="R994" s="544"/>
      <c r="S994" s="544"/>
      <c r="T994" s="544"/>
    </row>
    <row r="995" spans="1:20" x14ac:dyDescent="0.3">
      <c r="A995" s="556"/>
      <c r="C995" s="520"/>
      <c r="D995" s="520"/>
      <c r="E995" s="520"/>
      <c r="F995" s="520"/>
      <c r="G995" s="520"/>
      <c r="H995" s="544"/>
      <c r="I995" s="544"/>
      <c r="J995" s="544"/>
      <c r="K995" s="544"/>
      <c r="L995" s="544"/>
      <c r="M995" s="544"/>
      <c r="N995" s="544"/>
      <c r="O995" s="544"/>
      <c r="P995" s="544"/>
      <c r="Q995" s="544"/>
      <c r="R995" s="544"/>
      <c r="S995" s="544"/>
      <c r="T995" s="544"/>
    </row>
    <row r="996" spans="1:20" x14ac:dyDescent="0.3">
      <c r="A996" s="556"/>
      <c r="C996" s="520"/>
      <c r="D996" s="520"/>
      <c r="E996" s="520"/>
      <c r="F996" s="520"/>
      <c r="G996" s="520"/>
      <c r="H996" s="544"/>
      <c r="I996" s="544"/>
      <c r="J996" s="544"/>
      <c r="K996" s="544"/>
      <c r="L996" s="544"/>
      <c r="M996" s="544"/>
      <c r="N996" s="544"/>
      <c r="O996" s="544"/>
      <c r="P996" s="544"/>
      <c r="Q996" s="544"/>
      <c r="R996" s="544"/>
      <c r="S996" s="544"/>
      <c r="T996" s="544"/>
    </row>
    <row r="997" spans="1:20" x14ac:dyDescent="0.3">
      <c r="A997" s="556"/>
      <c r="C997" s="520"/>
      <c r="D997" s="520"/>
      <c r="E997" s="520"/>
      <c r="F997" s="520"/>
      <c r="G997" s="520"/>
      <c r="H997" s="544"/>
      <c r="I997" s="544"/>
      <c r="J997" s="544"/>
      <c r="K997" s="544"/>
      <c r="L997" s="544"/>
      <c r="M997" s="544"/>
      <c r="N997" s="544"/>
      <c r="O997" s="544"/>
      <c r="P997" s="544"/>
      <c r="Q997" s="544"/>
      <c r="R997" s="544"/>
      <c r="S997" s="544"/>
      <c r="T997" s="544"/>
    </row>
    <row r="998" spans="1:20" x14ac:dyDescent="0.3">
      <c r="A998" s="556"/>
      <c r="C998" s="520"/>
      <c r="D998" s="520"/>
      <c r="E998" s="520"/>
      <c r="F998" s="520"/>
      <c r="G998" s="520"/>
      <c r="H998" s="544"/>
      <c r="I998" s="544"/>
      <c r="J998" s="544"/>
      <c r="K998" s="544"/>
      <c r="L998" s="544"/>
      <c r="M998" s="544"/>
      <c r="N998" s="544"/>
      <c r="O998" s="544"/>
      <c r="P998" s="544"/>
      <c r="Q998" s="544"/>
      <c r="R998" s="544"/>
      <c r="S998" s="544"/>
      <c r="T998" s="544"/>
    </row>
    <row r="999" spans="1:20" x14ac:dyDescent="0.3">
      <c r="A999" s="556"/>
      <c r="C999" s="520"/>
      <c r="D999" s="520"/>
      <c r="E999" s="520"/>
      <c r="F999" s="520"/>
      <c r="G999" s="520"/>
      <c r="H999" s="544"/>
      <c r="I999" s="544"/>
      <c r="J999" s="544"/>
      <c r="K999" s="544"/>
      <c r="L999" s="544"/>
      <c r="M999" s="544"/>
      <c r="N999" s="544"/>
      <c r="O999" s="544"/>
      <c r="P999" s="544"/>
      <c r="Q999" s="544"/>
      <c r="R999" s="544"/>
      <c r="S999" s="544"/>
      <c r="T999" s="544"/>
    </row>
    <row r="1000" spans="1:20" x14ac:dyDescent="0.3">
      <c r="A1000" s="556"/>
      <c r="C1000" s="520"/>
      <c r="D1000" s="520"/>
      <c r="E1000" s="520"/>
      <c r="F1000" s="520"/>
      <c r="G1000" s="520"/>
      <c r="H1000" s="544"/>
      <c r="I1000" s="544"/>
      <c r="J1000" s="544"/>
      <c r="K1000" s="544"/>
      <c r="L1000" s="544"/>
      <c r="M1000" s="544"/>
      <c r="N1000" s="544"/>
      <c r="O1000" s="544"/>
      <c r="P1000" s="544"/>
      <c r="Q1000" s="544"/>
      <c r="R1000" s="544"/>
      <c r="S1000" s="544"/>
      <c r="T1000" s="544"/>
    </row>
    <row r="1001" spans="1:20" x14ac:dyDescent="0.3">
      <c r="A1001" s="556"/>
      <c r="C1001" s="520"/>
      <c r="D1001" s="520"/>
      <c r="E1001" s="520"/>
      <c r="F1001" s="520"/>
      <c r="G1001" s="520"/>
      <c r="H1001" s="544"/>
      <c r="I1001" s="544"/>
      <c r="J1001" s="544"/>
      <c r="K1001" s="544"/>
      <c r="L1001" s="544"/>
      <c r="M1001" s="544"/>
      <c r="N1001" s="544"/>
      <c r="O1001" s="544"/>
      <c r="P1001" s="544"/>
      <c r="Q1001" s="544"/>
      <c r="R1001" s="544"/>
      <c r="S1001" s="544"/>
      <c r="T1001" s="544"/>
    </row>
    <row r="1002" spans="1:20" x14ac:dyDescent="0.3">
      <c r="A1002" s="556"/>
      <c r="C1002" s="520"/>
      <c r="D1002" s="520"/>
      <c r="E1002" s="520"/>
      <c r="F1002" s="520"/>
      <c r="G1002" s="520"/>
      <c r="H1002" s="544"/>
      <c r="I1002" s="544"/>
      <c r="J1002" s="544"/>
      <c r="K1002" s="544"/>
      <c r="L1002" s="544"/>
      <c r="M1002" s="544"/>
      <c r="N1002" s="544"/>
      <c r="O1002" s="544"/>
      <c r="P1002" s="544"/>
      <c r="Q1002" s="544"/>
      <c r="R1002" s="544"/>
      <c r="S1002" s="544"/>
      <c r="T1002" s="544"/>
    </row>
    <row r="1003" spans="1:20" x14ac:dyDescent="0.3">
      <c r="A1003" s="556"/>
      <c r="C1003" s="520"/>
      <c r="D1003" s="520"/>
      <c r="E1003" s="520"/>
      <c r="F1003" s="520"/>
      <c r="G1003" s="520"/>
      <c r="H1003" s="544"/>
      <c r="I1003" s="544"/>
      <c r="J1003" s="544"/>
      <c r="K1003" s="544"/>
      <c r="L1003" s="544"/>
      <c r="M1003" s="544"/>
      <c r="N1003" s="544"/>
      <c r="O1003" s="544"/>
      <c r="P1003" s="544"/>
      <c r="Q1003" s="544"/>
      <c r="R1003" s="544"/>
      <c r="S1003" s="544"/>
      <c r="T1003" s="544"/>
    </row>
    <row r="1004" spans="1:20" x14ac:dyDescent="0.3">
      <c r="A1004" s="556"/>
      <c r="C1004" s="520"/>
      <c r="D1004" s="520"/>
      <c r="E1004" s="520"/>
      <c r="F1004" s="520"/>
      <c r="G1004" s="520"/>
      <c r="H1004" s="544"/>
      <c r="I1004" s="544"/>
      <c r="J1004" s="544"/>
      <c r="K1004" s="544"/>
      <c r="L1004" s="544"/>
      <c r="M1004" s="544"/>
      <c r="N1004" s="544"/>
      <c r="O1004" s="544"/>
      <c r="P1004" s="544"/>
      <c r="Q1004" s="544"/>
      <c r="R1004" s="544"/>
      <c r="S1004" s="544"/>
      <c r="T1004" s="544"/>
    </row>
    <row r="1005" spans="1:20" x14ac:dyDescent="0.3">
      <c r="A1005" s="556"/>
      <c r="C1005" s="520"/>
      <c r="D1005" s="520"/>
      <c r="E1005" s="520"/>
      <c r="F1005" s="520"/>
      <c r="G1005" s="520"/>
      <c r="H1005" s="544"/>
      <c r="I1005" s="544"/>
      <c r="J1005" s="544"/>
      <c r="K1005" s="544"/>
      <c r="L1005" s="544"/>
      <c r="M1005" s="544"/>
      <c r="N1005" s="544"/>
      <c r="O1005" s="544"/>
      <c r="P1005" s="544"/>
      <c r="Q1005" s="544"/>
      <c r="R1005" s="544"/>
      <c r="S1005" s="544"/>
      <c r="T1005" s="544"/>
    </row>
    <row r="1006" spans="1:20" x14ac:dyDescent="0.3">
      <c r="A1006" s="556"/>
      <c r="C1006" s="520"/>
      <c r="D1006" s="520"/>
      <c r="E1006" s="520"/>
      <c r="F1006" s="520"/>
      <c r="G1006" s="520"/>
      <c r="H1006" s="544"/>
      <c r="I1006" s="544"/>
      <c r="J1006" s="544"/>
      <c r="K1006" s="544"/>
      <c r="L1006" s="544"/>
      <c r="M1006" s="544"/>
      <c r="N1006" s="544"/>
      <c r="O1006" s="544"/>
      <c r="P1006" s="544"/>
      <c r="Q1006" s="544"/>
      <c r="R1006" s="544"/>
      <c r="S1006" s="544"/>
      <c r="T1006" s="544"/>
    </row>
    <row r="1007" spans="1:20" x14ac:dyDescent="0.3">
      <c r="A1007" s="556"/>
      <c r="C1007" s="520"/>
      <c r="D1007" s="520"/>
      <c r="E1007" s="520"/>
      <c r="F1007" s="520"/>
      <c r="G1007" s="520"/>
      <c r="H1007" s="544"/>
      <c r="I1007" s="544"/>
      <c r="J1007" s="544"/>
      <c r="K1007" s="544"/>
      <c r="L1007" s="544"/>
      <c r="M1007" s="544"/>
      <c r="N1007" s="544"/>
      <c r="O1007" s="544"/>
      <c r="P1007" s="544"/>
      <c r="Q1007" s="544"/>
      <c r="R1007" s="544"/>
      <c r="S1007" s="544"/>
      <c r="T1007" s="544"/>
    </row>
    <row r="1008" spans="1:20" x14ac:dyDescent="0.3">
      <c r="A1008" s="556"/>
      <c r="C1008" s="520"/>
      <c r="D1008" s="520"/>
      <c r="E1008" s="520"/>
      <c r="F1008" s="520"/>
      <c r="G1008" s="520"/>
      <c r="H1008" s="544"/>
      <c r="I1008" s="544"/>
      <c r="J1008" s="544"/>
      <c r="K1008" s="544"/>
      <c r="L1008" s="544"/>
      <c r="M1008" s="544"/>
      <c r="N1008" s="544"/>
      <c r="O1008" s="544"/>
      <c r="P1008" s="544"/>
      <c r="Q1008" s="544"/>
      <c r="R1008" s="544"/>
      <c r="S1008" s="544"/>
      <c r="T1008" s="544"/>
    </row>
    <row r="1009" spans="1:20" x14ac:dyDescent="0.3">
      <c r="A1009" s="556"/>
      <c r="C1009" s="520"/>
      <c r="D1009" s="520"/>
      <c r="E1009" s="520"/>
      <c r="F1009" s="520"/>
      <c r="G1009" s="520"/>
      <c r="H1009" s="544"/>
      <c r="I1009" s="544"/>
      <c r="J1009" s="544"/>
      <c r="K1009" s="544"/>
      <c r="L1009" s="544"/>
      <c r="M1009" s="544"/>
      <c r="N1009" s="544"/>
      <c r="O1009" s="544"/>
      <c r="P1009" s="544"/>
      <c r="Q1009" s="544"/>
      <c r="R1009" s="544"/>
      <c r="S1009" s="544"/>
      <c r="T1009" s="544"/>
    </row>
    <row r="1010" spans="1:20" x14ac:dyDescent="0.3">
      <c r="A1010" s="556"/>
      <c r="C1010" s="520"/>
      <c r="D1010" s="520"/>
      <c r="E1010" s="520"/>
      <c r="F1010" s="520"/>
      <c r="G1010" s="520"/>
      <c r="H1010" s="544"/>
      <c r="I1010" s="544"/>
      <c r="J1010" s="544"/>
      <c r="K1010" s="544"/>
      <c r="L1010" s="544"/>
      <c r="M1010" s="544"/>
      <c r="N1010" s="544"/>
      <c r="O1010" s="544"/>
      <c r="P1010" s="544"/>
      <c r="Q1010" s="544"/>
      <c r="R1010" s="544"/>
      <c r="S1010" s="544"/>
      <c r="T1010" s="544"/>
    </row>
    <row r="1011" spans="1:20" x14ac:dyDescent="0.3">
      <c r="A1011" s="556"/>
      <c r="C1011" s="520"/>
      <c r="D1011" s="520"/>
      <c r="E1011" s="520"/>
      <c r="F1011" s="520"/>
      <c r="G1011" s="520"/>
      <c r="H1011" s="544"/>
      <c r="I1011" s="544"/>
      <c r="J1011" s="544"/>
      <c r="K1011" s="544"/>
      <c r="L1011" s="544"/>
      <c r="M1011" s="544"/>
      <c r="N1011" s="544"/>
      <c r="O1011" s="544"/>
      <c r="P1011" s="544"/>
      <c r="Q1011" s="544"/>
      <c r="R1011" s="544"/>
      <c r="S1011" s="544"/>
      <c r="T1011" s="544"/>
    </row>
    <row r="1012" spans="1:20" x14ac:dyDescent="0.3">
      <c r="A1012" s="556"/>
      <c r="C1012" s="520"/>
      <c r="D1012" s="520"/>
      <c r="E1012" s="520"/>
      <c r="F1012" s="520"/>
      <c r="G1012" s="520"/>
      <c r="H1012" s="544"/>
      <c r="I1012" s="544"/>
      <c r="J1012" s="544"/>
      <c r="K1012" s="544"/>
      <c r="L1012" s="544"/>
      <c r="M1012" s="544"/>
      <c r="N1012" s="544"/>
      <c r="O1012" s="544"/>
      <c r="P1012" s="544"/>
      <c r="Q1012" s="544"/>
      <c r="R1012" s="544"/>
      <c r="S1012" s="544"/>
      <c r="T1012" s="544"/>
    </row>
    <row r="1013" spans="1:20" x14ac:dyDescent="0.3">
      <c r="A1013" s="556"/>
      <c r="C1013" s="520"/>
      <c r="D1013" s="520"/>
      <c r="E1013" s="520"/>
      <c r="F1013" s="520"/>
      <c r="G1013" s="520"/>
      <c r="H1013" s="544"/>
      <c r="I1013" s="544"/>
      <c r="J1013" s="544"/>
      <c r="K1013" s="544"/>
      <c r="L1013" s="544"/>
      <c r="M1013" s="544"/>
      <c r="N1013" s="544"/>
      <c r="O1013" s="544"/>
      <c r="P1013" s="544"/>
      <c r="Q1013" s="544"/>
      <c r="R1013" s="544"/>
      <c r="S1013" s="544"/>
      <c r="T1013" s="544"/>
    </row>
    <row r="1014" spans="1:20" x14ac:dyDescent="0.3">
      <c r="A1014" s="556"/>
      <c r="C1014" s="520"/>
      <c r="D1014" s="520"/>
      <c r="E1014" s="520"/>
      <c r="F1014" s="520"/>
      <c r="G1014" s="520"/>
      <c r="H1014" s="544"/>
      <c r="I1014" s="544"/>
      <c r="J1014" s="544"/>
      <c r="K1014" s="544"/>
      <c r="L1014" s="544"/>
      <c r="M1014" s="544"/>
      <c r="N1014" s="544"/>
      <c r="O1014" s="544"/>
      <c r="P1014" s="544"/>
      <c r="Q1014" s="544"/>
      <c r="R1014" s="544"/>
      <c r="S1014" s="544"/>
      <c r="T1014" s="544"/>
    </row>
    <row r="1015" spans="1:20" x14ac:dyDescent="0.3">
      <c r="A1015" s="556"/>
      <c r="C1015" s="520"/>
      <c r="D1015" s="520"/>
      <c r="E1015" s="520"/>
      <c r="F1015" s="520"/>
      <c r="G1015" s="520"/>
      <c r="H1015" s="544"/>
      <c r="I1015" s="544"/>
      <c r="J1015" s="544"/>
      <c r="K1015" s="544"/>
      <c r="L1015" s="544"/>
      <c r="M1015" s="544"/>
      <c r="N1015" s="544"/>
      <c r="O1015" s="544"/>
      <c r="P1015" s="544"/>
      <c r="Q1015" s="544"/>
      <c r="R1015" s="544"/>
      <c r="S1015" s="544"/>
      <c r="T1015" s="544"/>
    </row>
    <row r="1016" spans="1:20" x14ac:dyDescent="0.3">
      <c r="A1016" s="556"/>
      <c r="C1016" s="520"/>
      <c r="D1016" s="520"/>
      <c r="E1016" s="520"/>
      <c r="F1016" s="520"/>
      <c r="G1016" s="520"/>
      <c r="H1016" s="544"/>
      <c r="I1016" s="544"/>
      <c r="J1016" s="544"/>
      <c r="K1016" s="544"/>
      <c r="L1016" s="544"/>
      <c r="M1016" s="544"/>
      <c r="N1016" s="544"/>
      <c r="O1016" s="544"/>
      <c r="P1016" s="544"/>
      <c r="Q1016" s="544"/>
      <c r="R1016" s="544"/>
      <c r="S1016" s="544"/>
      <c r="T1016" s="544"/>
    </row>
    <row r="1017" spans="1:20" x14ac:dyDescent="0.3">
      <c r="A1017" s="556"/>
      <c r="C1017" s="520"/>
      <c r="D1017" s="520"/>
      <c r="E1017" s="520"/>
      <c r="F1017" s="520"/>
      <c r="G1017" s="520"/>
      <c r="H1017" s="544"/>
      <c r="I1017" s="544"/>
      <c r="J1017" s="544"/>
      <c r="K1017" s="544"/>
      <c r="L1017" s="544"/>
      <c r="M1017" s="544"/>
      <c r="N1017" s="544"/>
      <c r="O1017" s="544"/>
      <c r="P1017" s="544"/>
      <c r="Q1017" s="544"/>
      <c r="R1017" s="544"/>
      <c r="S1017" s="544"/>
      <c r="T1017" s="544"/>
    </row>
    <row r="1018" spans="1:20" x14ac:dyDescent="0.3">
      <c r="A1018" s="556"/>
      <c r="C1018" s="520"/>
      <c r="D1018" s="520"/>
      <c r="E1018" s="520"/>
      <c r="F1018" s="520"/>
      <c r="G1018" s="520"/>
      <c r="H1018" s="544"/>
      <c r="I1018" s="544"/>
      <c r="J1018" s="544"/>
      <c r="K1018" s="544"/>
      <c r="L1018" s="544"/>
      <c r="M1018" s="544"/>
      <c r="N1018" s="544"/>
      <c r="O1018" s="544"/>
      <c r="P1018" s="544"/>
      <c r="Q1018" s="544"/>
      <c r="R1018" s="544"/>
      <c r="S1018" s="544"/>
      <c r="T1018" s="544"/>
    </row>
    <row r="1019" spans="1:20" x14ac:dyDescent="0.3">
      <c r="A1019" s="556"/>
      <c r="C1019" s="520"/>
      <c r="D1019" s="520"/>
      <c r="E1019" s="520"/>
      <c r="F1019" s="520"/>
      <c r="G1019" s="520"/>
      <c r="H1019" s="544"/>
      <c r="I1019" s="544"/>
      <c r="J1019" s="544"/>
      <c r="K1019" s="544"/>
      <c r="L1019" s="544"/>
      <c r="M1019" s="544"/>
      <c r="N1019" s="544"/>
      <c r="O1019" s="544"/>
      <c r="P1019" s="544"/>
      <c r="Q1019" s="544"/>
      <c r="R1019" s="544"/>
      <c r="S1019" s="544"/>
      <c r="T1019" s="544"/>
    </row>
    <row r="1020" spans="1:20" x14ac:dyDescent="0.3">
      <c r="A1020" s="556"/>
      <c r="C1020" s="520"/>
      <c r="D1020" s="520"/>
      <c r="E1020" s="520"/>
      <c r="F1020" s="520"/>
      <c r="G1020" s="520"/>
      <c r="H1020" s="544"/>
      <c r="I1020" s="544"/>
      <c r="J1020" s="544"/>
      <c r="K1020" s="544"/>
      <c r="L1020" s="544"/>
      <c r="M1020" s="544"/>
      <c r="N1020" s="544"/>
      <c r="O1020" s="544"/>
      <c r="P1020" s="544"/>
      <c r="Q1020" s="544"/>
      <c r="R1020" s="544"/>
      <c r="S1020" s="544"/>
      <c r="T1020" s="544"/>
    </row>
    <row r="1021" spans="1:20" x14ac:dyDescent="0.3">
      <c r="A1021" s="556"/>
      <c r="C1021" s="520"/>
      <c r="D1021" s="520"/>
      <c r="E1021" s="520"/>
      <c r="F1021" s="520"/>
      <c r="G1021" s="520"/>
      <c r="H1021" s="544"/>
      <c r="I1021" s="544"/>
      <c r="J1021" s="544"/>
      <c r="K1021" s="544"/>
      <c r="L1021" s="544"/>
      <c r="M1021" s="544"/>
      <c r="N1021" s="544"/>
      <c r="O1021" s="544"/>
      <c r="P1021" s="544"/>
      <c r="Q1021" s="544"/>
      <c r="R1021" s="544"/>
      <c r="S1021" s="544"/>
      <c r="T1021" s="544"/>
    </row>
    <row r="1022" spans="1:20" x14ac:dyDescent="0.3">
      <c r="A1022" s="556"/>
      <c r="C1022" s="520"/>
      <c r="D1022" s="520"/>
      <c r="E1022" s="520"/>
      <c r="F1022" s="520"/>
      <c r="G1022" s="520"/>
      <c r="H1022" s="544"/>
      <c r="I1022" s="544"/>
      <c r="J1022" s="544"/>
      <c r="K1022" s="544"/>
      <c r="L1022" s="544"/>
      <c r="M1022" s="544"/>
      <c r="N1022" s="544"/>
      <c r="O1022" s="544"/>
      <c r="P1022" s="544"/>
      <c r="Q1022" s="544"/>
      <c r="R1022" s="544"/>
      <c r="S1022" s="544"/>
      <c r="T1022" s="544"/>
    </row>
    <row r="1023" spans="1:20" x14ac:dyDescent="0.3">
      <c r="A1023" s="556"/>
      <c r="C1023" s="520"/>
      <c r="D1023" s="520"/>
      <c r="E1023" s="520"/>
      <c r="F1023" s="520"/>
      <c r="G1023" s="520"/>
      <c r="H1023" s="544"/>
      <c r="I1023" s="544"/>
      <c r="J1023" s="544"/>
      <c r="K1023" s="544"/>
      <c r="L1023" s="544"/>
      <c r="M1023" s="544"/>
      <c r="N1023" s="544"/>
      <c r="O1023" s="544"/>
      <c r="P1023" s="544"/>
      <c r="Q1023" s="544"/>
      <c r="R1023" s="544"/>
      <c r="S1023" s="544"/>
      <c r="T1023" s="544"/>
    </row>
    <row r="1024" spans="1:20" x14ac:dyDescent="0.3">
      <c r="A1024" s="556"/>
      <c r="C1024" s="520"/>
      <c r="D1024" s="520"/>
      <c r="E1024" s="520"/>
      <c r="F1024" s="520"/>
      <c r="G1024" s="520"/>
      <c r="H1024" s="544"/>
      <c r="I1024" s="544"/>
      <c r="J1024" s="544"/>
      <c r="K1024" s="544"/>
      <c r="L1024" s="544"/>
      <c r="M1024" s="544"/>
      <c r="N1024" s="544"/>
      <c r="O1024" s="544"/>
      <c r="P1024" s="544"/>
      <c r="Q1024" s="544"/>
      <c r="R1024" s="544"/>
      <c r="S1024" s="544"/>
      <c r="T1024" s="544"/>
    </row>
    <row r="1025" spans="1:20" x14ac:dyDescent="0.3">
      <c r="A1025" s="556"/>
      <c r="C1025" s="520"/>
      <c r="D1025" s="520"/>
      <c r="E1025" s="520"/>
      <c r="F1025" s="520"/>
      <c r="G1025" s="520"/>
      <c r="H1025" s="544"/>
      <c r="I1025" s="544"/>
      <c r="J1025" s="544"/>
      <c r="K1025" s="544"/>
      <c r="L1025" s="544"/>
      <c r="M1025" s="544"/>
      <c r="N1025" s="544"/>
      <c r="O1025" s="544"/>
      <c r="P1025" s="544"/>
      <c r="Q1025" s="544"/>
      <c r="R1025" s="544"/>
      <c r="S1025" s="544"/>
      <c r="T1025" s="544"/>
    </row>
    <row r="1026" spans="1:20" x14ac:dyDescent="0.3">
      <c r="A1026" s="556"/>
      <c r="C1026" s="520"/>
      <c r="D1026" s="520"/>
      <c r="E1026" s="520"/>
      <c r="F1026" s="520"/>
      <c r="G1026" s="520"/>
      <c r="H1026" s="544"/>
      <c r="I1026" s="544"/>
      <c r="J1026" s="544"/>
      <c r="K1026" s="544"/>
      <c r="L1026" s="544"/>
      <c r="M1026" s="544"/>
      <c r="N1026" s="544"/>
      <c r="O1026" s="544"/>
      <c r="P1026" s="544"/>
      <c r="Q1026" s="544"/>
      <c r="R1026" s="544"/>
      <c r="S1026" s="544"/>
      <c r="T1026" s="544"/>
    </row>
    <row r="1027" spans="1:20" x14ac:dyDescent="0.3">
      <c r="A1027" s="556"/>
      <c r="C1027" s="520"/>
      <c r="D1027" s="520"/>
      <c r="E1027" s="520"/>
      <c r="F1027" s="520"/>
      <c r="G1027" s="520"/>
      <c r="H1027" s="544"/>
      <c r="I1027" s="544"/>
      <c r="J1027" s="544"/>
      <c r="K1027" s="544"/>
      <c r="L1027" s="544"/>
      <c r="M1027" s="544"/>
      <c r="N1027" s="544"/>
      <c r="O1027" s="544"/>
      <c r="P1027" s="544"/>
      <c r="Q1027" s="544"/>
      <c r="R1027" s="544"/>
      <c r="S1027" s="544"/>
      <c r="T1027" s="544"/>
    </row>
    <row r="1028" spans="1:20" x14ac:dyDescent="0.3">
      <c r="A1028" s="556"/>
      <c r="C1028" s="520"/>
      <c r="D1028" s="520"/>
      <c r="E1028" s="520"/>
      <c r="F1028" s="520"/>
      <c r="G1028" s="520"/>
      <c r="H1028" s="520"/>
      <c r="I1028" s="520"/>
      <c r="J1028" s="520"/>
      <c r="K1028" s="520"/>
      <c r="L1028" s="520"/>
      <c r="M1028" s="520"/>
      <c r="N1028" s="520"/>
      <c r="O1028" s="520"/>
      <c r="P1028" s="520"/>
      <c r="Q1028" s="520"/>
      <c r="R1028" s="520"/>
      <c r="S1028" s="520"/>
      <c r="T1028" s="520"/>
    </row>
    <row r="1029" spans="1:20" x14ac:dyDescent="0.3">
      <c r="A1029" s="556"/>
      <c r="C1029" s="551"/>
      <c r="D1029" s="520"/>
      <c r="E1029" s="520"/>
      <c r="F1029" s="520"/>
      <c r="G1029" s="520"/>
      <c r="H1029" s="520"/>
      <c r="I1029" s="520"/>
      <c r="J1029" s="520"/>
      <c r="K1029" s="520"/>
      <c r="L1029" s="520"/>
      <c r="M1029" s="520"/>
      <c r="N1029" s="520"/>
      <c r="O1029" s="520"/>
      <c r="P1029" s="520"/>
      <c r="Q1029" s="520"/>
      <c r="R1029" s="520"/>
      <c r="S1029" s="520"/>
      <c r="T1029" s="520"/>
    </row>
    <row r="1030" spans="1:20" x14ac:dyDescent="0.3">
      <c r="A1030" s="556"/>
      <c r="C1030" s="551"/>
      <c r="D1030" s="520"/>
      <c r="E1030" s="520"/>
      <c r="F1030" s="520"/>
      <c r="G1030" s="520"/>
      <c r="H1030" s="520"/>
      <c r="I1030" s="520"/>
      <c r="J1030" s="520"/>
      <c r="K1030" s="520"/>
      <c r="L1030" s="520"/>
      <c r="M1030" s="520"/>
      <c r="N1030" s="520"/>
      <c r="O1030" s="520"/>
      <c r="P1030" s="520"/>
      <c r="Q1030" s="520"/>
      <c r="R1030" s="520"/>
      <c r="S1030" s="520"/>
      <c r="T1030" s="520"/>
    </row>
    <row r="1031" spans="1:20" x14ac:dyDescent="0.3">
      <c r="A1031" s="556"/>
      <c r="C1031" s="551"/>
      <c r="D1031" s="520"/>
      <c r="E1031" s="520"/>
      <c r="F1031" s="520"/>
      <c r="G1031" s="520"/>
      <c r="H1031" s="520"/>
      <c r="I1031" s="529"/>
      <c r="J1031" s="529"/>
      <c r="K1031" s="520"/>
      <c r="L1031" s="520"/>
      <c r="M1031" s="520"/>
      <c r="N1031" s="520"/>
      <c r="O1031" s="520"/>
      <c r="P1031" s="520"/>
      <c r="Q1031" s="520"/>
      <c r="R1031" s="520"/>
      <c r="S1031" s="520"/>
      <c r="T1031" s="520"/>
    </row>
    <row r="1032" spans="1:20" x14ac:dyDescent="0.3">
      <c r="A1032" s="556"/>
      <c r="C1032" s="551"/>
      <c r="D1032" s="551"/>
      <c r="E1032" s="551"/>
      <c r="F1032" s="520"/>
      <c r="G1032" s="520"/>
      <c r="H1032" s="520"/>
      <c r="I1032" s="520"/>
      <c r="J1032" s="520"/>
      <c r="K1032" s="520"/>
      <c r="L1032" s="520"/>
      <c r="M1032" s="520"/>
      <c r="N1032" s="520"/>
      <c r="O1032" s="520"/>
      <c r="P1032" s="520"/>
      <c r="Q1032" s="520"/>
      <c r="R1032" s="520"/>
      <c r="S1032" s="520"/>
      <c r="T1032" s="520"/>
    </row>
    <row r="1033" spans="1:20" x14ac:dyDescent="0.3">
      <c r="A1033" s="556"/>
      <c r="C1033" s="520"/>
      <c r="D1033" s="520"/>
      <c r="E1033" s="520"/>
      <c r="F1033" s="520"/>
      <c r="G1033" s="520"/>
      <c r="H1033" s="520"/>
      <c r="I1033" s="520"/>
      <c r="J1033" s="544"/>
      <c r="K1033" s="520"/>
      <c r="L1033" s="520"/>
      <c r="M1033" s="520"/>
      <c r="N1033" s="520"/>
      <c r="O1033" s="520"/>
      <c r="P1033" s="520"/>
      <c r="Q1033" s="520"/>
      <c r="R1033" s="520"/>
      <c r="S1033" s="520"/>
      <c r="T1033" s="520"/>
    </row>
    <row r="1034" spans="1:20" x14ac:dyDescent="0.3">
      <c r="A1034" s="556"/>
      <c r="C1034" s="520"/>
      <c r="D1034" s="520"/>
      <c r="E1034" s="520"/>
      <c r="F1034" s="520"/>
      <c r="G1034" s="520"/>
      <c r="H1034" s="520"/>
      <c r="I1034" s="520"/>
      <c r="J1034" s="544"/>
      <c r="K1034" s="520"/>
      <c r="L1034" s="520"/>
      <c r="M1034" s="520"/>
      <c r="N1034" s="520"/>
      <c r="O1034" s="520"/>
      <c r="P1034" s="520"/>
      <c r="Q1034" s="520"/>
      <c r="R1034" s="520"/>
      <c r="S1034" s="520"/>
      <c r="T1034" s="520"/>
    </row>
    <row r="1035" spans="1:20" x14ac:dyDescent="0.3">
      <c r="A1035" s="556"/>
      <c r="C1035" s="520"/>
      <c r="D1035" s="520"/>
      <c r="E1035" s="520"/>
      <c r="F1035" s="520"/>
      <c r="G1035" s="520"/>
      <c r="H1035" s="520"/>
      <c r="I1035" s="520"/>
      <c r="J1035" s="544"/>
      <c r="K1035" s="520"/>
      <c r="L1035" s="520"/>
      <c r="M1035" s="520"/>
      <c r="N1035" s="520"/>
      <c r="O1035" s="520"/>
      <c r="P1035" s="520"/>
      <c r="Q1035" s="520"/>
      <c r="R1035" s="520"/>
      <c r="S1035" s="520"/>
      <c r="T1035" s="520"/>
    </row>
    <row r="1036" spans="1:20" x14ac:dyDescent="0.3">
      <c r="A1036" s="556"/>
      <c r="C1036" s="520"/>
      <c r="D1036" s="520"/>
      <c r="E1036" s="520"/>
      <c r="F1036" s="520"/>
      <c r="G1036" s="520"/>
      <c r="H1036" s="520"/>
      <c r="I1036" s="520"/>
      <c r="J1036" s="544"/>
      <c r="K1036" s="520"/>
      <c r="L1036" s="520"/>
      <c r="M1036" s="520"/>
      <c r="N1036" s="520"/>
      <c r="O1036" s="520"/>
      <c r="P1036" s="520"/>
      <c r="Q1036" s="520"/>
      <c r="R1036" s="520"/>
      <c r="S1036" s="520"/>
      <c r="T1036" s="520"/>
    </row>
    <row r="1037" spans="1:20" x14ac:dyDescent="0.3">
      <c r="A1037" s="556"/>
      <c r="C1037" s="520"/>
      <c r="D1037" s="520"/>
      <c r="E1037" s="520"/>
      <c r="F1037" s="520"/>
      <c r="G1037" s="520"/>
      <c r="H1037" s="520"/>
      <c r="I1037" s="520"/>
      <c r="J1037" s="544"/>
      <c r="K1037" s="520"/>
      <c r="L1037" s="520"/>
      <c r="M1037" s="520"/>
      <c r="N1037" s="520"/>
      <c r="O1037" s="520"/>
      <c r="P1037" s="520"/>
      <c r="Q1037" s="520"/>
      <c r="R1037" s="520"/>
      <c r="S1037" s="520"/>
      <c r="T1037" s="520"/>
    </row>
    <row r="1038" spans="1:20" x14ac:dyDescent="0.3">
      <c r="A1038" s="556"/>
      <c r="C1038" s="520"/>
      <c r="D1038" s="520"/>
      <c r="E1038" s="520"/>
      <c r="F1038" s="520"/>
      <c r="G1038" s="520"/>
      <c r="H1038" s="520"/>
      <c r="I1038" s="520"/>
      <c r="J1038" s="544"/>
      <c r="K1038" s="520"/>
      <c r="L1038" s="520"/>
      <c r="M1038" s="520"/>
      <c r="N1038" s="520"/>
      <c r="O1038" s="520"/>
      <c r="P1038" s="520"/>
      <c r="Q1038" s="520"/>
      <c r="R1038" s="520"/>
      <c r="S1038" s="520"/>
      <c r="T1038" s="520"/>
    </row>
    <row r="1039" spans="1:20" x14ac:dyDescent="0.3">
      <c r="A1039" s="556"/>
      <c r="C1039" s="520"/>
      <c r="D1039" s="520"/>
      <c r="E1039" s="520"/>
      <c r="F1039" s="520"/>
      <c r="G1039" s="520"/>
      <c r="H1039" s="520"/>
      <c r="I1039" s="520"/>
      <c r="J1039" s="544"/>
      <c r="K1039" s="520"/>
      <c r="L1039" s="520"/>
      <c r="M1039" s="520"/>
      <c r="N1039" s="520"/>
      <c r="O1039" s="520"/>
      <c r="P1039" s="520"/>
      <c r="Q1039" s="520"/>
      <c r="R1039" s="520"/>
      <c r="S1039" s="520"/>
      <c r="T1039" s="520"/>
    </row>
    <row r="1040" spans="1:20" x14ac:dyDescent="0.3">
      <c r="A1040" s="556"/>
      <c r="C1040" s="520"/>
      <c r="D1040" s="520"/>
      <c r="E1040" s="520"/>
      <c r="F1040" s="520"/>
      <c r="G1040" s="520"/>
      <c r="H1040" s="520"/>
      <c r="I1040" s="520"/>
      <c r="J1040" s="544"/>
      <c r="K1040" s="520"/>
      <c r="L1040" s="520"/>
      <c r="M1040" s="520"/>
      <c r="N1040" s="520"/>
      <c r="O1040" s="520"/>
      <c r="P1040" s="520"/>
      <c r="Q1040" s="520"/>
      <c r="R1040" s="520"/>
      <c r="S1040" s="520"/>
      <c r="T1040" s="520"/>
    </row>
    <row r="1041" spans="1:20" x14ac:dyDescent="0.3">
      <c r="A1041" s="556"/>
      <c r="C1041" s="520"/>
      <c r="D1041" s="520"/>
      <c r="E1041" s="520"/>
      <c r="F1041" s="520"/>
      <c r="G1041" s="520"/>
      <c r="H1041" s="520"/>
      <c r="I1041" s="520"/>
      <c r="J1041" s="544"/>
      <c r="K1041" s="520"/>
      <c r="L1041" s="520"/>
      <c r="M1041" s="520"/>
      <c r="N1041" s="520"/>
      <c r="O1041" s="520"/>
      <c r="P1041" s="520"/>
      <c r="Q1041" s="520"/>
      <c r="R1041" s="520"/>
      <c r="S1041" s="520"/>
      <c r="T1041" s="520"/>
    </row>
    <row r="1042" spans="1:20" x14ac:dyDescent="0.3">
      <c r="A1042" s="556"/>
      <c r="C1042" s="520"/>
      <c r="D1042" s="520"/>
      <c r="E1042" s="520"/>
      <c r="F1042" s="520"/>
      <c r="G1042" s="520"/>
      <c r="H1042" s="520"/>
      <c r="I1042" s="520"/>
      <c r="J1042" s="544"/>
      <c r="K1042" s="520"/>
      <c r="L1042" s="520"/>
      <c r="M1042" s="520"/>
      <c r="N1042" s="520"/>
      <c r="O1042" s="520"/>
      <c r="P1042" s="520"/>
      <c r="Q1042" s="520"/>
      <c r="R1042" s="520"/>
      <c r="S1042" s="520"/>
      <c r="T1042" s="520"/>
    </row>
    <row r="1043" spans="1:20" x14ac:dyDescent="0.3">
      <c r="A1043" s="556"/>
      <c r="C1043" s="520"/>
      <c r="D1043" s="520"/>
      <c r="E1043" s="520"/>
      <c r="F1043" s="520"/>
      <c r="G1043" s="520"/>
      <c r="H1043" s="520"/>
      <c r="I1043" s="520"/>
      <c r="J1043" s="544"/>
      <c r="K1043" s="520"/>
      <c r="L1043" s="520"/>
      <c r="M1043" s="520"/>
      <c r="N1043" s="520"/>
      <c r="O1043" s="520"/>
      <c r="P1043" s="520"/>
      <c r="Q1043" s="520"/>
      <c r="R1043" s="520"/>
      <c r="S1043" s="520"/>
      <c r="T1043" s="520"/>
    </row>
    <row r="1044" spans="1:20" x14ac:dyDescent="0.3">
      <c r="A1044" s="556"/>
      <c r="C1044" s="520"/>
      <c r="D1044" s="520"/>
      <c r="E1044" s="520"/>
      <c r="F1044" s="520"/>
      <c r="G1044" s="520"/>
      <c r="H1044" s="520"/>
      <c r="I1044" s="520"/>
      <c r="J1044" s="544"/>
      <c r="K1044" s="520"/>
      <c r="L1044" s="520"/>
      <c r="M1044" s="520"/>
      <c r="N1044" s="520"/>
      <c r="O1044" s="520"/>
      <c r="P1044" s="520"/>
      <c r="Q1044" s="520"/>
      <c r="R1044" s="520"/>
      <c r="S1044" s="520"/>
      <c r="T1044" s="520"/>
    </row>
    <row r="1045" spans="1:20" x14ac:dyDescent="0.3">
      <c r="A1045" s="556"/>
      <c r="C1045" s="520"/>
      <c r="D1045" s="520"/>
      <c r="E1045" s="520"/>
      <c r="F1045" s="520"/>
      <c r="G1045" s="520"/>
      <c r="H1045" s="520"/>
      <c r="I1045" s="520"/>
      <c r="J1045" s="544"/>
      <c r="K1045" s="520"/>
      <c r="L1045" s="520"/>
      <c r="M1045" s="520"/>
      <c r="N1045" s="520"/>
      <c r="O1045" s="520"/>
      <c r="P1045" s="520"/>
      <c r="Q1045" s="520"/>
      <c r="R1045" s="520"/>
      <c r="S1045" s="520"/>
      <c r="T1045" s="520"/>
    </row>
    <row r="1046" spans="1:20" x14ac:dyDescent="0.3">
      <c r="A1046" s="556"/>
      <c r="C1046" s="520"/>
      <c r="D1046" s="520"/>
      <c r="E1046" s="520"/>
      <c r="F1046" s="520"/>
      <c r="G1046" s="520"/>
      <c r="H1046" s="520"/>
      <c r="I1046" s="520"/>
      <c r="J1046" s="544"/>
      <c r="K1046" s="520"/>
      <c r="L1046" s="520"/>
      <c r="M1046" s="520"/>
      <c r="N1046" s="520"/>
      <c r="O1046" s="520"/>
      <c r="P1046" s="520"/>
      <c r="Q1046" s="520"/>
      <c r="R1046" s="520"/>
      <c r="S1046" s="520"/>
      <c r="T1046" s="520"/>
    </row>
    <row r="1047" spans="1:20" x14ac:dyDescent="0.3">
      <c r="A1047" s="556"/>
      <c r="C1047" s="520"/>
      <c r="D1047" s="520"/>
      <c r="E1047" s="520"/>
      <c r="F1047" s="520"/>
      <c r="G1047" s="520"/>
      <c r="H1047" s="520"/>
      <c r="I1047" s="520"/>
      <c r="J1047" s="544"/>
      <c r="K1047" s="520"/>
      <c r="L1047" s="520"/>
      <c r="M1047" s="520"/>
      <c r="N1047" s="520"/>
      <c r="O1047" s="520"/>
      <c r="P1047" s="520"/>
      <c r="Q1047" s="520"/>
      <c r="R1047" s="520"/>
      <c r="S1047" s="520"/>
      <c r="T1047" s="520"/>
    </row>
    <row r="1048" spans="1:20" x14ac:dyDescent="0.3">
      <c r="A1048" s="556"/>
      <c r="C1048" s="520"/>
      <c r="D1048" s="520"/>
      <c r="E1048" s="520"/>
      <c r="F1048" s="520"/>
      <c r="G1048" s="520"/>
      <c r="H1048" s="520"/>
      <c r="I1048" s="520"/>
      <c r="J1048" s="544"/>
      <c r="K1048" s="520"/>
      <c r="L1048" s="520"/>
      <c r="M1048" s="520"/>
      <c r="N1048" s="520"/>
      <c r="O1048" s="520"/>
      <c r="P1048" s="520"/>
      <c r="Q1048" s="520"/>
      <c r="R1048" s="520"/>
      <c r="S1048" s="520"/>
      <c r="T1048" s="520"/>
    </row>
    <row r="1049" spans="1:20" x14ac:dyDescent="0.3">
      <c r="A1049" s="556"/>
      <c r="C1049" s="520"/>
      <c r="D1049" s="520"/>
      <c r="E1049" s="520"/>
      <c r="F1049" s="520"/>
      <c r="G1049" s="520"/>
      <c r="H1049" s="520"/>
      <c r="I1049" s="520"/>
      <c r="J1049" s="544"/>
      <c r="K1049" s="520"/>
      <c r="L1049" s="520"/>
      <c r="M1049" s="520"/>
      <c r="N1049" s="520"/>
      <c r="O1049" s="520"/>
      <c r="P1049" s="520"/>
      <c r="Q1049" s="520"/>
      <c r="R1049" s="520"/>
      <c r="S1049" s="520"/>
      <c r="T1049" s="520"/>
    </row>
    <row r="1050" spans="1:20" x14ac:dyDescent="0.3">
      <c r="A1050" s="556"/>
      <c r="C1050" s="520"/>
      <c r="D1050" s="520"/>
      <c r="E1050" s="520"/>
      <c r="F1050" s="520"/>
      <c r="G1050" s="520"/>
      <c r="H1050" s="520"/>
      <c r="I1050" s="520"/>
      <c r="J1050" s="544"/>
      <c r="K1050" s="520"/>
      <c r="L1050" s="520"/>
      <c r="M1050" s="520"/>
      <c r="N1050" s="520"/>
      <c r="O1050" s="520"/>
      <c r="P1050" s="520"/>
      <c r="Q1050" s="520"/>
      <c r="R1050" s="520"/>
      <c r="S1050" s="520"/>
      <c r="T1050" s="520"/>
    </row>
    <row r="1051" spans="1:20" x14ac:dyDescent="0.3">
      <c r="A1051" s="556"/>
      <c r="C1051" s="520"/>
      <c r="D1051" s="520"/>
      <c r="E1051" s="520"/>
      <c r="F1051" s="520"/>
      <c r="G1051" s="520"/>
      <c r="H1051" s="520"/>
      <c r="I1051" s="520"/>
      <c r="J1051" s="544"/>
      <c r="K1051" s="520"/>
      <c r="L1051" s="520"/>
      <c r="M1051" s="520"/>
      <c r="N1051" s="520"/>
      <c r="O1051" s="520"/>
      <c r="P1051" s="520"/>
      <c r="Q1051" s="520"/>
      <c r="R1051" s="520"/>
      <c r="S1051" s="520"/>
      <c r="T1051" s="520"/>
    </row>
    <row r="1052" spans="1:20" x14ac:dyDescent="0.3">
      <c r="A1052" s="556"/>
      <c r="C1052" s="520"/>
      <c r="D1052" s="520"/>
      <c r="E1052" s="520"/>
      <c r="F1052" s="520"/>
      <c r="G1052" s="520"/>
      <c r="H1052" s="520"/>
      <c r="I1052" s="520"/>
      <c r="J1052" s="544"/>
      <c r="K1052" s="520"/>
      <c r="L1052" s="520"/>
      <c r="M1052" s="520"/>
      <c r="N1052" s="520"/>
      <c r="O1052" s="520"/>
      <c r="P1052" s="520"/>
      <c r="Q1052" s="520"/>
      <c r="R1052" s="520"/>
      <c r="S1052" s="520"/>
      <c r="T1052" s="520"/>
    </row>
    <row r="1053" spans="1:20" x14ac:dyDescent="0.3">
      <c r="A1053" s="556"/>
      <c r="C1053" s="520"/>
      <c r="D1053" s="520"/>
      <c r="E1053" s="520"/>
      <c r="F1053" s="520"/>
      <c r="G1053" s="520"/>
      <c r="H1053" s="520"/>
      <c r="I1053" s="520"/>
      <c r="J1053" s="544"/>
      <c r="K1053" s="520"/>
      <c r="L1053" s="520"/>
      <c r="M1053" s="520"/>
      <c r="N1053" s="520"/>
      <c r="O1053" s="520"/>
      <c r="P1053" s="520"/>
      <c r="Q1053" s="520"/>
      <c r="R1053" s="520"/>
      <c r="S1053" s="520"/>
      <c r="T1053" s="520"/>
    </row>
    <row r="1054" spans="1:20" x14ac:dyDescent="0.3">
      <c r="A1054" s="556"/>
      <c r="C1054" s="520"/>
      <c r="D1054" s="520"/>
      <c r="E1054" s="520"/>
      <c r="F1054" s="520"/>
      <c r="G1054" s="520"/>
      <c r="H1054" s="520"/>
      <c r="I1054" s="520"/>
      <c r="J1054" s="544"/>
      <c r="K1054" s="520"/>
      <c r="L1054" s="520"/>
      <c r="M1054" s="520"/>
      <c r="N1054" s="520"/>
      <c r="O1054" s="520"/>
      <c r="P1054" s="520"/>
      <c r="Q1054" s="520"/>
      <c r="R1054" s="520"/>
      <c r="S1054" s="520"/>
      <c r="T1054" s="520"/>
    </row>
    <row r="1055" spans="1:20" x14ac:dyDescent="0.3">
      <c r="A1055" s="556"/>
      <c r="C1055" s="520"/>
      <c r="D1055" s="520"/>
      <c r="E1055" s="520"/>
      <c r="F1055" s="520"/>
      <c r="G1055" s="520"/>
      <c r="H1055" s="520"/>
      <c r="I1055" s="520"/>
      <c r="J1055" s="544"/>
      <c r="K1055" s="520"/>
      <c r="L1055" s="520"/>
      <c r="M1055" s="520"/>
      <c r="N1055" s="520"/>
      <c r="O1055" s="520"/>
      <c r="P1055" s="520"/>
      <c r="Q1055" s="520"/>
      <c r="R1055" s="520"/>
      <c r="S1055" s="520"/>
      <c r="T1055" s="520"/>
    </row>
    <row r="1056" spans="1:20" x14ac:dyDescent="0.3">
      <c r="A1056" s="556"/>
      <c r="C1056" s="520"/>
      <c r="D1056" s="520"/>
      <c r="E1056" s="520"/>
      <c r="F1056" s="520"/>
      <c r="G1056" s="520"/>
      <c r="H1056" s="520"/>
      <c r="I1056" s="520"/>
      <c r="J1056" s="544"/>
      <c r="K1056" s="520"/>
      <c r="L1056" s="520"/>
      <c r="M1056" s="520"/>
      <c r="N1056" s="520"/>
      <c r="O1056" s="520"/>
      <c r="P1056" s="520"/>
      <c r="Q1056" s="520"/>
      <c r="R1056" s="520"/>
      <c r="S1056" s="520"/>
      <c r="T1056" s="520"/>
    </row>
    <row r="1057" spans="1:20" x14ac:dyDescent="0.3">
      <c r="A1057" s="556"/>
      <c r="C1057" s="520"/>
      <c r="D1057" s="520"/>
      <c r="E1057" s="520"/>
      <c r="F1057" s="520"/>
      <c r="G1057" s="520"/>
      <c r="H1057" s="520"/>
      <c r="I1057" s="520"/>
      <c r="J1057" s="544"/>
      <c r="K1057" s="520"/>
      <c r="L1057" s="520"/>
      <c r="M1057" s="520"/>
      <c r="N1057" s="520"/>
      <c r="O1057" s="520"/>
      <c r="P1057" s="520"/>
      <c r="Q1057" s="520"/>
      <c r="R1057" s="520"/>
      <c r="S1057" s="520"/>
      <c r="T1057" s="520"/>
    </row>
    <row r="1058" spans="1:20" x14ac:dyDescent="0.3">
      <c r="A1058" s="556"/>
      <c r="C1058" s="520"/>
      <c r="D1058" s="520"/>
      <c r="E1058" s="520"/>
      <c r="F1058" s="520"/>
      <c r="G1058" s="520"/>
      <c r="H1058" s="520"/>
      <c r="I1058" s="520"/>
      <c r="J1058" s="544"/>
      <c r="K1058" s="520"/>
      <c r="L1058" s="520"/>
      <c r="M1058" s="520"/>
      <c r="N1058" s="520"/>
      <c r="O1058" s="520"/>
      <c r="P1058" s="520"/>
      <c r="Q1058" s="520"/>
      <c r="R1058" s="520"/>
      <c r="S1058" s="520"/>
      <c r="T1058" s="520"/>
    </row>
    <row r="1059" spans="1:20" x14ac:dyDescent="0.3">
      <c r="A1059" s="556"/>
      <c r="C1059" s="520"/>
      <c r="D1059" s="520"/>
      <c r="E1059" s="520"/>
      <c r="F1059" s="520"/>
      <c r="G1059" s="520"/>
      <c r="H1059" s="520"/>
      <c r="I1059" s="520"/>
      <c r="J1059" s="544"/>
      <c r="K1059" s="520"/>
      <c r="L1059" s="520"/>
      <c r="M1059" s="520"/>
      <c r="N1059" s="520"/>
      <c r="O1059" s="520"/>
      <c r="P1059" s="520"/>
      <c r="Q1059" s="520"/>
      <c r="R1059" s="520"/>
      <c r="S1059" s="520"/>
      <c r="T1059" s="520"/>
    </row>
    <row r="1060" spans="1:20" x14ac:dyDescent="0.3">
      <c r="A1060" s="556"/>
      <c r="C1060" s="520"/>
      <c r="D1060" s="520"/>
      <c r="E1060" s="520"/>
      <c r="F1060" s="520"/>
      <c r="G1060" s="520"/>
      <c r="H1060" s="520"/>
      <c r="I1060" s="520"/>
      <c r="J1060" s="544"/>
      <c r="K1060" s="520"/>
      <c r="L1060" s="520"/>
      <c r="M1060" s="520"/>
      <c r="N1060" s="520"/>
      <c r="O1060" s="520"/>
      <c r="P1060" s="520"/>
      <c r="Q1060" s="520"/>
      <c r="R1060" s="520"/>
      <c r="S1060" s="520"/>
      <c r="T1060" s="520"/>
    </row>
    <row r="1061" spans="1:20" x14ac:dyDescent="0.3">
      <c r="A1061" s="556"/>
      <c r="C1061" s="520"/>
      <c r="D1061" s="520"/>
      <c r="E1061" s="520"/>
      <c r="F1061" s="520"/>
      <c r="G1061" s="520"/>
      <c r="H1061" s="520"/>
      <c r="I1061" s="520"/>
      <c r="J1061" s="544"/>
      <c r="K1061" s="520"/>
      <c r="L1061" s="520"/>
      <c r="M1061" s="520"/>
      <c r="N1061" s="520"/>
      <c r="O1061" s="520"/>
      <c r="P1061" s="520"/>
      <c r="Q1061" s="520"/>
      <c r="R1061" s="520"/>
      <c r="S1061" s="520"/>
      <c r="T1061" s="520"/>
    </row>
    <row r="1062" spans="1:20" x14ac:dyDescent="0.3">
      <c r="A1062" s="556"/>
      <c r="C1062" s="520"/>
      <c r="D1062" s="520"/>
      <c r="E1062" s="520"/>
      <c r="F1062" s="520"/>
      <c r="G1062" s="520"/>
      <c r="H1062" s="520"/>
      <c r="I1062" s="520"/>
      <c r="J1062" s="544"/>
      <c r="K1062" s="520"/>
      <c r="L1062" s="520"/>
      <c r="M1062" s="520"/>
      <c r="N1062" s="520"/>
      <c r="O1062" s="520"/>
      <c r="P1062" s="520"/>
      <c r="Q1062" s="520"/>
      <c r="R1062" s="520"/>
      <c r="S1062" s="520"/>
      <c r="T1062" s="520"/>
    </row>
    <row r="1063" spans="1:20" x14ac:dyDescent="0.3">
      <c r="A1063" s="556"/>
      <c r="C1063" s="520"/>
      <c r="D1063" s="520"/>
      <c r="E1063" s="520"/>
      <c r="F1063" s="520"/>
      <c r="G1063" s="520"/>
      <c r="H1063" s="520"/>
      <c r="I1063" s="520"/>
      <c r="J1063" s="544"/>
      <c r="K1063" s="520"/>
      <c r="L1063" s="520"/>
      <c r="M1063" s="520"/>
      <c r="N1063" s="520"/>
      <c r="O1063" s="520"/>
      <c r="P1063" s="520"/>
      <c r="Q1063" s="520"/>
      <c r="R1063" s="520"/>
      <c r="S1063" s="520"/>
      <c r="T1063" s="520"/>
    </row>
    <row r="1064" spans="1:20" x14ac:dyDescent="0.3">
      <c r="A1064" s="556"/>
      <c r="C1064" s="520"/>
      <c r="D1064" s="520"/>
      <c r="E1064" s="520"/>
      <c r="F1064" s="520"/>
      <c r="G1064" s="520"/>
      <c r="H1064" s="520"/>
      <c r="I1064" s="520"/>
      <c r="J1064" s="544"/>
      <c r="K1064" s="520"/>
      <c r="L1064" s="520"/>
      <c r="M1064" s="520"/>
      <c r="N1064" s="520"/>
      <c r="O1064" s="520"/>
      <c r="P1064" s="520"/>
      <c r="Q1064" s="520"/>
      <c r="R1064" s="520"/>
      <c r="S1064" s="520"/>
      <c r="T1064" s="520"/>
    </row>
    <row r="1065" spans="1:20" x14ac:dyDescent="0.3">
      <c r="A1065" s="556"/>
      <c r="C1065" s="520"/>
      <c r="D1065" s="520"/>
      <c r="E1065" s="520"/>
      <c r="F1065" s="520"/>
      <c r="G1065" s="520"/>
      <c r="H1065" s="520"/>
      <c r="I1065" s="520"/>
      <c r="J1065" s="544"/>
      <c r="K1065" s="520"/>
      <c r="L1065" s="520"/>
      <c r="M1065" s="520"/>
      <c r="N1065" s="520"/>
      <c r="O1065" s="520"/>
      <c r="P1065" s="520"/>
      <c r="Q1065" s="520"/>
      <c r="R1065" s="520"/>
      <c r="S1065" s="520"/>
      <c r="T1065" s="520"/>
    </row>
    <row r="1066" spans="1:20" x14ac:dyDescent="0.3">
      <c r="A1066" s="556"/>
      <c r="C1066" s="520"/>
      <c r="D1066" s="520"/>
      <c r="E1066" s="520"/>
      <c r="F1066" s="520"/>
      <c r="G1066" s="520"/>
      <c r="H1066" s="520"/>
      <c r="I1066" s="520"/>
      <c r="J1066" s="544"/>
      <c r="K1066" s="520"/>
      <c r="L1066" s="520"/>
      <c r="M1066" s="520"/>
      <c r="N1066" s="520"/>
      <c r="O1066" s="520"/>
      <c r="P1066" s="520"/>
      <c r="Q1066" s="520"/>
      <c r="R1066" s="520"/>
      <c r="S1066" s="520"/>
      <c r="T1066" s="520"/>
    </row>
    <row r="1067" spans="1:20" x14ac:dyDescent="0.3">
      <c r="A1067" s="556"/>
      <c r="C1067" s="520"/>
      <c r="D1067" s="520"/>
      <c r="E1067" s="520"/>
      <c r="F1067" s="520"/>
      <c r="G1067" s="520"/>
      <c r="H1067" s="520"/>
      <c r="I1067" s="520"/>
      <c r="J1067" s="544"/>
      <c r="K1067" s="520"/>
      <c r="L1067" s="520"/>
      <c r="M1067" s="520"/>
      <c r="N1067" s="520"/>
      <c r="O1067" s="520"/>
      <c r="P1067" s="520"/>
      <c r="Q1067" s="520"/>
      <c r="R1067" s="520"/>
      <c r="S1067" s="520"/>
      <c r="T1067" s="520"/>
    </row>
    <row r="1068" spans="1:20" x14ac:dyDescent="0.3">
      <c r="A1068" s="556"/>
      <c r="C1068" s="520"/>
      <c r="D1068" s="520"/>
      <c r="E1068" s="520"/>
      <c r="F1068" s="520"/>
      <c r="G1068" s="520"/>
      <c r="H1068" s="520"/>
      <c r="I1068" s="520"/>
      <c r="J1068" s="544"/>
      <c r="K1068" s="520"/>
      <c r="L1068" s="520"/>
      <c r="M1068" s="520"/>
      <c r="N1068" s="520"/>
      <c r="O1068" s="520"/>
      <c r="P1068" s="520"/>
      <c r="Q1068" s="520"/>
      <c r="R1068" s="520"/>
      <c r="S1068" s="520"/>
      <c r="T1068" s="520"/>
    </row>
    <row r="1069" spans="1:20" x14ac:dyDescent="0.3">
      <c r="A1069" s="556"/>
      <c r="C1069" s="520"/>
      <c r="D1069" s="520"/>
      <c r="E1069" s="520"/>
      <c r="F1069" s="520"/>
      <c r="G1069" s="520"/>
      <c r="H1069" s="520"/>
      <c r="I1069" s="520"/>
      <c r="J1069" s="544"/>
      <c r="K1069" s="520"/>
      <c r="L1069" s="520"/>
      <c r="M1069" s="520"/>
      <c r="N1069" s="520"/>
      <c r="O1069" s="520"/>
      <c r="P1069" s="520"/>
      <c r="Q1069" s="520"/>
      <c r="R1069" s="520"/>
      <c r="S1069" s="520"/>
      <c r="T1069" s="520"/>
    </row>
    <row r="1070" spans="1:20" x14ac:dyDescent="0.3">
      <c r="A1070" s="556"/>
      <c r="C1070" s="520"/>
      <c r="D1070" s="520"/>
      <c r="E1070" s="520"/>
      <c r="F1070" s="520"/>
      <c r="G1070" s="520"/>
      <c r="H1070" s="520"/>
      <c r="I1070" s="520"/>
      <c r="J1070" s="544"/>
      <c r="K1070" s="520"/>
      <c r="L1070" s="520"/>
      <c r="M1070" s="520"/>
      <c r="N1070" s="520"/>
      <c r="O1070" s="520"/>
      <c r="P1070" s="520"/>
      <c r="Q1070" s="520"/>
      <c r="R1070" s="520"/>
      <c r="S1070" s="520"/>
      <c r="T1070" s="520"/>
    </row>
    <row r="1071" spans="1:20" x14ac:dyDescent="0.3">
      <c r="A1071" s="556"/>
      <c r="C1071" s="520"/>
      <c r="D1071" s="520"/>
      <c r="E1071" s="520"/>
      <c r="F1071" s="520"/>
      <c r="G1071" s="520"/>
      <c r="H1071" s="520"/>
      <c r="I1071" s="520"/>
      <c r="J1071" s="544"/>
      <c r="K1071" s="520"/>
      <c r="L1071" s="520"/>
      <c r="M1071" s="520"/>
      <c r="N1071" s="520"/>
      <c r="O1071" s="520"/>
      <c r="P1071" s="520"/>
      <c r="Q1071" s="520"/>
      <c r="R1071" s="520"/>
      <c r="S1071" s="520"/>
      <c r="T1071" s="520"/>
    </row>
    <row r="1072" spans="1:20" x14ac:dyDescent="0.3">
      <c r="A1072" s="556"/>
      <c r="C1072" s="520"/>
      <c r="D1072" s="520"/>
      <c r="E1072" s="520"/>
      <c r="F1072" s="520"/>
      <c r="G1072" s="520"/>
      <c r="H1072" s="520"/>
      <c r="I1072" s="520"/>
      <c r="J1072" s="544"/>
      <c r="K1072" s="520"/>
      <c r="L1072" s="520"/>
      <c r="M1072" s="520"/>
      <c r="N1072" s="520"/>
      <c r="O1072" s="520"/>
      <c r="P1072" s="520"/>
      <c r="Q1072" s="520"/>
      <c r="R1072" s="520"/>
      <c r="S1072" s="520"/>
      <c r="T1072" s="520"/>
    </row>
    <row r="1073" spans="1:20" x14ac:dyDescent="0.3">
      <c r="A1073" s="556"/>
      <c r="C1073" s="520"/>
      <c r="D1073" s="520"/>
      <c r="E1073" s="520"/>
      <c r="F1073" s="520"/>
      <c r="G1073" s="520"/>
      <c r="H1073" s="520"/>
      <c r="I1073" s="520"/>
      <c r="J1073" s="544"/>
      <c r="K1073" s="520"/>
      <c r="L1073" s="520"/>
      <c r="M1073" s="520"/>
      <c r="N1073" s="520"/>
      <c r="O1073" s="520"/>
      <c r="P1073" s="520"/>
      <c r="Q1073" s="520"/>
      <c r="R1073" s="520"/>
      <c r="S1073" s="520"/>
      <c r="T1073" s="520"/>
    </row>
    <row r="1074" spans="1:20" x14ac:dyDescent="0.3">
      <c r="A1074" s="556"/>
      <c r="C1074" s="520"/>
      <c r="D1074" s="520"/>
      <c r="E1074" s="520"/>
      <c r="F1074" s="520"/>
      <c r="G1074" s="520"/>
      <c r="H1074" s="520"/>
      <c r="I1074" s="520"/>
      <c r="J1074" s="544"/>
      <c r="K1074" s="520"/>
      <c r="L1074" s="520"/>
      <c r="M1074" s="520"/>
      <c r="N1074" s="520"/>
      <c r="O1074" s="520"/>
      <c r="P1074" s="520"/>
      <c r="Q1074" s="520"/>
      <c r="R1074" s="520"/>
      <c r="S1074" s="520"/>
      <c r="T1074" s="520"/>
    </row>
    <row r="1075" spans="1:20" x14ac:dyDescent="0.3">
      <c r="A1075" s="556"/>
      <c r="C1075" s="520"/>
      <c r="D1075" s="520"/>
      <c r="E1075" s="520"/>
      <c r="F1075" s="520"/>
      <c r="G1075" s="520"/>
      <c r="H1075" s="520"/>
      <c r="I1075" s="520"/>
      <c r="J1075" s="544"/>
      <c r="K1075" s="520"/>
      <c r="L1075" s="520"/>
      <c r="M1075" s="520"/>
      <c r="N1075" s="520"/>
      <c r="O1075" s="520"/>
      <c r="P1075" s="520"/>
      <c r="Q1075" s="520"/>
      <c r="R1075" s="520"/>
      <c r="S1075" s="520"/>
      <c r="T1075" s="520"/>
    </row>
    <row r="1076" spans="1:20" x14ac:dyDescent="0.3">
      <c r="A1076" s="556"/>
      <c r="C1076" s="520"/>
      <c r="D1076" s="520"/>
      <c r="E1076" s="520"/>
      <c r="F1076" s="520"/>
      <c r="G1076" s="520"/>
      <c r="H1076" s="520"/>
      <c r="I1076" s="520"/>
      <c r="J1076" s="544"/>
      <c r="K1076" s="520"/>
      <c r="L1076" s="520"/>
      <c r="M1076" s="520"/>
      <c r="N1076" s="520"/>
      <c r="O1076" s="520"/>
      <c r="P1076" s="520"/>
      <c r="Q1076" s="520"/>
      <c r="R1076" s="520"/>
      <c r="S1076" s="520"/>
      <c r="T1076" s="520"/>
    </row>
    <row r="1077" spans="1:20" x14ac:dyDescent="0.3">
      <c r="A1077" s="556"/>
      <c r="C1077" s="520"/>
      <c r="D1077" s="520"/>
      <c r="E1077" s="520"/>
      <c r="F1077" s="520"/>
      <c r="G1077" s="520"/>
      <c r="H1077" s="520"/>
      <c r="I1077" s="520"/>
      <c r="J1077" s="544"/>
      <c r="K1077" s="520"/>
      <c r="L1077" s="520"/>
      <c r="M1077" s="520"/>
      <c r="N1077" s="520"/>
      <c r="O1077" s="520"/>
      <c r="P1077" s="520"/>
      <c r="Q1077" s="520"/>
      <c r="R1077" s="520"/>
      <c r="S1077" s="520"/>
      <c r="T1077" s="520"/>
    </row>
    <row r="1078" spans="1:20" x14ac:dyDescent="0.3">
      <c r="A1078" s="556"/>
      <c r="C1078" s="520"/>
      <c r="D1078" s="520"/>
      <c r="E1078" s="520"/>
      <c r="F1078" s="520"/>
      <c r="G1078" s="520"/>
      <c r="H1078" s="520"/>
      <c r="I1078" s="520"/>
      <c r="J1078" s="544"/>
      <c r="K1078" s="520"/>
      <c r="L1078" s="520"/>
      <c r="M1078" s="520"/>
      <c r="N1078" s="520"/>
      <c r="O1078" s="520"/>
      <c r="P1078" s="520"/>
      <c r="Q1078" s="520"/>
      <c r="R1078" s="520"/>
      <c r="S1078" s="520"/>
      <c r="T1078" s="520"/>
    </row>
    <row r="1079" spans="1:20" x14ac:dyDescent="0.3">
      <c r="A1079" s="556"/>
      <c r="C1079" s="520"/>
      <c r="D1079" s="520"/>
      <c r="E1079" s="520"/>
      <c r="F1079" s="520"/>
      <c r="G1079" s="520"/>
      <c r="H1079" s="520"/>
      <c r="I1079" s="520"/>
      <c r="J1079" s="544"/>
      <c r="K1079" s="520"/>
      <c r="L1079" s="520"/>
      <c r="M1079" s="520"/>
      <c r="N1079" s="520"/>
      <c r="O1079" s="520"/>
      <c r="P1079" s="520"/>
      <c r="Q1079" s="520"/>
      <c r="R1079" s="520"/>
      <c r="S1079" s="520"/>
      <c r="T1079" s="520"/>
    </row>
    <row r="1080" spans="1:20" x14ac:dyDescent="0.3">
      <c r="A1080" s="556"/>
      <c r="C1080" s="520"/>
      <c r="D1080" s="520"/>
      <c r="E1080" s="520"/>
      <c r="F1080" s="520"/>
      <c r="G1080" s="520"/>
      <c r="H1080" s="520"/>
      <c r="I1080" s="520"/>
      <c r="J1080" s="544"/>
      <c r="K1080" s="520"/>
      <c r="L1080" s="520"/>
      <c r="M1080" s="520"/>
      <c r="N1080" s="520"/>
      <c r="O1080" s="520"/>
      <c r="P1080" s="520"/>
      <c r="Q1080" s="520"/>
      <c r="R1080" s="520"/>
      <c r="S1080" s="520"/>
      <c r="T1080" s="520"/>
    </row>
    <row r="1081" spans="1:20" x14ac:dyDescent="0.3">
      <c r="A1081" s="556"/>
      <c r="C1081" s="520"/>
      <c r="D1081" s="520"/>
      <c r="E1081" s="520"/>
      <c r="F1081" s="520"/>
      <c r="G1081" s="520"/>
      <c r="H1081" s="520"/>
      <c r="I1081" s="520"/>
      <c r="J1081" s="544"/>
      <c r="K1081" s="520"/>
      <c r="L1081" s="520"/>
      <c r="M1081" s="520"/>
      <c r="N1081" s="520"/>
      <c r="O1081" s="520"/>
      <c r="P1081" s="520"/>
      <c r="Q1081" s="520"/>
      <c r="R1081" s="520"/>
      <c r="S1081" s="520"/>
      <c r="T1081" s="520"/>
    </row>
    <row r="1082" spans="1:20" x14ac:dyDescent="0.3">
      <c r="A1082" s="556"/>
      <c r="C1082" s="520"/>
      <c r="D1082" s="520"/>
      <c r="E1082" s="520"/>
      <c r="F1082" s="520"/>
      <c r="G1082" s="520"/>
      <c r="H1082" s="520"/>
      <c r="I1082" s="520"/>
      <c r="J1082" s="544"/>
      <c r="K1082" s="520"/>
      <c r="L1082" s="520"/>
      <c r="M1082" s="520"/>
      <c r="N1082" s="520"/>
      <c r="O1082" s="520"/>
      <c r="P1082" s="520"/>
      <c r="Q1082" s="520"/>
      <c r="R1082" s="520"/>
      <c r="S1082" s="520"/>
      <c r="T1082" s="520"/>
    </row>
    <row r="1083" spans="1:20" x14ac:dyDescent="0.3">
      <c r="A1083" s="556"/>
      <c r="C1083" s="520"/>
      <c r="D1083" s="520"/>
      <c r="E1083" s="520"/>
      <c r="F1083" s="520"/>
      <c r="G1083" s="520"/>
      <c r="H1083" s="520"/>
      <c r="I1083" s="520"/>
      <c r="J1083" s="544"/>
      <c r="K1083" s="520"/>
      <c r="L1083" s="520"/>
      <c r="M1083" s="520"/>
      <c r="N1083" s="520"/>
      <c r="O1083" s="520"/>
      <c r="P1083" s="520"/>
      <c r="Q1083" s="520"/>
      <c r="R1083" s="520"/>
      <c r="S1083" s="520"/>
      <c r="T1083" s="520"/>
    </row>
    <row r="1084" spans="1:20" x14ac:dyDescent="0.3">
      <c r="A1084" s="556"/>
      <c r="C1084" s="520"/>
      <c r="D1084" s="520"/>
      <c r="E1084" s="520"/>
      <c r="F1084" s="520"/>
      <c r="G1084" s="520"/>
      <c r="H1084" s="520"/>
      <c r="I1084" s="520"/>
      <c r="J1084" s="544"/>
      <c r="K1084" s="520"/>
      <c r="L1084" s="520"/>
      <c r="M1084" s="520"/>
      <c r="N1084" s="520"/>
      <c r="O1084" s="520"/>
      <c r="P1084" s="520"/>
      <c r="Q1084" s="520"/>
      <c r="R1084" s="520"/>
      <c r="S1084" s="520"/>
      <c r="T1084" s="520"/>
    </row>
    <row r="1085" spans="1:20" x14ac:dyDescent="0.3">
      <c r="A1085" s="556"/>
      <c r="C1085" s="520"/>
      <c r="D1085" s="520"/>
      <c r="E1085" s="520"/>
      <c r="F1085" s="520"/>
      <c r="G1085" s="520"/>
      <c r="H1085" s="520"/>
      <c r="I1085" s="520"/>
      <c r="J1085" s="544"/>
      <c r="K1085" s="520"/>
      <c r="L1085" s="520"/>
      <c r="M1085" s="520"/>
      <c r="N1085" s="520"/>
      <c r="O1085" s="520"/>
      <c r="P1085" s="520"/>
      <c r="Q1085" s="520"/>
      <c r="R1085" s="520"/>
      <c r="S1085" s="520"/>
      <c r="T1085" s="520"/>
    </row>
    <row r="1086" spans="1:20" x14ac:dyDescent="0.3">
      <c r="A1086" s="556"/>
      <c r="C1086" s="520"/>
      <c r="D1086" s="520"/>
      <c r="E1086" s="520"/>
      <c r="F1086" s="520"/>
      <c r="G1086" s="520"/>
      <c r="H1086" s="520"/>
      <c r="I1086" s="520"/>
      <c r="J1086" s="544"/>
      <c r="K1086" s="520"/>
      <c r="L1086" s="520"/>
      <c r="M1086" s="520"/>
      <c r="N1086" s="520"/>
      <c r="O1086" s="520"/>
      <c r="P1086" s="520"/>
      <c r="Q1086" s="520"/>
      <c r="R1086" s="520"/>
      <c r="S1086" s="520"/>
      <c r="T1086" s="520"/>
    </row>
    <row r="1087" spans="1:20" x14ac:dyDescent="0.3">
      <c r="A1087" s="556"/>
      <c r="C1087" s="520"/>
      <c r="D1087" s="520"/>
      <c r="E1087" s="520"/>
      <c r="F1087" s="520"/>
      <c r="G1087" s="520"/>
      <c r="H1087" s="520"/>
      <c r="I1087" s="520"/>
      <c r="J1087" s="544"/>
      <c r="K1087" s="520"/>
      <c r="L1087" s="520"/>
      <c r="M1087" s="520"/>
      <c r="N1087" s="520"/>
      <c r="O1087" s="520"/>
      <c r="P1087" s="520"/>
      <c r="Q1087" s="520"/>
      <c r="R1087" s="520"/>
      <c r="S1087" s="520"/>
      <c r="T1087" s="520"/>
    </row>
    <row r="1088" spans="1:20" x14ac:dyDescent="0.3">
      <c r="A1088" s="556"/>
      <c r="C1088" s="520"/>
      <c r="D1088" s="520"/>
      <c r="E1088" s="520"/>
      <c r="F1088" s="520"/>
      <c r="G1088" s="520"/>
      <c r="H1088" s="520"/>
      <c r="I1088" s="520"/>
      <c r="J1088" s="544"/>
      <c r="K1088" s="520"/>
      <c r="L1088" s="520"/>
      <c r="M1088" s="520"/>
      <c r="N1088" s="520"/>
      <c r="O1088" s="520"/>
      <c r="P1088" s="520"/>
      <c r="Q1088" s="520"/>
      <c r="R1088" s="520"/>
      <c r="S1088" s="520"/>
      <c r="T1088" s="520"/>
    </row>
    <row r="1089" spans="1:20" x14ac:dyDescent="0.3">
      <c r="A1089" s="556"/>
      <c r="C1089" s="520"/>
      <c r="D1089" s="520"/>
      <c r="E1089" s="520"/>
      <c r="F1089" s="520"/>
      <c r="G1089" s="520"/>
      <c r="H1089" s="520"/>
      <c r="I1089" s="520"/>
      <c r="J1089" s="544"/>
      <c r="K1089" s="520"/>
      <c r="L1089" s="520"/>
      <c r="M1089" s="520"/>
      <c r="N1089" s="520"/>
      <c r="O1089" s="520"/>
      <c r="P1089" s="520"/>
      <c r="Q1089" s="520"/>
      <c r="R1089" s="520"/>
      <c r="S1089" s="520"/>
      <c r="T1089" s="520"/>
    </row>
    <row r="1090" spans="1:20" x14ac:dyDescent="0.3">
      <c r="A1090" s="556"/>
      <c r="C1090" s="520"/>
      <c r="D1090" s="520"/>
      <c r="E1090" s="520"/>
      <c r="F1090" s="520"/>
      <c r="G1090" s="520"/>
      <c r="H1090" s="520"/>
      <c r="I1090" s="520"/>
      <c r="J1090" s="544"/>
      <c r="K1090" s="520"/>
      <c r="L1090" s="520"/>
      <c r="M1090" s="520"/>
      <c r="N1090" s="520"/>
      <c r="O1090" s="520"/>
      <c r="P1090" s="520"/>
      <c r="Q1090" s="520"/>
      <c r="R1090" s="520"/>
      <c r="S1090" s="520"/>
      <c r="T1090" s="520"/>
    </row>
    <row r="1091" spans="1:20" x14ac:dyDescent="0.3">
      <c r="A1091" s="556"/>
      <c r="C1091" s="520"/>
      <c r="D1091" s="520"/>
      <c r="E1091" s="520"/>
      <c r="F1091" s="520"/>
      <c r="G1091" s="520"/>
      <c r="H1091" s="520"/>
      <c r="I1091" s="520"/>
      <c r="J1091" s="544"/>
      <c r="K1091" s="520"/>
      <c r="L1091" s="520"/>
      <c r="M1091" s="520"/>
      <c r="N1091" s="520"/>
      <c r="O1091" s="520"/>
      <c r="P1091" s="520"/>
      <c r="Q1091" s="520"/>
      <c r="R1091" s="520"/>
      <c r="S1091" s="520"/>
      <c r="T1091" s="520"/>
    </row>
    <row r="1092" spans="1:20" x14ac:dyDescent="0.3">
      <c r="A1092" s="556"/>
      <c r="C1092" s="520"/>
      <c r="D1092" s="520"/>
      <c r="E1092" s="520"/>
      <c r="F1092" s="520"/>
      <c r="G1092" s="520"/>
      <c r="H1092" s="520"/>
      <c r="I1092" s="520"/>
      <c r="J1092" s="544"/>
      <c r="K1092" s="520"/>
      <c r="L1092" s="520"/>
      <c r="M1092" s="520"/>
      <c r="N1092" s="520"/>
      <c r="O1092" s="520"/>
      <c r="P1092" s="520"/>
      <c r="Q1092" s="520"/>
      <c r="R1092" s="520"/>
      <c r="S1092" s="520"/>
      <c r="T1092" s="520"/>
    </row>
    <row r="1093" spans="1:20" x14ac:dyDescent="0.3">
      <c r="A1093" s="556"/>
      <c r="C1093" s="520"/>
      <c r="D1093" s="520"/>
      <c r="E1093" s="520"/>
      <c r="F1093" s="520"/>
      <c r="G1093" s="520"/>
      <c r="H1093" s="520"/>
      <c r="I1093" s="520"/>
      <c r="J1093" s="544"/>
      <c r="K1093" s="520"/>
      <c r="L1093" s="520"/>
      <c r="M1093" s="520"/>
      <c r="N1093" s="520"/>
      <c r="O1093" s="520"/>
      <c r="P1093" s="520"/>
      <c r="Q1093" s="520"/>
      <c r="R1093" s="520"/>
      <c r="S1093" s="520"/>
      <c r="T1093" s="520"/>
    </row>
    <row r="1094" spans="1:20" x14ac:dyDescent="0.3">
      <c r="A1094" s="556"/>
      <c r="C1094" s="520"/>
      <c r="D1094" s="520"/>
      <c r="E1094" s="520"/>
      <c r="F1094" s="520"/>
      <c r="G1094" s="520"/>
      <c r="H1094" s="520"/>
      <c r="I1094" s="520"/>
      <c r="J1094" s="544"/>
      <c r="K1094" s="520"/>
      <c r="L1094" s="520"/>
      <c r="M1094" s="520"/>
      <c r="N1094" s="520"/>
      <c r="O1094" s="520"/>
      <c r="P1094" s="520"/>
      <c r="Q1094" s="520"/>
      <c r="R1094" s="520"/>
      <c r="S1094" s="520"/>
      <c r="T1094" s="520"/>
    </row>
    <row r="1095" spans="1:20" x14ac:dyDescent="0.3">
      <c r="A1095" s="556"/>
      <c r="C1095" s="520"/>
      <c r="D1095" s="520"/>
      <c r="E1095" s="520"/>
      <c r="F1095" s="520"/>
      <c r="G1095" s="520"/>
      <c r="H1095" s="520"/>
      <c r="I1095" s="520"/>
      <c r="J1095" s="544"/>
      <c r="K1095" s="520"/>
      <c r="L1095" s="520"/>
      <c r="M1095" s="520"/>
      <c r="N1095" s="520"/>
      <c r="O1095" s="520"/>
      <c r="P1095" s="520"/>
      <c r="Q1095" s="520"/>
      <c r="R1095" s="520"/>
      <c r="S1095" s="520"/>
      <c r="T1095" s="520"/>
    </row>
    <row r="1096" spans="1:20" x14ac:dyDescent="0.3">
      <c r="A1096" s="556"/>
      <c r="C1096" s="520"/>
      <c r="D1096" s="520"/>
      <c r="E1096" s="520"/>
      <c r="F1096" s="520"/>
      <c r="G1096" s="520"/>
      <c r="H1096" s="520"/>
      <c r="I1096" s="520"/>
      <c r="J1096" s="544"/>
      <c r="K1096" s="520"/>
      <c r="L1096" s="520"/>
      <c r="M1096" s="520"/>
      <c r="N1096" s="520"/>
      <c r="O1096" s="520"/>
      <c r="P1096" s="520"/>
      <c r="Q1096" s="520"/>
      <c r="R1096" s="520"/>
      <c r="S1096" s="520"/>
      <c r="T1096" s="520"/>
    </row>
    <row r="1097" spans="1:20" x14ac:dyDescent="0.3">
      <c r="A1097" s="556"/>
      <c r="C1097" s="520"/>
      <c r="D1097" s="520"/>
      <c r="E1097" s="520"/>
      <c r="F1097" s="520"/>
      <c r="G1097" s="520"/>
      <c r="H1097" s="520"/>
      <c r="I1097" s="520"/>
      <c r="J1097" s="544"/>
      <c r="K1097" s="520"/>
      <c r="L1097" s="520"/>
      <c r="M1097" s="520"/>
      <c r="N1097" s="520"/>
      <c r="O1097" s="520"/>
      <c r="P1097" s="520"/>
      <c r="Q1097" s="520"/>
      <c r="R1097" s="520"/>
      <c r="S1097" s="520"/>
      <c r="T1097" s="520"/>
    </row>
    <row r="1098" spans="1:20" x14ac:dyDescent="0.3">
      <c r="A1098" s="556"/>
      <c r="C1098" s="520"/>
      <c r="D1098" s="520"/>
      <c r="E1098" s="520"/>
      <c r="F1098" s="520"/>
      <c r="G1098" s="520"/>
      <c r="H1098" s="520"/>
      <c r="I1098" s="520"/>
      <c r="J1098" s="544"/>
      <c r="K1098" s="520"/>
      <c r="L1098" s="520"/>
      <c r="M1098" s="520"/>
      <c r="N1098" s="520"/>
      <c r="O1098" s="520"/>
      <c r="P1098" s="520"/>
      <c r="Q1098" s="520"/>
      <c r="R1098" s="520"/>
      <c r="S1098" s="520"/>
      <c r="T1098" s="520"/>
    </row>
    <row r="1099" spans="1:20" x14ac:dyDescent="0.3">
      <c r="A1099" s="556"/>
      <c r="C1099" s="520"/>
      <c r="D1099" s="520"/>
      <c r="E1099" s="520"/>
      <c r="F1099" s="520"/>
      <c r="G1099" s="520"/>
      <c r="H1099" s="520"/>
      <c r="I1099" s="520"/>
      <c r="J1099" s="544"/>
      <c r="K1099" s="520"/>
      <c r="L1099" s="520"/>
      <c r="M1099" s="520"/>
      <c r="N1099" s="520"/>
      <c r="O1099" s="520"/>
      <c r="P1099" s="520"/>
      <c r="Q1099" s="520"/>
      <c r="R1099" s="520"/>
      <c r="S1099" s="520"/>
      <c r="T1099" s="520"/>
    </row>
    <row r="1100" spans="1:20" x14ac:dyDescent="0.3">
      <c r="A1100" s="556"/>
      <c r="C1100" s="520"/>
      <c r="D1100" s="520"/>
      <c r="E1100" s="520"/>
      <c r="F1100" s="520"/>
      <c r="G1100" s="520"/>
      <c r="H1100" s="520"/>
      <c r="I1100" s="520"/>
      <c r="J1100" s="544"/>
      <c r="K1100" s="520"/>
      <c r="L1100" s="520"/>
      <c r="M1100" s="520"/>
      <c r="N1100" s="520"/>
      <c r="O1100" s="520"/>
      <c r="P1100" s="520"/>
      <c r="Q1100" s="520"/>
      <c r="R1100" s="520"/>
      <c r="S1100" s="520"/>
      <c r="T1100" s="520"/>
    </row>
    <row r="1101" spans="1:20" x14ac:dyDescent="0.3">
      <c r="A1101" s="556"/>
      <c r="C1101" s="520"/>
      <c r="D1101" s="520"/>
      <c r="E1101" s="520"/>
      <c r="F1101" s="520"/>
      <c r="G1101" s="520"/>
      <c r="H1101" s="520"/>
      <c r="I1101" s="520"/>
      <c r="J1101" s="544"/>
      <c r="K1101" s="520"/>
      <c r="L1101" s="520"/>
      <c r="M1101" s="520"/>
      <c r="N1101" s="520"/>
      <c r="O1101" s="520"/>
      <c r="P1101" s="520"/>
      <c r="Q1101" s="520"/>
      <c r="R1101" s="520"/>
      <c r="S1101" s="520"/>
      <c r="T1101" s="520"/>
    </row>
    <row r="1102" spans="1:20" x14ac:dyDescent="0.3">
      <c r="A1102" s="556"/>
      <c r="C1102" s="520"/>
      <c r="D1102" s="520"/>
      <c r="E1102" s="520"/>
      <c r="F1102" s="520"/>
      <c r="G1102" s="520"/>
      <c r="H1102" s="520"/>
      <c r="I1102" s="520"/>
      <c r="J1102" s="544"/>
      <c r="K1102" s="520"/>
      <c r="L1102" s="520"/>
      <c r="M1102" s="520"/>
      <c r="N1102" s="520"/>
      <c r="O1102" s="520"/>
      <c r="P1102" s="520"/>
      <c r="Q1102" s="520"/>
      <c r="R1102" s="520"/>
      <c r="S1102" s="520"/>
      <c r="T1102" s="520"/>
    </row>
    <row r="1103" spans="1:20" x14ac:dyDescent="0.3">
      <c r="A1103" s="556"/>
      <c r="C1103" s="520"/>
      <c r="D1103" s="520"/>
      <c r="E1103" s="520"/>
      <c r="F1103" s="520"/>
      <c r="G1103" s="520"/>
      <c r="H1103" s="520"/>
      <c r="I1103" s="520"/>
      <c r="J1103" s="544"/>
      <c r="K1103" s="520"/>
      <c r="L1103" s="520"/>
      <c r="M1103" s="520"/>
      <c r="N1103" s="520"/>
      <c r="O1103" s="520"/>
      <c r="P1103" s="520"/>
      <c r="Q1103" s="520"/>
      <c r="R1103" s="520"/>
      <c r="S1103" s="520"/>
      <c r="T1103" s="520"/>
    </row>
    <row r="1104" spans="1:20" x14ac:dyDescent="0.3">
      <c r="A1104" s="556"/>
      <c r="C1104" s="520"/>
      <c r="D1104" s="520"/>
      <c r="E1104" s="520"/>
      <c r="F1104" s="520"/>
      <c r="G1104" s="520"/>
      <c r="H1104" s="520"/>
      <c r="I1104" s="520"/>
      <c r="J1104" s="544"/>
      <c r="K1104" s="520"/>
      <c r="L1104" s="520"/>
      <c r="M1104" s="520"/>
      <c r="N1104" s="520"/>
      <c r="O1104" s="520"/>
      <c r="P1104" s="520"/>
      <c r="Q1104" s="520"/>
      <c r="R1104" s="520"/>
      <c r="S1104" s="520"/>
      <c r="T1104" s="520"/>
    </row>
    <row r="1105" spans="1:20" x14ac:dyDescent="0.3">
      <c r="A1105" s="556"/>
      <c r="C1105" s="520"/>
      <c r="D1105" s="520"/>
      <c r="E1105" s="520"/>
      <c r="F1105" s="520"/>
      <c r="G1105" s="520"/>
      <c r="H1105" s="520"/>
      <c r="I1105" s="520"/>
      <c r="J1105" s="544"/>
      <c r="K1105" s="520"/>
      <c r="L1105" s="520"/>
      <c r="M1105" s="520"/>
      <c r="N1105" s="520"/>
      <c r="O1105" s="520"/>
      <c r="P1105" s="520"/>
      <c r="Q1105" s="520"/>
      <c r="R1105" s="520"/>
      <c r="S1105" s="520"/>
      <c r="T1105" s="520"/>
    </row>
    <row r="1106" spans="1:20" x14ac:dyDescent="0.3">
      <c r="A1106" s="556"/>
      <c r="C1106" s="520"/>
      <c r="D1106" s="520"/>
      <c r="E1106" s="520"/>
      <c r="F1106" s="520"/>
      <c r="G1106" s="520"/>
      <c r="H1106" s="520"/>
      <c r="I1106" s="520"/>
      <c r="J1106" s="544"/>
      <c r="K1106" s="520"/>
      <c r="L1106" s="520"/>
      <c r="M1106" s="520"/>
      <c r="N1106" s="520"/>
      <c r="O1106" s="520"/>
      <c r="P1106" s="520"/>
      <c r="Q1106" s="520"/>
      <c r="R1106" s="520"/>
      <c r="S1106" s="520"/>
      <c r="T1106" s="520"/>
    </row>
    <row r="1107" spans="1:20" x14ac:dyDescent="0.3">
      <c r="A1107" s="556"/>
      <c r="C1107" s="520"/>
      <c r="D1107" s="520"/>
      <c r="E1107" s="520"/>
      <c r="F1107" s="520"/>
      <c r="G1107" s="520"/>
      <c r="H1107" s="520"/>
      <c r="I1107" s="520"/>
      <c r="J1107" s="544"/>
      <c r="K1107" s="520"/>
      <c r="L1107" s="520"/>
      <c r="M1107" s="520"/>
      <c r="N1107" s="520"/>
      <c r="O1107" s="520"/>
      <c r="P1107" s="520"/>
      <c r="Q1107" s="520"/>
      <c r="R1107" s="520"/>
      <c r="S1107" s="520"/>
      <c r="T1107" s="520"/>
    </row>
    <row r="1108" spans="1:20" x14ac:dyDescent="0.3">
      <c r="A1108" s="556"/>
      <c r="C1108" s="520"/>
      <c r="D1108" s="520"/>
      <c r="E1108" s="520"/>
      <c r="F1108" s="520"/>
      <c r="G1108" s="520"/>
      <c r="H1108" s="520"/>
      <c r="I1108" s="520"/>
      <c r="J1108" s="544"/>
      <c r="K1108" s="520"/>
      <c r="L1108" s="520"/>
      <c r="M1108" s="520"/>
      <c r="N1108" s="520"/>
      <c r="O1108" s="520"/>
      <c r="P1108" s="520"/>
      <c r="Q1108" s="520"/>
      <c r="R1108" s="520"/>
      <c r="S1108" s="520"/>
      <c r="T1108" s="520"/>
    </row>
    <row r="1109" spans="1:20" x14ac:dyDescent="0.3">
      <c r="A1109" s="556"/>
      <c r="C1109" s="520"/>
      <c r="D1109" s="520"/>
      <c r="E1109" s="520"/>
      <c r="F1109" s="520"/>
      <c r="G1109" s="520"/>
      <c r="H1109" s="520"/>
      <c r="I1109" s="520"/>
      <c r="J1109" s="544"/>
      <c r="K1109" s="520"/>
      <c r="L1109" s="520"/>
      <c r="M1109" s="520"/>
      <c r="N1109" s="520"/>
      <c r="O1109" s="520"/>
      <c r="P1109" s="520"/>
      <c r="Q1109" s="520"/>
      <c r="R1109" s="520"/>
      <c r="S1109" s="520"/>
      <c r="T1109" s="520"/>
    </row>
    <row r="1110" spans="1:20" x14ac:dyDescent="0.3">
      <c r="A1110" s="556"/>
      <c r="C1110" s="520"/>
      <c r="D1110" s="520"/>
      <c r="E1110" s="520"/>
      <c r="F1110" s="520"/>
      <c r="G1110" s="520"/>
      <c r="H1110" s="520"/>
      <c r="I1110" s="520"/>
      <c r="J1110" s="544"/>
      <c r="K1110" s="520"/>
      <c r="L1110" s="520"/>
      <c r="M1110" s="520"/>
      <c r="N1110" s="520"/>
      <c r="O1110" s="520"/>
      <c r="P1110" s="520"/>
      <c r="Q1110" s="520"/>
      <c r="R1110" s="520"/>
      <c r="S1110" s="520"/>
      <c r="T1110" s="520"/>
    </row>
    <row r="1111" spans="1:20" x14ac:dyDescent="0.3">
      <c r="A1111" s="556"/>
      <c r="C1111" s="520"/>
      <c r="D1111" s="520"/>
      <c r="E1111" s="520"/>
      <c r="F1111" s="520"/>
      <c r="G1111" s="520"/>
      <c r="H1111" s="520"/>
      <c r="I1111" s="520"/>
      <c r="J1111" s="520"/>
      <c r="K1111" s="520"/>
      <c r="L1111" s="520"/>
      <c r="M1111" s="520"/>
      <c r="N1111" s="520"/>
      <c r="O1111" s="520"/>
      <c r="P1111" s="520"/>
      <c r="Q1111" s="520"/>
      <c r="R1111" s="520"/>
      <c r="S1111" s="520"/>
      <c r="T1111" s="520"/>
    </row>
    <row r="1112" spans="1:20" x14ac:dyDescent="0.3">
      <c r="A1112" s="556"/>
      <c r="C1112" s="520"/>
      <c r="D1112" s="520"/>
      <c r="E1112" s="520"/>
      <c r="F1112" s="520"/>
      <c r="G1112" s="520"/>
      <c r="H1112" s="520"/>
      <c r="I1112" s="520"/>
      <c r="J1112" s="520"/>
      <c r="K1112" s="520"/>
      <c r="L1112" s="520"/>
      <c r="M1112" s="520"/>
      <c r="N1112" s="520"/>
      <c r="O1112" s="520"/>
      <c r="P1112" s="520"/>
      <c r="Q1112" s="520"/>
      <c r="R1112" s="520"/>
      <c r="S1112" s="520"/>
      <c r="T1112" s="520"/>
    </row>
    <row r="1113" spans="1:20" x14ac:dyDescent="0.3">
      <c r="A1113" s="556"/>
      <c r="C1113" s="520"/>
      <c r="D1113" s="520"/>
      <c r="E1113" s="520"/>
      <c r="F1113" s="520"/>
      <c r="G1113" s="520"/>
      <c r="H1113" s="520"/>
      <c r="I1113" s="520"/>
      <c r="J1113" s="520"/>
      <c r="K1113" s="520"/>
      <c r="L1113" s="520"/>
      <c r="M1113" s="520"/>
      <c r="N1113" s="520"/>
      <c r="O1113" s="520"/>
      <c r="P1113" s="520"/>
      <c r="Q1113" s="520"/>
      <c r="R1113" s="520"/>
      <c r="S1113" s="520"/>
      <c r="T1113" s="520"/>
    </row>
    <row r="1114" spans="1:20" x14ac:dyDescent="0.3">
      <c r="A1114" s="556"/>
      <c r="C1114" s="551"/>
      <c r="D1114" s="520"/>
      <c r="E1114" s="520"/>
      <c r="F1114" s="520"/>
      <c r="G1114" s="520"/>
      <c r="H1114" s="520"/>
      <c r="I1114" s="520"/>
      <c r="J1114" s="520"/>
      <c r="K1114" s="520"/>
      <c r="L1114" s="520"/>
      <c r="M1114" s="520"/>
      <c r="N1114" s="520"/>
      <c r="O1114" s="520"/>
      <c r="P1114" s="520"/>
      <c r="Q1114" s="520"/>
      <c r="R1114" s="520"/>
      <c r="S1114" s="520"/>
      <c r="T1114" s="520"/>
    </row>
    <row r="1115" spans="1:20" x14ac:dyDescent="0.3">
      <c r="A1115" s="556"/>
      <c r="C1115" s="551"/>
      <c r="D1115" s="520"/>
      <c r="E1115" s="520"/>
      <c r="F1115" s="520"/>
      <c r="G1115" s="520"/>
      <c r="H1115" s="520"/>
      <c r="I1115" s="529"/>
      <c r="J1115" s="529"/>
      <c r="K1115" s="520"/>
      <c r="L1115" s="520"/>
      <c r="M1115" s="520"/>
      <c r="N1115" s="520"/>
      <c r="O1115" s="529"/>
      <c r="P1115" s="520"/>
      <c r="Q1115" s="520"/>
      <c r="R1115" s="520"/>
      <c r="S1115" s="520"/>
      <c r="T1115" s="520"/>
    </row>
    <row r="1116" spans="1:20" x14ac:dyDescent="0.3">
      <c r="A1116" s="556"/>
      <c r="C1116" s="551"/>
      <c r="D1116" s="551"/>
      <c r="E1116" s="551"/>
      <c r="F1116" s="520"/>
      <c r="G1116" s="520"/>
      <c r="H1116" s="520"/>
      <c r="I1116" s="520"/>
      <c r="J1116" s="520"/>
      <c r="K1116" s="520"/>
      <c r="L1116" s="520"/>
      <c r="M1116" s="520"/>
      <c r="N1116" s="520"/>
      <c r="O1116" s="520"/>
      <c r="P1116" s="520"/>
      <c r="Q1116" s="520"/>
      <c r="R1116" s="520"/>
      <c r="S1116" s="520"/>
      <c r="T1116" s="520"/>
    </row>
    <row r="1117" spans="1:20" x14ac:dyDescent="0.3">
      <c r="A1117" s="556"/>
      <c r="C1117" s="520"/>
      <c r="D1117" s="520"/>
      <c r="E1117" s="520"/>
      <c r="F1117" s="520"/>
      <c r="G1117" s="520"/>
      <c r="H1117" s="520"/>
      <c r="I1117" s="520"/>
      <c r="J1117" s="544"/>
      <c r="K1117" s="520"/>
      <c r="L1117" s="520"/>
      <c r="M1117" s="520"/>
      <c r="N1117" s="520"/>
      <c r="O1117" s="520"/>
      <c r="P1117" s="520"/>
      <c r="Q1117" s="520"/>
      <c r="R1117" s="520"/>
      <c r="S1117" s="520"/>
      <c r="T1117" s="520"/>
    </row>
    <row r="1118" spans="1:20" x14ac:dyDescent="0.3">
      <c r="A1118" s="556"/>
      <c r="C1118" s="520"/>
      <c r="D1118" s="520"/>
      <c r="E1118" s="520"/>
      <c r="F1118" s="520"/>
      <c r="G1118" s="520"/>
      <c r="H1118" s="520"/>
      <c r="I1118" s="520"/>
      <c r="J1118" s="544"/>
      <c r="K1118" s="520"/>
      <c r="L1118" s="520"/>
      <c r="M1118" s="520"/>
      <c r="N1118" s="520"/>
      <c r="O1118" s="520"/>
      <c r="P1118" s="520"/>
      <c r="Q1118" s="520"/>
      <c r="R1118" s="520"/>
      <c r="S1118" s="520"/>
      <c r="T1118" s="520"/>
    </row>
    <row r="1119" spans="1:20" x14ac:dyDescent="0.3">
      <c r="A1119" s="556"/>
      <c r="C1119" s="520"/>
      <c r="D1119" s="520"/>
      <c r="E1119" s="520"/>
      <c r="F1119" s="520"/>
      <c r="G1119" s="520"/>
      <c r="H1119" s="520"/>
      <c r="I1119" s="520"/>
      <c r="J1119" s="544"/>
      <c r="K1119" s="520"/>
      <c r="L1119" s="520"/>
      <c r="M1119" s="520"/>
      <c r="N1119" s="520"/>
      <c r="O1119" s="520"/>
      <c r="P1119" s="520"/>
      <c r="Q1119" s="520"/>
      <c r="R1119" s="520"/>
      <c r="S1119" s="520"/>
      <c r="T1119" s="520"/>
    </row>
    <row r="1120" spans="1:20" x14ac:dyDescent="0.3">
      <c r="A1120" s="556"/>
      <c r="C1120" s="520"/>
      <c r="D1120" s="520"/>
      <c r="E1120" s="520"/>
      <c r="F1120" s="520"/>
      <c r="G1120" s="520"/>
      <c r="H1120" s="520"/>
      <c r="I1120" s="520"/>
      <c r="J1120" s="544"/>
      <c r="K1120" s="520"/>
      <c r="L1120" s="520"/>
      <c r="M1120" s="520"/>
      <c r="N1120" s="520"/>
      <c r="O1120" s="520"/>
      <c r="P1120" s="520"/>
      <c r="Q1120" s="520"/>
      <c r="R1120" s="520"/>
      <c r="S1120" s="520"/>
      <c r="T1120" s="520"/>
    </row>
    <row r="1121" spans="1:20" x14ac:dyDescent="0.3">
      <c r="A1121" s="556"/>
      <c r="C1121" s="520"/>
      <c r="D1121" s="520"/>
      <c r="E1121" s="520"/>
      <c r="F1121" s="520"/>
      <c r="G1121" s="520"/>
      <c r="H1121" s="520"/>
      <c r="I1121" s="520"/>
      <c r="J1121" s="544"/>
      <c r="K1121" s="520"/>
      <c r="L1121" s="520"/>
      <c r="M1121" s="520"/>
      <c r="N1121" s="520"/>
      <c r="O1121" s="520"/>
      <c r="P1121" s="520"/>
      <c r="Q1121" s="520"/>
      <c r="R1121" s="520"/>
      <c r="S1121" s="520"/>
      <c r="T1121" s="520"/>
    </row>
    <row r="1122" spans="1:20" x14ac:dyDescent="0.3">
      <c r="A1122" s="556"/>
      <c r="C1122" s="520"/>
      <c r="D1122" s="520"/>
      <c r="E1122" s="520"/>
      <c r="F1122" s="520"/>
      <c r="G1122" s="520"/>
      <c r="H1122" s="520"/>
      <c r="I1122" s="520"/>
      <c r="J1122" s="544"/>
      <c r="K1122" s="520"/>
      <c r="L1122" s="520"/>
      <c r="M1122" s="520"/>
      <c r="N1122" s="520"/>
      <c r="O1122" s="520"/>
      <c r="P1122" s="520"/>
      <c r="Q1122" s="520"/>
      <c r="R1122" s="520"/>
      <c r="S1122" s="520"/>
      <c r="T1122" s="520"/>
    </row>
    <row r="1123" spans="1:20" x14ac:dyDescent="0.3">
      <c r="A1123" s="556"/>
      <c r="C1123" s="520"/>
      <c r="D1123" s="520"/>
      <c r="E1123" s="520"/>
      <c r="F1123" s="520"/>
      <c r="G1123" s="520"/>
      <c r="H1123" s="520"/>
      <c r="I1123" s="520"/>
      <c r="J1123" s="544"/>
      <c r="K1123" s="520"/>
      <c r="L1123" s="520"/>
      <c r="M1123" s="520"/>
      <c r="N1123" s="520"/>
      <c r="O1123" s="520"/>
      <c r="P1123" s="520"/>
      <c r="Q1123" s="520"/>
      <c r="R1123" s="520"/>
      <c r="S1123" s="520"/>
      <c r="T1123" s="520"/>
    </row>
    <row r="1124" spans="1:20" x14ac:dyDescent="0.3">
      <c r="A1124" s="556"/>
      <c r="C1124" s="520"/>
      <c r="D1124" s="520"/>
      <c r="E1124" s="520"/>
      <c r="F1124" s="520"/>
      <c r="G1124" s="520"/>
      <c r="H1124" s="520"/>
      <c r="I1124" s="520"/>
      <c r="J1124" s="544"/>
      <c r="K1124" s="520"/>
      <c r="L1124" s="520"/>
      <c r="M1124" s="520"/>
      <c r="N1124" s="520"/>
      <c r="O1124" s="520"/>
      <c r="P1124" s="520"/>
      <c r="Q1124" s="520"/>
      <c r="R1124" s="520"/>
      <c r="S1124" s="520"/>
      <c r="T1124" s="520"/>
    </row>
    <row r="1125" spans="1:20" x14ac:dyDescent="0.3">
      <c r="A1125" s="556"/>
      <c r="C1125" s="520"/>
      <c r="D1125" s="520"/>
      <c r="E1125" s="520"/>
      <c r="F1125" s="520"/>
      <c r="G1125" s="520"/>
      <c r="H1125" s="520"/>
      <c r="I1125" s="520"/>
      <c r="J1125" s="544"/>
      <c r="K1125" s="520"/>
      <c r="L1125" s="520"/>
      <c r="M1125" s="520"/>
      <c r="N1125" s="520"/>
      <c r="O1125" s="520"/>
      <c r="P1125" s="520"/>
      <c r="Q1125" s="520"/>
      <c r="R1125" s="520"/>
      <c r="S1125" s="520"/>
      <c r="T1125" s="520"/>
    </row>
    <row r="1126" spans="1:20" x14ac:dyDescent="0.3">
      <c r="A1126" s="556"/>
      <c r="C1126" s="520"/>
      <c r="D1126" s="520"/>
      <c r="E1126" s="520"/>
      <c r="F1126" s="520"/>
      <c r="G1126" s="520"/>
      <c r="H1126" s="520"/>
      <c r="I1126" s="520"/>
      <c r="J1126" s="544"/>
      <c r="K1126" s="520"/>
      <c r="L1126" s="520"/>
      <c r="M1126" s="520"/>
      <c r="N1126" s="520"/>
      <c r="O1126" s="520"/>
      <c r="P1126" s="520"/>
      <c r="Q1126" s="520"/>
      <c r="R1126" s="520"/>
      <c r="S1126" s="520"/>
      <c r="T1126" s="520"/>
    </row>
    <row r="1127" spans="1:20" x14ac:dyDescent="0.3">
      <c r="A1127" s="556"/>
      <c r="C1127" s="520"/>
      <c r="D1127" s="520"/>
      <c r="E1127" s="520"/>
      <c r="F1127" s="520"/>
      <c r="G1127" s="520"/>
      <c r="H1127" s="520"/>
      <c r="I1127" s="520"/>
      <c r="J1127" s="544"/>
      <c r="K1127" s="520"/>
      <c r="L1127" s="520"/>
      <c r="M1127" s="520"/>
      <c r="N1127" s="520"/>
      <c r="O1127" s="520"/>
      <c r="P1127" s="520"/>
      <c r="Q1127" s="520"/>
      <c r="R1127" s="520"/>
      <c r="S1127" s="520"/>
      <c r="T1127" s="520"/>
    </row>
    <row r="1128" spans="1:20" x14ac:dyDescent="0.3">
      <c r="A1128" s="556"/>
      <c r="C1128" s="520"/>
      <c r="D1128" s="520"/>
      <c r="E1128" s="520"/>
      <c r="F1128" s="520"/>
      <c r="G1128" s="520"/>
      <c r="H1128" s="520"/>
      <c r="I1128" s="520"/>
      <c r="J1128" s="544"/>
      <c r="K1128" s="520"/>
      <c r="L1128" s="520"/>
      <c r="M1128" s="520"/>
      <c r="N1128" s="520"/>
      <c r="O1128" s="520"/>
      <c r="P1128" s="520"/>
      <c r="Q1128" s="520"/>
      <c r="R1128" s="520"/>
      <c r="S1128" s="520"/>
      <c r="T1128" s="520"/>
    </row>
    <row r="1129" spans="1:20" x14ac:dyDescent="0.3">
      <c r="A1129" s="556"/>
      <c r="C1129" s="520"/>
      <c r="D1129" s="520"/>
      <c r="E1129" s="520"/>
      <c r="F1129" s="520"/>
      <c r="G1129" s="520"/>
      <c r="H1129" s="520"/>
      <c r="I1129" s="520"/>
      <c r="J1129" s="544"/>
      <c r="K1129" s="520"/>
      <c r="L1129" s="520"/>
      <c r="M1129" s="520"/>
      <c r="N1129" s="520"/>
      <c r="O1129" s="520"/>
      <c r="P1129" s="520"/>
      <c r="Q1129" s="520"/>
      <c r="R1129" s="520"/>
      <c r="S1129" s="520"/>
      <c r="T1129" s="520"/>
    </row>
    <row r="1130" spans="1:20" x14ac:dyDescent="0.3">
      <c r="A1130" s="556"/>
      <c r="C1130" s="520"/>
      <c r="D1130" s="520"/>
      <c r="E1130" s="520"/>
      <c r="F1130" s="520"/>
      <c r="G1130" s="520"/>
      <c r="H1130" s="520"/>
      <c r="I1130" s="520"/>
      <c r="J1130" s="544"/>
      <c r="K1130" s="520"/>
      <c r="L1130" s="520"/>
      <c r="M1130" s="520"/>
      <c r="N1130" s="520"/>
      <c r="O1130" s="520"/>
      <c r="P1130" s="520"/>
      <c r="Q1130" s="520"/>
      <c r="R1130" s="520"/>
      <c r="S1130" s="520"/>
      <c r="T1130" s="520"/>
    </row>
    <row r="1131" spans="1:20" x14ac:dyDescent="0.3">
      <c r="A1131" s="556"/>
      <c r="C1131" s="520"/>
      <c r="D1131" s="520"/>
      <c r="E1131" s="520"/>
      <c r="F1131" s="520"/>
      <c r="G1131" s="520"/>
      <c r="H1131" s="520"/>
      <c r="I1131" s="520"/>
      <c r="J1131" s="544"/>
      <c r="K1131" s="520"/>
      <c r="L1131" s="520"/>
      <c r="M1131" s="520"/>
      <c r="N1131" s="520"/>
      <c r="O1131" s="520"/>
      <c r="P1131" s="520"/>
      <c r="Q1131" s="520"/>
      <c r="R1131" s="520"/>
      <c r="S1131" s="520"/>
      <c r="T1131" s="520"/>
    </row>
    <row r="1132" spans="1:20" x14ac:dyDescent="0.3">
      <c r="A1132" s="556"/>
      <c r="C1132" s="520"/>
      <c r="D1132" s="520"/>
      <c r="E1132" s="520"/>
      <c r="F1132" s="520"/>
      <c r="G1132" s="520"/>
      <c r="H1132" s="520"/>
      <c r="I1132" s="520"/>
      <c r="J1132" s="544"/>
      <c r="K1132" s="520"/>
      <c r="L1132" s="520"/>
      <c r="M1132" s="520"/>
      <c r="N1132" s="520"/>
      <c r="O1132" s="520"/>
      <c r="P1132" s="520"/>
      <c r="Q1132" s="520"/>
      <c r="R1132" s="520"/>
      <c r="S1132" s="520"/>
      <c r="T1132" s="520"/>
    </row>
    <row r="1133" spans="1:20" x14ac:dyDescent="0.3">
      <c r="A1133" s="556"/>
      <c r="C1133" s="520"/>
      <c r="D1133" s="520"/>
      <c r="E1133" s="520"/>
      <c r="F1133" s="520"/>
      <c r="G1133" s="520"/>
      <c r="H1133" s="520"/>
      <c r="I1133" s="520"/>
      <c r="J1133" s="544"/>
      <c r="K1133" s="520"/>
      <c r="L1133" s="520"/>
      <c r="M1133" s="520"/>
      <c r="N1133" s="520"/>
      <c r="O1133" s="520"/>
      <c r="P1133" s="520"/>
      <c r="Q1133" s="520"/>
      <c r="R1133" s="520"/>
      <c r="S1133" s="520"/>
      <c r="T1133" s="520"/>
    </row>
    <row r="1134" spans="1:20" x14ac:dyDescent="0.3">
      <c r="A1134" s="556"/>
      <c r="C1134" s="520"/>
      <c r="D1134" s="520"/>
      <c r="E1134" s="520"/>
      <c r="F1134" s="520"/>
      <c r="G1134" s="520"/>
      <c r="H1134" s="520"/>
      <c r="I1134" s="520"/>
      <c r="J1134" s="544"/>
      <c r="K1134" s="520"/>
      <c r="L1134" s="520"/>
      <c r="M1134" s="520"/>
      <c r="N1134" s="520"/>
      <c r="O1134" s="520"/>
      <c r="P1134" s="520"/>
      <c r="Q1134" s="520"/>
      <c r="R1134" s="520"/>
      <c r="S1134" s="520"/>
      <c r="T1134" s="520"/>
    </row>
    <row r="1135" spans="1:20" x14ac:dyDescent="0.3">
      <c r="A1135" s="556"/>
      <c r="C1135" s="520"/>
      <c r="D1135" s="520"/>
      <c r="E1135" s="520"/>
      <c r="F1135" s="520"/>
      <c r="G1135" s="520"/>
      <c r="H1135" s="520"/>
      <c r="I1135" s="520"/>
      <c r="J1135" s="544"/>
      <c r="K1135" s="520"/>
      <c r="L1135" s="520"/>
      <c r="M1135" s="520"/>
      <c r="N1135" s="520"/>
      <c r="O1135" s="520"/>
      <c r="P1135" s="520"/>
      <c r="Q1135" s="520"/>
      <c r="R1135" s="520"/>
      <c r="S1135" s="520"/>
      <c r="T1135" s="520"/>
    </row>
    <row r="1136" spans="1:20" x14ac:dyDescent="0.3">
      <c r="A1136" s="556"/>
      <c r="C1136" s="520"/>
      <c r="D1136" s="520"/>
      <c r="E1136" s="520"/>
      <c r="F1136" s="520"/>
      <c r="G1136" s="520"/>
      <c r="H1136" s="520"/>
      <c r="I1136" s="520"/>
      <c r="J1136" s="544"/>
      <c r="K1136" s="520"/>
      <c r="L1136" s="520"/>
      <c r="M1136" s="520"/>
      <c r="N1136" s="520"/>
      <c r="O1136" s="520"/>
      <c r="P1136" s="520"/>
      <c r="Q1136" s="520"/>
      <c r="R1136" s="520"/>
      <c r="S1136" s="520"/>
      <c r="T1136" s="520"/>
    </row>
    <row r="1137" spans="1:20" x14ac:dyDescent="0.3">
      <c r="A1137" s="556"/>
      <c r="C1137" s="520"/>
      <c r="D1137" s="520"/>
      <c r="E1137" s="520"/>
      <c r="F1137" s="520"/>
      <c r="G1137" s="520"/>
      <c r="H1137" s="520"/>
      <c r="I1137" s="520"/>
      <c r="J1137" s="544"/>
      <c r="K1137" s="520"/>
      <c r="L1137" s="520"/>
      <c r="M1137" s="520"/>
      <c r="N1137" s="520"/>
      <c r="O1137" s="520"/>
      <c r="P1137" s="520"/>
      <c r="Q1137" s="520"/>
      <c r="R1137" s="520"/>
      <c r="S1137" s="520"/>
      <c r="T1137" s="520"/>
    </row>
    <row r="1138" spans="1:20" x14ac:dyDescent="0.3">
      <c r="A1138" s="556"/>
      <c r="C1138" s="520"/>
      <c r="D1138" s="520"/>
      <c r="E1138" s="520"/>
      <c r="F1138" s="520"/>
      <c r="G1138" s="520"/>
      <c r="H1138" s="520"/>
      <c r="I1138" s="520"/>
      <c r="J1138" s="544"/>
      <c r="K1138" s="520"/>
      <c r="L1138" s="520"/>
      <c r="M1138" s="520"/>
      <c r="N1138" s="520"/>
      <c r="O1138" s="520"/>
      <c r="P1138" s="520"/>
      <c r="Q1138" s="520"/>
      <c r="R1138" s="520"/>
      <c r="S1138" s="520"/>
      <c r="T1138" s="520"/>
    </row>
    <row r="1139" spans="1:20" x14ac:dyDescent="0.3">
      <c r="A1139" s="556"/>
      <c r="C1139" s="520"/>
      <c r="D1139" s="520"/>
      <c r="E1139" s="520"/>
      <c r="F1139" s="520"/>
      <c r="G1139" s="520"/>
      <c r="H1139" s="520"/>
      <c r="I1139" s="520"/>
      <c r="J1139" s="544"/>
      <c r="K1139" s="520"/>
      <c r="L1139" s="520"/>
      <c r="M1139" s="520"/>
      <c r="N1139" s="520"/>
      <c r="O1139" s="520"/>
      <c r="P1139" s="520"/>
      <c r="Q1139" s="520"/>
      <c r="R1139" s="520"/>
      <c r="S1139" s="520"/>
      <c r="T1139" s="520"/>
    </row>
    <row r="1140" spans="1:20" x14ac:dyDescent="0.3">
      <c r="A1140" s="556"/>
      <c r="C1140" s="520"/>
      <c r="D1140" s="520"/>
      <c r="E1140" s="520"/>
      <c r="F1140" s="520"/>
      <c r="G1140" s="520"/>
      <c r="H1140" s="520"/>
      <c r="I1140" s="520"/>
      <c r="J1140" s="544"/>
      <c r="K1140" s="520"/>
      <c r="L1140" s="520"/>
      <c r="M1140" s="520"/>
      <c r="N1140" s="520"/>
      <c r="O1140" s="520"/>
      <c r="P1140" s="520"/>
      <c r="Q1140" s="520"/>
      <c r="R1140" s="520"/>
      <c r="S1140" s="520"/>
      <c r="T1140" s="520"/>
    </row>
    <row r="1141" spans="1:20" x14ac:dyDescent="0.3">
      <c r="A1141" s="556"/>
      <c r="C1141" s="520"/>
      <c r="D1141" s="520"/>
      <c r="E1141" s="520"/>
      <c r="F1141" s="520"/>
      <c r="G1141" s="520"/>
      <c r="H1141" s="520"/>
      <c r="I1141" s="520"/>
      <c r="J1141" s="544"/>
      <c r="K1141" s="520"/>
      <c r="L1141" s="520"/>
      <c r="M1141" s="520"/>
      <c r="N1141" s="520"/>
      <c r="O1141" s="520"/>
      <c r="P1141" s="520"/>
      <c r="Q1141" s="520"/>
      <c r="R1141" s="520"/>
      <c r="S1141" s="520"/>
      <c r="T1141" s="520"/>
    </row>
    <row r="1142" spans="1:20" x14ac:dyDescent="0.3">
      <c r="A1142" s="556"/>
      <c r="C1142" s="520"/>
      <c r="D1142" s="520"/>
      <c r="E1142" s="520"/>
      <c r="F1142" s="520"/>
      <c r="G1142" s="520"/>
      <c r="H1142" s="520"/>
      <c r="I1142" s="520"/>
      <c r="J1142" s="544"/>
      <c r="K1142" s="520"/>
      <c r="L1142" s="520"/>
      <c r="M1142" s="520"/>
      <c r="N1142" s="520"/>
      <c r="O1142" s="520"/>
      <c r="P1142" s="520"/>
      <c r="Q1142" s="520"/>
      <c r="R1142" s="520"/>
      <c r="S1142" s="520"/>
      <c r="T1142" s="520"/>
    </row>
    <row r="1143" spans="1:20" x14ac:dyDescent="0.3">
      <c r="A1143" s="556"/>
      <c r="C1143" s="520"/>
      <c r="D1143" s="520"/>
      <c r="E1143" s="520"/>
      <c r="F1143" s="520"/>
      <c r="G1143" s="520"/>
      <c r="H1143" s="520"/>
      <c r="I1143" s="520"/>
      <c r="J1143" s="544"/>
      <c r="K1143" s="520"/>
      <c r="L1143" s="520"/>
      <c r="M1143" s="520"/>
      <c r="N1143" s="520"/>
      <c r="O1143" s="520"/>
      <c r="P1143" s="520"/>
      <c r="Q1143" s="520"/>
      <c r="R1143" s="520"/>
      <c r="S1143" s="520"/>
      <c r="T1143" s="520"/>
    </row>
    <row r="1144" spans="1:20" x14ac:dyDescent="0.3">
      <c r="A1144" s="556"/>
      <c r="C1144" s="520"/>
      <c r="D1144" s="520"/>
      <c r="E1144" s="520"/>
      <c r="F1144" s="520"/>
      <c r="G1144" s="520"/>
      <c r="H1144" s="520"/>
      <c r="I1144" s="520"/>
      <c r="J1144" s="544"/>
      <c r="K1144" s="520"/>
      <c r="L1144" s="520"/>
      <c r="M1144" s="520"/>
      <c r="N1144" s="520"/>
      <c r="O1144" s="520"/>
      <c r="P1144" s="520"/>
      <c r="Q1144" s="520"/>
      <c r="R1144" s="520"/>
      <c r="S1144" s="520"/>
      <c r="T1144" s="520"/>
    </row>
    <row r="1145" spans="1:20" x14ac:dyDescent="0.3">
      <c r="A1145" s="556"/>
      <c r="C1145" s="520"/>
      <c r="D1145" s="520"/>
      <c r="E1145" s="520"/>
      <c r="F1145" s="520"/>
      <c r="G1145" s="520"/>
      <c r="H1145" s="520"/>
      <c r="I1145" s="520"/>
      <c r="J1145" s="544"/>
      <c r="K1145" s="520"/>
      <c r="L1145" s="520"/>
      <c r="M1145" s="520"/>
      <c r="N1145" s="520"/>
      <c r="O1145" s="520"/>
      <c r="P1145" s="520"/>
      <c r="Q1145" s="520"/>
      <c r="R1145" s="520"/>
      <c r="S1145" s="520"/>
      <c r="T1145" s="520"/>
    </row>
    <row r="1146" spans="1:20" x14ac:dyDescent="0.3">
      <c r="A1146" s="556"/>
      <c r="C1146" s="520"/>
      <c r="D1146" s="520"/>
      <c r="E1146" s="520"/>
      <c r="F1146" s="520"/>
      <c r="G1146" s="520"/>
      <c r="H1146" s="520"/>
      <c r="I1146" s="520"/>
      <c r="J1146" s="544"/>
      <c r="K1146" s="520"/>
      <c r="L1146" s="520"/>
      <c r="M1146" s="520"/>
      <c r="N1146" s="520"/>
      <c r="O1146" s="520"/>
      <c r="P1146" s="520"/>
      <c r="Q1146" s="520"/>
      <c r="R1146" s="520"/>
      <c r="S1146" s="520"/>
      <c r="T1146" s="520"/>
    </row>
    <row r="1147" spans="1:20" x14ac:dyDescent="0.3">
      <c r="A1147" s="556"/>
      <c r="C1147" s="520"/>
      <c r="D1147" s="520"/>
      <c r="E1147" s="520"/>
      <c r="F1147" s="520"/>
      <c r="G1147" s="520"/>
      <c r="H1147" s="520"/>
      <c r="I1147" s="520"/>
      <c r="J1147" s="544"/>
      <c r="K1147" s="520"/>
      <c r="L1147" s="520"/>
      <c r="M1147" s="520"/>
      <c r="N1147" s="520"/>
      <c r="O1147" s="520"/>
      <c r="P1147" s="520"/>
      <c r="Q1147" s="520"/>
      <c r="R1147" s="520"/>
      <c r="S1147" s="520"/>
      <c r="T1147" s="520"/>
    </row>
    <row r="1148" spans="1:20" x14ac:dyDescent="0.3">
      <c r="A1148" s="556"/>
      <c r="C1148" s="520"/>
      <c r="D1148" s="520"/>
      <c r="E1148" s="520"/>
      <c r="F1148" s="520"/>
      <c r="G1148" s="520"/>
      <c r="H1148" s="520"/>
      <c r="I1148" s="520"/>
      <c r="J1148" s="544"/>
      <c r="K1148" s="520"/>
      <c r="L1148" s="520"/>
      <c r="M1148" s="520"/>
      <c r="N1148" s="520"/>
      <c r="O1148" s="520"/>
      <c r="P1148" s="520"/>
      <c r="Q1148" s="520"/>
      <c r="R1148" s="520"/>
      <c r="S1148" s="520"/>
      <c r="T1148" s="520"/>
    </row>
    <row r="1149" spans="1:20" x14ac:dyDescent="0.3">
      <c r="A1149" s="556"/>
      <c r="C1149" s="520"/>
      <c r="D1149" s="520"/>
      <c r="E1149" s="520"/>
      <c r="F1149" s="520"/>
      <c r="G1149" s="520"/>
      <c r="H1149" s="520"/>
      <c r="I1149" s="520"/>
      <c r="J1149" s="544"/>
      <c r="K1149" s="520"/>
      <c r="L1149" s="520"/>
      <c r="M1149" s="520"/>
      <c r="N1149" s="520"/>
      <c r="O1149" s="520"/>
      <c r="P1149" s="520"/>
      <c r="Q1149" s="520"/>
      <c r="R1149" s="520"/>
      <c r="S1149" s="520"/>
      <c r="T1149" s="520"/>
    </row>
    <row r="1150" spans="1:20" x14ac:dyDescent="0.3">
      <c r="A1150" s="556"/>
      <c r="C1150" s="520"/>
      <c r="D1150" s="520"/>
      <c r="E1150" s="520"/>
      <c r="F1150" s="520"/>
      <c r="G1150" s="520"/>
      <c r="H1150" s="520"/>
      <c r="I1150" s="520"/>
      <c r="J1150" s="544"/>
      <c r="K1150" s="520"/>
      <c r="L1150" s="520"/>
      <c r="M1150" s="520"/>
      <c r="N1150" s="520"/>
      <c r="O1150" s="520"/>
      <c r="P1150" s="520"/>
      <c r="Q1150" s="520"/>
      <c r="R1150" s="520"/>
      <c r="S1150" s="520"/>
      <c r="T1150" s="520"/>
    </row>
    <row r="1151" spans="1:20" x14ac:dyDescent="0.3">
      <c r="A1151" s="556"/>
      <c r="C1151" s="520"/>
      <c r="D1151" s="520"/>
      <c r="E1151" s="520"/>
      <c r="F1151" s="520"/>
      <c r="G1151" s="520"/>
      <c r="H1151" s="520"/>
      <c r="I1151" s="520"/>
      <c r="J1151" s="544"/>
      <c r="K1151" s="520"/>
      <c r="L1151" s="520"/>
      <c r="M1151" s="520"/>
      <c r="N1151" s="520"/>
      <c r="O1151" s="520"/>
      <c r="P1151" s="520"/>
      <c r="Q1151" s="520"/>
      <c r="R1151" s="520"/>
      <c r="S1151" s="520"/>
      <c r="T1151" s="520"/>
    </row>
    <row r="1152" spans="1:20" x14ac:dyDescent="0.3">
      <c r="A1152" s="556"/>
      <c r="C1152" s="520"/>
      <c r="D1152" s="520"/>
      <c r="E1152" s="520"/>
      <c r="F1152" s="520"/>
      <c r="G1152" s="520"/>
      <c r="H1152" s="520"/>
      <c r="I1152" s="520"/>
      <c r="J1152" s="544"/>
      <c r="K1152" s="520"/>
      <c r="L1152" s="520"/>
      <c r="M1152" s="520"/>
      <c r="N1152" s="520"/>
      <c r="O1152" s="520"/>
      <c r="P1152" s="520"/>
      <c r="Q1152" s="520"/>
      <c r="R1152" s="520"/>
      <c r="S1152" s="520"/>
      <c r="T1152" s="520"/>
    </row>
    <row r="1153" spans="1:20" x14ac:dyDescent="0.3">
      <c r="A1153" s="556"/>
      <c r="C1153" s="520"/>
      <c r="D1153" s="520"/>
      <c r="E1153" s="520"/>
      <c r="F1153" s="520"/>
      <c r="G1153" s="520"/>
      <c r="H1153" s="520"/>
      <c r="I1153" s="520"/>
      <c r="J1153" s="544"/>
      <c r="K1153" s="520"/>
      <c r="L1153" s="520"/>
      <c r="M1153" s="520"/>
      <c r="N1153" s="520"/>
      <c r="O1153" s="520"/>
      <c r="P1153" s="520"/>
      <c r="Q1153" s="520"/>
      <c r="R1153" s="520"/>
      <c r="S1153" s="520"/>
      <c r="T1153" s="520"/>
    </row>
    <row r="1154" spans="1:20" x14ac:dyDescent="0.3">
      <c r="A1154" s="556"/>
      <c r="C1154" s="520"/>
      <c r="D1154" s="520"/>
      <c r="E1154" s="520"/>
      <c r="F1154" s="520"/>
      <c r="G1154" s="520"/>
      <c r="H1154" s="520"/>
      <c r="I1154" s="520"/>
      <c r="J1154" s="544"/>
      <c r="K1154" s="520"/>
      <c r="L1154" s="520"/>
      <c r="M1154" s="520"/>
      <c r="N1154" s="520"/>
      <c r="O1154" s="520"/>
      <c r="P1154" s="520"/>
      <c r="Q1154" s="520"/>
      <c r="R1154" s="520"/>
      <c r="S1154" s="520"/>
      <c r="T1154" s="520"/>
    </row>
    <row r="1155" spans="1:20" x14ac:dyDescent="0.3">
      <c r="A1155" s="556"/>
      <c r="C1155" s="520"/>
      <c r="D1155" s="520"/>
      <c r="E1155" s="520"/>
      <c r="F1155" s="520"/>
      <c r="G1155" s="520"/>
      <c r="H1155" s="520"/>
      <c r="I1155" s="520"/>
      <c r="J1155" s="544"/>
      <c r="K1155" s="520"/>
      <c r="L1155" s="520"/>
      <c r="M1155" s="520"/>
      <c r="N1155" s="520"/>
      <c r="O1155" s="520"/>
      <c r="P1155" s="520"/>
      <c r="Q1155" s="520"/>
      <c r="R1155" s="520"/>
      <c r="S1155" s="520"/>
      <c r="T1155" s="520"/>
    </row>
    <row r="1156" spans="1:20" x14ac:dyDescent="0.3">
      <c r="A1156" s="556"/>
      <c r="C1156" s="520"/>
      <c r="D1156" s="520"/>
      <c r="E1156" s="520"/>
      <c r="F1156" s="520"/>
      <c r="G1156" s="520"/>
      <c r="H1156" s="520"/>
      <c r="I1156" s="520"/>
      <c r="J1156" s="544"/>
      <c r="K1156" s="520"/>
      <c r="L1156" s="520"/>
      <c r="M1156" s="520"/>
      <c r="N1156" s="520"/>
      <c r="O1156" s="520"/>
      <c r="P1156" s="520"/>
      <c r="Q1156" s="520"/>
      <c r="R1156" s="520"/>
      <c r="S1156" s="520"/>
      <c r="T1156" s="520"/>
    </row>
    <row r="1157" spans="1:20" x14ac:dyDescent="0.3">
      <c r="A1157" s="556"/>
      <c r="C1157" s="520"/>
      <c r="D1157" s="520"/>
      <c r="E1157" s="520"/>
      <c r="F1157" s="520"/>
      <c r="G1157" s="520"/>
      <c r="H1157" s="520"/>
      <c r="I1157" s="520"/>
      <c r="J1157" s="544"/>
      <c r="K1157" s="520"/>
      <c r="L1157" s="520"/>
      <c r="M1157" s="520"/>
      <c r="N1157" s="520"/>
      <c r="O1157" s="520"/>
      <c r="P1157" s="520"/>
      <c r="Q1157" s="520"/>
      <c r="R1157" s="520"/>
      <c r="S1157" s="520"/>
      <c r="T1157" s="520"/>
    </row>
    <row r="1158" spans="1:20" x14ac:dyDescent="0.3">
      <c r="A1158" s="556"/>
      <c r="C1158" s="520"/>
      <c r="D1158" s="520"/>
      <c r="E1158" s="520"/>
      <c r="F1158" s="520"/>
      <c r="G1158" s="520"/>
      <c r="H1158" s="520"/>
      <c r="I1158" s="520"/>
      <c r="J1158" s="544"/>
      <c r="K1158" s="520"/>
      <c r="L1158" s="520"/>
      <c r="M1158" s="520"/>
      <c r="N1158" s="520"/>
      <c r="O1158" s="520"/>
      <c r="P1158" s="520"/>
      <c r="Q1158" s="520"/>
      <c r="R1158" s="520"/>
      <c r="S1158" s="520"/>
      <c r="T1158" s="520"/>
    </row>
    <row r="1159" spans="1:20" x14ac:dyDescent="0.3">
      <c r="A1159" s="556"/>
      <c r="C1159" s="520"/>
      <c r="D1159" s="520"/>
      <c r="E1159" s="520"/>
      <c r="F1159" s="520"/>
      <c r="G1159" s="520"/>
      <c r="H1159" s="520"/>
      <c r="I1159" s="520"/>
      <c r="J1159" s="544"/>
      <c r="K1159" s="520"/>
      <c r="L1159" s="520"/>
      <c r="M1159" s="520"/>
      <c r="N1159" s="520"/>
      <c r="O1159" s="520"/>
      <c r="P1159" s="520"/>
      <c r="Q1159" s="520"/>
      <c r="R1159" s="520"/>
      <c r="S1159" s="520"/>
      <c r="T1159" s="520"/>
    </row>
    <row r="1160" spans="1:20" x14ac:dyDescent="0.3">
      <c r="A1160" s="556"/>
      <c r="C1160" s="520"/>
      <c r="D1160" s="520"/>
      <c r="E1160" s="520"/>
      <c r="F1160" s="520"/>
      <c r="G1160" s="520"/>
      <c r="H1160" s="520"/>
      <c r="I1160" s="520"/>
      <c r="J1160" s="544"/>
      <c r="K1160" s="520"/>
      <c r="L1160" s="520"/>
      <c r="M1160" s="520"/>
      <c r="N1160" s="520"/>
      <c r="O1160" s="520"/>
      <c r="P1160" s="520"/>
      <c r="Q1160" s="520"/>
      <c r="R1160" s="520"/>
      <c r="S1160" s="520"/>
      <c r="T1160" s="520"/>
    </row>
    <row r="1161" spans="1:20" x14ac:dyDescent="0.3">
      <c r="A1161" s="556"/>
      <c r="C1161" s="520"/>
      <c r="D1161" s="520"/>
      <c r="E1161" s="520"/>
      <c r="F1161" s="520"/>
      <c r="G1161" s="520"/>
      <c r="H1161" s="520"/>
      <c r="I1161" s="520"/>
      <c r="J1161" s="544"/>
      <c r="K1161" s="520"/>
      <c r="L1161" s="520"/>
      <c r="M1161" s="520"/>
      <c r="N1161" s="520"/>
      <c r="O1161" s="520"/>
      <c r="P1161" s="520"/>
      <c r="Q1161" s="520"/>
      <c r="R1161" s="520"/>
      <c r="S1161" s="520"/>
      <c r="T1161" s="520"/>
    </row>
    <row r="1162" spans="1:20" x14ac:dyDescent="0.3">
      <c r="A1162" s="556"/>
      <c r="C1162" s="520"/>
      <c r="D1162" s="520"/>
      <c r="E1162" s="520"/>
      <c r="F1162" s="520"/>
      <c r="G1162" s="520"/>
      <c r="H1162" s="520"/>
      <c r="I1162" s="520"/>
      <c r="J1162" s="544"/>
      <c r="K1162" s="520"/>
      <c r="L1162" s="520"/>
      <c r="M1162" s="520"/>
      <c r="N1162" s="520"/>
      <c r="O1162" s="520"/>
      <c r="P1162" s="520"/>
      <c r="Q1162" s="520"/>
      <c r="R1162" s="520"/>
      <c r="S1162" s="520"/>
      <c r="T1162" s="520"/>
    </row>
    <row r="1163" spans="1:20" x14ac:dyDescent="0.3">
      <c r="A1163" s="556"/>
      <c r="C1163" s="520"/>
      <c r="D1163" s="520"/>
      <c r="E1163" s="520"/>
      <c r="F1163" s="520"/>
      <c r="G1163" s="520"/>
      <c r="H1163" s="520"/>
      <c r="I1163" s="520"/>
      <c r="J1163" s="544"/>
      <c r="K1163" s="520"/>
      <c r="L1163" s="520"/>
      <c r="M1163" s="520"/>
      <c r="N1163" s="520"/>
      <c r="O1163" s="520"/>
      <c r="P1163" s="520"/>
      <c r="Q1163" s="520"/>
      <c r="R1163" s="520"/>
      <c r="S1163" s="520"/>
      <c r="T1163" s="520"/>
    </row>
    <row r="1164" spans="1:20" x14ac:dyDescent="0.3">
      <c r="A1164" s="556"/>
      <c r="C1164" s="520"/>
      <c r="D1164" s="520"/>
      <c r="E1164" s="520"/>
      <c r="F1164" s="520"/>
      <c r="G1164" s="520"/>
      <c r="H1164" s="520"/>
      <c r="I1164" s="520"/>
      <c r="J1164" s="544"/>
      <c r="K1164" s="520"/>
      <c r="L1164" s="520"/>
      <c r="M1164" s="520"/>
      <c r="N1164" s="520"/>
      <c r="O1164" s="520"/>
      <c r="P1164" s="520"/>
      <c r="Q1164" s="520"/>
      <c r="R1164" s="520"/>
      <c r="S1164" s="520"/>
      <c r="T1164" s="520"/>
    </row>
    <row r="1165" spans="1:20" x14ac:dyDescent="0.3">
      <c r="A1165" s="556"/>
      <c r="C1165" s="520"/>
      <c r="D1165" s="520"/>
      <c r="E1165" s="520"/>
      <c r="F1165" s="520"/>
      <c r="G1165" s="520"/>
      <c r="H1165" s="520"/>
      <c r="I1165" s="520"/>
      <c r="J1165" s="544"/>
      <c r="K1165" s="520"/>
      <c r="L1165" s="520"/>
      <c r="M1165" s="520"/>
      <c r="N1165" s="520"/>
      <c r="O1165" s="520"/>
      <c r="P1165" s="520"/>
      <c r="Q1165" s="520"/>
      <c r="R1165" s="520"/>
      <c r="S1165" s="520"/>
      <c r="T1165" s="520"/>
    </row>
    <row r="1166" spans="1:20" x14ac:dyDescent="0.3">
      <c r="A1166" s="556"/>
      <c r="C1166" s="520"/>
      <c r="D1166" s="520"/>
      <c r="E1166" s="520"/>
      <c r="F1166" s="520"/>
      <c r="G1166" s="520"/>
      <c r="H1166" s="520"/>
      <c r="I1166" s="520"/>
      <c r="J1166" s="544"/>
      <c r="K1166" s="520"/>
      <c r="L1166" s="520"/>
      <c r="M1166" s="520"/>
      <c r="N1166" s="520"/>
      <c r="O1166" s="520"/>
      <c r="P1166" s="520"/>
      <c r="Q1166" s="520"/>
      <c r="R1166" s="520"/>
      <c r="S1166" s="520"/>
      <c r="T1166" s="520"/>
    </row>
    <row r="1167" spans="1:20" x14ac:dyDescent="0.3">
      <c r="A1167" s="556"/>
      <c r="C1167" s="520"/>
      <c r="D1167" s="520"/>
      <c r="E1167" s="520"/>
      <c r="F1167" s="520"/>
      <c r="G1167" s="520"/>
      <c r="H1167" s="520"/>
      <c r="I1167" s="520"/>
      <c r="J1167" s="544"/>
      <c r="K1167" s="520"/>
      <c r="L1167" s="520"/>
      <c r="M1167" s="520"/>
      <c r="N1167" s="520"/>
      <c r="O1167" s="520"/>
      <c r="P1167" s="520"/>
      <c r="Q1167" s="520"/>
      <c r="R1167" s="520"/>
      <c r="S1167" s="520"/>
      <c r="T1167" s="520"/>
    </row>
    <row r="1168" spans="1:20" x14ac:dyDescent="0.3">
      <c r="A1168" s="556"/>
      <c r="C1168" s="520"/>
      <c r="D1168" s="520"/>
      <c r="E1168" s="520"/>
      <c r="F1168" s="520"/>
      <c r="G1168" s="520"/>
      <c r="H1168" s="520"/>
      <c r="I1168" s="520"/>
      <c r="J1168" s="544"/>
      <c r="K1168" s="520"/>
      <c r="L1168" s="520"/>
      <c r="M1168" s="520"/>
      <c r="N1168" s="520"/>
      <c r="O1168" s="520"/>
      <c r="P1168" s="520"/>
      <c r="Q1168" s="520"/>
      <c r="R1168" s="520"/>
      <c r="S1168" s="520"/>
      <c r="T1168" s="520"/>
    </row>
    <row r="1169" spans="1:20" x14ac:dyDescent="0.3">
      <c r="A1169" s="556"/>
      <c r="C1169" s="520"/>
      <c r="D1169" s="520"/>
      <c r="E1169" s="520"/>
      <c r="F1169" s="520"/>
      <c r="G1169" s="520"/>
      <c r="H1169" s="520"/>
      <c r="I1169" s="520"/>
      <c r="J1169" s="544"/>
      <c r="K1169" s="520"/>
      <c r="L1169" s="520"/>
      <c r="M1169" s="520"/>
      <c r="N1169" s="520"/>
      <c r="O1169" s="520"/>
      <c r="P1169" s="520"/>
      <c r="Q1169" s="520"/>
      <c r="R1169" s="520"/>
      <c r="S1169" s="520"/>
      <c r="T1169" s="520"/>
    </row>
    <row r="1170" spans="1:20" x14ac:dyDescent="0.3">
      <c r="A1170" s="556"/>
      <c r="C1170" s="520"/>
      <c r="D1170" s="520"/>
      <c r="E1170" s="520"/>
      <c r="F1170" s="520"/>
      <c r="G1170" s="520"/>
      <c r="H1170" s="520"/>
      <c r="I1170" s="520"/>
      <c r="J1170" s="544"/>
      <c r="K1170" s="520"/>
      <c r="L1170" s="520"/>
      <c r="M1170" s="520"/>
      <c r="N1170" s="520"/>
      <c r="O1170" s="520"/>
      <c r="P1170" s="520"/>
      <c r="Q1170" s="520"/>
      <c r="R1170" s="520"/>
      <c r="S1170" s="520"/>
      <c r="T1170" s="520"/>
    </row>
    <row r="1171" spans="1:20" x14ac:dyDescent="0.3">
      <c r="A1171" s="556"/>
      <c r="C1171" s="520"/>
      <c r="D1171" s="520"/>
      <c r="E1171" s="520"/>
      <c r="F1171" s="520"/>
      <c r="G1171" s="520"/>
      <c r="H1171" s="520"/>
      <c r="I1171" s="520"/>
      <c r="J1171" s="544"/>
      <c r="K1171" s="520"/>
      <c r="L1171" s="520"/>
      <c r="M1171" s="520"/>
      <c r="N1171" s="520"/>
      <c r="O1171" s="520"/>
      <c r="P1171" s="520"/>
      <c r="Q1171" s="520"/>
      <c r="R1171" s="520"/>
      <c r="S1171" s="520"/>
      <c r="T1171" s="520"/>
    </row>
    <row r="1172" spans="1:20" x14ac:dyDescent="0.3">
      <c r="A1172" s="556"/>
      <c r="C1172" s="520"/>
      <c r="D1172" s="520"/>
      <c r="E1172" s="520"/>
      <c r="F1172" s="520"/>
      <c r="G1172" s="520"/>
      <c r="H1172" s="520"/>
      <c r="I1172" s="520"/>
      <c r="J1172" s="544"/>
      <c r="K1172" s="520"/>
      <c r="L1172" s="520"/>
      <c r="M1172" s="520"/>
      <c r="N1172" s="520"/>
      <c r="O1172" s="520"/>
      <c r="P1172" s="520"/>
      <c r="Q1172" s="520"/>
      <c r="R1172" s="520"/>
      <c r="S1172" s="520"/>
      <c r="T1172" s="520"/>
    </row>
    <row r="1173" spans="1:20" x14ac:dyDescent="0.3">
      <c r="A1173" s="556"/>
      <c r="C1173" s="520"/>
      <c r="D1173" s="520"/>
      <c r="E1173" s="520"/>
      <c r="F1173" s="520"/>
      <c r="G1173" s="520"/>
      <c r="H1173" s="520"/>
      <c r="I1173" s="520"/>
      <c r="J1173" s="544"/>
      <c r="K1173" s="520"/>
      <c r="L1173" s="520"/>
      <c r="M1173" s="520"/>
      <c r="N1173" s="520"/>
      <c r="O1173" s="520"/>
      <c r="P1173" s="520"/>
      <c r="Q1173" s="520"/>
      <c r="R1173" s="520"/>
      <c r="S1173" s="520"/>
      <c r="T1173" s="520"/>
    </row>
    <row r="1174" spans="1:20" x14ac:dyDescent="0.3">
      <c r="A1174" s="556"/>
      <c r="C1174" s="520"/>
      <c r="D1174" s="520"/>
      <c r="E1174" s="520"/>
      <c r="F1174" s="520"/>
      <c r="G1174" s="520"/>
      <c r="H1174" s="520"/>
      <c r="I1174" s="520"/>
      <c r="J1174" s="544"/>
      <c r="K1174" s="520"/>
      <c r="L1174" s="520"/>
      <c r="M1174" s="520"/>
      <c r="N1174" s="520"/>
      <c r="O1174" s="520"/>
      <c r="P1174" s="520"/>
      <c r="Q1174" s="520"/>
      <c r="R1174" s="520"/>
      <c r="S1174" s="520"/>
      <c r="T1174" s="520"/>
    </row>
    <row r="1175" spans="1:20" x14ac:dyDescent="0.3">
      <c r="A1175" s="556"/>
      <c r="C1175" s="520"/>
      <c r="D1175" s="520"/>
      <c r="E1175" s="520"/>
      <c r="F1175" s="520"/>
      <c r="G1175" s="520"/>
      <c r="H1175" s="520"/>
      <c r="I1175" s="520"/>
      <c r="J1175" s="544"/>
      <c r="K1175" s="520"/>
      <c r="L1175" s="520"/>
      <c r="M1175" s="520"/>
      <c r="N1175" s="520"/>
      <c r="O1175" s="520"/>
      <c r="P1175" s="520"/>
      <c r="Q1175" s="520"/>
      <c r="R1175" s="520"/>
      <c r="S1175" s="520"/>
      <c r="T1175" s="520"/>
    </row>
    <row r="1176" spans="1:20" x14ac:dyDescent="0.3">
      <c r="A1176" s="556"/>
      <c r="C1176" s="520"/>
      <c r="D1176" s="520"/>
      <c r="E1176" s="520"/>
      <c r="F1176" s="520"/>
      <c r="G1176" s="520"/>
      <c r="H1176" s="520"/>
      <c r="I1176" s="520"/>
      <c r="J1176" s="544"/>
      <c r="K1176" s="520"/>
      <c r="L1176" s="520"/>
      <c r="M1176" s="520"/>
      <c r="N1176" s="520"/>
      <c r="O1176" s="520"/>
      <c r="P1176" s="520"/>
      <c r="Q1176" s="520"/>
      <c r="R1176" s="520"/>
      <c r="S1176" s="520"/>
      <c r="T1176" s="520"/>
    </row>
    <row r="1177" spans="1:20" x14ac:dyDescent="0.3">
      <c r="A1177" s="556"/>
      <c r="C1177" s="520"/>
      <c r="D1177" s="520"/>
      <c r="E1177" s="520"/>
      <c r="F1177" s="520"/>
      <c r="G1177" s="520"/>
      <c r="H1177" s="520"/>
      <c r="I1177" s="520"/>
      <c r="J1177" s="544"/>
      <c r="K1177" s="520"/>
      <c r="L1177" s="520"/>
      <c r="M1177" s="520"/>
      <c r="N1177" s="520"/>
      <c r="O1177" s="520"/>
      <c r="P1177" s="520"/>
      <c r="Q1177" s="520"/>
      <c r="R1177" s="520"/>
      <c r="S1177" s="520"/>
      <c r="T1177" s="520"/>
    </row>
    <row r="1178" spans="1:20" x14ac:dyDescent="0.3">
      <c r="A1178" s="556"/>
      <c r="C1178" s="520"/>
      <c r="D1178" s="520"/>
      <c r="E1178" s="520"/>
      <c r="F1178" s="520"/>
      <c r="G1178" s="520"/>
      <c r="H1178" s="520"/>
      <c r="I1178" s="520"/>
      <c r="J1178" s="544"/>
      <c r="K1178" s="520"/>
      <c r="L1178" s="520"/>
      <c r="M1178" s="520"/>
      <c r="N1178" s="520"/>
      <c r="O1178" s="520"/>
      <c r="P1178" s="520"/>
      <c r="Q1178" s="520"/>
      <c r="R1178" s="520"/>
      <c r="S1178" s="520"/>
      <c r="T1178" s="520"/>
    </row>
    <row r="1179" spans="1:20" x14ac:dyDescent="0.3">
      <c r="A1179" s="556"/>
      <c r="C1179" s="520"/>
      <c r="D1179" s="520"/>
      <c r="E1179" s="520"/>
      <c r="F1179" s="520"/>
      <c r="G1179" s="520"/>
      <c r="H1179" s="520"/>
      <c r="I1179" s="520"/>
      <c r="J1179" s="544"/>
      <c r="K1179" s="520"/>
      <c r="L1179" s="520"/>
      <c r="M1179" s="520"/>
      <c r="N1179" s="520"/>
      <c r="O1179" s="520"/>
      <c r="P1179" s="520"/>
      <c r="Q1179" s="520"/>
      <c r="R1179" s="520"/>
      <c r="S1179" s="520"/>
      <c r="T1179" s="520"/>
    </row>
    <row r="1180" spans="1:20" x14ac:dyDescent="0.3">
      <c r="A1180" s="556"/>
      <c r="C1180" s="520"/>
      <c r="D1180" s="520"/>
      <c r="E1180" s="520"/>
      <c r="F1180" s="520"/>
      <c r="G1180" s="520"/>
      <c r="H1180" s="520"/>
      <c r="I1180" s="520"/>
      <c r="J1180" s="544"/>
      <c r="K1180" s="520"/>
      <c r="L1180" s="520"/>
      <c r="M1180" s="520"/>
      <c r="N1180" s="520"/>
      <c r="O1180" s="520"/>
      <c r="P1180" s="520"/>
      <c r="Q1180" s="520"/>
      <c r="R1180" s="520"/>
      <c r="S1180" s="520"/>
      <c r="T1180" s="520"/>
    </row>
    <row r="1181" spans="1:20" x14ac:dyDescent="0.3">
      <c r="A1181" s="556"/>
      <c r="C1181" s="520"/>
      <c r="D1181" s="520"/>
      <c r="E1181" s="520"/>
      <c r="F1181" s="520"/>
      <c r="G1181" s="520"/>
      <c r="H1181" s="520"/>
      <c r="I1181" s="520"/>
      <c r="J1181" s="544"/>
      <c r="K1181" s="520"/>
      <c r="L1181" s="520"/>
      <c r="M1181" s="520"/>
      <c r="N1181" s="520"/>
      <c r="O1181" s="520"/>
      <c r="P1181" s="520"/>
      <c r="Q1181" s="520"/>
      <c r="R1181" s="520"/>
      <c r="S1181" s="520"/>
      <c r="T1181" s="520"/>
    </row>
    <row r="1182" spans="1:20" x14ac:dyDescent="0.3">
      <c r="A1182" s="556"/>
      <c r="C1182" s="520"/>
      <c r="D1182" s="520"/>
      <c r="E1182" s="520"/>
      <c r="F1182" s="520"/>
      <c r="G1182" s="520"/>
      <c r="H1182" s="520"/>
      <c r="I1182" s="520"/>
      <c r="J1182" s="544"/>
      <c r="K1182" s="520"/>
      <c r="L1182" s="520"/>
      <c r="M1182" s="520"/>
      <c r="N1182" s="520"/>
      <c r="O1182" s="520"/>
      <c r="P1182" s="520"/>
      <c r="Q1182" s="520"/>
      <c r="R1182" s="520"/>
      <c r="S1182" s="520"/>
      <c r="T1182" s="520"/>
    </row>
    <row r="1183" spans="1:20" x14ac:dyDescent="0.3">
      <c r="A1183" s="556"/>
      <c r="C1183" s="520"/>
      <c r="D1183" s="520"/>
      <c r="E1183" s="520"/>
      <c r="F1183" s="520"/>
      <c r="G1183" s="520"/>
      <c r="H1183" s="520"/>
      <c r="I1183" s="520"/>
      <c r="J1183" s="544"/>
      <c r="K1183" s="520"/>
      <c r="L1183" s="520"/>
      <c r="M1183" s="520"/>
      <c r="N1183" s="520"/>
      <c r="O1183" s="520"/>
      <c r="P1183" s="520"/>
      <c r="Q1183" s="520"/>
      <c r="R1183" s="520"/>
      <c r="S1183" s="520"/>
      <c r="T1183" s="520"/>
    </row>
    <row r="1184" spans="1:20" x14ac:dyDescent="0.3">
      <c r="A1184" s="556"/>
      <c r="C1184" s="520"/>
      <c r="D1184" s="520"/>
      <c r="E1184" s="520"/>
      <c r="F1184" s="520"/>
      <c r="G1184" s="520"/>
      <c r="H1184" s="520"/>
      <c r="I1184" s="520"/>
      <c r="J1184" s="544"/>
      <c r="K1184" s="520"/>
      <c r="L1184" s="520"/>
      <c r="M1184" s="520"/>
      <c r="N1184" s="520"/>
      <c r="O1184" s="520"/>
      <c r="P1184" s="520"/>
      <c r="Q1184" s="520"/>
      <c r="R1184" s="520"/>
      <c r="S1184" s="520"/>
      <c r="T1184" s="520"/>
    </row>
    <row r="1185" spans="1:20" x14ac:dyDescent="0.3">
      <c r="A1185" s="556"/>
      <c r="C1185" s="520"/>
      <c r="D1185" s="520"/>
      <c r="E1185" s="520"/>
      <c r="F1185" s="520"/>
      <c r="G1185" s="520"/>
      <c r="H1185" s="520"/>
      <c r="I1185" s="520"/>
      <c r="J1185" s="544"/>
      <c r="K1185" s="520"/>
      <c r="L1185" s="520"/>
      <c r="M1185" s="520"/>
      <c r="N1185" s="520"/>
      <c r="O1185" s="520"/>
      <c r="P1185" s="520"/>
      <c r="Q1185" s="520"/>
      <c r="R1185" s="520"/>
      <c r="S1185" s="520"/>
      <c r="T1185" s="520"/>
    </row>
    <row r="1186" spans="1:20" x14ac:dyDescent="0.3">
      <c r="A1186" s="556"/>
      <c r="C1186" s="520"/>
      <c r="D1186" s="520"/>
      <c r="E1186" s="520"/>
      <c r="F1186" s="520"/>
      <c r="G1186" s="520"/>
      <c r="H1186" s="520"/>
      <c r="I1186" s="520"/>
      <c r="J1186" s="544"/>
      <c r="K1186" s="520"/>
      <c r="L1186" s="520"/>
      <c r="M1186" s="520"/>
      <c r="N1186" s="520"/>
      <c r="O1186" s="520"/>
      <c r="P1186" s="520"/>
      <c r="Q1186" s="520"/>
      <c r="R1186" s="520"/>
      <c r="S1186" s="520"/>
      <c r="T1186" s="520"/>
    </row>
    <row r="1187" spans="1:20" x14ac:dyDescent="0.3">
      <c r="A1187" s="556"/>
      <c r="C1187" s="520"/>
      <c r="D1187" s="520"/>
      <c r="E1187" s="520"/>
      <c r="F1187" s="520"/>
      <c r="G1187" s="520"/>
      <c r="H1187" s="520"/>
      <c r="I1187" s="520"/>
      <c r="J1187" s="544"/>
      <c r="K1187" s="520"/>
      <c r="L1187" s="520"/>
      <c r="M1187" s="520"/>
      <c r="N1187" s="520"/>
      <c r="O1187" s="520"/>
      <c r="P1187" s="520"/>
      <c r="Q1187" s="520"/>
      <c r="R1187" s="520"/>
      <c r="S1187" s="520"/>
      <c r="T1187" s="520"/>
    </row>
    <row r="1188" spans="1:20" x14ac:dyDescent="0.3">
      <c r="A1188" s="556"/>
      <c r="C1188" s="520"/>
      <c r="D1188" s="520"/>
      <c r="E1188" s="520"/>
      <c r="F1188" s="520"/>
      <c r="G1188" s="520"/>
      <c r="H1188" s="520"/>
      <c r="I1188" s="520"/>
      <c r="J1188" s="544"/>
      <c r="K1188" s="520"/>
      <c r="L1188" s="520"/>
      <c r="M1188" s="520"/>
      <c r="N1188" s="520"/>
      <c r="O1188" s="520"/>
      <c r="P1188" s="520"/>
      <c r="Q1188" s="520"/>
      <c r="R1188" s="520"/>
      <c r="S1188" s="520"/>
      <c r="T1188" s="520"/>
    </row>
    <row r="1189" spans="1:20" x14ac:dyDescent="0.3">
      <c r="A1189" s="556"/>
      <c r="C1189" s="520"/>
      <c r="D1189" s="520"/>
      <c r="E1189" s="520"/>
      <c r="F1189" s="520"/>
      <c r="G1189" s="520"/>
      <c r="H1189" s="520"/>
      <c r="I1189" s="520"/>
      <c r="J1189" s="544"/>
      <c r="K1189" s="520"/>
      <c r="L1189" s="520"/>
      <c r="M1189" s="520"/>
      <c r="N1189" s="520"/>
      <c r="O1189" s="520"/>
      <c r="P1189" s="520"/>
      <c r="Q1189" s="520"/>
      <c r="R1189" s="520"/>
      <c r="S1189" s="520"/>
      <c r="T1189" s="520"/>
    </row>
    <row r="1190" spans="1:20" x14ac:dyDescent="0.3">
      <c r="A1190" s="556"/>
      <c r="C1190" s="520"/>
      <c r="D1190" s="520"/>
      <c r="E1190" s="520"/>
      <c r="F1190" s="520"/>
      <c r="G1190" s="520"/>
      <c r="H1190" s="520"/>
      <c r="I1190" s="520"/>
      <c r="J1190" s="544"/>
      <c r="K1190" s="520"/>
      <c r="L1190" s="520"/>
      <c r="M1190" s="520"/>
      <c r="N1190" s="520"/>
      <c r="O1190" s="520"/>
      <c r="P1190" s="520"/>
      <c r="Q1190" s="520"/>
      <c r="R1190" s="520"/>
      <c r="S1190" s="520"/>
      <c r="T1190" s="520"/>
    </row>
    <row r="1191" spans="1:20" x14ac:dyDescent="0.3">
      <c r="A1191" s="556"/>
      <c r="C1191" s="520"/>
      <c r="D1191" s="520"/>
      <c r="E1191" s="520"/>
      <c r="F1191" s="520"/>
      <c r="G1191" s="520"/>
      <c r="H1191" s="520"/>
      <c r="I1191" s="520"/>
      <c r="J1191" s="544"/>
      <c r="K1191" s="520"/>
      <c r="L1191" s="520"/>
      <c r="M1191" s="520"/>
      <c r="N1191" s="520"/>
      <c r="O1191" s="520"/>
      <c r="P1191" s="520"/>
      <c r="Q1191" s="520"/>
      <c r="R1191" s="520"/>
      <c r="S1191" s="520"/>
      <c r="T1191" s="520"/>
    </row>
    <row r="1192" spans="1:20" x14ac:dyDescent="0.3">
      <c r="A1192" s="556"/>
      <c r="C1192" s="520"/>
      <c r="D1192" s="520"/>
      <c r="E1192" s="520"/>
      <c r="F1192" s="520"/>
      <c r="G1192" s="520"/>
      <c r="H1192" s="520"/>
      <c r="I1192" s="520"/>
      <c r="J1192" s="544"/>
      <c r="K1192" s="520"/>
      <c r="L1192" s="520"/>
      <c r="M1192" s="520"/>
      <c r="N1192" s="520"/>
      <c r="O1192" s="520"/>
      <c r="P1192" s="520"/>
      <c r="Q1192" s="520"/>
      <c r="R1192" s="520"/>
      <c r="S1192" s="520"/>
      <c r="T1192" s="520"/>
    </row>
    <row r="1193" spans="1:20" x14ac:dyDescent="0.3">
      <c r="A1193" s="556"/>
      <c r="C1193" s="520"/>
      <c r="D1193" s="520"/>
      <c r="E1193" s="520"/>
      <c r="F1193" s="520"/>
      <c r="G1193" s="520"/>
      <c r="H1193" s="520"/>
      <c r="I1193" s="520"/>
      <c r="J1193" s="544"/>
      <c r="K1193" s="520"/>
      <c r="L1193" s="520"/>
      <c r="M1193" s="520"/>
      <c r="N1193" s="520"/>
      <c r="O1193" s="520"/>
      <c r="P1193" s="520"/>
      <c r="Q1193" s="520"/>
      <c r="R1193" s="520"/>
      <c r="S1193" s="520"/>
      <c r="T1193" s="520"/>
    </row>
    <row r="1194" spans="1:20" x14ac:dyDescent="0.3">
      <c r="A1194" s="556"/>
      <c r="C1194" s="520"/>
      <c r="D1194" s="520"/>
      <c r="E1194" s="520"/>
      <c r="F1194" s="520"/>
      <c r="G1194" s="520"/>
      <c r="H1194" s="520"/>
      <c r="I1194" s="520"/>
      <c r="J1194" s="544"/>
      <c r="K1194" s="520"/>
      <c r="L1194" s="520"/>
      <c r="M1194" s="520"/>
      <c r="N1194" s="520"/>
      <c r="O1194" s="520"/>
      <c r="P1194" s="520"/>
      <c r="Q1194" s="520"/>
      <c r="R1194" s="520"/>
      <c r="S1194" s="520"/>
      <c r="T1194" s="520"/>
    </row>
    <row r="1195" spans="1:20" x14ac:dyDescent="0.3">
      <c r="A1195" s="556"/>
      <c r="C1195" s="520"/>
      <c r="D1195" s="520"/>
      <c r="E1195" s="520"/>
      <c r="F1195" s="520"/>
      <c r="H1195" s="520"/>
      <c r="I1195" s="520"/>
      <c r="J1195" s="520"/>
      <c r="K1195" s="520"/>
      <c r="L1195" s="520"/>
      <c r="M1195" s="520"/>
      <c r="N1195" s="520"/>
      <c r="O1195" s="520"/>
      <c r="P1195" s="520"/>
      <c r="Q1195" s="520"/>
      <c r="R1195" s="520"/>
      <c r="S1195" s="520"/>
      <c r="T1195" s="520"/>
    </row>
    <row r="1196" spans="1:20" x14ac:dyDescent="0.3">
      <c r="A1196" s="556"/>
    </row>
    <row r="1197" spans="1:20" x14ac:dyDescent="0.3">
      <c r="A1197" s="556"/>
    </row>
    <row r="1198" spans="1:20" x14ac:dyDescent="0.3">
      <c r="A1198" s="556"/>
    </row>
    <row r="1199" spans="1:20" x14ac:dyDescent="0.3">
      <c r="A1199" s="556"/>
    </row>
    <row r="1200" spans="1:20" x14ac:dyDescent="0.3">
      <c r="A1200" s="556"/>
    </row>
    <row r="1201" spans="1:1" x14ac:dyDescent="0.3">
      <c r="A1201" s="556"/>
    </row>
    <row r="1202" spans="1:1" x14ac:dyDescent="0.3">
      <c r="A1202" s="556"/>
    </row>
    <row r="1203" spans="1:1" x14ac:dyDescent="0.3">
      <c r="A1203" s="556"/>
    </row>
    <row r="1204" spans="1:1" x14ac:dyDescent="0.3">
      <c r="A1204" s="556"/>
    </row>
    <row r="1205" spans="1:1" x14ac:dyDescent="0.3">
      <c r="A1205" s="556"/>
    </row>
    <row r="1206" spans="1:1" x14ac:dyDescent="0.3">
      <c r="A1206" s="556"/>
    </row>
    <row r="1207" spans="1:1" x14ac:dyDescent="0.3">
      <c r="A1207" s="556"/>
    </row>
    <row r="1208" spans="1:1" x14ac:dyDescent="0.3">
      <c r="A1208" s="556"/>
    </row>
    <row r="1209" spans="1:1" x14ac:dyDescent="0.3">
      <c r="A1209" s="556"/>
    </row>
    <row r="1210" spans="1:1" x14ac:dyDescent="0.3">
      <c r="A1210" s="556"/>
    </row>
    <row r="1211" spans="1:1" x14ac:dyDescent="0.3">
      <c r="A1211" s="556"/>
    </row>
    <row r="1212" spans="1:1" x14ac:dyDescent="0.3">
      <c r="A1212" s="556"/>
    </row>
    <row r="1213" spans="1:1" x14ac:dyDescent="0.3">
      <c r="A1213" s="556"/>
    </row>
    <row r="1214" spans="1:1" x14ac:dyDescent="0.3">
      <c r="A1214" s="556"/>
    </row>
    <row r="1215" spans="1:1" x14ac:dyDescent="0.3">
      <c r="A1215" s="556"/>
    </row>
    <row r="1216" spans="1:1" x14ac:dyDescent="0.3">
      <c r="A1216" s="556"/>
    </row>
    <row r="1217" spans="1:1" x14ac:dyDescent="0.3">
      <c r="A1217" s="556"/>
    </row>
    <row r="1218" spans="1:1" x14ac:dyDescent="0.3">
      <c r="A1218" s="556"/>
    </row>
    <row r="1219" spans="1:1" x14ac:dyDescent="0.3">
      <c r="A1219" s="556"/>
    </row>
    <row r="1220" spans="1:1" x14ac:dyDescent="0.3">
      <c r="A1220" s="556"/>
    </row>
    <row r="1221" spans="1:1" x14ac:dyDescent="0.3">
      <c r="A1221" s="556"/>
    </row>
    <row r="1222" spans="1:1" x14ac:dyDescent="0.3">
      <c r="A1222" s="556"/>
    </row>
    <row r="1223" spans="1:1" x14ac:dyDescent="0.3">
      <c r="A1223" s="556"/>
    </row>
    <row r="1224" spans="1:1" x14ac:dyDescent="0.3">
      <c r="A1224" s="556"/>
    </row>
    <row r="1225" spans="1:1" x14ac:dyDescent="0.3">
      <c r="A1225" s="556"/>
    </row>
    <row r="1226" spans="1:1" x14ac:dyDescent="0.3">
      <c r="A1226" s="556"/>
    </row>
    <row r="1227" spans="1:1" x14ac:dyDescent="0.3">
      <c r="A1227" s="556"/>
    </row>
    <row r="1228" spans="1:1" x14ac:dyDescent="0.3">
      <c r="A1228" s="556"/>
    </row>
    <row r="1229" spans="1:1" x14ac:dyDescent="0.3">
      <c r="A1229" s="556"/>
    </row>
    <row r="1230" spans="1:1" x14ac:dyDescent="0.3">
      <c r="A1230" s="556"/>
    </row>
    <row r="1231" spans="1:1" x14ac:dyDescent="0.3">
      <c r="A1231" s="556"/>
    </row>
    <row r="1232" spans="1:1" x14ac:dyDescent="0.3">
      <c r="A1232" s="556"/>
    </row>
    <row r="1233" spans="1:1" x14ac:dyDescent="0.3">
      <c r="A1233" s="556"/>
    </row>
    <row r="1234" spans="1:1" x14ac:dyDescent="0.3">
      <c r="A1234" s="556"/>
    </row>
    <row r="1235" spans="1:1" x14ac:dyDescent="0.3">
      <c r="A1235" s="556"/>
    </row>
    <row r="1236" spans="1:1" x14ac:dyDescent="0.3">
      <c r="A1236" s="556"/>
    </row>
    <row r="1237" spans="1:1" x14ac:dyDescent="0.3">
      <c r="A1237" s="556"/>
    </row>
    <row r="1238" spans="1:1" x14ac:dyDescent="0.3">
      <c r="A1238" s="556"/>
    </row>
    <row r="1239" spans="1:1" x14ac:dyDescent="0.3">
      <c r="A1239" s="556"/>
    </row>
    <row r="1240" spans="1:1" x14ac:dyDescent="0.3">
      <c r="A1240" s="556"/>
    </row>
    <row r="1241" spans="1:1" x14ac:dyDescent="0.3">
      <c r="A1241" s="556"/>
    </row>
    <row r="1242" spans="1:1" x14ac:dyDescent="0.3">
      <c r="A1242" s="556"/>
    </row>
    <row r="1243" spans="1:1" x14ac:dyDescent="0.3">
      <c r="A1243" s="556"/>
    </row>
    <row r="1244" spans="1:1" x14ac:dyDescent="0.3">
      <c r="A1244" s="556"/>
    </row>
    <row r="1245" spans="1:1" x14ac:dyDescent="0.3">
      <c r="A1245" s="556"/>
    </row>
    <row r="1246" spans="1:1" x14ac:dyDescent="0.3">
      <c r="A1246" s="556"/>
    </row>
    <row r="1247" spans="1:1" x14ac:dyDescent="0.3">
      <c r="A1247" s="556"/>
    </row>
    <row r="1248" spans="1:1" x14ac:dyDescent="0.3">
      <c r="A1248" s="556"/>
    </row>
    <row r="1249" spans="1:1" x14ac:dyDescent="0.3">
      <c r="A1249" s="556"/>
    </row>
    <row r="1250" spans="1:1" x14ac:dyDescent="0.3">
      <c r="A1250" s="556"/>
    </row>
    <row r="1251" spans="1:1" x14ac:dyDescent="0.3">
      <c r="A1251" s="556"/>
    </row>
    <row r="1252" spans="1:1" x14ac:dyDescent="0.3">
      <c r="A1252" s="556"/>
    </row>
    <row r="1253" spans="1:1" x14ac:dyDescent="0.3">
      <c r="A1253" s="556"/>
    </row>
    <row r="1254" spans="1:1" x14ac:dyDescent="0.3">
      <c r="A1254" s="556"/>
    </row>
    <row r="1255" spans="1:1" x14ac:dyDescent="0.3">
      <c r="A1255" s="556"/>
    </row>
    <row r="1256" spans="1:1" x14ac:dyDescent="0.3">
      <c r="A1256" s="556"/>
    </row>
    <row r="1257" spans="1:1" x14ac:dyDescent="0.3">
      <c r="A1257" s="556"/>
    </row>
    <row r="1258" spans="1:1" x14ac:dyDescent="0.3">
      <c r="A1258" s="556"/>
    </row>
    <row r="1259" spans="1:1" x14ac:dyDescent="0.3">
      <c r="A1259" s="556"/>
    </row>
    <row r="1260" spans="1:1" x14ac:dyDescent="0.3">
      <c r="A1260" s="556"/>
    </row>
    <row r="1261" spans="1:1" x14ac:dyDescent="0.3">
      <c r="A1261" s="556"/>
    </row>
    <row r="1262" spans="1:1" x14ac:dyDescent="0.3">
      <c r="A1262" s="556"/>
    </row>
    <row r="1263" spans="1:1" x14ac:dyDescent="0.3">
      <c r="A1263" s="556"/>
    </row>
    <row r="1264" spans="1:1" x14ac:dyDescent="0.3">
      <c r="A1264" s="556"/>
    </row>
    <row r="1265" spans="1:1" x14ac:dyDescent="0.3">
      <c r="A1265" s="556"/>
    </row>
    <row r="1266" spans="1:1" x14ac:dyDescent="0.3">
      <c r="A1266" s="556"/>
    </row>
    <row r="1267" spans="1:1" x14ac:dyDescent="0.3">
      <c r="A1267" s="556"/>
    </row>
    <row r="1268" spans="1:1" x14ac:dyDescent="0.3">
      <c r="A1268" s="556"/>
    </row>
    <row r="1269" spans="1:1" x14ac:dyDescent="0.3">
      <c r="A1269" s="556"/>
    </row>
    <row r="1270" spans="1:1" x14ac:dyDescent="0.3">
      <c r="A1270" s="556"/>
    </row>
    <row r="1271" spans="1:1" x14ac:dyDescent="0.3">
      <c r="A1271" s="556"/>
    </row>
    <row r="1272" spans="1:1" x14ac:dyDescent="0.3">
      <c r="A1272" s="556"/>
    </row>
    <row r="1273" spans="1:1" x14ac:dyDescent="0.3">
      <c r="A1273" s="556"/>
    </row>
    <row r="1274" spans="1:1" x14ac:dyDescent="0.3">
      <c r="A1274" s="556"/>
    </row>
    <row r="1275" spans="1:1" x14ac:dyDescent="0.3">
      <c r="A1275" s="556"/>
    </row>
    <row r="1276" spans="1:1" x14ac:dyDescent="0.3">
      <c r="A1276" s="556"/>
    </row>
    <row r="1277" spans="1:1" x14ac:dyDescent="0.3">
      <c r="A1277" s="556"/>
    </row>
    <row r="1278" spans="1:1" x14ac:dyDescent="0.3">
      <c r="A1278" s="556"/>
    </row>
    <row r="1279" spans="1:1" x14ac:dyDescent="0.3">
      <c r="A1279" s="556"/>
    </row>
    <row r="1280" spans="1:1" x14ac:dyDescent="0.3">
      <c r="A1280" s="556"/>
    </row>
    <row r="1281" spans="1:1" x14ac:dyDescent="0.3">
      <c r="A1281" s="556"/>
    </row>
    <row r="1282" spans="1:1" x14ac:dyDescent="0.3">
      <c r="A1282" s="556"/>
    </row>
    <row r="1283" spans="1:1" x14ac:dyDescent="0.3">
      <c r="A1283" s="556"/>
    </row>
    <row r="1284" spans="1:1" x14ac:dyDescent="0.3">
      <c r="A1284" s="556"/>
    </row>
    <row r="1285" spans="1:1" x14ac:dyDescent="0.3">
      <c r="A1285" s="556"/>
    </row>
    <row r="1286" spans="1:1" x14ac:dyDescent="0.3">
      <c r="A1286" s="556"/>
    </row>
    <row r="1287" spans="1:1" x14ac:dyDescent="0.3">
      <c r="A1287" s="556"/>
    </row>
    <row r="1288" spans="1:1" x14ac:dyDescent="0.3">
      <c r="A1288" s="556"/>
    </row>
    <row r="1289" spans="1:1" x14ac:dyDescent="0.3">
      <c r="A1289" s="556"/>
    </row>
    <row r="1290" spans="1:1" x14ac:dyDescent="0.3">
      <c r="A1290" s="556"/>
    </row>
    <row r="1291" spans="1:1" x14ac:dyDescent="0.3">
      <c r="A1291" s="556"/>
    </row>
    <row r="1292" spans="1:1" x14ac:dyDescent="0.3">
      <c r="A1292" s="556"/>
    </row>
    <row r="1293" spans="1:1" x14ac:dyDescent="0.3">
      <c r="A1293" s="556"/>
    </row>
    <row r="1294" spans="1:1" x14ac:dyDescent="0.3">
      <c r="A1294" s="556"/>
    </row>
    <row r="1295" spans="1:1" x14ac:dyDescent="0.3">
      <c r="A1295" s="556"/>
    </row>
    <row r="1296" spans="1:1" x14ac:dyDescent="0.3">
      <c r="A1296" s="556"/>
    </row>
    <row r="1297" spans="1:1" x14ac:dyDescent="0.3">
      <c r="A1297" s="556"/>
    </row>
    <row r="1298" spans="1:1" x14ac:dyDescent="0.3">
      <c r="A1298" s="556"/>
    </row>
    <row r="1299" spans="1:1" x14ac:dyDescent="0.3">
      <c r="A1299" s="556"/>
    </row>
    <row r="1300" spans="1:1" x14ac:dyDescent="0.3">
      <c r="A1300" s="556"/>
    </row>
    <row r="1301" spans="1:1" x14ac:dyDescent="0.3">
      <c r="A1301" s="556"/>
    </row>
    <row r="1302" spans="1:1" x14ac:dyDescent="0.3">
      <c r="A1302" s="556"/>
    </row>
    <row r="1303" spans="1:1" x14ac:dyDescent="0.3">
      <c r="A1303" s="556"/>
    </row>
    <row r="1304" spans="1:1" x14ac:dyDescent="0.3">
      <c r="A1304" s="556"/>
    </row>
    <row r="1305" spans="1:1" x14ac:dyDescent="0.3">
      <c r="A1305" s="556"/>
    </row>
    <row r="1306" spans="1:1" x14ac:dyDescent="0.3">
      <c r="A1306" s="556"/>
    </row>
    <row r="1307" spans="1:1" x14ac:dyDescent="0.3">
      <c r="A1307" s="556"/>
    </row>
    <row r="1308" spans="1:1" x14ac:dyDescent="0.3">
      <c r="A1308" s="556"/>
    </row>
    <row r="1309" spans="1:1" x14ac:dyDescent="0.3">
      <c r="A1309" s="556"/>
    </row>
    <row r="1310" spans="1:1" x14ac:dyDescent="0.3">
      <c r="A1310" s="556"/>
    </row>
    <row r="1311" spans="1:1" x14ac:dyDescent="0.3">
      <c r="A1311" s="556"/>
    </row>
    <row r="1312" spans="1:1" x14ac:dyDescent="0.3">
      <c r="A1312" s="556"/>
    </row>
    <row r="1313" spans="1:1" x14ac:dyDescent="0.3">
      <c r="A1313" s="556"/>
    </row>
    <row r="1314" spans="1:1" x14ac:dyDescent="0.3">
      <c r="A1314" s="556"/>
    </row>
    <row r="1315" spans="1:1" x14ac:dyDescent="0.3">
      <c r="A1315" s="556"/>
    </row>
    <row r="1316" spans="1:1" x14ac:dyDescent="0.3">
      <c r="A1316" s="556"/>
    </row>
    <row r="1317" spans="1:1" x14ac:dyDescent="0.3">
      <c r="A1317" s="556"/>
    </row>
    <row r="1318" spans="1:1" x14ac:dyDescent="0.3">
      <c r="A1318" s="556"/>
    </row>
    <row r="1319" spans="1:1" x14ac:dyDescent="0.3">
      <c r="A1319" s="556"/>
    </row>
    <row r="1320" spans="1:1" x14ac:dyDescent="0.3">
      <c r="A1320" s="556"/>
    </row>
    <row r="1321" spans="1:1" x14ac:dyDescent="0.3">
      <c r="A1321" s="556"/>
    </row>
    <row r="1322" spans="1:1" x14ac:dyDescent="0.3">
      <c r="A1322" s="556"/>
    </row>
    <row r="1323" spans="1:1" x14ac:dyDescent="0.3">
      <c r="A1323" s="556"/>
    </row>
    <row r="1324" spans="1:1" x14ac:dyDescent="0.3">
      <c r="A1324" s="556"/>
    </row>
    <row r="1325" spans="1:1" x14ac:dyDescent="0.3">
      <c r="A1325" s="556"/>
    </row>
    <row r="1326" spans="1:1" x14ac:dyDescent="0.3">
      <c r="A1326" s="556"/>
    </row>
    <row r="1327" spans="1:1" x14ac:dyDescent="0.3">
      <c r="A1327" s="556"/>
    </row>
    <row r="1328" spans="1:1" x14ac:dyDescent="0.3">
      <c r="A1328" s="556"/>
    </row>
    <row r="1329" spans="1:1" x14ac:dyDescent="0.3">
      <c r="A1329" s="556"/>
    </row>
    <row r="1330" spans="1:1" x14ac:dyDescent="0.3">
      <c r="A1330" s="556"/>
    </row>
    <row r="1331" spans="1:1" x14ac:dyDescent="0.3">
      <c r="A1331" s="556"/>
    </row>
    <row r="1332" spans="1:1" x14ac:dyDescent="0.3">
      <c r="A1332" s="556"/>
    </row>
    <row r="1333" spans="1:1" x14ac:dyDescent="0.3">
      <c r="A1333" s="556"/>
    </row>
    <row r="1334" spans="1:1" x14ac:dyDescent="0.3">
      <c r="A1334" s="556"/>
    </row>
    <row r="1335" spans="1:1" x14ac:dyDescent="0.3">
      <c r="A1335" s="556"/>
    </row>
    <row r="1336" spans="1:1" x14ac:dyDescent="0.3">
      <c r="A1336" s="556"/>
    </row>
    <row r="1337" spans="1:1" x14ac:dyDescent="0.3">
      <c r="A1337" s="556"/>
    </row>
    <row r="1338" spans="1:1" x14ac:dyDescent="0.3">
      <c r="A1338" s="556"/>
    </row>
    <row r="1339" spans="1:1" x14ac:dyDescent="0.3">
      <c r="A1339" s="556"/>
    </row>
    <row r="1340" spans="1:1" x14ac:dyDescent="0.3">
      <c r="A1340" s="556"/>
    </row>
    <row r="1341" spans="1:1" x14ac:dyDescent="0.3">
      <c r="A1341" s="556"/>
    </row>
    <row r="1342" spans="1:1" x14ac:dyDescent="0.3">
      <c r="A1342" s="556"/>
    </row>
    <row r="1343" spans="1:1" x14ac:dyDescent="0.3">
      <c r="A1343" s="556"/>
    </row>
    <row r="1344" spans="1:1" x14ac:dyDescent="0.3">
      <c r="A1344" s="556"/>
    </row>
    <row r="1345" spans="1:1" x14ac:dyDescent="0.3">
      <c r="A1345" s="556"/>
    </row>
    <row r="1346" spans="1:1" x14ac:dyDescent="0.3">
      <c r="A1346" s="556"/>
    </row>
    <row r="1347" spans="1:1" x14ac:dyDescent="0.3">
      <c r="A1347" s="556"/>
    </row>
    <row r="1348" spans="1:1" x14ac:dyDescent="0.3">
      <c r="A1348" s="556"/>
    </row>
    <row r="1349" spans="1:1" x14ac:dyDescent="0.3">
      <c r="A1349" s="556"/>
    </row>
    <row r="1350" spans="1:1" x14ac:dyDescent="0.3">
      <c r="A1350" s="556"/>
    </row>
    <row r="1351" spans="1:1" x14ac:dyDescent="0.3">
      <c r="A1351" s="556"/>
    </row>
    <row r="1352" spans="1:1" x14ac:dyDescent="0.3">
      <c r="A1352" s="556"/>
    </row>
    <row r="1353" spans="1:1" x14ac:dyDescent="0.3">
      <c r="A1353" s="556"/>
    </row>
    <row r="1354" spans="1:1" x14ac:dyDescent="0.3">
      <c r="A1354" s="556"/>
    </row>
    <row r="1355" spans="1:1" x14ac:dyDescent="0.3">
      <c r="A1355" s="556"/>
    </row>
    <row r="1356" spans="1:1" x14ac:dyDescent="0.3">
      <c r="A1356" s="556"/>
    </row>
    <row r="1357" spans="1:1" x14ac:dyDescent="0.3">
      <c r="A1357" s="556"/>
    </row>
    <row r="1358" spans="1:1" x14ac:dyDescent="0.3">
      <c r="A1358" s="556"/>
    </row>
    <row r="1359" spans="1:1" x14ac:dyDescent="0.3">
      <c r="A1359" s="556"/>
    </row>
    <row r="1360" spans="1:1" x14ac:dyDescent="0.3">
      <c r="A1360" s="556"/>
    </row>
    <row r="1361" spans="1:1" x14ac:dyDescent="0.3">
      <c r="A1361" s="556"/>
    </row>
    <row r="1362" spans="1:1" x14ac:dyDescent="0.3">
      <c r="A1362" s="556"/>
    </row>
    <row r="1363" spans="1:1" x14ac:dyDescent="0.3">
      <c r="A1363" s="556"/>
    </row>
    <row r="1364" spans="1:1" x14ac:dyDescent="0.3">
      <c r="A1364" s="556"/>
    </row>
    <row r="1365" spans="1:1" x14ac:dyDescent="0.3">
      <c r="A1365" s="556"/>
    </row>
    <row r="1366" spans="1:1" x14ac:dyDescent="0.3">
      <c r="A1366" s="556"/>
    </row>
    <row r="1367" spans="1:1" x14ac:dyDescent="0.3">
      <c r="A1367" s="556"/>
    </row>
    <row r="1368" spans="1:1" x14ac:dyDescent="0.3">
      <c r="A1368" s="556"/>
    </row>
    <row r="1369" spans="1:1" x14ac:dyDescent="0.3">
      <c r="A1369" s="556"/>
    </row>
    <row r="1370" spans="1:1" x14ac:dyDescent="0.3">
      <c r="A1370" s="556"/>
    </row>
    <row r="1371" spans="1:1" x14ac:dyDescent="0.3">
      <c r="A1371" s="556"/>
    </row>
    <row r="1372" spans="1:1" x14ac:dyDescent="0.3">
      <c r="A1372" s="556"/>
    </row>
    <row r="1373" spans="1:1" x14ac:dyDescent="0.3">
      <c r="A1373" s="556"/>
    </row>
    <row r="1374" spans="1:1" x14ac:dyDescent="0.3">
      <c r="A1374" s="556"/>
    </row>
    <row r="1375" spans="1:1" x14ac:dyDescent="0.3">
      <c r="A1375" s="556"/>
    </row>
    <row r="1376" spans="1:1" x14ac:dyDescent="0.3">
      <c r="A1376" s="556"/>
    </row>
    <row r="1377" spans="1:1" x14ac:dyDescent="0.3">
      <c r="A1377" s="556"/>
    </row>
    <row r="1378" spans="1:1" x14ac:dyDescent="0.3">
      <c r="A1378" s="556"/>
    </row>
    <row r="1379" spans="1:1" x14ac:dyDescent="0.3">
      <c r="A1379" s="556"/>
    </row>
    <row r="1380" spans="1:1" x14ac:dyDescent="0.3">
      <c r="A1380" s="556"/>
    </row>
    <row r="1381" spans="1:1" x14ac:dyDescent="0.3">
      <c r="A1381" s="556"/>
    </row>
    <row r="1382" spans="1:1" x14ac:dyDescent="0.3">
      <c r="A1382" s="556"/>
    </row>
    <row r="1383" spans="1:1" x14ac:dyDescent="0.3">
      <c r="A1383" s="556"/>
    </row>
    <row r="1384" spans="1:1" x14ac:dyDescent="0.3">
      <c r="A1384" s="556"/>
    </row>
    <row r="1385" spans="1:1" x14ac:dyDescent="0.3">
      <c r="A1385" s="556"/>
    </row>
    <row r="1386" spans="1:1" x14ac:dyDescent="0.3">
      <c r="A1386" s="556"/>
    </row>
    <row r="1387" spans="1:1" x14ac:dyDescent="0.3">
      <c r="A1387" s="556"/>
    </row>
    <row r="1388" spans="1:1" x14ac:dyDescent="0.3">
      <c r="A1388" s="556"/>
    </row>
    <row r="1389" spans="1:1" x14ac:dyDescent="0.3">
      <c r="A1389" s="556"/>
    </row>
    <row r="1390" spans="1:1" x14ac:dyDescent="0.3">
      <c r="A1390" s="556"/>
    </row>
    <row r="1391" spans="1:1" x14ac:dyDescent="0.3">
      <c r="A1391" s="556"/>
    </row>
    <row r="1392" spans="1:1" x14ac:dyDescent="0.3">
      <c r="A1392" s="556"/>
    </row>
    <row r="1393" spans="1:1" x14ac:dyDescent="0.3">
      <c r="A1393" s="556"/>
    </row>
    <row r="1394" spans="1:1" x14ac:dyDescent="0.3">
      <c r="A1394" s="556"/>
    </row>
    <row r="1395" spans="1:1" x14ac:dyDescent="0.3">
      <c r="A1395" s="556"/>
    </row>
    <row r="1396" spans="1:1" x14ac:dyDescent="0.3">
      <c r="A1396" s="556"/>
    </row>
    <row r="1397" spans="1:1" x14ac:dyDescent="0.3">
      <c r="A1397" s="556"/>
    </row>
    <row r="1398" spans="1:1" x14ac:dyDescent="0.3">
      <c r="A1398" s="556"/>
    </row>
    <row r="1399" spans="1:1" x14ac:dyDescent="0.3">
      <c r="A1399" s="556"/>
    </row>
    <row r="1400" spans="1:1" x14ac:dyDescent="0.3">
      <c r="A1400" s="556"/>
    </row>
    <row r="1401" spans="1:1" x14ac:dyDescent="0.3">
      <c r="A1401" s="556"/>
    </row>
    <row r="1402" spans="1:1" x14ac:dyDescent="0.3">
      <c r="A1402" s="556"/>
    </row>
    <row r="1403" spans="1:1" x14ac:dyDescent="0.3">
      <c r="A1403" s="556"/>
    </row>
    <row r="1404" spans="1:1" x14ac:dyDescent="0.3">
      <c r="A1404" s="556"/>
    </row>
    <row r="1405" spans="1:1" x14ac:dyDescent="0.3">
      <c r="A1405" s="556"/>
    </row>
    <row r="1406" spans="1:1" x14ac:dyDescent="0.3">
      <c r="A1406" s="556"/>
    </row>
    <row r="1407" spans="1:1" x14ac:dyDescent="0.3">
      <c r="A1407" s="556"/>
    </row>
    <row r="1408" spans="1:1" x14ac:dyDescent="0.3">
      <c r="A1408" s="556"/>
    </row>
    <row r="1409" spans="1:1" x14ac:dyDescent="0.3">
      <c r="A1409" s="556"/>
    </row>
    <row r="1410" spans="1:1" x14ac:dyDescent="0.3">
      <c r="A1410" s="556"/>
    </row>
    <row r="1411" spans="1:1" x14ac:dyDescent="0.3">
      <c r="A1411" s="556"/>
    </row>
    <row r="1412" spans="1:1" x14ac:dyDescent="0.3">
      <c r="A1412" s="556"/>
    </row>
    <row r="1413" spans="1:1" x14ac:dyDescent="0.3">
      <c r="A1413" s="556"/>
    </row>
    <row r="1414" spans="1:1" x14ac:dyDescent="0.3">
      <c r="A1414" s="556"/>
    </row>
    <row r="1415" spans="1:1" x14ac:dyDescent="0.3">
      <c r="A1415" s="556"/>
    </row>
    <row r="1416" spans="1:1" x14ac:dyDescent="0.3">
      <c r="A1416" s="556"/>
    </row>
    <row r="1417" spans="1:1" x14ac:dyDescent="0.3">
      <c r="A1417" s="556"/>
    </row>
    <row r="1418" spans="1:1" x14ac:dyDescent="0.3">
      <c r="A1418" s="556"/>
    </row>
    <row r="1419" spans="1:1" x14ac:dyDescent="0.3">
      <c r="A1419" s="556"/>
    </row>
    <row r="1420" spans="1:1" x14ac:dyDescent="0.3">
      <c r="A1420" s="556"/>
    </row>
    <row r="1421" spans="1:1" x14ac:dyDescent="0.3">
      <c r="A1421" s="556"/>
    </row>
    <row r="1422" spans="1:1" x14ac:dyDescent="0.3">
      <c r="A1422" s="556"/>
    </row>
    <row r="1423" spans="1:1" x14ac:dyDescent="0.3">
      <c r="A1423" s="556"/>
    </row>
    <row r="1424" spans="1:1" x14ac:dyDescent="0.3">
      <c r="A1424" s="556"/>
    </row>
    <row r="1425" spans="1:1" x14ac:dyDescent="0.3">
      <c r="A1425" s="556"/>
    </row>
    <row r="1426" spans="1:1" x14ac:dyDescent="0.3">
      <c r="A1426" s="556"/>
    </row>
    <row r="1427" spans="1:1" x14ac:dyDescent="0.3">
      <c r="A1427" s="556"/>
    </row>
    <row r="1428" spans="1:1" x14ac:dyDescent="0.3">
      <c r="A1428" s="556"/>
    </row>
    <row r="1429" spans="1:1" x14ac:dyDescent="0.3">
      <c r="A1429" s="556"/>
    </row>
    <row r="1430" spans="1:1" x14ac:dyDescent="0.3">
      <c r="A1430" s="556"/>
    </row>
    <row r="1431" spans="1:1" x14ac:dyDescent="0.3">
      <c r="A1431" s="556"/>
    </row>
    <row r="1432" spans="1:1" x14ac:dyDescent="0.3">
      <c r="A1432" s="556"/>
    </row>
    <row r="1433" spans="1:1" x14ac:dyDescent="0.3">
      <c r="A1433" s="556"/>
    </row>
    <row r="1434" spans="1:1" x14ac:dyDescent="0.3">
      <c r="A1434" s="556"/>
    </row>
    <row r="1435" spans="1:1" x14ac:dyDescent="0.3">
      <c r="A1435" s="556"/>
    </row>
    <row r="1436" spans="1:1" x14ac:dyDescent="0.3">
      <c r="A1436" s="556"/>
    </row>
    <row r="1437" spans="1:1" x14ac:dyDescent="0.3">
      <c r="A1437" s="556"/>
    </row>
    <row r="1438" spans="1:1" x14ac:dyDescent="0.3">
      <c r="A1438" s="556"/>
    </row>
    <row r="1439" spans="1:1" x14ac:dyDescent="0.3">
      <c r="A1439" s="556"/>
    </row>
    <row r="1440" spans="1:1" x14ac:dyDescent="0.3">
      <c r="A1440" s="556"/>
    </row>
    <row r="1441" spans="1:1" x14ac:dyDescent="0.3">
      <c r="A1441" s="556"/>
    </row>
    <row r="1442" spans="1:1" x14ac:dyDescent="0.3">
      <c r="A1442" s="556"/>
    </row>
    <row r="1443" spans="1:1" x14ac:dyDescent="0.3">
      <c r="A1443" s="556"/>
    </row>
    <row r="1444" spans="1:1" x14ac:dyDescent="0.3">
      <c r="A1444" s="556"/>
    </row>
    <row r="1445" spans="1:1" x14ac:dyDescent="0.3">
      <c r="A1445" s="556"/>
    </row>
    <row r="1446" spans="1:1" x14ac:dyDescent="0.3">
      <c r="A1446" s="556"/>
    </row>
    <row r="1447" spans="1:1" x14ac:dyDescent="0.3">
      <c r="A1447" s="556"/>
    </row>
    <row r="1448" spans="1:1" x14ac:dyDescent="0.3">
      <c r="A1448" s="556"/>
    </row>
    <row r="1449" spans="1:1" x14ac:dyDescent="0.3">
      <c r="A1449" s="556"/>
    </row>
    <row r="1450" spans="1:1" x14ac:dyDescent="0.3">
      <c r="A1450" s="556"/>
    </row>
    <row r="1451" spans="1:1" x14ac:dyDescent="0.3">
      <c r="A1451" s="556"/>
    </row>
    <row r="1452" spans="1:1" x14ac:dyDescent="0.3">
      <c r="A1452" s="556"/>
    </row>
    <row r="1453" spans="1:1" x14ac:dyDescent="0.3">
      <c r="A1453" s="556"/>
    </row>
    <row r="1454" spans="1:1" x14ac:dyDescent="0.3">
      <c r="A1454" s="556"/>
    </row>
    <row r="1455" spans="1:1" x14ac:dyDescent="0.3">
      <c r="A1455" s="556"/>
    </row>
    <row r="1456" spans="1:1" x14ac:dyDescent="0.3">
      <c r="A1456" s="556"/>
    </row>
    <row r="1457" spans="1:1" x14ac:dyDescent="0.3">
      <c r="A1457" s="556"/>
    </row>
    <row r="1458" spans="1:1" x14ac:dyDescent="0.3">
      <c r="A1458" s="556"/>
    </row>
    <row r="1459" spans="1:1" x14ac:dyDescent="0.3">
      <c r="A1459" s="556"/>
    </row>
    <row r="1460" spans="1:1" x14ac:dyDescent="0.3">
      <c r="A1460" s="556"/>
    </row>
    <row r="1461" spans="1:1" x14ac:dyDescent="0.3">
      <c r="A1461" s="556"/>
    </row>
    <row r="1462" spans="1:1" x14ac:dyDescent="0.3">
      <c r="A1462" s="556"/>
    </row>
    <row r="1463" spans="1:1" x14ac:dyDescent="0.3">
      <c r="A1463" s="556"/>
    </row>
    <row r="1464" spans="1:1" x14ac:dyDescent="0.3">
      <c r="A1464" s="556"/>
    </row>
    <row r="1465" spans="1:1" x14ac:dyDescent="0.3">
      <c r="A1465" s="556"/>
    </row>
    <row r="1466" spans="1:1" x14ac:dyDescent="0.3">
      <c r="A1466" s="556"/>
    </row>
    <row r="1467" spans="1:1" x14ac:dyDescent="0.3">
      <c r="A1467" s="556"/>
    </row>
    <row r="1468" spans="1:1" x14ac:dyDescent="0.3">
      <c r="A1468" s="556"/>
    </row>
    <row r="1469" spans="1:1" x14ac:dyDescent="0.3">
      <c r="A1469" s="556"/>
    </row>
    <row r="1470" spans="1:1" x14ac:dyDescent="0.3">
      <c r="A1470" s="556"/>
    </row>
    <row r="1471" spans="1:1" x14ac:dyDescent="0.3">
      <c r="A1471" s="556"/>
    </row>
    <row r="1472" spans="1:1" x14ac:dyDescent="0.3">
      <c r="A1472" s="556"/>
    </row>
    <row r="1473" spans="1:1" x14ac:dyDescent="0.3">
      <c r="A1473" s="556"/>
    </row>
    <row r="1474" spans="1:1" x14ac:dyDescent="0.3">
      <c r="A1474" s="556"/>
    </row>
    <row r="1475" spans="1:1" x14ac:dyDescent="0.3">
      <c r="A1475" s="556"/>
    </row>
    <row r="1476" spans="1:1" x14ac:dyDescent="0.3">
      <c r="A1476" s="556"/>
    </row>
    <row r="1477" spans="1:1" x14ac:dyDescent="0.3">
      <c r="A1477" s="556"/>
    </row>
    <row r="1478" spans="1:1" x14ac:dyDescent="0.3">
      <c r="A1478" s="556"/>
    </row>
    <row r="1479" spans="1:1" x14ac:dyDescent="0.3">
      <c r="A1479" s="556"/>
    </row>
    <row r="1480" spans="1:1" x14ac:dyDescent="0.3">
      <c r="A1480" s="556"/>
    </row>
    <row r="1481" spans="1:1" x14ac:dyDescent="0.3">
      <c r="A1481" s="556"/>
    </row>
    <row r="1482" spans="1:1" x14ac:dyDescent="0.3">
      <c r="A1482" s="556"/>
    </row>
    <row r="1483" spans="1:1" x14ac:dyDescent="0.3">
      <c r="A1483" s="556"/>
    </row>
    <row r="1484" spans="1:1" x14ac:dyDescent="0.3">
      <c r="A1484" s="556"/>
    </row>
    <row r="1485" spans="1:1" x14ac:dyDescent="0.3">
      <c r="A1485" s="556"/>
    </row>
    <row r="1486" spans="1:1" x14ac:dyDescent="0.3">
      <c r="A1486" s="556"/>
    </row>
    <row r="1487" spans="1:1" x14ac:dyDescent="0.3">
      <c r="A1487" s="556"/>
    </row>
    <row r="1488" spans="1:1" x14ac:dyDescent="0.3">
      <c r="A1488" s="556"/>
    </row>
    <row r="1489" spans="1:1" x14ac:dyDescent="0.3">
      <c r="A1489" s="556"/>
    </row>
    <row r="1490" spans="1:1" x14ac:dyDescent="0.3">
      <c r="A1490" s="556"/>
    </row>
    <row r="1491" spans="1:1" x14ac:dyDescent="0.3">
      <c r="A1491" s="556"/>
    </row>
    <row r="1492" spans="1:1" x14ac:dyDescent="0.3">
      <c r="A1492" s="556"/>
    </row>
    <row r="1493" spans="1:1" x14ac:dyDescent="0.3">
      <c r="A1493" s="556"/>
    </row>
    <row r="1494" spans="1:1" x14ac:dyDescent="0.3">
      <c r="A1494" s="556"/>
    </row>
    <row r="1495" spans="1:1" x14ac:dyDescent="0.3">
      <c r="A1495" s="556"/>
    </row>
    <row r="1496" spans="1:1" x14ac:dyDescent="0.3">
      <c r="A1496" s="556"/>
    </row>
    <row r="1497" spans="1:1" x14ac:dyDescent="0.3">
      <c r="A1497" s="556"/>
    </row>
    <row r="1498" spans="1:1" x14ac:dyDescent="0.3">
      <c r="A1498" s="556"/>
    </row>
    <row r="1499" spans="1:1" x14ac:dyDescent="0.3">
      <c r="A1499" s="556"/>
    </row>
    <row r="1500" spans="1:1" x14ac:dyDescent="0.3">
      <c r="A1500" s="556"/>
    </row>
    <row r="1501" spans="1:1" x14ac:dyDescent="0.3">
      <c r="A1501" s="556"/>
    </row>
    <row r="1502" spans="1:1" x14ac:dyDescent="0.3">
      <c r="A1502" s="556"/>
    </row>
    <row r="1503" spans="1:1" x14ac:dyDescent="0.3">
      <c r="A1503" s="556"/>
    </row>
    <row r="1504" spans="1:1" x14ac:dyDescent="0.3">
      <c r="A1504" s="556"/>
    </row>
    <row r="1505" spans="1:1" x14ac:dyDescent="0.3">
      <c r="A1505" s="556"/>
    </row>
    <row r="1506" spans="1:1" x14ac:dyDescent="0.3">
      <c r="A1506" s="556"/>
    </row>
    <row r="1507" spans="1:1" x14ac:dyDescent="0.3">
      <c r="A1507" s="556"/>
    </row>
    <row r="1508" spans="1:1" x14ac:dyDescent="0.3">
      <c r="A1508" s="556"/>
    </row>
    <row r="1509" spans="1:1" x14ac:dyDescent="0.3">
      <c r="A1509" s="556"/>
    </row>
    <row r="1510" spans="1:1" x14ac:dyDescent="0.3">
      <c r="A1510" s="556"/>
    </row>
    <row r="1511" spans="1:1" x14ac:dyDescent="0.3">
      <c r="A1511" s="556"/>
    </row>
    <row r="1512" spans="1:1" x14ac:dyDescent="0.3">
      <c r="A1512" s="556"/>
    </row>
    <row r="1513" spans="1:1" x14ac:dyDescent="0.3">
      <c r="A1513" s="556"/>
    </row>
    <row r="1514" spans="1:1" x14ac:dyDescent="0.3">
      <c r="A1514" s="556"/>
    </row>
    <row r="1515" spans="1:1" x14ac:dyDescent="0.3">
      <c r="A1515" s="556"/>
    </row>
    <row r="1516" spans="1:1" x14ac:dyDescent="0.3">
      <c r="A1516" s="556"/>
    </row>
    <row r="1517" spans="1:1" x14ac:dyDescent="0.3">
      <c r="A1517" s="556"/>
    </row>
    <row r="1518" spans="1:1" x14ac:dyDescent="0.3">
      <c r="A1518" s="556"/>
    </row>
    <row r="1519" spans="1:1" x14ac:dyDescent="0.3">
      <c r="A1519" s="556"/>
    </row>
    <row r="1520" spans="1:1" x14ac:dyDescent="0.3">
      <c r="A1520" s="556"/>
    </row>
    <row r="1521" spans="1:1" x14ac:dyDescent="0.3">
      <c r="A1521" s="556"/>
    </row>
    <row r="1522" spans="1:1" x14ac:dyDescent="0.3">
      <c r="A1522" s="556"/>
    </row>
    <row r="1523" spans="1:1" x14ac:dyDescent="0.3">
      <c r="A1523" s="556"/>
    </row>
    <row r="1524" spans="1:1" x14ac:dyDescent="0.3">
      <c r="A1524" s="556"/>
    </row>
    <row r="1525" spans="1:1" x14ac:dyDescent="0.3">
      <c r="A1525" s="556"/>
    </row>
    <row r="1526" spans="1:1" x14ac:dyDescent="0.3">
      <c r="A1526" s="556"/>
    </row>
    <row r="1527" spans="1:1" x14ac:dyDescent="0.3">
      <c r="A1527" s="556"/>
    </row>
    <row r="1528" spans="1:1" x14ac:dyDescent="0.3">
      <c r="A1528" s="556"/>
    </row>
    <row r="1529" spans="1:1" x14ac:dyDescent="0.3">
      <c r="A1529" s="556"/>
    </row>
    <row r="1530" spans="1:1" x14ac:dyDescent="0.3">
      <c r="A1530" s="556"/>
    </row>
    <row r="1531" spans="1:1" x14ac:dyDescent="0.3">
      <c r="A1531" s="556"/>
    </row>
    <row r="1532" spans="1:1" x14ac:dyDescent="0.3">
      <c r="A1532" s="556"/>
    </row>
    <row r="1533" spans="1:1" x14ac:dyDescent="0.3">
      <c r="A1533" s="556"/>
    </row>
    <row r="1534" spans="1:1" x14ac:dyDescent="0.3">
      <c r="A1534" s="556"/>
    </row>
    <row r="1535" spans="1:1" x14ac:dyDescent="0.3">
      <c r="A1535" s="556"/>
    </row>
    <row r="1536" spans="1:1" x14ac:dyDescent="0.3">
      <c r="A1536" s="556"/>
    </row>
    <row r="1537" spans="1:1" x14ac:dyDescent="0.3">
      <c r="A1537" s="556"/>
    </row>
    <row r="1538" spans="1:1" x14ac:dyDescent="0.3">
      <c r="A1538" s="556"/>
    </row>
    <row r="1539" spans="1:1" x14ac:dyDescent="0.3">
      <c r="A1539" s="556"/>
    </row>
    <row r="1540" spans="1:1" x14ac:dyDescent="0.3">
      <c r="A1540" s="556"/>
    </row>
    <row r="1541" spans="1:1" x14ac:dyDescent="0.3">
      <c r="A1541" s="556"/>
    </row>
    <row r="1542" spans="1:1" x14ac:dyDescent="0.3">
      <c r="A1542" s="556"/>
    </row>
    <row r="1543" spans="1:1" x14ac:dyDescent="0.3">
      <c r="A1543" s="556"/>
    </row>
    <row r="1544" spans="1:1" x14ac:dyDescent="0.3">
      <c r="A1544" s="556"/>
    </row>
    <row r="1545" spans="1:1" x14ac:dyDescent="0.3">
      <c r="A1545" s="556"/>
    </row>
    <row r="1546" spans="1:1" x14ac:dyDescent="0.3">
      <c r="A1546" s="556"/>
    </row>
    <row r="1547" spans="1:1" x14ac:dyDescent="0.3">
      <c r="A1547" s="556"/>
    </row>
    <row r="1548" spans="1:1" x14ac:dyDescent="0.3">
      <c r="A1548" s="556"/>
    </row>
    <row r="1549" spans="1:1" x14ac:dyDescent="0.3">
      <c r="A1549" s="556"/>
    </row>
    <row r="1550" spans="1:1" x14ac:dyDescent="0.3">
      <c r="A1550" s="556"/>
    </row>
    <row r="1551" spans="1:1" x14ac:dyDescent="0.3">
      <c r="A1551" s="556"/>
    </row>
    <row r="1552" spans="1:1" x14ac:dyDescent="0.3">
      <c r="A1552" s="556"/>
    </row>
    <row r="1553" spans="1:1" x14ac:dyDescent="0.3">
      <c r="A1553" s="556"/>
    </row>
    <row r="1554" spans="1:1" x14ac:dyDescent="0.3">
      <c r="A1554" s="556"/>
    </row>
    <row r="1555" spans="1:1" x14ac:dyDescent="0.3">
      <c r="A1555" s="556"/>
    </row>
    <row r="1556" spans="1:1" x14ac:dyDescent="0.3">
      <c r="A1556" s="556"/>
    </row>
    <row r="1557" spans="1:1" x14ac:dyDescent="0.3">
      <c r="A1557" s="556"/>
    </row>
    <row r="1558" spans="1:1" x14ac:dyDescent="0.3">
      <c r="A1558" s="556"/>
    </row>
    <row r="1559" spans="1:1" x14ac:dyDescent="0.3">
      <c r="A1559" s="556"/>
    </row>
    <row r="1560" spans="1:1" x14ac:dyDescent="0.3">
      <c r="A1560" s="556"/>
    </row>
    <row r="1561" spans="1:1" x14ac:dyDescent="0.3">
      <c r="A1561" s="556"/>
    </row>
    <row r="1562" spans="1:1" x14ac:dyDescent="0.3">
      <c r="A1562" s="556"/>
    </row>
    <row r="1563" spans="1:1" x14ac:dyDescent="0.3">
      <c r="A1563" s="556"/>
    </row>
    <row r="1564" spans="1:1" x14ac:dyDescent="0.3">
      <c r="A1564" s="556"/>
    </row>
    <row r="1565" spans="1:1" x14ac:dyDescent="0.3">
      <c r="A1565" s="556"/>
    </row>
    <row r="1566" spans="1:1" x14ac:dyDescent="0.3">
      <c r="A1566" s="556"/>
    </row>
    <row r="1567" spans="1:1" x14ac:dyDescent="0.3">
      <c r="A1567" s="556"/>
    </row>
    <row r="1568" spans="1:1" x14ac:dyDescent="0.3">
      <c r="A1568" s="556"/>
    </row>
    <row r="1569" spans="1:1" x14ac:dyDescent="0.3">
      <c r="A1569" s="556"/>
    </row>
    <row r="1570" spans="1:1" x14ac:dyDescent="0.3">
      <c r="A1570" s="556"/>
    </row>
    <row r="1571" spans="1:1" x14ac:dyDescent="0.3">
      <c r="A1571" s="556"/>
    </row>
    <row r="1572" spans="1:1" x14ac:dyDescent="0.3">
      <c r="A1572" s="556"/>
    </row>
    <row r="1573" spans="1:1" x14ac:dyDescent="0.3">
      <c r="A1573" s="556"/>
    </row>
    <row r="1574" spans="1:1" x14ac:dyDescent="0.3">
      <c r="A1574" s="556"/>
    </row>
    <row r="1575" spans="1:1" x14ac:dyDescent="0.3">
      <c r="A1575" s="556"/>
    </row>
    <row r="1576" spans="1:1" x14ac:dyDescent="0.3">
      <c r="A1576" s="556"/>
    </row>
    <row r="1577" spans="1:1" x14ac:dyDescent="0.3">
      <c r="A1577" s="556"/>
    </row>
    <row r="1578" spans="1:1" x14ac:dyDescent="0.3">
      <c r="A1578" s="556"/>
    </row>
    <row r="1579" spans="1:1" x14ac:dyDescent="0.3">
      <c r="A1579" s="556"/>
    </row>
    <row r="1580" spans="1:1" x14ac:dyDescent="0.3">
      <c r="A1580" s="556"/>
    </row>
    <row r="1581" spans="1:1" x14ac:dyDescent="0.3">
      <c r="A1581" s="556"/>
    </row>
    <row r="1582" spans="1:1" x14ac:dyDescent="0.3">
      <c r="A1582" s="556"/>
    </row>
    <row r="1583" spans="1:1" x14ac:dyDescent="0.3">
      <c r="A1583" s="556"/>
    </row>
    <row r="1584" spans="1:1" x14ac:dyDescent="0.3">
      <c r="A1584" s="556"/>
    </row>
    <row r="1585" spans="1:1" x14ac:dyDescent="0.3">
      <c r="A1585" s="556"/>
    </row>
    <row r="1586" spans="1:1" x14ac:dyDescent="0.3">
      <c r="A1586" s="556"/>
    </row>
    <row r="1587" spans="1:1" x14ac:dyDescent="0.3">
      <c r="A1587" s="556"/>
    </row>
    <row r="1588" spans="1:1" x14ac:dyDescent="0.3">
      <c r="A1588" s="556"/>
    </row>
    <row r="1589" spans="1:1" x14ac:dyDescent="0.3">
      <c r="A1589" s="556"/>
    </row>
    <row r="1590" spans="1:1" x14ac:dyDescent="0.3">
      <c r="A1590" s="556"/>
    </row>
    <row r="1591" spans="1:1" x14ac:dyDescent="0.3">
      <c r="A1591" s="556"/>
    </row>
    <row r="1592" spans="1:1" x14ac:dyDescent="0.3">
      <c r="A1592" s="556"/>
    </row>
    <row r="1593" spans="1:1" x14ac:dyDescent="0.3">
      <c r="A1593" s="556"/>
    </row>
    <row r="1594" spans="1:1" x14ac:dyDescent="0.3">
      <c r="A1594" s="556"/>
    </row>
    <row r="1595" spans="1:1" x14ac:dyDescent="0.3">
      <c r="A1595" s="556"/>
    </row>
    <row r="1596" spans="1:1" x14ac:dyDescent="0.3">
      <c r="A1596" s="556"/>
    </row>
    <row r="1597" spans="1:1" x14ac:dyDescent="0.3">
      <c r="A1597" s="556"/>
    </row>
    <row r="1598" spans="1:1" x14ac:dyDescent="0.3">
      <c r="A1598" s="556"/>
    </row>
    <row r="1599" spans="1:1" x14ac:dyDescent="0.3">
      <c r="A1599" s="556"/>
    </row>
    <row r="1600" spans="1:1" x14ac:dyDescent="0.3">
      <c r="A1600" s="556"/>
    </row>
    <row r="1601" spans="1:1" x14ac:dyDescent="0.3">
      <c r="A1601" s="556"/>
    </row>
    <row r="1602" spans="1:1" x14ac:dyDescent="0.3">
      <c r="A1602" s="556"/>
    </row>
    <row r="1603" spans="1:1" x14ac:dyDescent="0.3">
      <c r="A1603" s="556"/>
    </row>
    <row r="1604" spans="1:1" x14ac:dyDescent="0.3">
      <c r="A1604" s="556"/>
    </row>
    <row r="1605" spans="1:1" x14ac:dyDescent="0.3">
      <c r="A1605" s="556"/>
    </row>
    <row r="1606" spans="1:1" x14ac:dyDescent="0.3">
      <c r="A1606" s="556"/>
    </row>
    <row r="1607" spans="1:1" x14ac:dyDescent="0.3">
      <c r="A1607" s="556"/>
    </row>
    <row r="1608" spans="1:1" x14ac:dyDescent="0.3">
      <c r="A1608" s="556"/>
    </row>
    <row r="1609" spans="1:1" x14ac:dyDescent="0.3">
      <c r="A1609" s="556"/>
    </row>
    <row r="1610" spans="1:1" x14ac:dyDescent="0.3">
      <c r="A1610" s="556"/>
    </row>
    <row r="1611" spans="1:1" x14ac:dyDescent="0.3">
      <c r="A1611" s="556"/>
    </row>
    <row r="1612" spans="1:1" x14ac:dyDescent="0.3">
      <c r="A1612" s="556"/>
    </row>
    <row r="1613" spans="1:1" x14ac:dyDescent="0.3">
      <c r="A1613" s="556"/>
    </row>
    <row r="1614" spans="1:1" x14ac:dyDescent="0.3">
      <c r="A1614" s="556"/>
    </row>
    <row r="1615" spans="1:1" x14ac:dyDescent="0.3">
      <c r="A1615" s="556"/>
    </row>
    <row r="1616" spans="1:1" x14ac:dyDescent="0.3">
      <c r="A1616" s="556"/>
    </row>
    <row r="1617" spans="1:1" x14ac:dyDescent="0.3">
      <c r="A1617" s="556"/>
    </row>
    <row r="1618" spans="1:1" x14ac:dyDescent="0.3">
      <c r="A1618" s="556"/>
    </row>
    <row r="1619" spans="1:1" x14ac:dyDescent="0.3">
      <c r="A1619" s="556"/>
    </row>
    <row r="1620" spans="1:1" x14ac:dyDescent="0.3">
      <c r="A1620" s="556"/>
    </row>
    <row r="1621" spans="1:1" x14ac:dyDescent="0.3">
      <c r="A1621" s="556"/>
    </row>
    <row r="1622" spans="1:1" x14ac:dyDescent="0.3">
      <c r="A1622" s="556"/>
    </row>
    <row r="1623" spans="1:1" x14ac:dyDescent="0.3">
      <c r="A1623" s="556"/>
    </row>
    <row r="1624" spans="1:1" x14ac:dyDescent="0.3">
      <c r="A1624" s="556"/>
    </row>
    <row r="1625" spans="1:1" x14ac:dyDescent="0.3">
      <c r="A1625" s="556"/>
    </row>
    <row r="1626" spans="1:1" x14ac:dyDescent="0.3">
      <c r="A1626" s="556"/>
    </row>
    <row r="1627" spans="1:1" x14ac:dyDescent="0.3">
      <c r="A1627" s="556"/>
    </row>
    <row r="1628" spans="1:1" x14ac:dyDescent="0.3">
      <c r="A1628" s="556"/>
    </row>
    <row r="1629" spans="1:1" x14ac:dyDescent="0.3">
      <c r="A1629" s="556"/>
    </row>
    <row r="1630" spans="1:1" x14ac:dyDescent="0.3">
      <c r="A1630" s="556"/>
    </row>
    <row r="1631" spans="1:1" x14ac:dyDescent="0.3">
      <c r="A1631" s="556"/>
    </row>
    <row r="1632" spans="1:1" x14ac:dyDescent="0.3">
      <c r="A1632" s="556"/>
    </row>
    <row r="1633" spans="1:1" x14ac:dyDescent="0.3">
      <c r="A1633" s="556"/>
    </row>
    <row r="1634" spans="1:1" x14ac:dyDescent="0.3">
      <c r="A1634" s="556"/>
    </row>
    <row r="1635" spans="1:1" x14ac:dyDescent="0.3">
      <c r="A1635" s="556"/>
    </row>
    <row r="1636" spans="1:1" x14ac:dyDescent="0.3">
      <c r="A1636" s="556"/>
    </row>
    <row r="1637" spans="1:1" x14ac:dyDescent="0.3">
      <c r="A1637" s="556"/>
    </row>
    <row r="1638" spans="1:1" x14ac:dyDescent="0.3">
      <c r="A1638" s="556"/>
    </row>
    <row r="1639" spans="1:1" x14ac:dyDescent="0.3">
      <c r="A1639" s="556"/>
    </row>
    <row r="1640" spans="1:1" x14ac:dyDescent="0.3">
      <c r="A1640" s="556"/>
    </row>
    <row r="1641" spans="1:1" x14ac:dyDescent="0.3">
      <c r="A1641" s="556"/>
    </row>
    <row r="1642" spans="1:1" x14ac:dyDescent="0.3">
      <c r="A1642" s="556"/>
    </row>
    <row r="1643" spans="1:1" x14ac:dyDescent="0.3">
      <c r="A1643" s="556"/>
    </row>
    <row r="1644" spans="1:1" x14ac:dyDescent="0.3">
      <c r="A1644" s="556"/>
    </row>
    <row r="1645" spans="1:1" x14ac:dyDescent="0.3">
      <c r="A1645" s="556"/>
    </row>
    <row r="1646" spans="1:1" x14ac:dyDescent="0.3">
      <c r="A1646" s="556"/>
    </row>
    <row r="1647" spans="1:1" x14ac:dyDescent="0.3">
      <c r="A1647" s="556"/>
    </row>
    <row r="1648" spans="1:1" x14ac:dyDescent="0.3">
      <c r="A1648" s="556"/>
    </row>
    <row r="1649" spans="1:1" x14ac:dyDescent="0.3">
      <c r="A1649" s="556"/>
    </row>
    <row r="1650" spans="1:1" x14ac:dyDescent="0.3">
      <c r="A1650" s="556"/>
    </row>
    <row r="1651" spans="1:1" x14ac:dyDescent="0.3">
      <c r="A1651" s="556"/>
    </row>
    <row r="1652" spans="1:1" x14ac:dyDescent="0.3">
      <c r="A1652" s="556"/>
    </row>
    <row r="1653" spans="1:1" x14ac:dyDescent="0.3">
      <c r="A1653" s="556"/>
    </row>
    <row r="1654" spans="1:1" x14ac:dyDescent="0.3">
      <c r="A1654" s="556"/>
    </row>
    <row r="1655" spans="1:1" x14ac:dyDescent="0.3">
      <c r="A1655" s="556"/>
    </row>
    <row r="1656" spans="1:1" x14ac:dyDescent="0.3">
      <c r="A1656" s="556"/>
    </row>
    <row r="1657" spans="1:1" x14ac:dyDescent="0.3">
      <c r="A1657" s="556"/>
    </row>
    <row r="1658" spans="1:1" x14ac:dyDescent="0.3">
      <c r="A1658" s="556"/>
    </row>
    <row r="1659" spans="1:1" x14ac:dyDescent="0.3">
      <c r="A1659" s="556"/>
    </row>
    <row r="1660" spans="1:1" x14ac:dyDescent="0.3">
      <c r="A1660" s="556"/>
    </row>
    <row r="1661" spans="1:1" x14ac:dyDescent="0.3">
      <c r="A1661" s="556"/>
    </row>
    <row r="1662" spans="1:1" x14ac:dyDescent="0.3">
      <c r="A1662" s="556"/>
    </row>
    <row r="1663" spans="1:1" x14ac:dyDescent="0.3">
      <c r="A1663" s="556"/>
    </row>
    <row r="1664" spans="1:1" x14ac:dyDescent="0.3">
      <c r="A1664" s="556"/>
    </row>
    <row r="1665" spans="1:1" x14ac:dyDescent="0.3">
      <c r="A1665" s="556"/>
    </row>
    <row r="1666" spans="1:1" x14ac:dyDescent="0.3">
      <c r="A1666" s="556"/>
    </row>
    <row r="1667" spans="1:1" x14ac:dyDescent="0.3">
      <c r="A1667" s="556"/>
    </row>
    <row r="1668" spans="1:1" x14ac:dyDescent="0.3">
      <c r="A1668" s="556"/>
    </row>
    <row r="1669" spans="1:1" x14ac:dyDescent="0.3">
      <c r="A1669" s="556"/>
    </row>
    <row r="1670" spans="1:1" x14ac:dyDescent="0.3">
      <c r="A1670" s="556"/>
    </row>
    <row r="1671" spans="1:1" x14ac:dyDescent="0.3">
      <c r="A1671" s="556"/>
    </row>
    <row r="1672" spans="1:1" x14ac:dyDescent="0.3">
      <c r="A1672" s="556"/>
    </row>
    <row r="1673" spans="1:1" x14ac:dyDescent="0.3">
      <c r="A1673" s="556"/>
    </row>
    <row r="1674" spans="1:1" x14ac:dyDescent="0.3">
      <c r="A1674" s="556"/>
    </row>
    <row r="1675" spans="1:1" x14ac:dyDescent="0.3">
      <c r="A1675" s="556"/>
    </row>
    <row r="1676" spans="1:1" x14ac:dyDescent="0.3">
      <c r="A1676" s="556"/>
    </row>
    <row r="1677" spans="1:1" x14ac:dyDescent="0.3">
      <c r="A1677" s="556"/>
    </row>
    <row r="1678" spans="1:1" x14ac:dyDescent="0.3">
      <c r="A1678" s="556"/>
    </row>
    <row r="1679" spans="1:1" x14ac:dyDescent="0.3">
      <c r="A1679" s="556"/>
    </row>
    <row r="1680" spans="1:1" x14ac:dyDescent="0.3">
      <c r="A1680" s="556"/>
    </row>
    <row r="1681" spans="1:1" x14ac:dyDescent="0.3">
      <c r="A1681" s="556"/>
    </row>
    <row r="1682" spans="1:1" x14ac:dyDescent="0.3">
      <c r="A1682" s="556"/>
    </row>
    <row r="1683" spans="1:1" x14ac:dyDescent="0.3">
      <c r="A1683" s="556"/>
    </row>
    <row r="1684" spans="1:1" x14ac:dyDescent="0.3">
      <c r="A1684" s="556"/>
    </row>
    <row r="1685" spans="1:1" x14ac:dyDescent="0.3">
      <c r="A1685" s="556"/>
    </row>
    <row r="1686" spans="1:1" x14ac:dyDescent="0.3">
      <c r="A1686" s="556"/>
    </row>
    <row r="1687" spans="1:1" x14ac:dyDescent="0.3">
      <c r="A1687" s="556"/>
    </row>
    <row r="1688" spans="1:1" x14ac:dyDescent="0.3">
      <c r="A1688" s="556"/>
    </row>
    <row r="1689" spans="1:1" x14ac:dyDescent="0.3">
      <c r="A1689" s="556"/>
    </row>
    <row r="1690" spans="1:1" x14ac:dyDescent="0.3">
      <c r="A1690" s="556"/>
    </row>
    <row r="1691" spans="1:1" x14ac:dyDescent="0.3">
      <c r="A1691" s="556"/>
    </row>
    <row r="1692" spans="1:1" x14ac:dyDescent="0.3">
      <c r="A1692" s="556"/>
    </row>
    <row r="1693" spans="1:1" x14ac:dyDescent="0.3">
      <c r="A1693" s="556"/>
    </row>
    <row r="1694" spans="1:1" x14ac:dyDescent="0.3">
      <c r="A1694" s="556"/>
    </row>
    <row r="1695" spans="1:1" x14ac:dyDescent="0.3">
      <c r="A1695" s="556"/>
    </row>
    <row r="1696" spans="1:1" x14ac:dyDescent="0.3">
      <c r="A1696" s="556"/>
    </row>
    <row r="1697" spans="1:1" x14ac:dyDescent="0.3">
      <c r="A1697" s="556"/>
    </row>
    <row r="1698" spans="1:1" x14ac:dyDescent="0.3">
      <c r="A1698" s="556"/>
    </row>
    <row r="1699" spans="1:1" x14ac:dyDescent="0.3">
      <c r="A1699" s="556"/>
    </row>
    <row r="1700" spans="1:1" x14ac:dyDescent="0.3">
      <c r="A1700" s="556"/>
    </row>
    <row r="1701" spans="1:1" x14ac:dyDescent="0.3">
      <c r="A1701" s="556"/>
    </row>
    <row r="1702" spans="1:1" x14ac:dyDescent="0.3">
      <c r="A1702" s="556"/>
    </row>
    <row r="1703" spans="1:1" x14ac:dyDescent="0.3">
      <c r="A1703" s="556"/>
    </row>
    <row r="1704" spans="1:1" x14ac:dyDescent="0.3">
      <c r="A1704" s="556"/>
    </row>
    <row r="1705" spans="1:1" x14ac:dyDescent="0.3">
      <c r="A1705" s="556"/>
    </row>
    <row r="1706" spans="1:1" x14ac:dyDescent="0.3">
      <c r="A1706" s="556"/>
    </row>
    <row r="1707" spans="1:1" x14ac:dyDescent="0.3">
      <c r="A1707" s="556"/>
    </row>
    <row r="1708" spans="1:1" x14ac:dyDescent="0.3">
      <c r="A1708" s="556"/>
    </row>
    <row r="1709" spans="1:1" x14ac:dyDescent="0.3">
      <c r="A1709" s="556"/>
    </row>
    <row r="1710" spans="1:1" x14ac:dyDescent="0.3">
      <c r="A1710" s="556"/>
    </row>
    <row r="1711" spans="1:1" x14ac:dyDescent="0.3">
      <c r="A1711" s="556"/>
    </row>
    <row r="1712" spans="1:1" x14ac:dyDescent="0.3">
      <c r="A1712" s="556"/>
    </row>
    <row r="1713" spans="1:1" x14ac:dyDescent="0.3">
      <c r="A1713" s="556"/>
    </row>
    <row r="1714" spans="1:1" x14ac:dyDescent="0.3">
      <c r="A1714" s="556"/>
    </row>
    <row r="1715" spans="1:1" x14ac:dyDescent="0.3">
      <c r="A1715" s="556"/>
    </row>
    <row r="1716" spans="1:1" x14ac:dyDescent="0.3">
      <c r="A1716" s="556"/>
    </row>
    <row r="1717" spans="1:1" x14ac:dyDescent="0.3">
      <c r="A1717" s="556"/>
    </row>
    <row r="1718" spans="1:1" x14ac:dyDescent="0.3">
      <c r="A1718" s="556"/>
    </row>
    <row r="1719" spans="1:1" x14ac:dyDescent="0.3">
      <c r="A1719" s="556"/>
    </row>
    <row r="1720" spans="1:1" x14ac:dyDescent="0.3">
      <c r="A1720" s="556"/>
    </row>
    <row r="1721" spans="1:1" x14ac:dyDescent="0.3">
      <c r="A1721" s="556"/>
    </row>
    <row r="1722" spans="1:1" x14ac:dyDescent="0.3">
      <c r="A1722" s="556"/>
    </row>
    <row r="1723" spans="1:1" x14ac:dyDescent="0.3">
      <c r="A1723" s="556"/>
    </row>
    <row r="1724" spans="1:1" x14ac:dyDescent="0.3">
      <c r="A1724" s="556"/>
    </row>
    <row r="1725" spans="1:1" x14ac:dyDescent="0.3">
      <c r="A1725" s="556"/>
    </row>
    <row r="1726" spans="1:1" x14ac:dyDescent="0.3">
      <c r="A1726" s="556"/>
    </row>
    <row r="1727" spans="1:1" x14ac:dyDescent="0.3">
      <c r="A1727" s="556"/>
    </row>
    <row r="1728" spans="1:1" x14ac:dyDescent="0.3">
      <c r="A1728" s="556"/>
    </row>
    <row r="1729" spans="1:1" x14ac:dyDescent="0.3">
      <c r="A1729" s="556"/>
    </row>
    <row r="1730" spans="1:1" x14ac:dyDescent="0.3">
      <c r="A1730" s="556"/>
    </row>
    <row r="1731" spans="1:1" x14ac:dyDescent="0.3">
      <c r="A1731" s="556"/>
    </row>
    <row r="1732" spans="1:1" x14ac:dyDescent="0.3">
      <c r="A1732" s="556"/>
    </row>
    <row r="1733" spans="1:1" x14ac:dyDescent="0.3">
      <c r="A1733" s="556"/>
    </row>
    <row r="1734" spans="1:1" x14ac:dyDescent="0.3">
      <c r="A1734" s="556"/>
    </row>
    <row r="1735" spans="1:1" x14ac:dyDescent="0.3">
      <c r="A1735" s="556"/>
    </row>
    <row r="1736" spans="1:1" x14ac:dyDescent="0.3">
      <c r="A1736" s="556"/>
    </row>
    <row r="1737" spans="1:1" x14ac:dyDescent="0.3">
      <c r="A1737" s="556"/>
    </row>
    <row r="1738" spans="1:1" x14ac:dyDescent="0.3">
      <c r="A1738" s="556"/>
    </row>
    <row r="1739" spans="1:1" x14ac:dyDescent="0.3">
      <c r="A1739" s="556"/>
    </row>
    <row r="1740" spans="1:1" x14ac:dyDescent="0.3">
      <c r="A1740" s="556"/>
    </row>
    <row r="1741" spans="1:1" x14ac:dyDescent="0.3">
      <c r="A1741" s="556"/>
    </row>
    <row r="1742" spans="1:1" x14ac:dyDescent="0.3">
      <c r="A1742" s="556"/>
    </row>
    <row r="1743" spans="1:1" x14ac:dyDescent="0.3">
      <c r="A1743" s="556"/>
    </row>
    <row r="1744" spans="1:1" x14ac:dyDescent="0.3">
      <c r="A1744" s="556"/>
    </row>
    <row r="1745" spans="1:1" x14ac:dyDescent="0.3">
      <c r="A1745" s="556"/>
    </row>
    <row r="1746" spans="1:1" x14ac:dyDescent="0.3">
      <c r="A1746" s="556"/>
    </row>
    <row r="1747" spans="1:1" x14ac:dyDescent="0.3">
      <c r="A1747" s="556"/>
    </row>
    <row r="1748" spans="1:1" x14ac:dyDescent="0.3">
      <c r="A1748" s="556"/>
    </row>
    <row r="1749" spans="1:1" x14ac:dyDescent="0.3">
      <c r="A1749" s="556"/>
    </row>
    <row r="1750" spans="1:1" x14ac:dyDescent="0.3">
      <c r="A1750" s="556"/>
    </row>
    <row r="1751" spans="1:1" x14ac:dyDescent="0.3">
      <c r="A1751" s="556"/>
    </row>
    <row r="1752" spans="1:1" x14ac:dyDescent="0.3">
      <c r="A1752" s="556"/>
    </row>
    <row r="1753" spans="1:1" x14ac:dyDescent="0.3">
      <c r="A1753" s="556"/>
    </row>
    <row r="1754" spans="1:1" x14ac:dyDescent="0.3">
      <c r="A1754" s="556"/>
    </row>
    <row r="1755" spans="1:1" x14ac:dyDescent="0.3">
      <c r="A1755" s="556"/>
    </row>
    <row r="1756" spans="1:1" x14ac:dyDescent="0.3">
      <c r="A1756" s="556"/>
    </row>
    <row r="1757" spans="1:1" x14ac:dyDescent="0.3">
      <c r="A1757" s="556"/>
    </row>
    <row r="1758" spans="1:1" x14ac:dyDescent="0.3">
      <c r="A1758" s="556"/>
    </row>
    <row r="1759" spans="1:1" x14ac:dyDescent="0.3">
      <c r="A1759" s="556"/>
    </row>
    <row r="1760" spans="1:1" x14ac:dyDescent="0.3">
      <c r="A1760" s="556"/>
    </row>
    <row r="1761" spans="1:1" x14ac:dyDescent="0.3">
      <c r="A1761" s="556"/>
    </row>
    <row r="1762" spans="1:1" x14ac:dyDescent="0.3">
      <c r="A1762" s="556"/>
    </row>
    <row r="1763" spans="1:1" x14ac:dyDescent="0.3">
      <c r="A1763" s="556"/>
    </row>
    <row r="1764" spans="1:1" x14ac:dyDescent="0.3">
      <c r="A1764" s="556"/>
    </row>
    <row r="1765" spans="1:1" x14ac:dyDescent="0.3">
      <c r="A1765" s="556"/>
    </row>
    <row r="1766" spans="1:1" x14ac:dyDescent="0.3">
      <c r="A1766" s="556"/>
    </row>
    <row r="1767" spans="1:1" x14ac:dyDescent="0.3">
      <c r="A1767" s="556"/>
    </row>
    <row r="1768" spans="1:1" x14ac:dyDescent="0.3">
      <c r="A1768" s="556"/>
    </row>
    <row r="1769" spans="1:1" x14ac:dyDescent="0.3">
      <c r="A1769" s="556"/>
    </row>
    <row r="1770" spans="1:1" x14ac:dyDescent="0.3">
      <c r="A1770" s="556"/>
    </row>
    <row r="1771" spans="1:1" x14ac:dyDescent="0.3">
      <c r="A1771" s="556"/>
    </row>
    <row r="1772" spans="1:1" x14ac:dyDescent="0.3">
      <c r="A1772" s="556"/>
    </row>
    <row r="1773" spans="1:1" x14ac:dyDescent="0.3">
      <c r="A1773" s="556"/>
    </row>
    <row r="1774" spans="1:1" x14ac:dyDescent="0.3">
      <c r="A1774" s="556"/>
    </row>
    <row r="1775" spans="1:1" x14ac:dyDescent="0.3">
      <c r="A1775" s="556"/>
    </row>
    <row r="1776" spans="1:1" x14ac:dyDescent="0.3">
      <c r="A1776" s="556"/>
    </row>
    <row r="1777" spans="1:1" x14ac:dyDescent="0.3">
      <c r="A1777" s="556"/>
    </row>
    <row r="1778" spans="1:1" x14ac:dyDescent="0.3">
      <c r="A1778" s="556"/>
    </row>
    <row r="1779" spans="1:1" x14ac:dyDescent="0.3">
      <c r="A1779" s="556"/>
    </row>
    <row r="1780" spans="1:1" x14ac:dyDescent="0.3">
      <c r="A1780" s="556"/>
    </row>
    <row r="1781" spans="1:1" x14ac:dyDescent="0.3">
      <c r="A1781" s="556"/>
    </row>
    <row r="1782" spans="1:1" x14ac:dyDescent="0.3">
      <c r="A1782" s="556"/>
    </row>
    <row r="1783" spans="1:1" x14ac:dyDescent="0.3">
      <c r="A1783" s="556"/>
    </row>
    <row r="1784" spans="1:1" x14ac:dyDescent="0.3">
      <c r="A1784" s="556"/>
    </row>
    <row r="1785" spans="1:1" x14ac:dyDescent="0.3">
      <c r="A1785" s="556"/>
    </row>
    <row r="1786" spans="1:1" x14ac:dyDescent="0.3">
      <c r="A1786" s="556"/>
    </row>
    <row r="1787" spans="1:1" x14ac:dyDescent="0.3">
      <c r="A1787" s="556"/>
    </row>
    <row r="1788" spans="1:1" x14ac:dyDescent="0.3">
      <c r="A1788" s="556"/>
    </row>
    <row r="1789" spans="1:1" x14ac:dyDescent="0.3">
      <c r="A1789" s="556"/>
    </row>
    <row r="1790" spans="1:1" x14ac:dyDescent="0.3">
      <c r="A1790" s="556"/>
    </row>
    <row r="1791" spans="1:1" x14ac:dyDescent="0.3">
      <c r="A1791" s="556"/>
    </row>
    <row r="1792" spans="1:1" x14ac:dyDescent="0.3">
      <c r="A1792" s="556"/>
    </row>
    <row r="1793" spans="1:1" x14ac:dyDescent="0.3">
      <c r="A1793" s="556"/>
    </row>
    <row r="1794" spans="1:1" x14ac:dyDescent="0.3">
      <c r="A1794" s="556"/>
    </row>
    <row r="1795" spans="1:1" x14ac:dyDescent="0.3">
      <c r="A1795" s="556"/>
    </row>
    <row r="1796" spans="1:1" x14ac:dyDescent="0.3">
      <c r="A1796" s="556"/>
    </row>
    <row r="1797" spans="1:1" x14ac:dyDescent="0.3">
      <c r="A1797" s="556"/>
    </row>
    <row r="1798" spans="1:1" x14ac:dyDescent="0.3">
      <c r="A1798" s="556"/>
    </row>
    <row r="1799" spans="1:1" x14ac:dyDescent="0.3">
      <c r="A1799" s="556"/>
    </row>
    <row r="1800" spans="1:1" x14ac:dyDescent="0.3">
      <c r="A1800" s="556"/>
    </row>
    <row r="1801" spans="1:1" x14ac:dyDescent="0.3">
      <c r="A1801" s="556"/>
    </row>
    <row r="1802" spans="1:1" x14ac:dyDescent="0.3">
      <c r="A1802" s="556"/>
    </row>
    <row r="1803" spans="1:1" x14ac:dyDescent="0.3">
      <c r="A1803" s="556"/>
    </row>
    <row r="1804" spans="1:1" x14ac:dyDescent="0.3">
      <c r="A1804" s="556"/>
    </row>
    <row r="1805" spans="1:1" x14ac:dyDescent="0.3">
      <c r="A1805" s="556"/>
    </row>
    <row r="1806" spans="1:1" x14ac:dyDescent="0.3">
      <c r="A1806" s="556"/>
    </row>
    <row r="1807" spans="1:1" x14ac:dyDescent="0.3">
      <c r="A1807" s="556"/>
    </row>
    <row r="1808" spans="1:1" x14ac:dyDescent="0.3">
      <c r="A1808" s="556"/>
    </row>
    <row r="1809" spans="1:1" x14ac:dyDescent="0.3">
      <c r="A1809" s="556"/>
    </row>
    <row r="1810" spans="1:1" x14ac:dyDescent="0.3">
      <c r="A1810" s="556"/>
    </row>
    <row r="1811" spans="1:1" x14ac:dyDescent="0.3">
      <c r="A1811" s="556"/>
    </row>
    <row r="1812" spans="1:1" x14ac:dyDescent="0.3">
      <c r="A1812" s="556"/>
    </row>
    <row r="1813" spans="1:1" x14ac:dyDescent="0.3">
      <c r="A1813" s="556"/>
    </row>
    <row r="1814" spans="1:1" x14ac:dyDescent="0.3">
      <c r="A1814" s="556"/>
    </row>
    <row r="1815" spans="1:1" x14ac:dyDescent="0.3">
      <c r="A1815" s="556"/>
    </row>
    <row r="1816" spans="1:1" x14ac:dyDescent="0.3">
      <c r="A1816" s="556"/>
    </row>
    <row r="1817" spans="1:1" x14ac:dyDescent="0.3">
      <c r="A1817" s="556"/>
    </row>
    <row r="1818" spans="1:1" x14ac:dyDescent="0.3">
      <c r="A1818" s="556"/>
    </row>
    <row r="1819" spans="1:1" x14ac:dyDescent="0.3">
      <c r="A1819" s="556"/>
    </row>
    <row r="1820" spans="1:1" x14ac:dyDescent="0.3">
      <c r="A1820" s="556"/>
    </row>
    <row r="1821" spans="1:1" x14ac:dyDescent="0.3">
      <c r="A1821" s="556"/>
    </row>
    <row r="1822" spans="1:1" x14ac:dyDescent="0.3">
      <c r="A1822" s="556"/>
    </row>
    <row r="1823" spans="1:1" x14ac:dyDescent="0.3">
      <c r="A1823" s="556"/>
    </row>
    <row r="1824" spans="1:1" x14ac:dyDescent="0.3">
      <c r="A1824" s="556"/>
    </row>
    <row r="1825" spans="1:1" x14ac:dyDescent="0.3">
      <c r="A1825" s="556"/>
    </row>
    <row r="1826" spans="1:1" x14ac:dyDescent="0.3">
      <c r="A1826" s="556"/>
    </row>
    <row r="1827" spans="1:1" x14ac:dyDescent="0.3">
      <c r="A1827" s="556"/>
    </row>
    <row r="1828" spans="1:1" x14ac:dyDescent="0.3">
      <c r="A1828" s="556"/>
    </row>
    <row r="1829" spans="1:1" x14ac:dyDescent="0.3">
      <c r="A1829" s="556"/>
    </row>
    <row r="1830" spans="1:1" x14ac:dyDescent="0.3">
      <c r="A1830" s="556"/>
    </row>
    <row r="1831" spans="1:1" x14ac:dyDescent="0.3">
      <c r="A1831" s="556"/>
    </row>
    <row r="1832" spans="1:1" x14ac:dyDescent="0.3">
      <c r="A1832" s="556"/>
    </row>
    <row r="1833" spans="1:1" x14ac:dyDescent="0.3">
      <c r="A1833" s="556"/>
    </row>
    <row r="1834" spans="1:1" x14ac:dyDescent="0.3">
      <c r="A1834" s="556"/>
    </row>
    <row r="1835" spans="1:1" x14ac:dyDescent="0.3">
      <c r="A1835" s="556"/>
    </row>
    <row r="1836" spans="1:1" x14ac:dyDescent="0.3">
      <c r="A1836" s="556"/>
    </row>
    <row r="1837" spans="1:1" x14ac:dyDescent="0.3">
      <c r="A1837" s="556"/>
    </row>
    <row r="1838" spans="1:1" x14ac:dyDescent="0.3">
      <c r="A1838" s="556"/>
    </row>
    <row r="1839" spans="1:1" x14ac:dyDescent="0.3">
      <c r="A1839" s="556"/>
    </row>
    <row r="1840" spans="1:1" x14ac:dyDescent="0.3">
      <c r="A1840" s="556"/>
    </row>
    <row r="1841" spans="1:1" x14ac:dyDescent="0.3">
      <c r="A1841" s="556"/>
    </row>
    <row r="1842" spans="1:1" x14ac:dyDescent="0.3">
      <c r="A1842" s="556"/>
    </row>
    <row r="1843" spans="1:1" x14ac:dyDescent="0.3">
      <c r="A1843" s="556"/>
    </row>
    <row r="1844" spans="1:1" x14ac:dyDescent="0.3">
      <c r="A1844" s="556"/>
    </row>
    <row r="1845" spans="1:1" x14ac:dyDescent="0.3">
      <c r="A1845" s="556"/>
    </row>
    <row r="1846" spans="1:1" x14ac:dyDescent="0.3">
      <c r="A1846" s="556"/>
    </row>
    <row r="1847" spans="1:1" x14ac:dyDescent="0.3">
      <c r="A1847" s="556"/>
    </row>
    <row r="1848" spans="1:1" x14ac:dyDescent="0.3">
      <c r="A1848" s="556"/>
    </row>
    <row r="1849" spans="1:1" x14ac:dyDescent="0.3">
      <c r="A1849" s="556"/>
    </row>
    <row r="1850" spans="1:1" x14ac:dyDescent="0.3">
      <c r="A1850" s="556"/>
    </row>
    <row r="1851" spans="1:1" x14ac:dyDescent="0.3">
      <c r="A1851" s="556"/>
    </row>
    <row r="1852" spans="1:1" x14ac:dyDescent="0.3">
      <c r="A1852" s="556"/>
    </row>
    <row r="1853" spans="1:1" x14ac:dyDescent="0.3">
      <c r="A1853" s="556"/>
    </row>
    <row r="1854" spans="1:1" x14ac:dyDescent="0.3">
      <c r="A1854" s="556"/>
    </row>
    <row r="1855" spans="1:1" x14ac:dyDescent="0.3">
      <c r="A1855" s="556"/>
    </row>
    <row r="1856" spans="1:1" x14ac:dyDescent="0.3">
      <c r="A1856" s="556"/>
    </row>
    <row r="1857" spans="1:1" x14ac:dyDescent="0.3">
      <c r="A1857" s="556"/>
    </row>
    <row r="1858" spans="1:1" x14ac:dyDescent="0.3">
      <c r="A1858" s="556"/>
    </row>
    <row r="1859" spans="1:1" x14ac:dyDescent="0.3">
      <c r="A1859" s="556"/>
    </row>
    <row r="1860" spans="1:1" x14ac:dyDescent="0.3">
      <c r="A1860" s="556"/>
    </row>
    <row r="1861" spans="1:1" x14ac:dyDescent="0.3">
      <c r="A1861" s="556"/>
    </row>
    <row r="1862" spans="1:1" x14ac:dyDescent="0.3">
      <c r="A1862" s="556"/>
    </row>
    <row r="1863" spans="1:1" x14ac:dyDescent="0.3">
      <c r="A1863" s="556"/>
    </row>
    <row r="1864" spans="1:1" x14ac:dyDescent="0.3">
      <c r="A1864" s="556"/>
    </row>
    <row r="1865" spans="1:1" x14ac:dyDescent="0.3">
      <c r="A1865" s="556"/>
    </row>
    <row r="1866" spans="1:1" x14ac:dyDescent="0.3">
      <c r="A1866" s="556"/>
    </row>
    <row r="1867" spans="1:1" x14ac:dyDescent="0.3">
      <c r="A1867" s="556"/>
    </row>
    <row r="1868" spans="1:1" x14ac:dyDescent="0.3">
      <c r="A1868" s="556"/>
    </row>
    <row r="1869" spans="1:1" x14ac:dyDescent="0.3">
      <c r="A1869" s="556"/>
    </row>
    <row r="1870" spans="1:1" x14ac:dyDescent="0.3">
      <c r="A1870" s="556"/>
    </row>
    <row r="1871" spans="1:1" x14ac:dyDescent="0.3">
      <c r="A1871" s="556"/>
    </row>
    <row r="1872" spans="1:1" x14ac:dyDescent="0.3">
      <c r="A1872" s="556"/>
    </row>
    <row r="1873" spans="1:1" x14ac:dyDescent="0.3">
      <c r="A1873" s="556"/>
    </row>
    <row r="1874" spans="1:1" x14ac:dyDescent="0.3">
      <c r="A1874" s="556"/>
    </row>
    <row r="1875" spans="1:1" x14ac:dyDescent="0.3">
      <c r="A1875" s="556"/>
    </row>
    <row r="1876" spans="1:1" x14ac:dyDescent="0.3">
      <c r="A1876" s="556"/>
    </row>
    <row r="1877" spans="1:1" x14ac:dyDescent="0.3">
      <c r="A1877" s="556"/>
    </row>
    <row r="1878" spans="1:1" x14ac:dyDescent="0.3">
      <c r="A1878" s="556"/>
    </row>
    <row r="1879" spans="1:1" x14ac:dyDescent="0.3">
      <c r="A1879" s="556"/>
    </row>
    <row r="1880" spans="1:1" x14ac:dyDescent="0.3">
      <c r="A1880" s="556"/>
    </row>
    <row r="1881" spans="1:1" x14ac:dyDescent="0.3">
      <c r="A1881" s="556"/>
    </row>
    <row r="1882" spans="1:1" x14ac:dyDescent="0.3">
      <c r="A1882" s="556"/>
    </row>
    <row r="1883" spans="1:1" x14ac:dyDescent="0.3">
      <c r="A1883" s="556"/>
    </row>
    <row r="1884" spans="1:1" x14ac:dyDescent="0.3">
      <c r="A1884" s="556"/>
    </row>
    <row r="1885" spans="1:1" x14ac:dyDescent="0.3">
      <c r="A1885" s="556"/>
    </row>
    <row r="1886" spans="1:1" x14ac:dyDescent="0.3">
      <c r="A1886" s="556"/>
    </row>
    <row r="1887" spans="1:1" x14ac:dyDescent="0.3">
      <c r="A1887" s="556"/>
    </row>
    <row r="1888" spans="1:1" x14ac:dyDescent="0.3">
      <c r="A1888" s="556"/>
    </row>
    <row r="1889" spans="1:1" x14ac:dyDescent="0.3">
      <c r="A1889" s="556"/>
    </row>
    <row r="1890" spans="1:1" x14ac:dyDescent="0.3">
      <c r="A1890" s="556"/>
    </row>
    <row r="1891" spans="1:1" x14ac:dyDescent="0.3">
      <c r="A1891" s="556"/>
    </row>
    <row r="1892" spans="1:1" x14ac:dyDescent="0.3">
      <c r="A1892" s="556"/>
    </row>
    <row r="1893" spans="1:1" x14ac:dyDescent="0.3">
      <c r="A1893" s="556"/>
    </row>
    <row r="1894" spans="1:1" x14ac:dyDescent="0.3">
      <c r="A1894" s="556"/>
    </row>
    <row r="1895" spans="1:1" x14ac:dyDescent="0.3">
      <c r="A1895" s="556"/>
    </row>
    <row r="1896" spans="1:1" x14ac:dyDescent="0.3">
      <c r="A1896" s="556"/>
    </row>
    <row r="1897" spans="1:1" x14ac:dyDescent="0.3">
      <c r="A1897" s="556"/>
    </row>
    <row r="1898" spans="1:1" x14ac:dyDescent="0.3">
      <c r="A1898" s="556"/>
    </row>
    <row r="1899" spans="1:1" x14ac:dyDescent="0.3">
      <c r="A1899" s="556"/>
    </row>
    <row r="1900" spans="1:1" x14ac:dyDescent="0.3">
      <c r="A1900" s="556"/>
    </row>
    <row r="1901" spans="1:1" x14ac:dyDescent="0.3">
      <c r="A1901" s="556"/>
    </row>
    <row r="1902" spans="1:1" x14ac:dyDescent="0.3">
      <c r="A1902" s="556"/>
    </row>
    <row r="1903" spans="1:1" x14ac:dyDescent="0.3">
      <c r="A1903" s="556"/>
    </row>
    <row r="1904" spans="1:1" x14ac:dyDescent="0.3">
      <c r="A1904" s="556"/>
    </row>
    <row r="1905" spans="1:1" x14ac:dyDescent="0.3">
      <c r="A1905" s="556"/>
    </row>
    <row r="1906" spans="1:1" x14ac:dyDescent="0.3">
      <c r="A1906" s="556"/>
    </row>
    <row r="1907" spans="1:1" x14ac:dyDescent="0.3">
      <c r="A1907" s="556"/>
    </row>
    <row r="1908" spans="1:1" x14ac:dyDescent="0.3">
      <c r="A1908" s="556"/>
    </row>
    <row r="1909" spans="1:1" x14ac:dyDescent="0.3">
      <c r="A1909" s="556"/>
    </row>
    <row r="1910" spans="1:1" x14ac:dyDescent="0.3">
      <c r="A1910" s="556"/>
    </row>
    <row r="1911" spans="1:1" x14ac:dyDescent="0.3">
      <c r="A1911" s="556"/>
    </row>
    <row r="1912" spans="1:1" x14ac:dyDescent="0.3">
      <c r="A1912" s="556"/>
    </row>
    <row r="1913" spans="1:1" x14ac:dyDescent="0.3">
      <c r="A1913" s="556"/>
    </row>
    <row r="1914" spans="1:1" x14ac:dyDescent="0.3">
      <c r="A1914" s="556"/>
    </row>
    <row r="1915" spans="1:1" x14ac:dyDescent="0.3">
      <c r="A1915" s="556"/>
    </row>
    <row r="1916" spans="1:1" x14ac:dyDescent="0.3">
      <c r="A1916" s="556"/>
    </row>
    <row r="1917" spans="1:1" x14ac:dyDescent="0.3">
      <c r="A1917" s="556"/>
    </row>
    <row r="1918" spans="1:1" x14ac:dyDescent="0.3">
      <c r="A1918" s="556"/>
    </row>
    <row r="1919" spans="1:1" x14ac:dyDescent="0.3">
      <c r="A1919" s="556"/>
    </row>
    <row r="1920" spans="1:1" x14ac:dyDescent="0.3">
      <c r="A1920" s="556"/>
    </row>
    <row r="1921" spans="1:1" x14ac:dyDescent="0.3">
      <c r="A1921" s="556"/>
    </row>
    <row r="1922" spans="1:1" x14ac:dyDescent="0.3">
      <c r="A1922" s="556"/>
    </row>
    <row r="1923" spans="1:1" x14ac:dyDescent="0.3">
      <c r="A1923" s="556"/>
    </row>
    <row r="1924" spans="1:1" x14ac:dyDescent="0.3">
      <c r="A1924" s="556"/>
    </row>
    <row r="1925" spans="1:1" x14ac:dyDescent="0.3">
      <c r="A1925" s="556"/>
    </row>
    <row r="1926" spans="1:1" x14ac:dyDescent="0.3">
      <c r="A1926" s="556"/>
    </row>
    <row r="1927" spans="1:1" x14ac:dyDescent="0.3">
      <c r="A1927" s="556"/>
    </row>
    <row r="1928" spans="1:1" x14ac:dyDescent="0.3">
      <c r="A1928" s="556"/>
    </row>
    <row r="1929" spans="1:1" x14ac:dyDescent="0.3">
      <c r="A1929" s="556"/>
    </row>
    <row r="1930" spans="1:1" x14ac:dyDescent="0.3">
      <c r="A1930" s="556"/>
    </row>
    <row r="1931" spans="1:1" x14ac:dyDescent="0.3">
      <c r="A1931" s="556"/>
    </row>
    <row r="1932" spans="1:1" x14ac:dyDescent="0.3">
      <c r="A1932" s="556"/>
    </row>
    <row r="1933" spans="1:1" x14ac:dyDescent="0.3">
      <c r="A1933" s="556"/>
    </row>
    <row r="1934" spans="1:1" x14ac:dyDescent="0.3">
      <c r="A1934" s="556"/>
    </row>
    <row r="1935" spans="1:1" x14ac:dyDescent="0.3">
      <c r="A1935" s="556"/>
    </row>
    <row r="1936" spans="1:1" x14ac:dyDescent="0.3">
      <c r="A1936" s="556"/>
    </row>
    <row r="1937" spans="1:1" x14ac:dyDescent="0.3">
      <c r="A1937" s="556"/>
    </row>
    <row r="1938" spans="1:1" x14ac:dyDescent="0.3">
      <c r="A1938" s="556"/>
    </row>
    <row r="1939" spans="1:1" x14ac:dyDescent="0.3">
      <c r="A1939" s="556"/>
    </row>
    <row r="1940" spans="1:1" x14ac:dyDescent="0.3">
      <c r="A1940" s="556"/>
    </row>
    <row r="1941" spans="1:1" x14ac:dyDescent="0.3">
      <c r="A1941" s="556"/>
    </row>
    <row r="1942" spans="1:1" x14ac:dyDescent="0.3">
      <c r="A1942" s="556"/>
    </row>
    <row r="1943" spans="1:1" x14ac:dyDescent="0.3">
      <c r="A1943" s="556"/>
    </row>
    <row r="1944" spans="1:1" x14ac:dyDescent="0.3">
      <c r="A1944" s="556"/>
    </row>
    <row r="1945" spans="1:1" x14ac:dyDescent="0.3">
      <c r="A1945" s="556"/>
    </row>
    <row r="1946" spans="1:1" x14ac:dyDescent="0.3">
      <c r="A1946" s="556"/>
    </row>
    <row r="1947" spans="1:1" x14ac:dyDescent="0.3">
      <c r="A1947" s="556"/>
    </row>
    <row r="1948" spans="1:1" x14ac:dyDescent="0.3">
      <c r="A1948" s="556"/>
    </row>
    <row r="1949" spans="1:1" x14ac:dyDescent="0.3">
      <c r="A1949" s="556"/>
    </row>
    <row r="1950" spans="1:1" x14ac:dyDescent="0.3">
      <c r="A1950" s="556"/>
    </row>
    <row r="1951" spans="1:1" x14ac:dyDescent="0.3">
      <c r="A1951" s="556"/>
    </row>
    <row r="1952" spans="1:1" x14ac:dyDescent="0.3">
      <c r="A1952" s="556"/>
    </row>
    <row r="1953" spans="1:1" x14ac:dyDescent="0.3">
      <c r="A1953" s="556"/>
    </row>
    <row r="1954" spans="1:1" x14ac:dyDescent="0.3">
      <c r="A1954" s="556"/>
    </row>
    <row r="1955" spans="1:1" x14ac:dyDescent="0.3">
      <c r="A1955" s="556"/>
    </row>
    <row r="1956" spans="1:1" x14ac:dyDescent="0.3">
      <c r="A1956" s="556"/>
    </row>
    <row r="1957" spans="1:1" x14ac:dyDescent="0.3">
      <c r="A1957" s="556"/>
    </row>
    <row r="1958" spans="1:1" x14ac:dyDescent="0.3">
      <c r="A1958" s="556"/>
    </row>
    <row r="1959" spans="1:1" x14ac:dyDescent="0.3">
      <c r="A1959" s="556"/>
    </row>
    <row r="1960" spans="1:1" x14ac:dyDescent="0.3">
      <c r="A1960" s="556"/>
    </row>
    <row r="1961" spans="1:1" x14ac:dyDescent="0.3">
      <c r="A1961" s="556"/>
    </row>
    <row r="1962" spans="1:1" x14ac:dyDescent="0.3">
      <c r="A1962" s="556"/>
    </row>
    <row r="1963" spans="1:1" x14ac:dyDescent="0.3">
      <c r="A1963" s="556"/>
    </row>
    <row r="1964" spans="1:1" x14ac:dyDescent="0.3">
      <c r="A1964" s="556"/>
    </row>
    <row r="1965" spans="1:1" x14ac:dyDescent="0.3">
      <c r="A1965" s="556"/>
    </row>
    <row r="1966" spans="1:1" x14ac:dyDescent="0.3">
      <c r="A1966" s="556"/>
    </row>
    <row r="1967" spans="1:1" x14ac:dyDescent="0.3">
      <c r="A1967" s="556"/>
    </row>
    <row r="1968" spans="1:1" x14ac:dyDescent="0.3">
      <c r="A1968" s="556"/>
    </row>
    <row r="1969" spans="1:1" x14ac:dyDescent="0.3">
      <c r="A1969" s="556"/>
    </row>
    <row r="1970" spans="1:1" x14ac:dyDescent="0.3">
      <c r="A1970" s="556"/>
    </row>
    <row r="1971" spans="1:1" x14ac:dyDescent="0.3">
      <c r="A1971" s="556"/>
    </row>
    <row r="1972" spans="1:1" x14ac:dyDescent="0.3">
      <c r="A1972" s="556"/>
    </row>
    <row r="1973" spans="1:1" x14ac:dyDescent="0.3">
      <c r="A1973" s="556"/>
    </row>
    <row r="1974" spans="1:1" x14ac:dyDescent="0.3">
      <c r="A1974" s="556"/>
    </row>
    <row r="1975" spans="1:1" x14ac:dyDescent="0.3">
      <c r="A1975" s="556"/>
    </row>
    <row r="1976" spans="1:1" x14ac:dyDescent="0.3">
      <c r="A1976" s="556"/>
    </row>
    <row r="1977" spans="1:1" x14ac:dyDescent="0.3">
      <c r="A1977" s="556"/>
    </row>
    <row r="1978" spans="1:1" x14ac:dyDescent="0.3">
      <c r="A1978" s="556"/>
    </row>
    <row r="1979" spans="1:1" x14ac:dyDescent="0.3">
      <c r="A1979" s="556"/>
    </row>
    <row r="1980" spans="1:1" x14ac:dyDescent="0.3">
      <c r="A1980" s="556"/>
    </row>
    <row r="1981" spans="1:1" x14ac:dyDescent="0.3">
      <c r="A1981" s="556"/>
    </row>
    <row r="1982" spans="1:1" x14ac:dyDescent="0.3">
      <c r="A1982" s="556"/>
    </row>
    <row r="1983" spans="1:1" x14ac:dyDescent="0.3">
      <c r="A1983" s="556"/>
    </row>
    <row r="1984" spans="1:1" x14ac:dyDescent="0.3">
      <c r="A1984" s="556"/>
    </row>
    <row r="1985" spans="1:1" x14ac:dyDescent="0.3">
      <c r="A1985" s="556"/>
    </row>
    <row r="1986" spans="1:1" x14ac:dyDescent="0.3">
      <c r="A1986" s="556"/>
    </row>
    <row r="1987" spans="1:1" x14ac:dyDescent="0.3">
      <c r="A1987" s="556"/>
    </row>
    <row r="1988" spans="1:1" x14ac:dyDescent="0.3">
      <c r="A1988" s="556"/>
    </row>
    <row r="1989" spans="1:1" x14ac:dyDescent="0.3">
      <c r="A1989" s="556"/>
    </row>
    <row r="1990" spans="1:1" x14ac:dyDescent="0.3">
      <c r="A1990" s="556"/>
    </row>
    <row r="1991" spans="1:1" x14ac:dyDescent="0.3">
      <c r="A1991" s="556"/>
    </row>
    <row r="1992" spans="1:1" x14ac:dyDescent="0.3">
      <c r="A1992" s="556"/>
    </row>
    <row r="1993" spans="1:1" x14ac:dyDescent="0.3">
      <c r="A1993" s="556"/>
    </row>
    <row r="1994" spans="1:1" x14ac:dyDescent="0.3">
      <c r="A1994" s="556"/>
    </row>
    <row r="1995" spans="1:1" x14ac:dyDescent="0.3">
      <c r="A1995" s="556"/>
    </row>
    <row r="1996" spans="1:1" x14ac:dyDescent="0.3">
      <c r="A1996" s="556"/>
    </row>
    <row r="1997" spans="1:1" x14ac:dyDescent="0.3">
      <c r="A1997" s="556"/>
    </row>
    <row r="1998" spans="1:1" x14ac:dyDescent="0.3">
      <c r="A1998" s="556"/>
    </row>
    <row r="1999" spans="1:1" x14ac:dyDescent="0.3">
      <c r="A1999" s="556"/>
    </row>
    <row r="2000" spans="1:1" x14ac:dyDescent="0.3">
      <c r="A2000" s="556"/>
    </row>
    <row r="2001" spans="1:52" x14ac:dyDescent="0.3">
      <c r="A2001" s="556"/>
    </row>
    <row r="2002" spans="1:52" x14ac:dyDescent="0.3">
      <c r="A2002" s="556"/>
    </row>
    <row r="2003" spans="1:52" x14ac:dyDescent="0.3">
      <c r="A2003" s="556"/>
    </row>
    <row r="2004" spans="1:52" x14ac:dyDescent="0.3">
      <c r="A2004" s="556"/>
    </row>
    <row r="2005" spans="1:52" x14ac:dyDescent="0.3">
      <c r="A2005" s="556"/>
    </row>
    <row r="2006" spans="1:52" x14ac:dyDescent="0.3">
      <c r="A2006" s="556"/>
    </row>
    <row r="2007" spans="1:52" x14ac:dyDescent="0.3">
      <c r="A2007" s="556"/>
    </row>
    <row r="2008" spans="1:52" x14ac:dyDescent="0.3">
      <c r="A2008" s="556"/>
    </row>
    <row r="2009" spans="1:52" x14ac:dyDescent="0.3">
      <c r="A2009" s="614"/>
    </row>
    <row r="2010" spans="1:52" s="520" customFormat="1" x14ac:dyDescent="0.3">
      <c r="A2010" s="614"/>
      <c r="AZ2010" s="53"/>
    </row>
    <row r="2011" spans="1:52" x14ac:dyDescent="0.3">
      <c r="A2011" s="556"/>
    </row>
    <row r="2012" spans="1:52" x14ac:dyDescent="0.3">
      <c r="A2012" s="556"/>
    </row>
    <row r="2013" spans="1:52" x14ac:dyDescent="0.3">
      <c r="A2013" s="556"/>
    </row>
    <row r="2014" spans="1:52" x14ac:dyDescent="0.3">
      <c r="A2014" s="556"/>
    </row>
    <row r="2015" spans="1:52" x14ac:dyDescent="0.3">
      <c r="A2015" s="556"/>
    </row>
    <row r="2016" spans="1:52" x14ac:dyDescent="0.3">
      <c r="A2016" s="556"/>
    </row>
    <row r="2017" spans="1:1" x14ac:dyDescent="0.3">
      <c r="A2017" s="556"/>
    </row>
    <row r="2018" spans="1:1" x14ac:dyDescent="0.3">
      <c r="A2018" s="556"/>
    </row>
    <row r="2019" spans="1:1" x14ac:dyDescent="0.3">
      <c r="A2019" s="556"/>
    </row>
    <row r="2020" spans="1:1" x14ac:dyDescent="0.3">
      <c r="A2020" s="556"/>
    </row>
    <row r="2021" spans="1:1" x14ac:dyDescent="0.3">
      <c r="A2021" s="556"/>
    </row>
    <row r="2022" spans="1:1" x14ac:dyDescent="0.3">
      <c r="A2022" s="556"/>
    </row>
    <row r="2023" spans="1:1" x14ac:dyDescent="0.3">
      <c r="A2023" s="556"/>
    </row>
    <row r="2024" spans="1:1" x14ac:dyDescent="0.3">
      <c r="A2024" s="556"/>
    </row>
    <row r="2025" spans="1:1" x14ac:dyDescent="0.3">
      <c r="A2025" s="556"/>
    </row>
    <row r="2026" spans="1:1" x14ac:dyDescent="0.3">
      <c r="A2026" s="556"/>
    </row>
    <row r="2027" spans="1:1" x14ac:dyDescent="0.3">
      <c r="A2027" s="556"/>
    </row>
    <row r="2028" spans="1:1" x14ac:dyDescent="0.3">
      <c r="A2028" s="556"/>
    </row>
    <row r="2029" spans="1:1" x14ac:dyDescent="0.3">
      <c r="A2029" s="556"/>
    </row>
    <row r="2030" spans="1:1" x14ac:dyDescent="0.3">
      <c r="A2030" s="556"/>
    </row>
    <row r="2031" spans="1:1" x14ac:dyDescent="0.3">
      <c r="A2031" s="556"/>
    </row>
    <row r="2032" spans="1:1" x14ac:dyDescent="0.3">
      <c r="A2032" s="556"/>
    </row>
    <row r="2033" spans="1:1" x14ac:dyDescent="0.3">
      <c r="A2033" s="556"/>
    </row>
    <row r="2034" spans="1:1" x14ac:dyDescent="0.3">
      <c r="A2034" s="556"/>
    </row>
    <row r="2035" spans="1:1" x14ac:dyDescent="0.3">
      <c r="A2035" s="556"/>
    </row>
    <row r="2036" spans="1:1" x14ac:dyDescent="0.3">
      <c r="A2036" s="556"/>
    </row>
    <row r="2037" spans="1:1" x14ac:dyDescent="0.3">
      <c r="A2037" s="556"/>
    </row>
    <row r="2038" spans="1:1" x14ac:dyDescent="0.3">
      <c r="A2038" s="556"/>
    </row>
    <row r="2039" spans="1:1" x14ac:dyDescent="0.3">
      <c r="A2039" s="556"/>
    </row>
    <row r="2040" spans="1:1" x14ac:dyDescent="0.3">
      <c r="A2040" s="556"/>
    </row>
    <row r="2041" spans="1:1" x14ac:dyDescent="0.3">
      <c r="A2041" s="556"/>
    </row>
    <row r="2042" spans="1:1" x14ac:dyDescent="0.3">
      <c r="A2042" s="556"/>
    </row>
    <row r="2043" spans="1:1" x14ac:dyDescent="0.3">
      <c r="A2043" s="556"/>
    </row>
    <row r="2044" spans="1:1" x14ac:dyDescent="0.3">
      <c r="A2044" s="556"/>
    </row>
    <row r="2045" spans="1:1" x14ac:dyDescent="0.3">
      <c r="A2045" s="556"/>
    </row>
    <row r="2046" spans="1:1" x14ac:dyDescent="0.3">
      <c r="A2046" s="556"/>
    </row>
    <row r="2047" spans="1:1" x14ac:dyDescent="0.3">
      <c r="A2047" s="556"/>
    </row>
    <row r="2048" spans="1:1" x14ac:dyDescent="0.3">
      <c r="A2048" s="556"/>
    </row>
    <row r="2049" spans="1:1" x14ac:dyDescent="0.3">
      <c r="A2049" s="556"/>
    </row>
    <row r="2050" spans="1:1" x14ac:dyDescent="0.3">
      <c r="A2050" s="556"/>
    </row>
    <row r="2051" spans="1:1" x14ac:dyDescent="0.3">
      <c r="A2051" s="556"/>
    </row>
    <row r="2052" spans="1:1" x14ac:dyDescent="0.3">
      <c r="A2052" s="556"/>
    </row>
    <row r="2053" spans="1:1" x14ac:dyDescent="0.3">
      <c r="A2053" s="556"/>
    </row>
    <row r="2054" spans="1:1" x14ac:dyDescent="0.3">
      <c r="A2054" s="556"/>
    </row>
    <row r="2055" spans="1:1" x14ac:dyDescent="0.3">
      <c r="A2055" s="556"/>
    </row>
    <row r="2056" spans="1:1" x14ac:dyDescent="0.3">
      <c r="A2056" s="556"/>
    </row>
    <row r="2057" spans="1:1" x14ac:dyDescent="0.3">
      <c r="A2057" s="556"/>
    </row>
    <row r="2058" spans="1:1" x14ac:dyDescent="0.3">
      <c r="A2058" s="556"/>
    </row>
    <row r="2059" spans="1:1" x14ac:dyDescent="0.3">
      <c r="A2059" s="556"/>
    </row>
    <row r="2060" spans="1:1" x14ac:dyDescent="0.3">
      <c r="A2060" s="556"/>
    </row>
    <row r="2061" spans="1:1" x14ac:dyDescent="0.3">
      <c r="A2061" s="556"/>
    </row>
    <row r="2062" spans="1:1" x14ac:dyDescent="0.3">
      <c r="A2062" s="556"/>
    </row>
    <row r="2063" spans="1:1" x14ac:dyDescent="0.3">
      <c r="A2063" s="556"/>
    </row>
    <row r="2064" spans="1:1" x14ac:dyDescent="0.3">
      <c r="A2064" s="556"/>
    </row>
    <row r="2065" spans="1:1" x14ac:dyDescent="0.3">
      <c r="A2065" s="556"/>
    </row>
    <row r="2066" spans="1:1" x14ac:dyDescent="0.3">
      <c r="A2066" s="556"/>
    </row>
    <row r="2067" spans="1:1" x14ac:dyDescent="0.3">
      <c r="A2067" s="556"/>
    </row>
    <row r="2068" spans="1:1" x14ac:dyDescent="0.3">
      <c r="A2068" s="556"/>
    </row>
    <row r="2069" spans="1:1" x14ac:dyDescent="0.3">
      <c r="A2069" s="556"/>
    </row>
    <row r="2070" spans="1:1" x14ac:dyDescent="0.3">
      <c r="A2070" s="556"/>
    </row>
    <row r="2071" spans="1:1" x14ac:dyDescent="0.3">
      <c r="A2071" s="556"/>
    </row>
    <row r="2072" spans="1:1" x14ac:dyDescent="0.3">
      <c r="A2072" s="556"/>
    </row>
    <row r="2073" spans="1:1" x14ac:dyDescent="0.3">
      <c r="A2073" s="556"/>
    </row>
    <row r="2074" spans="1:1" x14ac:dyDescent="0.3">
      <c r="A2074" s="556"/>
    </row>
    <row r="2075" spans="1:1" x14ac:dyDescent="0.3">
      <c r="A2075" s="556"/>
    </row>
    <row r="2076" spans="1:1" x14ac:dyDescent="0.3">
      <c r="A2076" s="556"/>
    </row>
    <row r="2077" spans="1:1" x14ac:dyDescent="0.3">
      <c r="A2077" s="556"/>
    </row>
    <row r="2078" spans="1:1" x14ac:dyDescent="0.3">
      <c r="A2078" s="556"/>
    </row>
    <row r="2079" spans="1:1" x14ac:dyDescent="0.3">
      <c r="A2079" s="556"/>
    </row>
    <row r="2080" spans="1:1" x14ac:dyDescent="0.3">
      <c r="A2080" s="556"/>
    </row>
    <row r="2081" spans="1:1" x14ac:dyDescent="0.3">
      <c r="A2081" s="556"/>
    </row>
    <row r="2082" spans="1:1" x14ac:dyDescent="0.3">
      <c r="A2082" s="556"/>
    </row>
    <row r="2083" spans="1:1" x14ac:dyDescent="0.3">
      <c r="A2083" s="556"/>
    </row>
    <row r="2084" spans="1:1" x14ac:dyDescent="0.3">
      <c r="A2084" s="556"/>
    </row>
    <row r="2085" spans="1:1" x14ac:dyDescent="0.3">
      <c r="A2085" s="556"/>
    </row>
    <row r="2086" spans="1:1" x14ac:dyDescent="0.3">
      <c r="A2086" s="556"/>
    </row>
    <row r="2087" spans="1:1" x14ac:dyDescent="0.3">
      <c r="A2087" s="556"/>
    </row>
    <row r="2088" spans="1:1" x14ac:dyDescent="0.3">
      <c r="A2088" s="556"/>
    </row>
    <row r="2089" spans="1:1" x14ac:dyDescent="0.3">
      <c r="A2089" s="556"/>
    </row>
    <row r="2090" spans="1:1" x14ac:dyDescent="0.3">
      <c r="A2090" s="556"/>
    </row>
    <row r="2091" spans="1:1" x14ac:dyDescent="0.3">
      <c r="A2091" s="556"/>
    </row>
    <row r="2092" spans="1:1" x14ac:dyDescent="0.3">
      <c r="A2092" s="556"/>
    </row>
    <row r="2093" spans="1:1" x14ac:dyDescent="0.3">
      <c r="A2093" s="556"/>
    </row>
    <row r="2094" spans="1:1" x14ac:dyDescent="0.3">
      <c r="A2094" s="556"/>
    </row>
    <row r="2095" spans="1:1" x14ac:dyDescent="0.3">
      <c r="A2095" s="556"/>
    </row>
    <row r="2096" spans="1:1" x14ac:dyDescent="0.3">
      <c r="A2096" s="556"/>
    </row>
    <row r="2097" spans="1:1" x14ac:dyDescent="0.3">
      <c r="A2097" s="556"/>
    </row>
    <row r="2098" spans="1:1" x14ac:dyDescent="0.3">
      <c r="A2098" s="556"/>
    </row>
    <row r="2099" spans="1:1" x14ac:dyDescent="0.3">
      <c r="A2099" s="556"/>
    </row>
    <row r="2100" spans="1:1" x14ac:dyDescent="0.3">
      <c r="A2100" s="556"/>
    </row>
    <row r="2101" spans="1:1" x14ac:dyDescent="0.3">
      <c r="A2101" s="556"/>
    </row>
    <row r="2102" spans="1:1" x14ac:dyDescent="0.3">
      <c r="A2102" s="556"/>
    </row>
    <row r="2103" spans="1:1" x14ac:dyDescent="0.3">
      <c r="A2103" s="556"/>
    </row>
    <row r="2104" spans="1:1" x14ac:dyDescent="0.3">
      <c r="A2104" s="556"/>
    </row>
    <row r="2105" spans="1:1" x14ac:dyDescent="0.3">
      <c r="A2105" s="556"/>
    </row>
    <row r="2106" spans="1:1" x14ac:dyDescent="0.3">
      <c r="A2106" s="556"/>
    </row>
    <row r="2107" spans="1:1" x14ac:dyDescent="0.3">
      <c r="A2107" s="556"/>
    </row>
    <row r="2108" spans="1:1" x14ac:dyDescent="0.3">
      <c r="A2108" s="556"/>
    </row>
    <row r="2109" spans="1:1" x14ac:dyDescent="0.3">
      <c r="A2109" s="556"/>
    </row>
    <row r="2110" spans="1:1" x14ac:dyDescent="0.3">
      <c r="A2110" s="556"/>
    </row>
    <row r="2111" spans="1:1" x14ac:dyDescent="0.3">
      <c r="A2111" s="556"/>
    </row>
    <row r="2112" spans="1:1" x14ac:dyDescent="0.3">
      <c r="A2112" s="556"/>
    </row>
    <row r="2113" spans="1:1" x14ac:dyDescent="0.3">
      <c r="A2113" s="556"/>
    </row>
    <row r="2114" spans="1:1" x14ac:dyDescent="0.3">
      <c r="A2114" s="556"/>
    </row>
    <row r="2115" spans="1:1" x14ac:dyDescent="0.3">
      <c r="A2115" s="556"/>
    </row>
    <row r="2116" spans="1:1" x14ac:dyDescent="0.3">
      <c r="A2116" s="556"/>
    </row>
    <row r="2117" spans="1:1" x14ac:dyDescent="0.3">
      <c r="A2117" s="556"/>
    </row>
    <row r="2118" spans="1:1" x14ac:dyDescent="0.3">
      <c r="A2118" s="556"/>
    </row>
    <row r="2119" spans="1:1" x14ac:dyDescent="0.3">
      <c r="A2119" s="556"/>
    </row>
    <row r="2120" spans="1:1" x14ac:dyDescent="0.3">
      <c r="A2120" s="556"/>
    </row>
    <row r="2121" spans="1:1" x14ac:dyDescent="0.3">
      <c r="A2121" s="556"/>
    </row>
    <row r="2122" spans="1:1" x14ac:dyDescent="0.3">
      <c r="A2122" s="556"/>
    </row>
    <row r="2123" spans="1:1" x14ac:dyDescent="0.3">
      <c r="A2123" s="556"/>
    </row>
    <row r="2124" spans="1:1" x14ac:dyDescent="0.3">
      <c r="A2124" s="556"/>
    </row>
    <row r="2125" spans="1:1" x14ac:dyDescent="0.3">
      <c r="A2125" s="556"/>
    </row>
    <row r="2126" spans="1:1" x14ac:dyDescent="0.3">
      <c r="A2126" s="556"/>
    </row>
    <row r="2127" spans="1:1" x14ac:dyDescent="0.3">
      <c r="A2127" s="556"/>
    </row>
    <row r="2128" spans="1:1" x14ac:dyDescent="0.3">
      <c r="A2128" s="556"/>
    </row>
    <row r="2129" spans="1:1" x14ac:dyDescent="0.3">
      <c r="A2129" s="556"/>
    </row>
    <row r="2130" spans="1:1" x14ac:dyDescent="0.3">
      <c r="A2130" s="556"/>
    </row>
    <row r="2131" spans="1:1" x14ac:dyDescent="0.3">
      <c r="A2131" s="556"/>
    </row>
    <row r="2132" spans="1:1" x14ac:dyDescent="0.3">
      <c r="A2132" s="556"/>
    </row>
    <row r="2133" spans="1:1" x14ac:dyDescent="0.3">
      <c r="A2133" s="556"/>
    </row>
    <row r="2134" spans="1:1" x14ac:dyDescent="0.3">
      <c r="A2134" s="556"/>
    </row>
    <row r="2135" spans="1:1" x14ac:dyDescent="0.3">
      <c r="A2135" s="556"/>
    </row>
    <row r="2136" spans="1:1" x14ac:dyDescent="0.3">
      <c r="A2136" s="556"/>
    </row>
    <row r="2137" spans="1:1" x14ac:dyDescent="0.3">
      <c r="A2137" s="556"/>
    </row>
    <row r="2138" spans="1:1" x14ac:dyDescent="0.3">
      <c r="A2138" s="556"/>
    </row>
    <row r="2139" spans="1:1" x14ac:dyDescent="0.3">
      <c r="A2139" s="556"/>
    </row>
    <row r="2140" spans="1:1" x14ac:dyDescent="0.3">
      <c r="A2140" s="556"/>
    </row>
    <row r="2141" spans="1:1" x14ac:dyDescent="0.3">
      <c r="A2141" s="556"/>
    </row>
    <row r="2142" spans="1:1" x14ac:dyDescent="0.3">
      <c r="A2142" s="556"/>
    </row>
    <row r="2143" spans="1:1" x14ac:dyDescent="0.3">
      <c r="A2143" s="556"/>
    </row>
    <row r="2144" spans="1:1" x14ac:dyDescent="0.3">
      <c r="A2144" s="556"/>
    </row>
    <row r="2145" spans="1:1" x14ac:dyDescent="0.3">
      <c r="A2145" s="556"/>
    </row>
    <row r="2146" spans="1:1" x14ac:dyDescent="0.3">
      <c r="A2146" s="556"/>
    </row>
    <row r="2147" spans="1:1" x14ac:dyDescent="0.3">
      <c r="A2147" s="556"/>
    </row>
    <row r="2148" spans="1:1" x14ac:dyDescent="0.3">
      <c r="A2148" s="556"/>
    </row>
    <row r="2149" spans="1:1" x14ac:dyDescent="0.3">
      <c r="A2149" s="556"/>
    </row>
    <row r="2150" spans="1:1" x14ac:dyDescent="0.3">
      <c r="A2150" s="556"/>
    </row>
    <row r="2151" spans="1:1" x14ac:dyDescent="0.3">
      <c r="A2151" s="556"/>
    </row>
    <row r="2152" spans="1:1" x14ac:dyDescent="0.3">
      <c r="A2152" s="556"/>
    </row>
    <row r="2153" spans="1:1" x14ac:dyDescent="0.3">
      <c r="A2153" s="556"/>
    </row>
    <row r="2154" spans="1:1" x14ac:dyDescent="0.3">
      <c r="A2154" s="556"/>
    </row>
    <row r="2155" spans="1:1" x14ac:dyDescent="0.3">
      <c r="A2155" s="556"/>
    </row>
    <row r="2156" spans="1:1" x14ac:dyDescent="0.3">
      <c r="A2156" s="556"/>
    </row>
    <row r="2157" spans="1:1" x14ac:dyDescent="0.3">
      <c r="A2157" s="556"/>
    </row>
    <row r="2158" spans="1:1" x14ac:dyDescent="0.3">
      <c r="A2158" s="556"/>
    </row>
    <row r="2159" spans="1:1" x14ac:dyDescent="0.3">
      <c r="A2159" s="556"/>
    </row>
    <row r="2160" spans="1:1" x14ac:dyDescent="0.3">
      <c r="A2160" s="556"/>
    </row>
    <row r="2161" spans="1:1" x14ac:dyDescent="0.3">
      <c r="A2161" s="556"/>
    </row>
    <row r="2162" spans="1:1" x14ac:dyDescent="0.3">
      <c r="A2162" s="556"/>
    </row>
    <row r="2163" spans="1:1" x14ac:dyDescent="0.3">
      <c r="A2163" s="556"/>
    </row>
    <row r="2164" spans="1:1" x14ac:dyDescent="0.3">
      <c r="A2164" s="556"/>
    </row>
    <row r="2165" spans="1:1" x14ac:dyDescent="0.3">
      <c r="A2165" s="556"/>
    </row>
    <row r="2166" spans="1:1" x14ac:dyDescent="0.3">
      <c r="A2166" s="556"/>
    </row>
    <row r="2167" spans="1:1" x14ac:dyDescent="0.3">
      <c r="A2167" s="556"/>
    </row>
    <row r="2168" spans="1:1" x14ac:dyDescent="0.3">
      <c r="A2168" s="556"/>
    </row>
    <row r="2169" spans="1:1" x14ac:dyDescent="0.3">
      <c r="A2169" s="556"/>
    </row>
    <row r="2170" spans="1:1" x14ac:dyDescent="0.3">
      <c r="A2170" s="556"/>
    </row>
    <row r="2171" spans="1:1" x14ac:dyDescent="0.3">
      <c r="A2171" s="556"/>
    </row>
    <row r="2172" spans="1:1" x14ac:dyDescent="0.3">
      <c r="A2172" s="556"/>
    </row>
    <row r="2173" spans="1:1" x14ac:dyDescent="0.3">
      <c r="A2173" s="556"/>
    </row>
    <row r="2174" spans="1:1" x14ac:dyDescent="0.3">
      <c r="A2174" s="556"/>
    </row>
    <row r="2175" spans="1:1" x14ac:dyDescent="0.3">
      <c r="A2175" s="556"/>
    </row>
    <row r="2176" spans="1:1" x14ac:dyDescent="0.3">
      <c r="A2176" s="556"/>
    </row>
    <row r="2177" spans="1:1" x14ac:dyDescent="0.3">
      <c r="A2177" s="556"/>
    </row>
    <row r="2178" spans="1:1" x14ac:dyDescent="0.3">
      <c r="A2178" s="556"/>
    </row>
    <row r="2179" spans="1:1" x14ac:dyDescent="0.3">
      <c r="A2179" s="556"/>
    </row>
    <row r="2180" spans="1:1" x14ac:dyDescent="0.3">
      <c r="A2180" s="556"/>
    </row>
    <row r="2181" spans="1:1" x14ac:dyDescent="0.3">
      <c r="A2181" s="556"/>
    </row>
    <row r="2182" spans="1:1" x14ac:dyDescent="0.3">
      <c r="A2182" s="556"/>
    </row>
    <row r="2183" spans="1:1" x14ac:dyDescent="0.3">
      <c r="A2183" s="556"/>
    </row>
    <row r="2184" spans="1:1" x14ac:dyDescent="0.3">
      <c r="A2184" s="556"/>
    </row>
    <row r="2185" spans="1:1" x14ac:dyDescent="0.3">
      <c r="A2185" s="556"/>
    </row>
    <row r="2186" spans="1:1" x14ac:dyDescent="0.3">
      <c r="A2186" s="556"/>
    </row>
    <row r="2187" spans="1:1" x14ac:dyDescent="0.3">
      <c r="A2187" s="556"/>
    </row>
    <row r="2188" spans="1:1" x14ac:dyDescent="0.3">
      <c r="A2188" s="556"/>
    </row>
    <row r="2189" spans="1:1" x14ac:dyDescent="0.3">
      <c r="A2189" s="556"/>
    </row>
    <row r="2190" spans="1:1" x14ac:dyDescent="0.3">
      <c r="A2190" s="556"/>
    </row>
    <row r="2191" spans="1:1" x14ac:dyDescent="0.3">
      <c r="A2191" s="556"/>
    </row>
    <row r="2192" spans="1:1" x14ac:dyDescent="0.3">
      <c r="A2192" s="556"/>
    </row>
    <row r="2193" spans="1:1" x14ac:dyDescent="0.3">
      <c r="A2193" s="556"/>
    </row>
    <row r="2194" spans="1:1" x14ac:dyDescent="0.3">
      <c r="A2194" s="556"/>
    </row>
    <row r="2195" spans="1:1" x14ac:dyDescent="0.3">
      <c r="A2195" s="556"/>
    </row>
    <row r="2196" spans="1:1" x14ac:dyDescent="0.3">
      <c r="A2196" s="556"/>
    </row>
    <row r="2197" spans="1:1" x14ac:dyDescent="0.3">
      <c r="A2197" s="556"/>
    </row>
    <row r="2198" spans="1:1" x14ac:dyDescent="0.3">
      <c r="A2198" s="556"/>
    </row>
    <row r="2199" spans="1:1" x14ac:dyDescent="0.3">
      <c r="A2199" s="556"/>
    </row>
    <row r="2200" spans="1:1" x14ac:dyDescent="0.3">
      <c r="A2200" s="556"/>
    </row>
    <row r="2201" spans="1:1" x14ac:dyDescent="0.3">
      <c r="A2201" s="556"/>
    </row>
    <row r="2202" spans="1:1" x14ac:dyDescent="0.3">
      <c r="A2202" s="556"/>
    </row>
    <row r="2203" spans="1:1" x14ac:dyDescent="0.3">
      <c r="A2203" s="556"/>
    </row>
    <row r="2204" spans="1:1" x14ac:dyDescent="0.3">
      <c r="A2204" s="556"/>
    </row>
    <row r="2205" spans="1:1" x14ac:dyDescent="0.3">
      <c r="A2205" s="556"/>
    </row>
    <row r="2206" spans="1:1" x14ac:dyDescent="0.3">
      <c r="A2206" s="556"/>
    </row>
    <row r="2207" spans="1:1" x14ac:dyDescent="0.3">
      <c r="A2207" s="556"/>
    </row>
    <row r="2208" spans="1:1" x14ac:dyDescent="0.3">
      <c r="A2208" s="556"/>
    </row>
    <row r="2209" spans="1:1" x14ac:dyDescent="0.3">
      <c r="A2209" s="556"/>
    </row>
    <row r="2210" spans="1:1" x14ac:dyDescent="0.3">
      <c r="A2210" s="556"/>
    </row>
    <row r="2211" spans="1:1" x14ac:dyDescent="0.3">
      <c r="A2211" s="556"/>
    </row>
    <row r="2212" spans="1:1" x14ac:dyDescent="0.3">
      <c r="A2212" s="556"/>
    </row>
    <row r="2213" spans="1:1" x14ac:dyDescent="0.3">
      <c r="A2213" s="556"/>
    </row>
    <row r="2214" spans="1:1" x14ac:dyDescent="0.3">
      <c r="A2214" s="556"/>
    </row>
    <row r="2215" spans="1:1" x14ac:dyDescent="0.3">
      <c r="A2215" s="556"/>
    </row>
    <row r="2216" spans="1:1" x14ac:dyDescent="0.3">
      <c r="A2216" s="556"/>
    </row>
    <row r="2217" spans="1:1" x14ac:dyDescent="0.3">
      <c r="A2217" s="556"/>
    </row>
    <row r="2218" spans="1:1" x14ac:dyDescent="0.3">
      <c r="A2218" s="556"/>
    </row>
    <row r="2219" spans="1:1" x14ac:dyDescent="0.3">
      <c r="A2219" s="556"/>
    </row>
    <row r="2220" spans="1:1" x14ac:dyDescent="0.3">
      <c r="A2220" s="556"/>
    </row>
    <row r="2221" spans="1:1" x14ac:dyDescent="0.3">
      <c r="A2221" s="556"/>
    </row>
    <row r="2222" spans="1:1" x14ac:dyDescent="0.3">
      <c r="A2222" s="556"/>
    </row>
    <row r="2223" spans="1:1" x14ac:dyDescent="0.3">
      <c r="A2223" s="556"/>
    </row>
    <row r="2224" spans="1:1" x14ac:dyDescent="0.3">
      <c r="A2224" s="556"/>
    </row>
    <row r="2225" spans="1:1" x14ac:dyDescent="0.3">
      <c r="A2225" s="556"/>
    </row>
    <row r="2226" spans="1:1" x14ac:dyDescent="0.3">
      <c r="A2226" s="556"/>
    </row>
    <row r="2227" spans="1:1" x14ac:dyDescent="0.3">
      <c r="A2227" s="556"/>
    </row>
    <row r="2228" spans="1:1" x14ac:dyDescent="0.3">
      <c r="A2228" s="556"/>
    </row>
    <row r="2229" spans="1:1" x14ac:dyDescent="0.3">
      <c r="A2229" s="556"/>
    </row>
    <row r="2230" spans="1:1" x14ac:dyDescent="0.3">
      <c r="A2230" s="556"/>
    </row>
    <row r="2231" spans="1:1" x14ac:dyDescent="0.3">
      <c r="A2231" s="556"/>
    </row>
    <row r="2232" spans="1:1" x14ac:dyDescent="0.3">
      <c r="A2232" s="556"/>
    </row>
    <row r="2233" spans="1:1" x14ac:dyDescent="0.3">
      <c r="A2233" s="556"/>
    </row>
    <row r="2234" spans="1:1" x14ac:dyDescent="0.3">
      <c r="A2234" s="556"/>
    </row>
    <row r="2235" spans="1:1" x14ac:dyDescent="0.3">
      <c r="A2235" s="556"/>
    </row>
    <row r="2236" spans="1:1" x14ac:dyDescent="0.3">
      <c r="A2236" s="556"/>
    </row>
    <row r="2237" spans="1:1" x14ac:dyDescent="0.3">
      <c r="A2237" s="556"/>
    </row>
    <row r="2238" spans="1:1" x14ac:dyDescent="0.3">
      <c r="A2238" s="556"/>
    </row>
    <row r="2239" spans="1:1" x14ac:dyDescent="0.3">
      <c r="A2239" s="556"/>
    </row>
    <row r="2240" spans="1:1" x14ac:dyDescent="0.3">
      <c r="A2240" s="556"/>
    </row>
    <row r="2241" spans="1:1" x14ac:dyDescent="0.3">
      <c r="A2241" s="556"/>
    </row>
    <row r="2242" spans="1:1" x14ac:dyDescent="0.3">
      <c r="A2242" s="556"/>
    </row>
    <row r="2243" spans="1:1" x14ac:dyDescent="0.3">
      <c r="A2243" s="556"/>
    </row>
    <row r="2244" spans="1:1" x14ac:dyDescent="0.3">
      <c r="A2244" s="556"/>
    </row>
    <row r="2245" spans="1:1" x14ac:dyDescent="0.3">
      <c r="A2245" s="556"/>
    </row>
    <row r="2246" spans="1:1" x14ac:dyDescent="0.3">
      <c r="A2246" s="556"/>
    </row>
    <row r="2247" spans="1:1" x14ac:dyDescent="0.3">
      <c r="A2247" s="556"/>
    </row>
    <row r="2248" spans="1:1" x14ac:dyDescent="0.3">
      <c r="A2248" s="556"/>
    </row>
    <row r="2249" spans="1:1" x14ac:dyDescent="0.3">
      <c r="A2249" s="556"/>
    </row>
    <row r="2250" spans="1:1" x14ac:dyDescent="0.3">
      <c r="A2250" s="556"/>
    </row>
    <row r="2251" spans="1:1" x14ac:dyDescent="0.3">
      <c r="A2251" s="556"/>
    </row>
    <row r="2252" spans="1:1" x14ac:dyDescent="0.3">
      <c r="A2252" s="556"/>
    </row>
    <row r="2253" spans="1:1" x14ac:dyDescent="0.3">
      <c r="A2253" s="556"/>
    </row>
    <row r="2254" spans="1:1" x14ac:dyDescent="0.3">
      <c r="A2254" s="556"/>
    </row>
    <row r="2255" spans="1:1" x14ac:dyDescent="0.3">
      <c r="A2255" s="556"/>
    </row>
    <row r="2256" spans="1:1" x14ac:dyDescent="0.3">
      <c r="A2256" s="556"/>
    </row>
    <row r="2257" spans="1:1" x14ac:dyDescent="0.3">
      <c r="A2257" s="556"/>
    </row>
    <row r="2258" spans="1:1" x14ac:dyDescent="0.3">
      <c r="A2258" s="556"/>
    </row>
    <row r="2259" spans="1:1" x14ac:dyDescent="0.3">
      <c r="A2259" s="556"/>
    </row>
    <row r="2260" spans="1:1" x14ac:dyDescent="0.3">
      <c r="A2260" s="556"/>
    </row>
    <row r="2261" spans="1:1" x14ac:dyDescent="0.3">
      <c r="A2261" s="556"/>
    </row>
    <row r="2262" spans="1:1" x14ac:dyDescent="0.3">
      <c r="A2262" s="556"/>
    </row>
    <row r="2263" spans="1:1" x14ac:dyDescent="0.3">
      <c r="A2263" s="556"/>
    </row>
    <row r="2264" spans="1:1" x14ac:dyDescent="0.3">
      <c r="A2264" s="556"/>
    </row>
    <row r="2265" spans="1:1" x14ac:dyDescent="0.3">
      <c r="A2265" s="556"/>
    </row>
    <row r="2266" spans="1:1" x14ac:dyDescent="0.3">
      <c r="A2266" s="556"/>
    </row>
    <row r="2267" spans="1:1" x14ac:dyDescent="0.3">
      <c r="A2267" s="556"/>
    </row>
    <row r="2268" spans="1:1" x14ac:dyDescent="0.3">
      <c r="A2268" s="556"/>
    </row>
    <row r="2269" spans="1:1" x14ac:dyDescent="0.3">
      <c r="A2269" s="556"/>
    </row>
    <row r="2270" spans="1:1" x14ac:dyDescent="0.3">
      <c r="A2270" s="556"/>
    </row>
    <row r="2271" spans="1:1" x14ac:dyDescent="0.3">
      <c r="A2271" s="556"/>
    </row>
    <row r="2272" spans="1:1" x14ac:dyDescent="0.3">
      <c r="A2272" s="556"/>
    </row>
    <row r="2273" spans="1:1" x14ac:dyDescent="0.3">
      <c r="A2273" s="556"/>
    </row>
    <row r="2274" spans="1:1" x14ac:dyDescent="0.3">
      <c r="A2274" s="556"/>
    </row>
    <row r="2275" spans="1:1" x14ac:dyDescent="0.3">
      <c r="A2275" s="556"/>
    </row>
    <row r="2276" spans="1:1" x14ac:dyDescent="0.3">
      <c r="A2276" s="556"/>
    </row>
    <row r="2277" spans="1:1" x14ac:dyDescent="0.3">
      <c r="A2277" s="556"/>
    </row>
    <row r="2278" spans="1:1" x14ac:dyDescent="0.3">
      <c r="A2278" s="556"/>
    </row>
    <row r="2279" spans="1:1" x14ac:dyDescent="0.3">
      <c r="A2279" s="556"/>
    </row>
    <row r="2280" spans="1:1" x14ac:dyDescent="0.3">
      <c r="A2280" s="556"/>
    </row>
    <row r="2281" spans="1:1" x14ac:dyDescent="0.3">
      <c r="A2281" s="556"/>
    </row>
    <row r="2282" spans="1:1" x14ac:dyDescent="0.3">
      <c r="A2282" s="556"/>
    </row>
    <row r="2283" spans="1:1" x14ac:dyDescent="0.3">
      <c r="A2283" s="556"/>
    </row>
    <row r="2284" spans="1:1" x14ac:dyDescent="0.3">
      <c r="A2284" s="556"/>
    </row>
    <row r="2285" spans="1:1" x14ac:dyDescent="0.3">
      <c r="A2285" s="556"/>
    </row>
    <row r="2286" spans="1:1" x14ac:dyDescent="0.3">
      <c r="A2286" s="556"/>
    </row>
    <row r="2287" spans="1:1" x14ac:dyDescent="0.3">
      <c r="A2287" s="556"/>
    </row>
    <row r="2288" spans="1:1" x14ac:dyDescent="0.3">
      <c r="A2288" s="556"/>
    </row>
    <row r="2289" spans="1:1" x14ac:dyDescent="0.3">
      <c r="A2289" s="556"/>
    </row>
    <row r="2290" spans="1:1" x14ac:dyDescent="0.3">
      <c r="A2290" s="556"/>
    </row>
    <row r="2291" spans="1:1" x14ac:dyDescent="0.3">
      <c r="A2291" s="556"/>
    </row>
    <row r="2292" spans="1:1" x14ac:dyDescent="0.3">
      <c r="A2292" s="556"/>
    </row>
    <row r="2293" spans="1:1" x14ac:dyDescent="0.3">
      <c r="A2293" s="556"/>
    </row>
    <row r="2294" spans="1:1" x14ac:dyDescent="0.3">
      <c r="A2294" s="556"/>
    </row>
    <row r="2295" spans="1:1" x14ac:dyDescent="0.3">
      <c r="A2295" s="556"/>
    </row>
    <row r="2296" spans="1:1" x14ac:dyDescent="0.3">
      <c r="A2296" s="556"/>
    </row>
    <row r="2297" spans="1:1" x14ac:dyDescent="0.3">
      <c r="A2297" s="556"/>
    </row>
    <row r="2298" spans="1:1" x14ac:dyDescent="0.3">
      <c r="A2298" s="556"/>
    </row>
    <row r="2299" spans="1:1" x14ac:dyDescent="0.3">
      <c r="A2299" s="556"/>
    </row>
    <row r="2300" spans="1:1" x14ac:dyDescent="0.3">
      <c r="A2300" s="556"/>
    </row>
    <row r="2301" spans="1:1" x14ac:dyDescent="0.3">
      <c r="A2301" s="556"/>
    </row>
    <row r="2302" spans="1:1" x14ac:dyDescent="0.3">
      <c r="A2302" s="556"/>
    </row>
    <row r="2303" spans="1:1" x14ac:dyDescent="0.3">
      <c r="A2303" s="556"/>
    </row>
    <row r="2304" spans="1:1" x14ac:dyDescent="0.3">
      <c r="A2304" s="556"/>
    </row>
    <row r="2305" spans="1:1" x14ac:dyDescent="0.3">
      <c r="A2305" s="556"/>
    </row>
    <row r="2306" spans="1:1" x14ac:dyDescent="0.3">
      <c r="A2306" s="556"/>
    </row>
    <row r="2307" spans="1:1" x14ac:dyDescent="0.3">
      <c r="A2307" s="556"/>
    </row>
    <row r="2308" spans="1:1" x14ac:dyDescent="0.3">
      <c r="A2308" s="556"/>
    </row>
    <row r="2309" spans="1:1" x14ac:dyDescent="0.3">
      <c r="A2309" s="556"/>
    </row>
    <row r="2310" spans="1:1" x14ac:dyDescent="0.3">
      <c r="A2310" s="556"/>
    </row>
    <row r="2311" spans="1:1" x14ac:dyDescent="0.3">
      <c r="A2311" s="556"/>
    </row>
    <row r="2312" spans="1:1" x14ac:dyDescent="0.3">
      <c r="A2312" s="556"/>
    </row>
    <row r="2313" spans="1:1" x14ac:dyDescent="0.3">
      <c r="A2313" s="556"/>
    </row>
    <row r="2314" spans="1:1" x14ac:dyDescent="0.3">
      <c r="A2314" s="556"/>
    </row>
    <row r="2315" spans="1:1" x14ac:dyDescent="0.3">
      <c r="A2315" s="556"/>
    </row>
    <row r="2316" spans="1:1" x14ac:dyDescent="0.3">
      <c r="A2316" s="556"/>
    </row>
    <row r="2317" spans="1:1" x14ac:dyDescent="0.3">
      <c r="A2317" s="556"/>
    </row>
    <row r="2318" spans="1:1" x14ac:dyDescent="0.3">
      <c r="A2318" s="556"/>
    </row>
    <row r="2319" spans="1:1" x14ac:dyDescent="0.3">
      <c r="A2319" s="556"/>
    </row>
    <row r="2320" spans="1:1" x14ac:dyDescent="0.3">
      <c r="A2320" s="556"/>
    </row>
    <row r="2321" spans="1:1" x14ac:dyDescent="0.3">
      <c r="A2321" s="556"/>
    </row>
    <row r="2322" spans="1:1" x14ac:dyDescent="0.3">
      <c r="A2322" s="556"/>
    </row>
    <row r="2323" spans="1:1" x14ac:dyDescent="0.3">
      <c r="A2323" s="556"/>
    </row>
    <row r="2324" spans="1:1" x14ac:dyDescent="0.3">
      <c r="A2324" s="556"/>
    </row>
    <row r="2325" spans="1:1" x14ac:dyDescent="0.3">
      <c r="A2325" s="556"/>
    </row>
    <row r="2326" spans="1:1" x14ac:dyDescent="0.3">
      <c r="A2326" s="556"/>
    </row>
    <row r="2327" spans="1:1" x14ac:dyDescent="0.3">
      <c r="A2327" s="556"/>
    </row>
    <row r="2328" spans="1:1" x14ac:dyDescent="0.3">
      <c r="A2328" s="556"/>
    </row>
    <row r="2329" spans="1:1" x14ac:dyDescent="0.3">
      <c r="A2329" s="556"/>
    </row>
    <row r="2330" spans="1:1" x14ac:dyDescent="0.3">
      <c r="A2330" s="556"/>
    </row>
    <row r="2331" spans="1:1" x14ac:dyDescent="0.3">
      <c r="A2331" s="556"/>
    </row>
    <row r="2332" spans="1:1" x14ac:dyDescent="0.3">
      <c r="A2332" s="556"/>
    </row>
    <row r="2333" spans="1:1" x14ac:dyDescent="0.3">
      <c r="A2333" s="556"/>
    </row>
    <row r="2334" spans="1:1" x14ac:dyDescent="0.3">
      <c r="A2334" s="556"/>
    </row>
    <row r="2335" spans="1:1" x14ac:dyDescent="0.3">
      <c r="A2335" s="556"/>
    </row>
    <row r="2336" spans="1:1" x14ac:dyDescent="0.3">
      <c r="A2336" s="556"/>
    </row>
    <row r="2337" spans="1:1" x14ac:dyDescent="0.3">
      <c r="A2337" s="556"/>
    </row>
    <row r="2338" spans="1:1" x14ac:dyDescent="0.3">
      <c r="A2338" s="556"/>
    </row>
    <row r="2339" spans="1:1" x14ac:dyDescent="0.3">
      <c r="A2339" s="556"/>
    </row>
    <row r="2340" spans="1:1" x14ac:dyDescent="0.3">
      <c r="A2340" s="556"/>
    </row>
    <row r="2341" spans="1:1" x14ac:dyDescent="0.3">
      <c r="A2341" s="556"/>
    </row>
    <row r="2342" spans="1:1" x14ac:dyDescent="0.3">
      <c r="A2342" s="556"/>
    </row>
    <row r="2343" spans="1:1" x14ac:dyDescent="0.3">
      <c r="A2343" s="556"/>
    </row>
    <row r="2344" spans="1:1" x14ac:dyDescent="0.3">
      <c r="A2344" s="556"/>
    </row>
    <row r="2345" spans="1:1" x14ac:dyDescent="0.3">
      <c r="A2345" s="556"/>
    </row>
    <row r="2346" spans="1:1" x14ac:dyDescent="0.3">
      <c r="A2346" s="556"/>
    </row>
    <row r="2347" spans="1:1" x14ac:dyDescent="0.3">
      <c r="A2347" s="556"/>
    </row>
    <row r="2348" spans="1:1" x14ac:dyDescent="0.3">
      <c r="A2348" s="556"/>
    </row>
    <row r="2349" spans="1:1" x14ac:dyDescent="0.3">
      <c r="A2349" s="556"/>
    </row>
    <row r="2350" spans="1:1" x14ac:dyDescent="0.3">
      <c r="A2350" s="556"/>
    </row>
    <row r="2351" spans="1:1" x14ac:dyDescent="0.3">
      <c r="A2351" s="556"/>
    </row>
    <row r="2352" spans="1:1" x14ac:dyDescent="0.3">
      <c r="A2352" s="556"/>
    </row>
    <row r="2353" spans="1:1" x14ac:dyDescent="0.3">
      <c r="A2353" s="556"/>
    </row>
    <row r="2354" spans="1:1" x14ac:dyDescent="0.3">
      <c r="A2354" s="556"/>
    </row>
    <row r="2355" spans="1:1" x14ac:dyDescent="0.3">
      <c r="A2355" s="556"/>
    </row>
    <row r="2356" spans="1:1" x14ac:dyDescent="0.3">
      <c r="A2356" s="556"/>
    </row>
    <row r="2357" spans="1:1" x14ac:dyDescent="0.3">
      <c r="A2357" s="556"/>
    </row>
    <row r="2358" spans="1:1" x14ac:dyDescent="0.3">
      <c r="A2358" s="556"/>
    </row>
    <row r="2359" spans="1:1" x14ac:dyDescent="0.3">
      <c r="A2359" s="556"/>
    </row>
    <row r="2360" spans="1:1" x14ac:dyDescent="0.3">
      <c r="A2360" s="556"/>
    </row>
    <row r="2361" spans="1:1" x14ac:dyDescent="0.3">
      <c r="A2361" s="556"/>
    </row>
    <row r="2362" spans="1:1" x14ac:dyDescent="0.3">
      <c r="A2362" s="556"/>
    </row>
    <row r="2363" spans="1:1" x14ac:dyDescent="0.3">
      <c r="A2363" s="556"/>
    </row>
    <row r="2364" spans="1:1" x14ac:dyDescent="0.3">
      <c r="A2364" s="556"/>
    </row>
    <row r="2365" spans="1:1" x14ac:dyDescent="0.3">
      <c r="A2365" s="556"/>
    </row>
    <row r="2366" spans="1:1" x14ac:dyDescent="0.3">
      <c r="A2366" s="556"/>
    </row>
    <row r="2367" spans="1:1" x14ac:dyDescent="0.3">
      <c r="A2367" s="556"/>
    </row>
    <row r="2368" spans="1:1" x14ac:dyDescent="0.3">
      <c r="A2368" s="556"/>
    </row>
    <row r="2369" spans="1:1" x14ac:dyDescent="0.3">
      <c r="A2369" s="556"/>
    </row>
    <row r="2370" spans="1:1" x14ac:dyDescent="0.3">
      <c r="A2370" s="556"/>
    </row>
    <row r="2371" spans="1:1" x14ac:dyDescent="0.3">
      <c r="A2371" s="556"/>
    </row>
    <row r="2372" spans="1:1" x14ac:dyDescent="0.3">
      <c r="A2372" s="556"/>
    </row>
    <row r="2373" spans="1:1" x14ac:dyDescent="0.3">
      <c r="A2373" s="556"/>
    </row>
    <row r="2374" spans="1:1" x14ac:dyDescent="0.3">
      <c r="A2374" s="556"/>
    </row>
    <row r="2375" spans="1:1" x14ac:dyDescent="0.3">
      <c r="A2375" s="556"/>
    </row>
    <row r="2376" spans="1:1" x14ac:dyDescent="0.3">
      <c r="A2376" s="556"/>
    </row>
    <row r="2377" spans="1:1" x14ac:dyDescent="0.3">
      <c r="A2377" s="556"/>
    </row>
    <row r="2378" spans="1:1" x14ac:dyDescent="0.3">
      <c r="A2378" s="556"/>
    </row>
    <row r="2379" spans="1:1" x14ac:dyDescent="0.3">
      <c r="A2379" s="556"/>
    </row>
    <row r="2380" spans="1:1" x14ac:dyDescent="0.3">
      <c r="A2380" s="556"/>
    </row>
    <row r="2381" spans="1:1" x14ac:dyDescent="0.3">
      <c r="A2381" s="556"/>
    </row>
    <row r="2382" spans="1:1" x14ac:dyDescent="0.3">
      <c r="A2382" s="556"/>
    </row>
    <row r="2383" spans="1:1" x14ac:dyDescent="0.3">
      <c r="A2383" s="556"/>
    </row>
    <row r="2384" spans="1:1" x14ac:dyDescent="0.3">
      <c r="A2384" s="556"/>
    </row>
    <row r="2385" spans="1:1" x14ac:dyDescent="0.3">
      <c r="A2385" s="556"/>
    </row>
    <row r="2386" spans="1:1" x14ac:dyDescent="0.3">
      <c r="A2386" s="556"/>
    </row>
    <row r="2387" spans="1:1" x14ac:dyDescent="0.3">
      <c r="A2387" s="556"/>
    </row>
    <row r="2388" spans="1:1" x14ac:dyDescent="0.3">
      <c r="A2388" s="556"/>
    </row>
    <row r="2389" spans="1:1" x14ac:dyDescent="0.3">
      <c r="A2389" s="556"/>
    </row>
    <row r="2390" spans="1:1" x14ac:dyDescent="0.3">
      <c r="A2390" s="556"/>
    </row>
    <row r="2391" spans="1:1" x14ac:dyDescent="0.3">
      <c r="A2391" s="556"/>
    </row>
    <row r="2392" spans="1:1" x14ac:dyDescent="0.3">
      <c r="A2392" s="556"/>
    </row>
    <row r="2393" spans="1:1" x14ac:dyDescent="0.3">
      <c r="A2393" s="556"/>
    </row>
    <row r="2394" spans="1:1" x14ac:dyDescent="0.3">
      <c r="A2394" s="556"/>
    </row>
    <row r="2395" spans="1:1" x14ac:dyDescent="0.3">
      <c r="A2395" s="556"/>
    </row>
    <row r="2396" spans="1:1" x14ac:dyDescent="0.3">
      <c r="A2396" s="556"/>
    </row>
    <row r="2397" spans="1:1" x14ac:dyDescent="0.3">
      <c r="A2397" s="556"/>
    </row>
    <row r="2398" spans="1:1" x14ac:dyDescent="0.3">
      <c r="A2398" s="556"/>
    </row>
    <row r="2399" spans="1:1" x14ac:dyDescent="0.3">
      <c r="A2399" s="556"/>
    </row>
    <row r="2400" spans="1:1" x14ac:dyDescent="0.3">
      <c r="A2400" s="556"/>
    </row>
    <row r="2401" spans="1:1" x14ac:dyDescent="0.3">
      <c r="A2401" s="556"/>
    </row>
    <row r="2402" spans="1:1" x14ac:dyDescent="0.3">
      <c r="A2402" s="556"/>
    </row>
    <row r="2403" spans="1:1" x14ac:dyDescent="0.3">
      <c r="A2403" s="556"/>
    </row>
    <row r="2404" spans="1:1" x14ac:dyDescent="0.3">
      <c r="A2404" s="556"/>
    </row>
    <row r="2405" spans="1:1" x14ac:dyDescent="0.3">
      <c r="A2405" s="556"/>
    </row>
    <row r="2406" spans="1:1" x14ac:dyDescent="0.3">
      <c r="A2406" s="556"/>
    </row>
    <row r="2407" spans="1:1" x14ac:dyDescent="0.3">
      <c r="A2407" s="556"/>
    </row>
    <row r="2408" spans="1:1" x14ac:dyDescent="0.3">
      <c r="A2408" s="556"/>
    </row>
    <row r="2409" spans="1:1" x14ac:dyDescent="0.3">
      <c r="A2409" s="556"/>
    </row>
    <row r="2410" spans="1:1" x14ac:dyDescent="0.3">
      <c r="A2410" s="556"/>
    </row>
    <row r="2411" spans="1:1" x14ac:dyDescent="0.3">
      <c r="A2411" s="556"/>
    </row>
    <row r="2412" spans="1:1" x14ac:dyDescent="0.3">
      <c r="A2412" s="556"/>
    </row>
    <row r="2413" spans="1:1" x14ac:dyDescent="0.3">
      <c r="A2413" s="556"/>
    </row>
    <row r="2414" spans="1:1" x14ac:dyDescent="0.3">
      <c r="A2414" s="556"/>
    </row>
    <row r="2415" spans="1:1" x14ac:dyDescent="0.3">
      <c r="A2415" s="556"/>
    </row>
    <row r="2416" spans="1:1" x14ac:dyDescent="0.3">
      <c r="A2416" s="556"/>
    </row>
    <row r="2417" spans="1:1" x14ac:dyDescent="0.3">
      <c r="A2417" s="556"/>
    </row>
    <row r="2418" spans="1:1" x14ac:dyDescent="0.3">
      <c r="A2418" s="556"/>
    </row>
    <row r="2419" spans="1:1" x14ac:dyDescent="0.3">
      <c r="A2419" s="556"/>
    </row>
    <row r="2420" spans="1:1" x14ac:dyDescent="0.3">
      <c r="A2420" s="556"/>
    </row>
    <row r="2421" spans="1:1" x14ac:dyDescent="0.3">
      <c r="A2421" s="556"/>
    </row>
    <row r="2422" spans="1:1" x14ac:dyDescent="0.3">
      <c r="A2422" s="556"/>
    </row>
    <row r="2423" spans="1:1" x14ac:dyDescent="0.3">
      <c r="A2423" s="556"/>
    </row>
    <row r="2424" spans="1:1" x14ac:dyDescent="0.3">
      <c r="A2424" s="556"/>
    </row>
    <row r="2425" spans="1:1" x14ac:dyDescent="0.3">
      <c r="A2425" s="556"/>
    </row>
    <row r="2426" spans="1:1" x14ac:dyDescent="0.3">
      <c r="A2426" s="556"/>
    </row>
    <row r="2427" spans="1:1" x14ac:dyDescent="0.3">
      <c r="A2427" s="556"/>
    </row>
    <row r="2428" spans="1:1" x14ac:dyDescent="0.3">
      <c r="A2428" s="556"/>
    </row>
    <row r="2429" spans="1:1" x14ac:dyDescent="0.3">
      <c r="A2429" s="556"/>
    </row>
    <row r="2430" spans="1:1" x14ac:dyDescent="0.3">
      <c r="A2430" s="556"/>
    </row>
    <row r="2431" spans="1:1" x14ac:dyDescent="0.3">
      <c r="A2431" s="556"/>
    </row>
    <row r="2432" spans="1:1" x14ac:dyDescent="0.3">
      <c r="A2432" s="556"/>
    </row>
    <row r="2433" spans="1:1" x14ac:dyDescent="0.3">
      <c r="A2433" s="556"/>
    </row>
    <row r="2434" spans="1:1" x14ac:dyDescent="0.3">
      <c r="A2434" s="556"/>
    </row>
    <row r="2435" spans="1:1" x14ac:dyDescent="0.3">
      <c r="A2435" s="556"/>
    </row>
    <row r="2436" spans="1:1" x14ac:dyDescent="0.3">
      <c r="A2436" s="556"/>
    </row>
    <row r="2437" spans="1:1" x14ac:dyDescent="0.3">
      <c r="A2437" s="556"/>
    </row>
    <row r="2438" spans="1:1" x14ac:dyDescent="0.3">
      <c r="A2438" s="556"/>
    </row>
    <row r="2439" spans="1:1" x14ac:dyDescent="0.3">
      <c r="A2439" s="556"/>
    </row>
    <row r="2440" spans="1:1" x14ac:dyDescent="0.3">
      <c r="A2440" s="556"/>
    </row>
    <row r="2441" spans="1:1" x14ac:dyDescent="0.3">
      <c r="A2441" s="556"/>
    </row>
    <row r="2442" spans="1:1" x14ac:dyDescent="0.3">
      <c r="A2442" s="556"/>
    </row>
    <row r="2443" spans="1:1" x14ac:dyDescent="0.3">
      <c r="A2443" s="556"/>
    </row>
    <row r="2444" spans="1:1" x14ac:dyDescent="0.3">
      <c r="A2444" s="556"/>
    </row>
    <row r="2445" spans="1:1" x14ac:dyDescent="0.3">
      <c r="A2445" s="556"/>
    </row>
    <row r="2446" spans="1:1" x14ac:dyDescent="0.3">
      <c r="A2446" s="556"/>
    </row>
    <row r="2447" spans="1:1" x14ac:dyDescent="0.3">
      <c r="A2447" s="556"/>
    </row>
    <row r="2448" spans="1:1" x14ac:dyDescent="0.3">
      <c r="A2448" s="556"/>
    </row>
    <row r="2449" spans="1:1" x14ac:dyDescent="0.3">
      <c r="A2449" s="556"/>
    </row>
    <row r="2450" spans="1:1" x14ac:dyDescent="0.3">
      <c r="A2450" s="556"/>
    </row>
    <row r="2451" spans="1:1" x14ac:dyDescent="0.3">
      <c r="A2451" s="556"/>
    </row>
    <row r="2452" spans="1:1" x14ac:dyDescent="0.3">
      <c r="A2452" s="556"/>
    </row>
    <row r="2453" spans="1:1" x14ac:dyDescent="0.3">
      <c r="A2453" s="556"/>
    </row>
    <row r="2454" spans="1:1" x14ac:dyDescent="0.3">
      <c r="A2454" s="556"/>
    </row>
    <row r="2455" spans="1:1" x14ac:dyDescent="0.3">
      <c r="A2455" s="556"/>
    </row>
    <row r="2456" spans="1:1" x14ac:dyDescent="0.3">
      <c r="A2456" s="556"/>
    </row>
    <row r="2457" spans="1:1" x14ac:dyDescent="0.3">
      <c r="A2457" s="556"/>
    </row>
    <row r="2458" spans="1:1" x14ac:dyDescent="0.3">
      <c r="A2458" s="556"/>
    </row>
    <row r="2459" spans="1:1" x14ac:dyDescent="0.3">
      <c r="A2459" s="556"/>
    </row>
    <row r="2460" spans="1:1" x14ac:dyDescent="0.3">
      <c r="A2460" s="556"/>
    </row>
    <row r="2461" spans="1:1" x14ac:dyDescent="0.3">
      <c r="A2461" s="556"/>
    </row>
    <row r="2462" spans="1:1" x14ac:dyDescent="0.3">
      <c r="A2462" s="556"/>
    </row>
    <row r="2463" spans="1:1" x14ac:dyDescent="0.3">
      <c r="A2463" s="556"/>
    </row>
    <row r="2464" spans="1:1" x14ac:dyDescent="0.3">
      <c r="A2464" s="556"/>
    </row>
    <row r="2465" spans="1:1" x14ac:dyDescent="0.3">
      <c r="A2465" s="556"/>
    </row>
    <row r="2466" spans="1:1" x14ac:dyDescent="0.3">
      <c r="A2466" s="556"/>
    </row>
    <row r="2467" spans="1:1" x14ac:dyDescent="0.3">
      <c r="A2467" s="556"/>
    </row>
    <row r="2468" spans="1:1" x14ac:dyDescent="0.3">
      <c r="A2468" s="556"/>
    </row>
    <row r="2469" spans="1:1" x14ac:dyDescent="0.3">
      <c r="A2469" s="556"/>
    </row>
    <row r="2470" spans="1:1" x14ac:dyDescent="0.3">
      <c r="A2470" s="556"/>
    </row>
    <row r="2471" spans="1:1" x14ac:dyDescent="0.3">
      <c r="A2471" s="556"/>
    </row>
    <row r="2472" spans="1:1" x14ac:dyDescent="0.3">
      <c r="A2472" s="556"/>
    </row>
    <row r="2473" spans="1:1" x14ac:dyDescent="0.3">
      <c r="A2473" s="556"/>
    </row>
    <row r="2474" spans="1:1" x14ac:dyDescent="0.3">
      <c r="A2474" s="556"/>
    </row>
    <row r="2475" spans="1:1" x14ac:dyDescent="0.3">
      <c r="A2475" s="556"/>
    </row>
    <row r="2476" spans="1:1" x14ac:dyDescent="0.3">
      <c r="A2476" s="556"/>
    </row>
    <row r="2477" spans="1:1" x14ac:dyDescent="0.3">
      <c r="A2477" s="556"/>
    </row>
    <row r="2478" spans="1:1" x14ac:dyDescent="0.3">
      <c r="A2478" s="556"/>
    </row>
    <row r="2479" spans="1:1" x14ac:dyDescent="0.3">
      <c r="A2479" s="556"/>
    </row>
    <row r="2480" spans="1:1" x14ac:dyDescent="0.3">
      <c r="A2480" s="556"/>
    </row>
    <row r="2481" spans="1:1" x14ac:dyDescent="0.3">
      <c r="A2481" s="556"/>
    </row>
    <row r="2482" spans="1:1" x14ac:dyDescent="0.3">
      <c r="A2482" s="556"/>
    </row>
    <row r="2483" spans="1:1" x14ac:dyDescent="0.3">
      <c r="A2483" s="556"/>
    </row>
    <row r="2484" spans="1:1" x14ac:dyDescent="0.3">
      <c r="A2484" s="556"/>
    </row>
    <row r="2485" spans="1:1" x14ac:dyDescent="0.3">
      <c r="A2485" s="556"/>
    </row>
    <row r="2486" spans="1:1" x14ac:dyDescent="0.3">
      <c r="A2486" s="556"/>
    </row>
    <row r="2487" spans="1:1" x14ac:dyDescent="0.3">
      <c r="A2487" s="556"/>
    </row>
    <row r="2488" spans="1:1" x14ac:dyDescent="0.3">
      <c r="A2488" s="556"/>
    </row>
    <row r="2489" spans="1:1" x14ac:dyDescent="0.3">
      <c r="A2489" s="556"/>
    </row>
    <row r="2490" spans="1:1" x14ac:dyDescent="0.3">
      <c r="A2490" s="556"/>
    </row>
    <row r="2491" spans="1:1" x14ac:dyDescent="0.3">
      <c r="A2491" s="556"/>
    </row>
    <row r="2492" spans="1:1" x14ac:dyDescent="0.3">
      <c r="A2492" s="556"/>
    </row>
    <row r="2493" spans="1:1" x14ac:dyDescent="0.3">
      <c r="A2493" s="556"/>
    </row>
    <row r="2494" spans="1:1" x14ac:dyDescent="0.3">
      <c r="A2494" s="556"/>
    </row>
    <row r="2495" spans="1:1" x14ac:dyDescent="0.3">
      <c r="A2495" s="556"/>
    </row>
    <row r="2496" spans="1:1" x14ac:dyDescent="0.3">
      <c r="A2496" s="556"/>
    </row>
    <row r="2497" spans="1:1" x14ac:dyDescent="0.3">
      <c r="A2497" s="556"/>
    </row>
    <row r="2498" spans="1:1" x14ac:dyDescent="0.3">
      <c r="A2498" s="556"/>
    </row>
    <row r="2499" spans="1:1" x14ac:dyDescent="0.3">
      <c r="A2499" s="556"/>
    </row>
    <row r="2500" spans="1:1" x14ac:dyDescent="0.3">
      <c r="A2500" s="556"/>
    </row>
    <row r="2501" spans="1:1" x14ac:dyDescent="0.3">
      <c r="A2501" s="556"/>
    </row>
    <row r="2502" spans="1:1" x14ac:dyDescent="0.3">
      <c r="A2502" s="556"/>
    </row>
    <row r="2503" spans="1:1" x14ac:dyDescent="0.3">
      <c r="A2503" s="556"/>
    </row>
    <row r="2504" spans="1:1" x14ac:dyDescent="0.3">
      <c r="A2504" s="556"/>
    </row>
    <row r="2505" spans="1:1" x14ac:dyDescent="0.3">
      <c r="A2505" s="556"/>
    </row>
    <row r="2506" spans="1:1" x14ac:dyDescent="0.3">
      <c r="A2506" s="556"/>
    </row>
    <row r="2507" spans="1:1" x14ac:dyDescent="0.3">
      <c r="A2507" s="556"/>
    </row>
    <row r="2508" spans="1:1" x14ac:dyDescent="0.3">
      <c r="A2508" s="556"/>
    </row>
    <row r="2509" spans="1:1" x14ac:dyDescent="0.3">
      <c r="A2509" s="556"/>
    </row>
    <row r="2510" spans="1:1" x14ac:dyDescent="0.3">
      <c r="A2510" s="556"/>
    </row>
    <row r="2511" spans="1:1" x14ac:dyDescent="0.3">
      <c r="A2511" s="556"/>
    </row>
    <row r="2512" spans="1:1" x14ac:dyDescent="0.3">
      <c r="A2512" s="556"/>
    </row>
    <row r="2513" spans="1:1" x14ac:dyDescent="0.3">
      <c r="A2513" s="556"/>
    </row>
    <row r="2514" spans="1:1" x14ac:dyDescent="0.3">
      <c r="A2514" s="556"/>
    </row>
    <row r="2515" spans="1:1" x14ac:dyDescent="0.3">
      <c r="A2515" s="556"/>
    </row>
    <row r="2516" spans="1:1" x14ac:dyDescent="0.3">
      <c r="A2516" s="556"/>
    </row>
    <row r="2517" spans="1:1" x14ac:dyDescent="0.3">
      <c r="A2517" s="556"/>
    </row>
    <row r="2518" spans="1:1" x14ac:dyDescent="0.3">
      <c r="A2518" s="556"/>
    </row>
    <row r="2519" spans="1:1" x14ac:dyDescent="0.3">
      <c r="A2519" s="556"/>
    </row>
    <row r="2520" spans="1:1" x14ac:dyDescent="0.3">
      <c r="A2520" s="556"/>
    </row>
    <row r="2521" spans="1:1" x14ac:dyDescent="0.3">
      <c r="A2521" s="556"/>
    </row>
    <row r="2522" spans="1:1" x14ac:dyDescent="0.3">
      <c r="A2522" s="556"/>
    </row>
    <row r="2523" spans="1:1" x14ac:dyDescent="0.3">
      <c r="A2523" s="556"/>
    </row>
    <row r="2524" spans="1:1" x14ac:dyDescent="0.3">
      <c r="A2524" s="556"/>
    </row>
    <row r="2525" spans="1:1" x14ac:dyDescent="0.3">
      <c r="A2525" s="556"/>
    </row>
    <row r="2526" spans="1:1" x14ac:dyDescent="0.3">
      <c r="A2526" s="556"/>
    </row>
    <row r="2527" spans="1:1" x14ac:dyDescent="0.3">
      <c r="A2527" s="556"/>
    </row>
    <row r="2528" spans="1:1" x14ac:dyDescent="0.3">
      <c r="A2528" s="556"/>
    </row>
    <row r="2529" spans="1:1" x14ac:dyDescent="0.3">
      <c r="A2529" s="556"/>
    </row>
    <row r="2530" spans="1:1" x14ac:dyDescent="0.3">
      <c r="A2530" s="556"/>
    </row>
    <row r="2531" spans="1:1" x14ac:dyDescent="0.3">
      <c r="A2531" s="556"/>
    </row>
    <row r="2532" spans="1:1" x14ac:dyDescent="0.3">
      <c r="A2532" s="556"/>
    </row>
    <row r="2533" spans="1:1" x14ac:dyDescent="0.3">
      <c r="A2533" s="556"/>
    </row>
    <row r="2534" spans="1:1" x14ac:dyDescent="0.3">
      <c r="A2534" s="556"/>
    </row>
    <row r="2535" spans="1:1" x14ac:dyDescent="0.3">
      <c r="A2535" s="556"/>
    </row>
    <row r="2536" spans="1:1" x14ac:dyDescent="0.3">
      <c r="A2536" s="556"/>
    </row>
    <row r="2537" spans="1:1" x14ac:dyDescent="0.3">
      <c r="A2537" s="556"/>
    </row>
    <row r="2538" spans="1:1" x14ac:dyDescent="0.3">
      <c r="A2538" s="556"/>
    </row>
    <row r="2539" spans="1:1" x14ac:dyDescent="0.3">
      <c r="A2539" s="556"/>
    </row>
    <row r="2540" spans="1:1" x14ac:dyDescent="0.3">
      <c r="A2540" s="556"/>
    </row>
    <row r="2541" spans="1:1" x14ac:dyDescent="0.3">
      <c r="A2541" s="556"/>
    </row>
    <row r="2542" spans="1:1" x14ac:dyDescent="0.3">
      <c r="A2542" s="556"/>
    </row>
    <row r="2543" spans="1:1" x14ac:dyDescent="0.3">
      <c r="A2543" s="556"/>
    </row>
    <row r="2544" spans="1:1" x14ac:dyDescent="0.3">
      <c r="A2544" s="556"/>
    </row>
    <row r="2545" spans="1:1" x14ac:dyDescent="0.3">
      <c r="A2545" s="556"/>
    </row>
    <row r="2546" spans="1:1" x14ac:dyDescent="0.3">
      <c r="A2546" s="556"/>
    </row>
    <row r="2547" spans="1:1" x14ac:dyDescent="0.3">
      <c r="A2547" s="556"/>
    </row>
    <row r="2548" spans="1:1" x14ac:dyDescent="0.3">
      <c r="A2548" s="556"/>
    </row>
    <row r="2549" spans="1:1" x14ac:dyDescent="0.3">
      <c r="A2549" s="556"/>
    </row>
    <row r="2550" spans="1:1" x14ac:dyDescent="0.3">
      <c r="A2550" s="556"/>
    </row>
    <row r="2551" spans="1:1" x14ac:dyDescent="0.3">
      <c r="A2551" s="556"/>
    </row>
    <row r="2552" spans="1:1" x14ac:dyDescent="0.3">
      <c r="A2552" s="556"/>
    </row>
    <row r="2553" spans="1:1" x14ac:dyDescent="0.3">
      <c r="A2553" s="556"/>
    </row>
    <row r="2554" spans="1:1" x14ac:dyDescent="0.3">
      <c r="A2554" s="556"/>
    </row>
    <row r="2555" spans="1:1" x14ac:dyDescent="0.3">
      <c r="A2555" s="556"/>
    </row>
    <row r="2556" spans="1:1" x14ac:dyDescent="0.3">
      <c r="A2556" s="556"/>
    </row>
    <row r="2557" spans="1:1" x14ac:dyDescent="0.3">
      <c r="A2557" s="556"/>
    </row>
    <row r="2558" spans="1:1" x14ac:dyDescent="0.3">
      <c r="A2558" s="556"/>
    </row>
    <row r="2559" spans="1:1" x14ac:dyDescent="0.3">
      <c r="A2559" s="556"/>
    </row>
    <row r="2560" spans="1:1" x14ac:dyDescent="0.3">
      <c r="A2560" s="556"/>
    </row>
    <row r="2561" spans="1:1" x14ac:dyDescent="0.3">
      <c r="A2561" s="556"/>
    </row>
    <row r="2562" spans="1:1" x14ac:dyDescent="0.3">
      <c r="A2562" s="556"/>
    </row>
    <row r="2563" spans="1:1" x14ac:dyDescent="0.3">
      <c r="A2563" s="556"/>
    </row>
    <row r="2564" spans="1:1" x14ac:dyDescent="0.3">
      <c r="A2564" s="556"/>
    </row>
    <row r="2565" spans="1:1" x14ac:dyDescent="0.3">
      <c r="A2565" s="556"/>
    </row>
    <row r="2566" spans="1:1" x14ac:dyDescent="0.3">
      <c r="A2566" s="556"/>
    </row>
    <row r="2567" spans="1:1" x14ac:dyDescent="0.3">
      <c r="A2567" s="556"/>
    </row>
    <row r="2568" spans="1:1" x14ac:dyDescent="0.3">
      <c r="A2568" s="556"/>
    </row>
    <row r="2569" spans="1:1" x14ac:dyDescent="0.3">
      <c r="A2569" s="556"/>
    </row>
    <row r="2570" spans="1:1" x14ac:dyDescent="0.3">
      <c r="A2570" s="556"/>
    </row>
    <row r="2571" spans="1:1" x14ac:dyDescent="0.3">
      <c r="A2571" s="556"/>
    </row>
    <row r="2572" spans="1:1" x14ac:dyDescent="0.3">
      <c r="A2572" s="556"/>
    </row>
    <row r="2573" spans="1:1" x14ac:dyDescent="0.3">
      <c r="A2573" s="556"/>
    </row>
    <row r="2574" spans="1:1" x14ac:dyDescent="0.3">
      <c r="A2574" s="556"/>
    </row>
    <row r="2575" spans="1:1" x14ac:dyDescent="0.3">
      <c r="A2575" s="556"/>
    </row>
    <row r="2576" spans="1:1" x14ac:dyDescent="0.3">
      <c r="A2576" s="556"/>
    </row>
    <row r="2577" spans="1:1" x14ac:dyDescent="0.3">
      <c r="A2577" s="556"/>
    </row>
    <row r="2578" spans="1:1" x14ac:dyDescent="0.3">
      <c r="A2578" s="556"/>
    </row>
    <row r="2579" spans="1:1" x14ac:dyDescent="0.3">
      <c r="A2579" s="556"/>
    </row>
    <row r="2580" spans="1:1" x14ac:dyDescent="0.3">
      <c r="A2580" s="556"/>
    </row>
    <row r="2581" spans="1:1" x14ac:dyDescent="0.3">
      <c r="A2581" s="556"/>
    </row>
    <row r="2582" spans="1:1" x14ac:dyDescent="0.3">
      <c r="A2582" s="556"/>
    </row>
    <row r="2583" spans="1:1" x14ac:dyDescent="0.3">
      <c r="A2583" s="556"/>
    </row>
    <row r="2584" spans="1:1" x14ac:dyDescent="0.3">
      <c r="A2584" s="556"/>
    </row>
    <row r="2585" spans="1:1" x14ac:dyDescent="0.3">
      <c r="A2585" s="556"/>
    </row>
    <row r="2586" spans="1:1" x14ac:dyDescent="0.3">
      <c r="A2586" s="556"/>
    </row>
    <row r="2587" spans="1:1" x14ac:dyDescent="0.3">
      <c r="A2587" s="556"/>
    </row>
    <row r="2588" spans="1:1" x14ac:dyDescent="0.3">
      <c r="A2588" s="556"/>
    </row>
    <row r="2589" spans="1:1" x14ac:dyDescent="0.3">
      <c r="A2589" s="556"/>
    </row>
    <row r="2590" spans="1:1" x14ac:dyDescent="0.3">
      <c r="A2590" s="556"/>
    </row>
    <row r="2591" spans="1:1" x14ac:dyDescent="0.3">
      <c r="A2591" s="556"/>
    </row>
    <row r="2592" spans="1:1" x14ac:dyDescent="0.3">
      <c r="A2592" s="556"/>
    </row>
    <row r="2593" spans="1:1" x14ac:dyDescent="0.3">
      <c r="A2593" s="556"/>
    </row>
    <row r="2594" spans="1:1" x14ac:dyDescent="0.3">
      <c r="A2594" s="556"/>
    </row>
    <row r="2595" spans="1:1" x14ac:dyDescent="0.3">
      <c r="A2595" s="556"/>
    </row>
    <row r="2596" spans="1:1" x14ac:dyDescent="0.3">
      <c r="A2596" s="556"/>
    </row>
    <row r="2597" spans="1:1" x14ac:dyDescent="0.3">
      <c r="A2597" s="556"/>
    </row>
    <row r="2598" spans="1:1" x14ac:dyDescent="0.3">
      <c r="A2598" s="556"/>
    </row>
    <row r="2599" spans="1:1" x14ac:dyDescent="0.3">
      <c r="A2599" s="556"/>
    </row>
    <row r="2600" spans="1:1" x14ac:dyDescent="0.3">
      <c r="A2600" s="556"/>
    </row>
    <row r="2601" spans="1:1" x14ac:dyDescent="0.3">
      <c r="A2601" s="556"/>
    </row>
    <row r="2602" spans="1:1" x14ac:dyDescent="0.3">
      <c r="A2602" s="556"/>
    </row>
    <row r="2603" spans="1:1" x14ac:dyDescent="0.3">
      <c r="A2603" s="556"/>
    </row>
    <row r="2604" spans="1:1" x14ac:dyDescent="0.3">
      <c r="A2604" s="556"/>
    </row>
    <row r="2605" spans="1:1" x14ac:dyDescent="0.3">
      <c r="A2605" s="556"/>
    </row>
    <row r="2606" spans="1:1" x14ac:dyDescent="0.3">
      <c r="A2606" s="556"/>
    </row>
    <row r="2607" spans="1:1" x14ac:dyDescent="0.3">
      <c r="A2607" s="556"/>
    </row>
    <row r="2608" spans="1:1" x14ac:dyDescent="0.3">
      <c r="A2608" s="556"/>
    </row>
    <row r="2609" spans="1:1" x14ac:dyDescent="0.3">
      <c r="A2609" s="556"/>
    </row>
    <row r="2610" spans="1:1" x14ac:dyDescent="0.3">
      <c r="A2610" s="556"/>
    </row>
    <row r="2611" spans="1:1" x14ac:dyDescent="0.3">
      <c r="A2611" s="556"/>
    </row>
    <row r="2612" spans="1:1" x14ac:dyDescent="0.3">
      <c r="A2612" s="556"/>
    </row>
    <row r="2613" spans="1:1" x14ac:dyDescent="0.3">
      <c r="A2613" s="556"/>
    </row>
    <row r="2614" spans="1:1" x14ac:dyDescent="0.3">
      <c r="A2614" s="556"/>
    </row>
    <row r="2615" spans="1:1" x14ac:dyDescent="0.3">
      <c r="A2615" s="556"/>
    </row>
    <row r="2616" spans="1:1" x14ac:dyDescent="0.3">
      <c r="A2616" s="556"/>
    </row>
    <row r="2617" spans="1:1" x14ac:dyDescent="0.3">
      <c r="A2617" s="556"/>
    </row>
    <row r="2618" spans="1:1" x14ac:dyDescent="0.3">
      <c r="A2618" s="556"/>
    </row>
    <row r="2619" spans="1:1" x14ac:dyDescent="0.3">
      <c r="A2619" s="556"/>
    </row>
    <row r="2620" spans="1:1" x14ac:dyDescent="0.3">
      <c r="A2620" s="556"/>
    </row>
    <row r="2621" spans="1:1" x14ac:dyDescent="0.3">
      <c r="A2621" s="556"/>
    </row>
    <row r="2622" spans="1:1" x14ac:dyDescent="0.3">
      <c r="A2622" s="556"/>
    </row>
    <row r="2623" spans="1:1" x14ac:dyDescent="0.3">
      <c r="A2623" s="556"/>
    </row>
    <row r="2624" spans="1:1" x14ac:dyDescent="0.3">
      <c r="A2624" s="556"/>
    </row>
    <row r="2625" spans="1:1" x14ac:dyDescent="0.3">
      <c r="A2625" s="556"/>
    </row>
    <row r="2626" spans="1:1" x14ac:dyDescent="0.3">
      <c r="A2626" s="556"/>
    </row>
    <row r="2627" spans="1:1" x14ac:dyDescent="0.3">
      <c r="A2627" s="556"/>
    </row>
    <row r="2628" spans="1:1" x14ac:dyDescent="0.3">
      <c r="A2628" s="556"/>
    </row>
    <row r="2629" spans="1:1" x14ac:dyDescent="0.3">
      <c r="A2629" s="556"/>
    </row>
    <row r="2630" spans="1:1" x14ac:dyDescent="0.3">
      <c r="A2630" s="556"/>
    </row>
    <row r="2631" spans="1:1" x14ac:dyDescent="0.3">
      <c r="A2631" s="556"/>
    </row>
    <row r="2632" spans="1:1" x14ac:dyDescent="0.3">
      <c r="A2632" s="556"/>
    </row>
    <row r="2633" spans="1:1" x14ac:dyDescent="0.3">
      <c r="A2633" s="556"/>
    </row>
    <row r="2634" spans="1:1" x14ac:dyDescent="0.3">
      <c r="A2634" s="556"/>
    </row>
    <row r="2635" spans="1:1" x14ac:dyDescent="0.3">
      <c r="A2635" s="556"/>
    </row>
    <row r="2636" spans="1:1" x14ac:dyDescent="0.3">
      <c r="A2636" s="556"/>
    </row>
    <row r="2637" spans="1:1" x14ac:dyDescent="0.3">
      <c r="A2637" s="556"/>
    </row>
    <row r="2638" spans="1:1" x14ac:dyDescent="0.3">
      <c r="A2638" s="556"/>
    </row>
    <row r="2639" spans="1:1" x14ac:dyDescent="0.3">
      <c r="A2639" s="556"/>
    </row>
    <row r="2640" spans="1:1" x14ac:dyDescent="0.3">
      <c r="A2640" s="556"/>
    </row>
    <row r="2641" spans="1:1" x14ac:dyDescent="0.3">
      <c r="A2641" s="556"/>
    </row>
    <row r="2642" spans="1:1" x14ac:dyDescent="0.3">
      <c r="A2642" s="556"/>
    </row>
    <row r="2643" spans="1:1" x14ac:dyDescent="0.3">
      <c r="A2643" s="556"/>
    </row>
    <row r="2644" spans="1:1" x14ac:dyDescent="0.3">
      <c r="A2644" s="556"/>
    </row>
    <row r="2645" spans="1:1" x14ac:dyDescent="0.3">
      <c r="A2645" s="556"/>
    </row>
    <row r="2646" spans="1:1" x14ac:dyDescent="0.3">
      <c r="A2646" s="556"/>
    </row>
    <row r="2647" spans="1:1" x14ac:dyDescent="0.3">
      <c r="A2647" s="556"/>
    </row>
    <row r="2648" spans="1:1" x14ac:dyDescent="0.3">
      <c r="A2648" s="556"/>
    </row>
    <row r="2649" spans="1:1" x14ac:dyDescent="0.3">
      <c r="A2649" s="556"/>
    </row>
    <row r="2650" spans="1:1" x14ac:dyDescent="0.3">
      <c r="A2650" s="556"/>
    </row>
    <row r="2651" spans="1:1" x14ac:dyDescent="0.3">
      <c r="A2651" s="556"/>
    </row>
    <row r="2652" spans="1:1" x14ac:dyDescent="0.3">
      <c r="A2652" s="556"/>
    </row>
    <row r="2653" spans="1:1" x14ac:dyDescent="0.3">
      <c r="A2653" s="556"/>
    </row>
    <row r="2654" spans="1:1" x14ac:dyDescent="0.3">
      <c r="A2654" s="556"/>
    </row>
    <row r="2655" spans="1:1" x14ac:dyDescent="0.3">
      <c r="A2655" s="556"/>
    </row>
    <row r="2656" spans="1:1" x14ac:dyDescent="0.3">
      <c r="A2656" s="556"/>
    </row>
    <row r="2657" spans="1:1" x14ac:dyDescent="0.3">
      <c r="A2657" s="556"/>
    </row>
    <row r="2658" spans="1:1" x14ac:dyDescent="0.3">
      <c r="A2658" s="556"/>
    </row>
    <row r="2659" spans="1:1" x14ac:dyDescent="0.3">
      <c r="A2659" s="556"/>
    </row>
    <row r="2660" spans="1:1" x14ac:dyDescent="0.3">
      <c r="A2660" s="556"/>
    </row>
    <row r="2661" spans="1:1" x14ac:dyDescent="0.3">
      <c r="A2661" s="556"/>
    </row>
    <row r="2662" spans="1:1" x14ac:dyDescent="0.3">
      <c r="A2662" s="556"/>
    </row>
    <row r="2663" spans="1:1" x14ac:dyDescent="0.3">
      <c r="A2663" s="556"/>
    </row>
    <row r="2664" spans="1:1" x14ac:dyDescent="0.3">
      <c r="A2664" s="556"/>
    </row>
    <row r="2665" spans="1:1" x14ac:dyDescent="0.3">
      <c r="A2665" s="556"/>
    </row>
    <row r="2666" spans="1:1" x14ac:dyDescent="0.3">
      <c r="A2666" s="556"/>
    </row>
    <row r="2667" spans="1:1" x14ac:dyDescent="0.3">
      <c r="A2667" s="556"/>
    </row>
    <row r="2668" spans="1:1" x14ac:dyDescent="0.3">
      <c r="A2668" s="556"/>
    </row>
    <row r="2669" spans="1:1" x14ac:dyDescent="0.3">
      <c r="A2669" s="556"/>
    </row>
    <row r="2670" spans="1:1" x14ac:dyDescent="0.3">
      <c r="A2670" s="556"/>
    </row>
    <row r="2671" spans="1:1" x14ac:dyDescent="0.3">
      <c r="A2671" s="556"/>
    </row>
    <row r="2672" spans="1:1" x14ac:dyDescent="0.3">
      <c r="A2672" s="556"/>
    </row>
    <row r="2673" spans="1:1" x14ac:dyDescent="0.3">
      <c r="A2673" s="556"/>
    </row>
    <row r="2674" spans="1:1" x14ac:dyDescent="0.3">
      <c r="A2674" s="556"/>
    </row>
    <row r="2675" spans="1:1" x14ac:dyDescent="0.3">
      <c r="A2675" s="556"/>
    </row>
    <row r="2676" spans="1:1" x14ac:dyDescent="0.3">
      <c r="A2676" s="556"/>
    </row>
    <row r="2677" spans="1:1" x14ac:dyDescent="0.3">
      <c r="A2677" s="556"/>
    </row>
    <row r="2678" spans="1:1" x14ac:dyDescent="0.3">
      <c r="A2678" s="556"/>
    </row>
    <row r="2679" spans="1:1" x14ac:dyDescent="0.3">
      <c r="A2679" s="556"/>
    </row>
    <row r="2680" spans="1:1" x14ac:dyDescent="0.3">
      <c r="A2680" s="556"/>
    </row>
    <row r="2681" spans="1:1" x14ac:dyDescent="0.3">
      <c r="A2681" s="556"/>
    </row>
    <row r="2682" spans="1:1" x14ac:dyDescent="0.3">
      <c r="A2682" s="556"/>
    </row>
    <row r="2683" spans="1:1" x14ac:dyDescent="0.3">
      <c r="A2683" s="556"/>
    </row>
    <row r="2684" spans="1:1" x14ac:dyDescent="0.3">
      <c r="A2684" s="556"/>
    </row>
    <row r="2685" spans="1:1" x14ac:dyDescent="0.3">
      <c r="A2685" s="556"/>
    </row>
    <row r="2686" spans="1:1" x14ac:dyDescent="0.3">
      <c r="A2686" s="556"/>
    </row>
    <row r="2687" spans="1:1" x14ac:dyDescent="0.3">
      <c r="A2687" s="556"/>
    </row>
    <row r="2688" spans="1:1" x14ac:dyDescent="0.3">
      <c r="A2688" s="556"/>
    </row>
    <row r="2689" spans="1:1" x14ac:dyDescent="0.3">
      <c r="A2689" s="556"/>
    </row>
    <row r="2690" spans="1:1" x14ac:dyDescent="0.3">
      <c r="A2690" s="556"/>
    </row>
    <row r="2691" spans="1:1" x14ac:dyDescent="0.3">
      <c r="A2691" s="556"/>
    </row>
    <row r="2692" spans="1:1" x14ac:dyDescent="0.3">
      <c r="A2692" s="556"/>
    </row>
    <row r="2693" spans="1:1" x14ac:dyDescent="0.3">
      <c r="A2693" s="556"/>
    </row>
    <row r="2694" spans="1:1" x14ac:dyDescent="0.3">
      <c r="A2694" s="556"/>
    </row>
    <row r="2695" spans="1:1" x14ac:dyDescent="0.3">
      <c r="A2695" s="556"/>
    </row>
    <row r="2696" spans="1:1" x14ac:dyDescent="0.3">
      <c r="A2696" s="556"/>
    </row>
    <row r="2697" spans="1:1" x14ac:dyDescent="0.3">
      <c r="A2697" s="556"/>
    </row>
    <row r="2698" spans="1:1" x14ac:dyDescent="0.3">
      <c r="A2698" s="556"/>
    </row>
    <row r="2699" spans="1:1" x14ac:dyDescent="0.3">
      <c r="A2699" s="556"/>
    </row>
    <row r="2700" spans="1:1" x14ac:dyDescent="0.3">
      <c r="A2700" s="556"/>
    </row>
    <row r="2701" spans="1:1" x14ac:dyDescent="0.3">
      <c r="A2701" s="556"/>
    </row>
    <row r="2702" spans="1:1" x14ac:dyDescent="0.3">
      <c r="A2702" s="556"/>
    </row>
    <row r="2703" spans="1:1" x14ac:dyDescent="0.3">
      <c r="A2703" s="556"/>
    </row>
    <row r="2704" spans="1:1" x14ac:dyDescent="0.3">
      <c r="A2704" s="556"/>
    </row>
    <row r="2705" spans="1:1" x14ac:dyDescent="0.3">
      <c r="A2705" s="556"/>
    </row>
    <row r="2706" spans="1:1" x14ac:dyDescent="0.3">
      <c r="A2706" s="556"/>
    </row>
    <row r="2707" spans="1:1" x14ac:dyDescent="0.3">
      <c r="A2707" s="556"/>
    </row>
    <row r="2708" spans="1:1" x14ac:dyDescent="0.3">
      <c r="A2708" s="556"/>
    </row>
    <row r="2709" spans="1:1" x14ac:dyDescent="0.3">
      <c r="A2709" s="556"/>
    </row>
    <row r="2710" spans="1:1" x14ac:dyDescent="0.3">
      <c r="A2710" s="556"/>
    </row>
    <row r="2711" spans="1:1" x14ac:dyDescent="0.3">
      <c r="A2711" s="556"/>
    </row>
    <row r="2712" spans="1:1" x14ac:dyDescent="0.3">
      <c r="A2712" s="556"/>
    </row>
    <row r="2713" spans="1:1" x14ac:dyDescent="0.3">
      <c r="A2713" s="556"/>
    </row>
    <row r="2714" spans="1:1" x14ac:dyDescent="0.3">
      <c r="A2714" s="556"/>
    </row>
    <row r="2715" spans="1:1" x14ac:dyDescent="0.3">
      <c r="A2715" s="556"/>
    </row>
    <row r="2716" spans="1:1" x14ac:dyDescent="0.3">
      <c r="A2716" s="556"/>
    </row>
    <row r="2717" spans="1:1" x14ac:dyDescent="0.3">
      <c r="A2717" s="556"/>
    </row>
    <row r="2718" spans="1:1" x14ac:dyDescent="0.3">
      <c r="A2718" s="556"/>
    </row>
    <row r="2719" spans="1:1" x14ac:dyDescent="0.3">
      <c r="A2719" s="556"/>
    </row>
    <row r="2720" spans="1:1" x14ac:dyDescent="0.3">
      <c r="A2720" s="556"/>
    </row>
    <row r="2721" spans="1:1" x14ac:dyDescent="0.3">
      <c r="A2721" s="556"/>
    </row>
    <row r="2722" spans="1:1" x14ac:dyDescent="0.3">
      <c r="A2722" s="556"/>
    </row>
    <row r="2723" spans="1:1" x14ac:dyDescent="0.3">
      <c r="A2723" s="556"/>
    </row>
    <row r="2724" spans="1:1" x14ac:dyDescent="0.3">
      <c r="A2724" s="556"/>
    </row>
    <row r="2725" spans="1:1" x14ac:dyDescent="0.3">
      <c r="A2725" s="556"/>
    </row>
    <row r="2726" spans="1:1" x14ac:dyDescent="0.3">
      <c r="A2726" s="556"/>
    </row>
    <row r="2727" spans="1:1" x14ac:dyDescent="0.3">
      <c r="A2727" s="556"/>
    </row>
    <row r="2728" spans="1:1" x14ac:dyDescent="0.3">
      <c r="A2728" s="556"/>
    </row>
    <row r="2729" spans="1:1" x14ac:dyDescent="0.3">
      <c r="A2729" s="556"/>
    </row>
    <row r="2730" spans="1:1" x14ac:dyDescent="0.3">
      <c r="A2730" s="556"/>
    </row>
    <row r="2731" spans="1:1" x14ac:dyDescent="0.3">
      <c r="A2731" s="556"/>
    </row>
    <row r="2732" spans="1:1" x14ac:dyDescent="0.3">
      <c r="A2732" s="556"/>
    </row>
    <row r="2733" spans="1:1" x14ac:dyDescent="0.3">
      <c r="A2733" s="556"/>
    </row>
    <row r="2734" spans="1:1" x14ac:dyDescent="0.3">
      <c r="A2734" s="556"/>
    </row>
    <row r="2735" spans="1:1" x14ac:dyDescent="0.3">
      <c r="A2735" s="556"/>
    </row>
    <row r="2736" spans="1:1" x14ac:dyDescent="0.3">
      <c r="A2736" s="556"/>
    </row>
    <row r="2737" spans="1:1" x14ac:dyDescent="0.3">
      <c r="A2737" s="556"/>
    </row>
    <row r="2738" spans="1:1" x14ac:dyDescent="0.3">
      <c r="A2738" s="556"/>
    </row>
    <row r="2739" spans="1:1" x14ac:dyDescent="0.3">
      <c r="A2739" s="556"/>
    </row>
    <row r="2740" spans="1:1" x14ac:dyDescent="0.3">
      <c r="A2740" s="556"/>
    </row>
    <row r="2741" spans="1:1" x14ac:dyDescent="0.3">
      <c r="A2741" s="556"/>
    </row>
    <row r="2742" spans="1:1" x14ac:dyDescent="0.3">
      <c r="A2742" s="556"/>
    </row>
    <row r="2743" spans="1:1" x14ac:dyDescent="0.3">
      <c r="A2743" s="556"/>
    </row>
    <row r="2744" spans="1:1" x14ac:dyDescent="0.3">
      <c r="A2744" s="556"/>
    </row>
    <row r="2745" spans="1:1" x14ac:dyDescent="0.3">
      <c r="A2745" s="556"/>
    </row>
    <row r="2746" spans="1:1" x14ac:dyDescent="0.3">
      <c r="A2746" s="556"/>
    </row>
    <row r="2747" spans="1:1" x14ac:dyDescent="0.3">
      <c r="A2747" s="556"/>
    </row>
    <row r="2748" spans="1:1" x14ac:dyDescent="0.3">
      <c r="A2748" s="556"/>
    </row>
    <row r="2749" spans="1:1" x14ac:dyDescent="0.3">
      <c r="A2749" s="556"/>
    </row>
    <row r="2750" spans="1:1" x14ac:dyDescent="0.3">
      <c r="A2750" s="556"/>
    </row>
    <row r="2751" spans="1:1" x14ac:dyDescent="0.3">
      <c r="A2751" s="556"/>
    </row>
    <row r="2752" spans="1:1" x14ac:dyDescent="0.3">
      <c r="A2752" s="556"/>
    </row>
    <row r="2753" spans="1:1" x14ac:dyDescent="0.3">
      <c r="A2753" s="556"/>
    </row>
    <row r="2754" spans="1:1" x14ac:dyDescent="0.3">
      <c r="A2754" s="556"/>
    </row>
    <row r="2755" spans="1:1" x14ac:dyDescent="0.3">
      <c r="A2755" s="556"/>
    </row>
    <row r="2756" spans="1:1" x14ac:dyDescent="0.3">
      <c r="A2756" s="556"/>
    </row>
    <row r="2757" spans="1:1" x14ac:dyDescent="0.3">
      <c r="A2757" s="556"/>
    </row>
    <row r="2758" spans="1:1" x14ac:dyDescent="0.3">
      <c r="A2758" s="556"/>
    </row>
    <row r="2759" spans="1:1" x14ac:dyDescent="0.3">
      <c r="A2759" s="556"/>
    </row>
    <row r="2760" spans="1:1" x14ac:dyDescent="0.3">
      <c r="A2760" s="556"/>
    </row>
    <row r="2761" spans="1:1" x14ac:dyDescent="0.3">
      <c r="A2761" s="556"/>
    </row>
    <row r="2762" spans="1:1" x14ac:dyDescent="0.3">
      <c r="A2762" s="556"/>
    </row>
    <row r="2763" spans="1:1" x14ac:dyDescent="0.3">
      <c r="A2763" s="556"/>
    </row>
    <row r="2764" spans="1:1" x14ac:dyDescent="0.3">
      <c r="A2764" s="556"/>
    </row>
    <row r="2765" spans="1:1" x14ac:dyDescent="0.3">
      <c r="A2765" s="556"/>
    </row>
    <row r="2766" spans="1:1" x14ac:dyDescent="0.3">
      <c r="A2766" s="556"/>
    </row>
    <row r="2767" spans="1:1" x14ac:dyDescent="0.3">
      <c r="A2767" s="556"/>
    </row>
    <row r="2768" spans="1:1" x14ac:dyDescent="0.3">
      <c r="A2768" s="556"/>
    </row>
    <row r="2769" spans="1:1" x14ac:dyDescent="0.3">
      <c r="A2769" s="556"/>
    </row>
    <row r="2770" spans="1:1" x14ac:dyDescent="0.3">
      <c r="A2770" s="556"/>
    </row>
    <row r="2771" spans="1:1" x14ac:dyDescent="0.3">
      <c r="A2771" s="556"/>
    </row>
    <row r="2772" spans="1:1" x14ac:dyDescent="0.3">
      <c r="A2772" s="556"/>
    </row>
    <row r="2773" spans="1:1" x14ac:dyDescent="0.3">
      <c r="A2773" s="556"/>
    </row>
    <row r="2774" spans="1:1" x14ac:dyDescent="0.3">
      <c r="A2774" s="556"/>
    </row>
    <row r="2775" spans="1:1" x14ac:dyDescent="0.3">
      <c r="A2775" s="556"/>
    </row>
    <row r="2776" spans="1:1" x14ac:dyDescent="0.3">
      <c r="A2776" s="556"/>
    </row>
    <row r="2777" spans="1:1" x14ac:dyDescent="0.3">
      <c r="A2777" s="556"/>
    </row>
    <row r="2778" spans="1:1" x14ac:dyDescent="0.3">
      <c r="A2778" s="556"/>
    </row>
    <row r="2779" spans="1:1" x14ac:dyDescent="0.3">
      <c r="A2779" s="556"/>
    </row>
    <row r="2780" spans="1:1" x14ac:dyDescent="0.3">
      <c r="A2780" s="556"/>
    </row>
    <row r="2781" spans="1:1" x14ac:dyDescent="0.3">
      <c r="A2781" s="556"/>
    </row>
    <row r="2782" spans="1:1" x14ac:dyDescent="0.3">
      <c r="A2782" s="556"/>
    </row>
    <row r="2783" spans="1:1" x14ac:dyDescent="0.3">
      <c r="A2783" s="556"/>
    </row>
    <row r="2784" spans="1:1" x14ac:dyDescent="0.3">
      <c r="A2784" s="556"/>
    </row>
    <row r="2785" spans="1:1" x14ac:dyDescent="0.3">
      <c r="A2785" s="556"/>
    </row>
    <row r="2786" spans="1:1" x14ac:dyDescent="0.3">
      <c r="A2786" s="556"/>
    </row>
    <row r="2787" spans="1:1" x14ac:dyDescent="0.3">
      <c r="A2787" s="556"/>
    </row>
    <row r="2788" spans="1:1" x14ac:dyDescent="0.3">
      <c r="A2788" s="556"/>
    </row>
    <row r="2789" spans="1:1" x14ac:dyDescent="0.3">
      <c r="A2789" s="556"/>
    </row>
    <row r="2790" spans="1:1" x14ac:dyDescent="0.3">
      <c r="A2790" s="556"/>
    </row>
    <row r="2791" spans="1:1" x14ac:dyDescent="0.3">
      <c r="A2791" s="556"/>
    </row>
    <row r="2792" spans="1:1" x14ac:dyDescent="0.3">
      <c r="A2792" s="556"/>
    </row>
    <row r="2793" spans="1:1" x14ac:dyDescent="0.3">
      <c r="A2793" s="556"/>
    </row>
    <row r="2794" spans="1:1" x14ac:dyDescent="0.3">
      <c r="A2794" s="556"/>
    </row>
    <row r="2795" spans="1:1" x14ac:dyDescent="0.3">
      <c r="A2795" s="556"/>
    </row>
    <row r="2796" spans="1:1" x14ac:dyDescent="0.3">
      <c r="A2796" s="556"/>
    </row>
    <row r="2797" spans="1:1" x14ac:dyDescent="0.3">
      <c r="A2797" s="556"/>
    </row>
    <row r="2798" spans="1:1" x14ac:dyDescent="0.3">
      <c r="A2798" s="556"/>
    </row>
    <row r="2799" spans="1:1" x14ac:dyDescent="0.3">
      <c r="A2799" s="556"/>
    </row>
    <row r="2800" spans="1:1" x14ac:dyDescent="0.3">
      <c r="A2800" s="556"/>
    </row>
    <row r="2801" spans="1:1" x14ac:dyDescent="0.3">
      <c r="A2801" s="556"/>
    </row>
    <row r="2802" spans="1:1" x14ac:dyDescent="0.3">
      <c r="A2802" s="556"/>
    </row>
    <row r="2803" spans="1:1" x14ac:dyDescent="0.3">
      <c r="A2803" s="556"/>
    </row>
    <row r="2804" spans="1:1" x14ac:dyDescent="0.3">
      <c r="A2804" s="556"/>
    </row>
    <row r="2805" spans="1:1" x14ac:dyDescent="0.3">
      <c r="A2805" s="556"/>
    </row>
    <row r="2806" spans="1:1" x14ac:dyDescent="0.3">
      <c r="A2806" s="556"/>
    </row>
    <row r="2807" spans="1:1" x14ac:dyDescent="0.3">
      <c r="A2807" s="556"/>
    </row>
    <row r="2808" spans="1:1" x14ac:dyDescent="0.3">
      <c r="A2808" s="556"/>
    </row>
    <row r="2809" spans="1:1" x14ac:dyDescent="0.3">
      <c r="A2809" s="556"/>
    </row>
    <row r="2810" spans="1:1" x14ac:dyDescent="0.3">
      <c r="A2810" s="556"/>
    </row>
    <row r="2811" spans="1:1" x14ac:dyDescent="0.3">
      <c r="A2811" s="556"/>
    </row>
    <row r="2812" spans="1:1" x14ac:dyDescent="0.3">
      <c r="A2812" s="556"/>
    </row>
    <row r="2813" spans="1:1" x14ac:dyDescent="0.3">
      <c r="A2813" s="556"/>
    </row>
    <row r="2814" spans="1:1" x14ac:dyDescent="0.3">
      <c r="A2814" s="556"/>
    </row>
    <row r="2815" spans="1:1" x14ac:dyDescent="0.3">
      <c r="A2815" s="556"/>
    </row>
    <row r="2816" spans="1:1" x14ac:dyDescent="0.3">
      <c r="A2816" s="556"/>
    </row>
    <row r="2817" spans="1:1" x14ac:dyDescent="0.3">
      <c r="A2817" s="556"/>
    </row>
    <row r="2818" spans="1:1" x14ac:dyDescent="0.3">
      <c r="A2818" s="556"/>
    </row>
    <row r="2819" spans="1:1" x14ac:dyDescent="0.3">
      <c r="A2819" s="556"/>
    </row>
    <row r="2820" spans="1:1" x14ac:dyDescent="0.3">
      <c r="A2820" s="556"/>
    </row>
    <row r="2821" spans="1:1" x14ac:dyDescent="0.3">
      <c r="A2821" s="556"/>
    </row>
    <row r="2822" spans="1:1" x14ac:dyDescent="0.3">
      <c r="A2822" s="556"/>
    </row>
    <row r="2823" spans="1:1" x14ac:dyDescent="0.3">
      <c r="A2823" s="556"/>
    </row>
    <row r="2824" spans="1:1" x14ac:dyDescent="0.3">
      <c r="A2824" s="556"/>
    </row>
    <row r="2825" spans="1:1" x14ac:dyDescent="0.3">
      <c r="A2825" s="556"/>
    </row>
    <row r="2826" spans="1:1" x14ac:dyDescent="0.3">
      <c r="A2826" s="556"/>
    </row>
    <row r="2827" spans="1:1" x14ac:dyDescent="0.3">
      <c r="A2827" s="556"/>
    </row>
    <row r="2828" spans="1:1" x14ac:dyDescent="0.3">
      <c r="A2828" s="556"/>
    </row>
    <row r="2829" spans="1:1" x14ac:dyDescent="0.3">
      <c r="A2829" s="556"/>
    </row>
    <row r="2830" spans="1:1" x14ac:dyDescent="0.3">
      <c r="A2830" s="556"/>
    </row>
    <row r="2831" spans="1:1" x14ac:dyDescent="0.3">
      <c r="A2831" s="556"/>
    </row>
    <row r="2832" spans="1:1" x14ac:dyDescent="0.3">
      <c r="A2832" s="556"/>
    </row>
    <row r="2833" spans="1:1" x14ac:dyDescent="0.3">
      <c r="A2833" s="556"/>
    </row>
    <row r="2834" spans="1:1" x14ac:dyDescent="0.3">
      <c r="A2834" s="556"/>
    </row>
    <row r="2835" spans="1:1" x14ac:dyDescent="0.3">
      <c r="A2835" s="556"/>
    </row>
    <row r="2836" spans="1:1" x14ac:dyDescent="0.3">
      <c r="A2836" s="556"/>
    </row>
    <row r="2837" spans="1:1" x14ac:dyDescent="0.3">
      <c r="A2837" s="556"/>
    </row>
    <row r="2838" spans="1:1" x14ac:dyDescent="0.3">
      <c r="A2838" s="556"/>
    </row>
    <row r="2839" spans="1:1" x14ac:dyDescent="0.3">
      <c r="A2839" s="556"/>
    </row>
    <row r="2840" spans="1:1" x14ac:dyDescent="0.3">
      <c r="A2840" s="556"/>
    </row>
    <row r="2841" spans="1:1" x14ac:dyDescent="0.3">
      <c r="A2841" s="556"/>
    </row>
    <row r="2842" spans="1:1" x14ac:dyDescent="0.3">
      <c r="A2842" s="556"/>
    </row>
    <row r="2843" spans="1:1" x14ac:dyDescent="0.3">
      <c r="A2843" s="556"/>
    </row>
    <row r="2844" spans="1:1" x14ac:dyDescent="0.3">
      <c r="A2844" s="556"/>
    </row>
    <row r="2845" spans="1:1" x14ac:dyDescent="0.3">
      <c r="A2845" s="556"/>
    </row>
    <row r="2846" spans="1:1" x14ac:dyDescent="0.3">
      <c r="A2846" s="556"/>
    </row>
    <row r="2847" spans="1:1" x14ac:dyDescent="0.3">
      <c r="A2847" s="556"/>
    </row>
    <row r="2848" spans="1:1" x14ac:dyDescent="0.3">
      <c r="A2848" s="556"/>
    </row>
    <row r="2849" spans="1:1" x14ac:dyDescent="0.3">
      <c r="A2849" s="556"/>
    </row>
    <row r="2850" spans="1:1" x14ac:dyDescent="0.3">
      <c r="A2850" s="556"/>
    </row>
    <row r="2851" spans="1:1" x14ac:dyDescent="0.3">
      <c r="A2851" s="556"/>
    </row>
    <row r="2852" spans="1:1" x14ac:dyDescent="0.3">
      <c r="A2852" s="556"/>
    </row>
    <row r="2853" spans="1:1" x14ac:dyDescent="0.3">
      <c r="A2853" s="556"/>
    </row>
    <row r="2854" spans="1:1" x14ac:dyDescent="0.3">
      <c r="A2854" s="556"/>
    </row>
    <row r="2855" spans="1:1" x14ac:dyDescent="0.3">
      <c r="A2855" s="556"/>
    </row>
    <row r="2856" spans="1:1" x14ac:dyDescent="0.3">
      <c r="A2856" s="556"/>
    </row>
    <row r="2857" spans="1:1" x14ac:dyDescent="0.3">
      <c r="A2857" s="556"/>
    </row>
    <row r="2858" spans="1:1" x14ac:dyDescent="0.3">
      <c r="A2858" s="556"/>
    </row>
    <row r="2859" spans="1:1" x14ac:dyDescent="0.3">
      <c r="A2859" s="556"/>
    </row>
    <row r="2860" spans="1:1" x14ac:dyDescent="0.3">
      <c r="A2860" s="556"/>
    </row>
    <row r="4516" spans="1:1" x14ac:dyDescent="0.3">
      <c r="A4516" s="613"/>
    </row>
    <row r="4517" spans="1:1" x14ac:dyDescent="0.3">
      <c r="A4517" s="613"/>
    </row>
    <row r="4518" spans="1:1" x14ac:dyDescent="0.3">
      <c r="A4518" s="613"/>
    </row>
    <row r="4519" spans="1:1" x14ac:dyDescent="0.3">
      <c r="A4519" s="613"/>
    </row>
    <row r="4520" spans="1:1" x14ac:dyDescent="0.3">
      <c r="A4520" s="613"/>
    </row>
    <row r="4521" spans="1:1" x14ac:dyDescent="0.3">
      <c r="A4521" s="613"/>
    </row>
    <row r="4522" spans="1:1" x14ac:dyDescent="0.3">
      <c r="A4522" s="613"/>
    </row>
    <row r="4523" spans="1:1" x14ac:dyDescent="0.3">
      <c r="A4523" s="613"/>
    </row>
    <row r="4524" spans="1:1" x14ac:dyDescent="0.3">
      <c r="A4524" s="613"/>
    </row>
    <row r="4525" spans="1:1" x14ac:dyDescent="0.3">
      <c r="A4525" s="613"/>
    </row>
    <row r="4526" spans="1:1" x14ac:dyDescent="0.3">
      <c r="A4526" s="613"/>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1951"/>
  <sheetViews>
    <sheetView topLeftCell="Y1" zoomScale="70" zoomScaleNormal="70" workbookViewId="0">
      <selection activeCell="AN9" sqref="AN9"/>
    </sheetView>
  </sheetViews>
  <sheetFormatPr defaultRowHeight="14.4" x14ac:dyDescent="0.3"/>
  <cols>
    <col min="1" max="1" width="9.109375" style="14"/>
    <col min="2" max="2" width="11.6640625" style="94" bestFit="1" customWidth="1"/>
    <col min="3" max="3" width="19.5546875" style="18" customWidth="1"/>
    <col min="6" max="7" width="10.6640625" bestFit="1" customWidth="1"/>
    <col min="8" max="8" width="9.6640625" bestFit="1" customWidth="1"/>
    <col min="9" max="9" width="10.6640625" bestFit="1" customWidth="1"/>
    <col min="10" max="10" width="14" customWidth="1"/>
    <col min="11" max="11" width="13.6640625" customWidth="1"/>
    <col min="12" max="13" width="9.6640625" bestFit="1" customWidth="1"/>
    <col min="14" max="14" width="11.88671875" customWidth="1"/>
    <col min="15" max="15" width="13.5546875" customWidth="1"/>
    <col min="16" max="16" width="11.5546875" customWidth="1"/>
    <col min="17" max="17" width="12.44140625" customWidth="1"/>
    <col min="18" max="18" width="13" customWidth="1"/>
    <col min="19" max="19" width="2.6640625" customWidth="1"/>
    <col min="20" max="20" width="3.33203125" customWidth="1"/>
    <col min="21" max="21" width="13.44140625" customWidth="1"/>
    <col min="22" max="22" width="14.109375" bestFit="1" customWidth="1"/>
    <col min="23" max="23" width="11.6640625" bestFit="1" customWidth="1"/>
    <col min="24" max="24" width="10.109375" customWidth="1"/>
    <col min="25" max="25" width="11.6640625" bestFit="1" customWidth="1"/>
    <col min="26" max="26" width="10.109375" bestFit="1" customWidth="1"/>
    <col min="27" max="27" width="11.44140625" bestFit="1" customWidth="1"/>
    <col min="28" max="31" width="2.6640625" customWidth="1"/>
    <col min="32" max="32" width="2.88671875" customWidth="1"/>
    <col min="33" max="33" width="2.44140625" customWidth="1"/>
    <col min="34" max="34" width="2.6640625" customWidth="1"/>
    <col min="35" max="35" width="6.44140625" customWidth="1"/>
    <col min="36" max="36" width="20.44140625" customWidth="1"/>
    <col min="37" max="37" width="18.44140625" customWidth="1"/>
    <col min="38" max="38" width="15.5546875" customWidth="1"/>
    <col min="39" max="39" width="13.44140625" customWidth="1"/>
    <col min="40" max="40" width="13.33203125" style="116" customWidth="1"/>
    <col min="41" max="41" width="15.88671875" customWidth="1"/>
    <col min="42" max="42" width="13.88671875" customWidth="1"/>
    <col min="43" max="43" width="13.88671875" style="116" customWidth="1"/>
    <col min="44" max="44" width="10.88671875" style="116" customWidth="1"/>
    <col min="45" max="45" width="11.5546875" style="116" customWidth="1"/>
    <col min="46" max="46" width="16.109375" style="116" customWidth="1"/>
    <col min="47" max="48" width="13.88671875" style="116" customWidth="1"/>
    <col min="50" max="50" width="13.5546875" customWidth="1"/>
    <col min="51" max="51" width="12.44140625" customWidth="1"/>
    <col min="52" max="52" width="12" customWidth="1"/>
    <col min="53" max="53" width="11.88671875" customWidth="1"/>
    <col min="55" max="55" width="13.6640625" customWidth="1"/>
    <col min="56" max="56" width="11" customWidth="1"/>
    <col min="57" max="57" width="11" bestFit="1" customWidth="1"/>
    <col min="58" max="60" width="9.33203125" bestFit="1" customWidth="1"/>
    <col min="76" max="76" width="26.109375" customWidth="1"/>
    <col min="77" max="77" width="14.109375" customWidth="1"/>
    <col min="78" max="78" width="15.88671875" customWidth="1"/>
    <col min="79" max="79" width="15.6640625" customWidth="1"/>
    <col min="80" max="80" width="9.5546875" customWidth="1"/>
    <col min="81" max="81" width="17.44140625" customWidth="1"/>
  </cols>
  <sheetData>
    <row r="1" spans="1:81" x14ac:dyDescent="0.3">
      <c r="C1" s="19" t="s">
        <v>467</v>
      </c>
      <c r="T1" s="23"/>
      <c r="U1" s="84" t="s">
        <v>47</v>
      </c>
      <c r="V1" s="18">
        <f>SUMIFS('vSPD Benefits'!$F$3:$F$4006,'vSPD Benefits'!$A$3:$A$4006,'Charges to party by investment'!V$4,'vSPD Benefits'!$D$3:$D$4006,'Charges to party by investment'!$U1)</f>
        <v>253221.93500000099</v>
      </c>
      <c r="W1" s="18">
        <f>SUMIFS('vSPD Benefits'!$F$3:$F$2006,'vSPD Benefits'!$A$3:$A$2006,'Charges to party by investment'!W$4,'vSPD Benefits'!$D$3:$D$2006,'Charges to party by investment'!$U1)</f>
        <v>279630.71699999901</v>
      </c>
      <c r="X1" s="18">
        <f>SUMIFS('vSPD Benefits'!$F$3:$F$2006,'vSPD Benefits'!$A$3:$A$2006,'Charges to party by investment'!X$4,'vSPD Benefits'!$D$3:$D$2006,'Charges to party by investment'!$U1)</f>
        <v>1263697.754999999</v>
      </c>
      <c r="Y1" s="18">
        <f>SUMIFS('vSPD Benefits'!$F$3:$F$2006,'vSPD Benefits'!$A$3:$A$2006,'Charges to party by investment'!Y$4,'vSPD Benefits'!$D$3:$D$2006,'Charges to party by investment'!$U1)</f>
        <v>10090.419999999911</v>
      </c>
      <c r="Z1" s="18">
        <f>SUMIFS('vSPD Benefits'!$F$3:$F$2006,'vSPD Benefits'!$A$3:$A$2006,'Charges to party by investment'!Z$4,'vSPD Benefits'!$D$3:$D$2006,'Charges to party by investment'!$U1)</f>
        <v>872.35299999999802</v>
      </c>
      <c r="AA1" s="18">
        <f>SUMIFS('vSPD Benefits'!$F$3:$F$2006,'vSPD Benefits'!$A$3:$A$2006,'Charges to party by investment'!AA$4,'vSPD Benefits'!$D$3:$D$2006,'Charges to party by investment'!$U1)</f>
        <v>52854.483999999902</v>
      </c>
      <c r="AK1" s="18"/>
      <c r="AL1" s="84" t="s">
        <v>677</v>
      </c>
      <c r="AM1" s="625">
        <v>8.8263000000000016</v>
      </c>
      <c r="AN1" s="626">
        <f>AM1/$AM$3</f>
        <v>0.11995890059080401</v>
      </c>
      <c r="AO1" s="84">
        <f>AN1*$AO$3</f>
        <v>0.12558224876188029</v>
      </c>
      <c r="AP1" s="84">
        <f>AN1*$AP$3</f>
        <v>6.5938697868878791E-3</v>
      </c>
      <c r="AQ1" s="18"/>
    </row>
    <row r="2" spans="1:81" x14ac:dyDescent="0.3">
      <c r="A2" s="175"/>
      <c r="B2" s="84"/>
      <c r="C2" s="84"/>
      <c r="Q2" s="57"/>
      <c r="R2" s="57"/>
      <c r="U2" s="18"/>
      <c r="V2" s="18"/>
      <c r="W2" s="18"/>
      <c r="X2" s="18"/>
      <c r="Y2" s="18"/>
      <c r="Z2" s="18"/>
      <c r="AA2" s="18"/>
      <c r="AK2" s="18"/>
      <c r="AL2" s="84" t="s">
        <v>34</v>
      </c>
      <c r="AM2" s="625">
        <v>64.751400000000004</v>
      </c>
      <c r="AN2" s="626">
        <f>AM2/$AM$3</f>
        <v>0.88004109940919595</v>
      </c>
      <c r="AO2" s="84">
        <f>AN2*$AO$3</f>
        <v>0.92129504123811956</v>
      </c>
      <c r="AP2" s="84">
        <f>AN2*$AP$3</f>
        <v>4.8373871284535054E-2</v>
      </c>
      <c r="AQ2" s="18"/>
      <c r="AZ2" s="634" t="s">
        <v>591</v>
      </c>
      <c r="BA2" s="590">
        <f>'AMD Calculations'!AW10*'AMD Calculations'!AW8</f>
        <v>188</v>
      </c>
    </row>
    <row r="3" spans="1:81" x14ac:dyDescent="0.3">
      <c r="E3" s="31"/>
      <c r="F3" s="739" t="s">
        <v>468</v>
      </c>
      <c r="G3" s="739"/>
      <c r="H3" s="739"/>
      <c r="I3" s="739"/>
      <c r="J3" s="739"/>
      <c r="K3" s="739"/>
      <c r="L3" s="739"/>
      <c r="M3" s="739"/>
      <c r="N3" s="739"/>
      <c r="O3" s="739"/>
      <c r="P3" s="739"/>
      <c r="Q3" s="739"/>
      <c r="R3" s="739"/>
      <c r="S3" s="31"/>
      <c r="T3" s="31"/>
      <c r="U3" s="739" t="s">
        <v>470</v>
      </c>
      <c r="V3" s="739"/>
      <c r="W3" s="739"/>
      <c r="X3" s="739"/>
      <c r="Y3" s="739"/>
      <c r="Z3" s="739"/>
      <c r="AA3" s="739"/>
      <c r="AB3" s="739"/>
      <c r="AC3" s="739"/>
      <c r="AD3" s="739"/>
      <c r="AE3" s="739"/>
      <c r="AF3" s="739"/>
      <c r="AG3" s="739"/>
      <c r="AH3" s="739"/>
      <c r="AK3" s="18"/>
      <c r="AL3" s="84"/>
      <c r="AM3" s="625">
        <f>SUM(AM1:AM2)</f>
        <v>73.577700000000007</v>
      </c>
      <c r="AN3" s="84"/>
      <c r="AO3" s="84">
        <v>1.0468772899999998</v>
      </c>
      <c r="AP3" s="627">
        <f>$AV$31</f>
        <v>5.4967741071422938E-2</v>
      </c>
      <c r="AQ3" s="18"/>
      <c r="AZ3" s="634" t="s">
        <v>592</v>
      </c>
      <c r="BA3" s="590">
        <f>'AMD Calculations'!AW9*'AMD Calculations'!AW8</f>
        <v>12</v>
      </c>
    </row>
    <row r="4" spans="1:81" ht="53.25" customHeight="1" x14ac:dyDescent="0.3">
      <c r="E4" s="595" t="s">
        <v>75</v>
      </c>
      <c r="F4" s="617" t="str">
        <f>'AMD Calculations'!H6</f>
        <v>newNIGU</v>
      </c>
      <c r="G4" s="617" t="str">
        <f>'AMD Calculations'!I6</f>
        <v>Pole 3</v>
      </c>
      <c r="H4" s="617" t="str">
        <f>'AMD Calculations'!J6</f>
        <v>Pole 2</v>
      </c>
      <c r="I4" s="617" t="str">
        <f>'AMD Calculations'!K6</f>
        <v>noNAaN</v>
      </c>
      <c r="J4" s="617" t="str">
        <f>'AMD Calculations'!L6</f>
        <v>noLSIren</v>
      </c>
      <c r="K4" s="617" t="str">
        <f>'AMD Calculations'!M6</f>
        <v>noWRK</v>
      </c>
      <c r="L4" s="617" t="str">
        <f>'AMD Calculations'!N6</f>
        <v>Otahuhu GIS</v>
      </c>
      <c r="M4" s="617" t="str">
        <f>'AMD Calculations'!O6</f>
        <v>BPE-HAY reconductoring</v>
      </c>
      <c r="N4" s="617" t="str">
        <f>'AMD Calculations'!P6</f>
        <v>USI reactive support (IGE 4)</v>
      </c>
      <c r="O4" s="617" t="str">
        <f>'AMD Calculations'!Q6</f>
        <v>UNI dynamic reactive support</v>
      </c>
      <c r="P4" s="617" t="str">
        <f>'AMD Calculations'!R6</f>
        <v>LSI Reliability</v>
      </c>
      <c r="Q4" s="617" t="str">
        <f>'AMD Calculations'!S6</f>
        <v>Wanganui-Stratford</v>
      </c>
      <c r="R4" s="617" t="str">
        <f>'AMD Calculations'!T6</f>
        <v>ISL-KIK new 220kV circuit</v>
      </c>
      <c r="S4" s="31"/>
      <c r="T4" s="31"/>
      <c r="U4" s="31"/>
      <c r="V4" s="618" t="s">
        <v>696</v>
      </c>
      <c r="W4" s="618" t="str">
        <f>'AMD Calculations'!I6</f>
        <v>Pole 3</v>
      </c>
      <c r="X4" s="618" t="str">
        <f>'AMD Calculations'!J6</f>
        <v>Pole 2</v>
      </c>
      <c r="Y4" s="619" t="s">
        <v>472</v>
      </c>
      <c r="Z4" s="618" t="s">
        <v>471</v>
      </c>
      <c r="AA4" s="618" t="s">
        <v>474</v>
      </c>
      <c r="AB4" s="618" t="s">
        <v>82</v>
      </c>
      <c r="AC4" s="618" t="s">
        <v>83</v>
      </c>
      <c r="AD4" s="618" t="s">
        <v>84</v>
      </c>
      <c r="AE4" s="618" t="s">
        <v>85</v>
      </c>
      <c r="AF4" s="618" t="s">
        <v>86</v>
      </c>
      <c r="AG4" s="618" t="s">
        <v>87</v>
      </c>
      <c r="AH4" s="618" t="s">
        <v>88</v>
      </c>
      <c r="AK4" s="18"/>
      <c r="AL4" s="63"/>
      <c r="AM4" s="622" t="s">
        <v>688</v>
      </c>
      <c r="AN4" s="623"/>
      <c r="AO4" s="622" t="s">
        <v>690</v>
      </c>
      <c r="AP4" s="624" t="s">
        <v>689</v>
      </c>
      <c r="AQ4" s="18"/>
      <c r="AR4" s="164"/>
      <c r="AS4" s="164"/>
      <c r="AZ4" s="18"/>
      <c r="BA4" s="18"/>
    </row>
    <row r="5" spans="1:81" x14ac:dyDescent="0.3">
      <c r="E5" s="595" t="s">
        <v>359</v>
      </c>
      <c r="F5" s="620">
        <f ca="1">'AMD Calculations'!H5</f>
        <v>77.769336492890986</v>
      </c>
      <c r="G5" s="620">
        <f ca="1">'AMD Calculations'!I5</f>
        <v>66.468544657371154</v>
      </c>
      <c r="H5" s="620">
        <f ca="1">'AMD Calculations'!J5</f>
        <v>41.07606692309453</v>
      </c>
      <c r="I5" s="620">
        <f ca="1">'AMD Calculations'!K5</f>
        <v>35.681114774366378</v>
      </c>
      <c r="J5" s="620">
        <f ca="1">'AMD Calculations'!L5</f>
        <v>3.7914032557181128</v>
      </c>
      <c r="K5" s="620">
        <f ca="1">'AMD Calculations'!M5</f>
        <v>13.525101998763652</v>
      </c>
      <c r="L5" s="620">
        <f ca="1">'AMD Calculations'!N5</f>
        <v>10.945854110859262</v>
      </c>
      <c r="M5" s="620">
        <f ca="1">'AMD Calculations'!O5</f>
        <v>5.0482515891253481</v>
      </c>
      <c r="N5" s="620">
        <f ca="1">'AMD Calculations'!P5</f>
        <v>3.1551572432033423</v>
      </c>
      <c r="O5" s="620">
        <f ca="1">'AMD Calculations'!Q5</f>
        <v>5.0482515891253481</v>
      </c>
      <c r="P5" s="620">
        <f ca="1">'AMD Calculations'!R5</f>
        <v>1.8930943459220051</v>
      </c>
      <c r="Q5" s="620">
        <f>'AMD Calculations'!S5</f>
        <v>0</v>
      </c>
      <c r="R5" s="620">
        <f>'AMD Calculations'!T5</f>
        <v>0</v>
      </c>
      <c r="S5" s="31"/>
      <c r="T5" s="31"/>
      <c r="U5" s="31" t="s">
        <v>469</v>
      </c>
      <c r="V5" s="620">
        <f ca="1">'AMD Calculations'!H9</f>
        <v>77.769336492890986</v>
      </c>
      <c r="W5" s="620">
        <f ca="1">'AMD Calculations'!I9</f>
        <v>66.468544657371154</v>
      </c>
      <c r="X5" s="620">
        <f ca="1">'AMD Calculations'!J9</f>
        <v>41.07606692309453</v>
      </c>
      <c r="Y5" s="620">
        <f ca="1">'AMD Calculations'!K9</f>
        <v>20.403276739877235</v>
      </c>
      <c r="Z5" s="620">
        <f ca="1">'AMD Calculations'!L9</f>
        <v>3.7914032557181128</v>
      </c>
      <c r="AA5" s="620">
        <f ca="1">'AMD Calculations'!M9</f>
        <v>13.525101998763652</v>
      </c>
      <c r="AB5" s="620">
        <v>12.01</v>
      </c>
      <c r="AC5" s="620">
        <v>5.5390379746835432</v>
      </c>
      <c r="AD5" s="620">
        <v>3.4618987341772147</v>
      </c>
      <c r="AE5" s="620">
        <v>5.5390379746835432</v>
      </c>
      <c r="AF5" s="620">
        <v>2.0771392405063285</v>
      </c>
      <c r="AG5" s="620">
        <v>2.0771392405063285</v>
      </c>
      <c r="AH5" s="620">
        <v>2.7695189873417716</v>
      </c>
      <c r="AL5" s="18"/>
      <c r="AN5" s="129"/>
      <c r="AO5" s="129"/>
      <c r="AP5" s="130"/>
      <c r="AQ5" s="130"/>
      <c r="AR5" s="162"/>
      <c r="AS5" s="79"/>
      <c r="AT5" s="79"/>
      <c r="AZ5" s="18">
        <v>1</v>
      </c>
      <c r="BA5" s="18" t="s">
        <v>602</v>
      </c>
    </row>
    <row r="6" spans="1:81" ht="18" x14ac:dyDescent="0.35">
      <c r="E6" s="31"/>
      <c r="F6" s="31"/>
      <c r="G6" s="31"/>
      <c r="H6" s="31"/>
      <c r="I6" s="31"/>
      <c r="J6" s="31"/>
      <c r="K6" s="31"/>
      <c r="L6" s="31"/>
      <c r="M6" s="31"/>
      <c r="N6" s="31"/>
      <c r="O6" s="31"/>
      <c r="P6" s="31"/>
      <c r="Q6" s="31"/>
      <c r="R6" s="31"/>
      <c r="S6" s="31"/>
      <c r="T6" s="31"/>
      <c r="U6" s="31" t="s">
        <v>759</v>
      </c>
      <c r="V6" s="31">
        <f>SUMIF('vSPD Benefits'!$A$3:$A$4996,'Charges to party by investment'!V4,'vSPD Benefits'!$F$3:$F$4996)-V1</f>
        <v>289553580.68051195</v>
      </c>
      <c r="W6" s="31">
        <f>SUMIF('vSPD Benefits'!$A$3:$A$4996,'Charges to party by investment'!W4,'vSPD Benefits'!$F$3:$F$4996)-W1</f>
        <v>583848390.82451844</v>
      </c>
      <c r="X6" s="31">
        <f>SUMIF('vSPD Benefits'!$A$3:$A$4996,'Charges to party by investment'!X4,'vSPD Benefits'!$F$3:$F$4996)-X1</f>
        <v>1337199694.6946499</v>
      </c>
      <c r="Y6" s="31">
        <f>SUMIF('vSPD Benefits'!$A$3:$A$4996,'Charges to party by investment'!Y4,'vSPD Benefits'!$F$3:$F$4996)-Y1</f>
        <v>20393186.319877237</v>
      </c>
      <c r="Z6" s="31">
        <f>SUMIF('vSPD Benefits'!$A$3:$A$4996,'Charges to party by investment'!Z4,'vSPD Benefits'!$F$3:$F$4996)-Z1</f>
        <v>4025514.1455431413</v>
      </c>
      <c r="AA6" s="31">
        <f>SUMIF('vSPD Benefits'!$A$3:$A$4996,'Charges to party by investment'!AA4,'vSPD Benefits'!$F$3:$F$4996)-AA1</f>
        <v>49933480.66315075</v>
      </c>
      <c r="AB6" s="31">
        <f>SUMIF('vSPD Benefits'!$A$3:$A$4996,'Charges to party by investment'!AB4,'vSPD Benefits'!$F$3:$F$4996)</f>
        <v>0</v>
      </c>
      <c r="AC6" s="31">
        <f>SUMIF('vSPD Benefits'!$A$3:$A$4996,'Charges to party by investment'!AC4,'vSPD Benefits'!$F$3:$F$4996)</f>
        <v>0</v>
      </c>
      <c r="AD6" s="31">
        <f>SUMIF('vSPD Benefits'!$A$3:$A$4996,'Charges to party by investment'!AD4,'vSPD Benefits'!$F$3:$F$4996)</f>
        <v>0</v>
      </c>
      <c r="AE6" s="31">
        <f>SUMIF('vSPD Benefits'!$A$3:$A$4996,'Charges to party by investment'!AE4,'vSPD Benefits'!$F$3:$F$4996)</f>
        <v>0</v>
      </c>
      <c r="AF6" s="31">
        <f>SUMIF('vSPD Benefits'!$A$3:$A$4996,'Charges to party by investment'!AF4,'vSPD Benefits'!$F$3:$F$4996)</f>
        <v>0</v>
      </c>
      <c r="AG6" s="31">
        <f>SUMIF('vSPD Benefits'!$A$3:$A$4996,'Charges to party by investment'!AG4,'vSPD Benefits'!$F$3:$F$4996)</f>
        <v>0</v>
      </c>
      <c r="AH6" s="31">
        <f>SUMIF('vSPD Benefits'!$A$3:$A$4996,'Charges to party by investment'!AH4,'vSPD Benefits'!$F$3:$F$4996)</f>
        <v>0</v>
      </c>
      <c r="AK6" t="s">
        <v>476</v>
      </c>
      <c r="AL6" s="18"/>
      <c r="AM6" s="79"/>
      <c r="AQ6" s="425" t="s">
        <v>605</v>
      </c>
      <c r="AZ6" s="18">
        <v>2</v>
      </c>
      <c r="BA6" s="18" t="s">
        <v>601</v>
      </c>
      <c r="BX6" s="741" t="s">
        <v>606</v>
      </c>
      <c r="BY6" s="741"/>
      <c r="BZ6" s="741"/>
      <c r="CA6" s="741"/>
      <c r="CB6" s="741"/>
      <c r="CC6" s="741"/>
    </row>
    <row r="7" spans="1:81" x14ac:dyDescent="0.3">
      <c r="E7" s="31"/>
      <c r="F7" s="31">
        <f t="shared" ref="F7:R7" ca="1" si="0">SUM(F9:F64)</f>
        <v>0</v>
      </c>
      <c r="G7" s="31">
        <f t="shared" ca="1" si="0"/>
        <v>0</v>
      </c>
      <c r="H7" s="31">
        <f t="shared" ca="1" si="0"/>
        <v>0</v>
      </c>
      <c r="I7" s="31">
        <f t="shared" ca="1" si="0"/>
        <v>15.277838034489143</v>
      </c>
      <c r="J7" s="31">
        <f t="shared" ca="1" si="0"/>
        <v>0</v>
      </c>
      <c r="K7" s="31">
        <f t="shared" ca="1" si="0"/>
        <v>0</v>
      </c>
      <c r="L7" s="621">
        <f ca="1">SUM(L9:L64)</f>
        <v>10.945854110859262</v>
      </c>
      <c r="M7" s="31">
        <f t="shared" ca="1" si="0"/>
        <v>5.03463879515499</v>
      </c>
      <c r="N7" s="31">
        <f t="shared" ca="1" si="0"/>
        <v>3.1551572432033428</v>
      </c>
      <c r="O7" s="31">
        <f t="shared" ca="1" si="0"/>
        <v>5.048251589125349</v>
      </c>
      <c r="P7" s="31">
        <f t="shared" ca="1" si="0"/>
        <v>1.8930943459220053</v>
      </c>
      <c r="Q7" s="31">
        <f t="shared" ca="1" si="0"/>
        <v>0</v>
      </c>
      <c r="R7" s="31">
        <f t="shared" ca="1" si="0"/>
        <v>0</v>
      </c>
      <c r="S7" s="31"/>
      <c r="T7" s="31"/>
      <c r="U7" s="31"/>
      <c r="V7" s="31"/>
      <c r="W7" s="31"/>
      <c r="X7" s="31"/>
      <c r="Y7" s="31"/>
      <c r="Z7" s="31"/>
      <c r="AA7" s="31"/>
      <c r="AB7" s="31"/>
      <c r="AC7" s="31"/>
      <c r="AD7" s="31"/>
      <c r="AE7" s="31"/>
      <c r="AF7" s="31"/>
      <c r="AG7" s="31"/>
      <c r="AH7" s="31"/>
      <c r="AL7" s="18"/>
      <c r="AQ7" s="426">
        <v>1</v>
      </c>
      <c r="AZ7" s="740" t="s">
        <v>604</v>
      </c>
      <c r="BA7" s="740"/>
      <c r="CB7" s="320">
        <f>AQ7</f>
        <v>1</v>
      </c>
    </row>
    <row r="8" spans="1:81" ht="49.5" customHeight="1" x14ac:dyDescent="0.3">
      <c r="B8" s="3" t="s">
        <v>803</v>
      </c>
      <c r="C8" s="65" t="s">
        <v>62</v>
      </c>
      <c r="AJ8" t="s">
        <v>627</v>
      </c>
      <c r="AK8" t="s">
        <v>583</v>
      </c>
      <c r="AL8" s="18" t="s">
        <v>479</v>
      </c>
      <c r="AM8" s="56" t="s">
        <v>676</v>
      </c>
      <c r="AN8" s="56" t="s">
        <v>56</v>
      </c>
      <c r="AO8" t="s">
        <v>607</v>
      </c>
      <c r="AP8" s="56" t="s">
        <v>597</v>
      </c>
      <c r="AQ8" s="56" t="s">
        <v>598</v>
      </c>
      <c r="AR8" s="56" t="s">
        <v>593</v>
      </c>
      <c r="AS8" s="56" t="s">
        <v>694</v>
      </c>
      <c r="AT8" s="56" t="s">
        <v>600</v>
      </c>
      <c r="AU8" s="116" t="s">
        <v>586</v>
      </c>
      <c r="AV8" s="427" t="s">
        <v>742</v>
      </c>
      <c r="AX8" s="56"/>
      <c r="AY8" s="56"/>
      <c r="AZ8" s="18">
        <v>1</v>
      </c>
      <c r="BA8" s="18">
        <v>2</v>
      </c>
      <c r="BB8" s="95"/>
      <c r="BD8" s="18"/>
      <c r="BE8" s="18"/>
      <c r="BF8" s="18"/>
      <c r="BG8" s="18"/>
      <c r="BH8" s="18"/>
      <c r="BI8" s="18"/>
      <c r="BX8" s="70"/>
      <c r="BY8" s="167" t="str">
        <f>"Main  "&amp;AL8</f>
        <v>Main  AoB Charge</v>
      </c>
      <c r="BZ8" s="167" t="str">
        <f>AM8</f>
        <v>Residual Charge (excl. O/H)</v>
      </c>
      <c r="CA8" s="167" t="str">
        <f>AO8</f>
        <v>&gt; $5m projectAoB</v>
      </c>
      <c r="CB8" s="167" t="str">
        <f>AR8</f>
        <v xml:space="preserve">O/H </v>
      </c>
      <c r="CC8" s="168" t="str">
        <f>AU8</f>
        <v>total charge</v>
      </c>
    </row>
    <row r="9" spans="1:81" x14ac:dyDescent="0.3">
      <c r="B9" s="120"/>
      <c r="C9" s="41" t="s">
        <v>0</v>
      </c>
      <c r="F9" s="134">
        <f ca="1">SUMIF('AMD Calculations'!$Z$22:$Z$652,'Charges to party by investment'!$C9,'AMD Calculations'!AE$22:AE$652)</f>
        <v>0</v>
      </c>
      <c r="G9" s="134">
        <f ca="1">SUMIF('AMD Calculations'!$Z$22:$Z$652,'Charges to party by investment'!$C9,'AMD Calculations'!AF$22:AF$652)</f>
        <v>0</v>
      </c>
      <c r="H9" s="134">
        <f ca="1">SUMIF('AMD Calculations'!$Z$22:$Z$652,'Charges to party by investment'!$C9,'AMD Calculations'!AG$22:AG$652)</f>
        <v>0</v>
      </c>
      <c r="I9" s="134">
        <f ca="1">SUMIF('AMD Calculations'!$Z$22:$Z$652,'Charges to party by investment'!$C9,'AMD Calculations'!AH$22:AH$652)</f>
        <v>0</v>
      </c>
      <c r="J9" s="134">
        <f ca="1">SUMIF('AMD Calculations'!$Z$22:$Z$652,'Charges to party by investment'!$C9,'AMD Calculations'!AI$22:AI$652)</f>
        <v>0</v>
      </c>
      <c r="K9" s="134">
        <f ca="1">SUMIF('AMD Calculations'!$Z$22:$Z$652,'Charges to party by investment'!$C9,'AMD Calculations'!AJ$22:AJ$652)</f>
        <v>0</v>
      </c>
      <c r="L9" s="134">
        <f ca="1">SUMIF('AMD Calculations'!$Z$22:$Z$652,'Charges to party by investment'!$C9,'AMD Calculations'!AK$22:AK$652)</f>
        <v>0</v>
      </c>
      <c r="M9" s="134">
        <f ca="1">SUMIF('AMD Calculations'!$Z$22:$Z$652,'Charges to party by investment'!$C9,'AMD Calculations'!AL$22:AL$652)</f>
        <v>0</v>
      </c>
      <c r="N9" s="134">
        <f ca="1">SUMIF('AMD Calculations'!$Z$22:$Z$652,'Charges to party by investment'!$C9,'AMD Calculations'!AM$22:AM$652)</f>
        <v>0</v>
      </c>
      <c r="O9" s="134">
        <f ca="1">SUMIF('AMD Calculations'!$Z$22:$Z$652,'Charges to party by investment'!$C9,'AMD Calculations'!AN$22:AN$652)</f>
        <v>0</v>
      </c>
      <c r="P9" s="134">
        <f ca="1">SUMIF('AMD Calculations'!$Z$22:$Z$652,'Charges to party by investment'!$C9,'AMD Calculations'!AO$22:AO$652)</f>
        <v>0</v>
      </c>
      <c r="Q9" s="134">
        <f ca="1">SUMIF('AMD Calculations'!$Z$22:$Z$652,'Charges to party by investment'!$C9,'AMD Calculations'!AP$22:AP$652)</f>
        <v>0</v>
      </c>
      <c r="R9" s="134">
        <f ca="1">SUMIF('AMD Calculations'!$Z$22:$Z$652,'Charges to party by investment'!$C9,'AMD Calculations'!AQ$22:AQ$652)</f>
        <v>0</v>
      </c>
      <c r="S9" s="14"/>
      <c r="T9" s="14"/>
      <c r="V9" s="134">
        <f ca="1">SUMIFS('vSPD Benefits'!$F$3:$F$4996,'vSPD Benefits'!$A$3:$A$4996,'Charges to party by investment'!V$4,'vSPD Benefits'!$D$3:$D$4996,'Charges to party by investment'!$C9)*V$5/V$6</f>
        <v>0.73686930302591236</v>
      </c>
      <c r="W9" s="134">
        <f ca="1">SUMIFS('vSPD Benefits'!$F$3:$F$4996,'vSPD Benefits'!$A$3:$A$4996,'Charges to party by investment'!W$4,'vSPD Benefits'!$D$3:$D$4996,'Charges to party by investment'!$C9)*W$5/W$6</f>
        <v>0</v>
      </c>
      <c r="X9" s="134">
        <f ca="1">SUMIFS('vSPD Benefits'!$F$3:$F$4996,'vSPD Benefits'!$A$3:$A$4996,'Charges to party by investment'!X$4,'vSPD Benefits'!$D$3:$D$4996,'Charges to party by investment'!$C9)*X$5/X$6</f>
        <v>0</v>
      </c>
      <c r="Y9" s="134">
        <f ca="1">SUMIFS('vSPD Benefits'!$F$3:$F$4996,'vSPD Benefits'!$A$3:$A$4996,'Charges to party by investment'!Y$4,'vSPD Benefits'!$D$3:$D$4996,'Charges to party by investment'!$C9)*Y$5/Y$6</f>
        <v>0.22970236763087798</v>
      </c>
      <c r="Z9" s="134">
        <f ca="1">SUMIFS('vSPD Benefits'!$F$3:$F$4996,'vSPD Benefits'!$A$3:$A$4996,'Charges to party by investment'!Z$4,'vSPD Benefits'!$D$3:$D$4996,'Charges to party by investment'!$C9)*Z$5/Z$6</f>
        <v>6.2931247113730826E-2</v>
      </c>
      <c r="AA9" s="134">
        <f ca="1">SUMIFS('vSPD Benefits'!$F$3:$F$4996,'vSPD Benefits'!$A$3:$A$4996,'Charges to party by investment'!AA$4,'vSPD Benefits'!$D$3:$D$4996,'Charges to party by investment'!$C9)*AA$5/AA$6</f>
        <v>0.18193016298599496</v>
      </c>
      <c r="AB9" s="134">
        <f>SUMIFS('vSPD Benefits'!$F$3:$F$4996,'vSPD Benefits'!$A$3:$A$4996,'Charges to party by investment'!AB$4,'vSPD Benefits'!$D$3:$D$4996,'Charges to party by investment'!$C9)</f>
        <v>0</v>
      </c>
      <c r="AC9" s="134">
        <f>SUMIFS('vSPD Benefits'!$F$3:$F$4996,'vSPD Benefits'!$A$3:$A$4996,'Charges to party by investment'!AC$4,'vSPD Benefits'!$D$3:$D$4996,'Charges to party by investment'!$C9)</f>
        <v>0</v>
      </c>
      <c r="AD9" s="134">
        <f>SUMIFS('vSPD Benefits'!$F$3:$F$4996,'vSPD Benefits'!$A$3:$A$4996,'Charges to party by investment'!AD$4,'vSPD Benefits'!$D$3:$D$4996,'Charges to party by investment'!$C9)</f>
        <v>0</v>
      </c>
      <c r="AE9" s="134">
        <f>SUMIFS('vSPD Benefits'!$F$3:$F$4996,'vSPD Benefits'!$A$3:$A$4996,'Charges to party by investment'!AE$4,'vSPD Benefits'!$D$3:$D$4996,'Charges to party by investment'!$C9)</f>
        <v>0</v>
      </c>
      <c r="AF9" s="134">
        <f>SUMIFS('vSPD Benefits'!$F$3:$F$4996,'vSPD Benefits'!$A$3:$A$4996,'Charges to party by investment'!AF$4,'vSPD Benefits'!$D$3:$D$4996,'Charges to party by investment'!$C9)</f>
        <v>0</v>
      </c>
      <c r="AG9" s="134">
        <f>SUMIFS('vSPD Benefits'!$F$3:$F$4996,'vSPD Benefits'!$A$3:$A$4996,'Charges to party by investment'!AG$4,'vSPD Benefits'!$D$3:$D$4996,'Charges to party by investment'!$C9)</f>
        <v>0</v>
      </c>
      <c r="AH9" s="134">
        <f>SUMIFS('vSPD Benefits'!$F$3:$F$4996,'vSPD Benefits'!$A$3:$A$4996,'Charges to party by investment'!AH$4,'vSPD Benefits'!$D$3:$D$4996,'Charges to party by investment'!$C9)</f>
        <v>0</v>
      </c>
      <c r="AJ9" t="str">
        <f>'Charges as $M per year'!A4</f>
        <v>Alpine Energy</v>
      </c>
      <c r="AK9" s="128" t="str">
        <f>C9</f>
        <v>Alpine Energy</v>
      </c>
      <c r="AL9" s="129">
        <f ca="1">SUM(F9:AH9)</f>
        <v>1.2114330807565161</v>
      </c>
      <c r="AM9" s="129">
        <f ca="1">SUMIF('AMD Calculations'!$AU$22:$AU$252,'Charges to party by investment'!AK9,'AMD Calculations'!$AY$22:$AY$252)</f>
        <v>4.8138256599976463</v>
      </c>
      <c r="AN9" s="129">
        <v>2.9937634400000013</v>
      </c>
      <c r="AO9" s="129">
        <f ca="1">AV9*'Recovery amounts'!$J$17/'Recovery amounts'!$J$14</f>
        <v>0.17168094540882853</v>
      </c>
      <c r="AP9" s="130">
        <f ca="1">(AL9+AO9)/(AL9+AM9+AO9+AR9)</f>
        <v>0.14243314958409037</v>
      </c>
      <c r="AQ9" s="130">
        <f ca="1">IF($AQ$7=1,AZ9,BA9)</f>
        <v>1.8689782747125339E-2</v>
      </c>
      <c r="AR9" s="162">
        <f t="shared" ref="AR9:AR37" ca="1" si="1">AQ9*$BA$2</f>
        <v>3.5136791564595637</v>
      </c>
      <c r="AS9" s="162">
        <f>SUMIF('AMD Calculations'!$AU$22:$AU$252,'Charges to party by investment'!AK9,'AMD Calculations'!$AW$22:$AW$252)</f>
        <v>158.68860000000001</v>
      </c>
      <c r="AT9" s="445">
        <f ca="1">AR9+AM9</f>
        <v>8.3275048164572105</v>
      </c>
      <c r="AU9" s="162">
        <f ca="1">AR9+AL9+AM9+AO9</f>
        <v>9.710618842622555</v>
      </c>
      <c r="AV9" s="162">
        <v>0.18837160933055502</v>
      </c>
      <c r="AW9" s="128"/>
      <c r="AX9" s="129"/>
      <c r="AY9" s="129"/>
      <c r="AZ9" s="631">
        <f ca="1">$AM9/($AM$65-SUM($AM$40:$AM$49))</f>
        <v>1.8689782747125339E-2</v>
      </c>
      <c r="BA9" s="83">
        <f t="shared" ref="BA9:BA37" ca="1" si="2">SUM($AL9:$AO9)/(SUM($AL$52:$AO$63)+SUM($AL$9:$AO$37))</f>
        <v>1.6216248180136832E-2</v>
      </c>
      <c r="BB9" s="19"/>
      <c r="BD9" s="18"/>
      <c r="BE9" s="18"/>
      <c r="BF9" s="18"/>
      <c r="BG9" s="19"/>
      <c r="BH9" s="18"/>
      <c r="BI9" s="18"/>
      <c r="BX9" s="70" t="str">
        <f>C9</f>
        <v>Alpine Energy</v>
      </c>
      <c r="BY9" s="166">
        <f t="shared" ref="BY9:BY63" ca="1" si="3">AL9</f>
        <v>1.2114330807565161</v>
      </c>
      <c r="BZ9" s="166">
        <f t="shared" ref="BZ9:BZ63" ca="1" si="4">AM9</f>
        <v>4.8138256599976463</v>
      </c>
      <c r="CA9" s="166">
        <f t="shared" ref="CA9:CA63" ca="1" si="5">AO9</f>
        <v>0.17168094540882853</v>
      </c>
      <c r="CB9" s="166">
        <f t="shared" ref="CB9:CB63" ca="1" si="6">AR9</f>
        <v>3.5136791564595637</v>
      </c>
      <c r="CC9" s="166">
        <f ca="1">AU9</f>
        <v>9.710618842622555</v>
      </c>
    </row>
    <row r="10" spans="1:81" x14ac:dyDescent="0.3">
      <c r="B10" s="120"/>
      <c r="C10" s="41" t="s">
        <v>1</v>
      </c>
      <c r="D10" s="14"/>
      <c r="F10" s="134">
        <f ca="1">SUMIF('AMD Calculations'!$Z$22:$Z$652,'Charges to party by investment'!$C10,'AMD Calculations'!AE$22:AE$652)</f>
        <v>0</v>
      </c>
      <c r="G10" s="134">
        <f ca="1">SUMIF('AMD Calculations'!$Z$22:$Z$652,'Charges to party by investment'!$C10,'AMD Calculations'!AF$22:AF$652)</f>
        <v>0</v>
      </c>
      <c r="H10" s="134">
        <f ca="1">SUMIF('AMD Calculations'!$Z$22:$Z$652,'Charges to party by investment'!$C10,'AMD Calculations'!AG$22:AG$652)</f>
        <v>0</v>
      </c>
      <c r="I10" s="134">
        <f ca="1">SUMIF('AMD Calculations'!$Z$22:$Z$652,'Charges to party by investment'!$C10,'AMD Calculations'!AH$22:AH$652)</f>
        <v>0</v>
      </c>
      <c r="J10" s="134">
        <f ca="1">SUMIF('AMD Calculations'!$Z$22:$Z$652,'Charges to party by investment'!$C10,'AMD Calculations'!AI$22:AI$652)</f>
        <v>0</v>
      </c>
      <c r="K10" s="134">
        <f ca="1">SUMIF('AMD Calculations'!$Z$22:$Z$652,'Charges to party by investment'!$C10,'AMD Calculations'!AJ$22:AJ$652)</f>
        <v>0</v>
      </c>
      <c r="L10" s="134">
        <f ca="1">SUMIF('AMD Calculations'!$Z$22:$Z$652,'Charges to party by investment'!$C10,'AMD Calculations'!AK$22:AK$652)</f>
        <v>0</v>
      </c>
      <c r="M10" s="134">
        <f ca="1">SUMIF('AMD Calculations'!$Z$22:$Z$652,'Charges to party by investment'!$C10,'AMD Calculations'!AL$22:AL$652)</f>
        <v>0</v>
      </c>
      <c r="N10" s="134">
        <f ca="1">SUMIF('AMD Calculations'!$Z$22:$Z$652,'Charges to party by investment'!$C10,'AMD Calculations'!AM$22:AM$652)</f>
        <v>0</v>
      </c>
      <c r="O10" s="134">
        <f ca="1">SUMIF('AMD Calculations'!$Z$22:$Z$652,'Charges to party by investment'!$C10,'AMD Calculations'!AN$22:AN$652)</f>
        <v>0</v>
      </c>
      <c r="P10" s="134">
        <f ca="1">SUMIF('AMD Calculations'!$Z$22:$Z$652,'Charges to party by investment'!$C10,'AMD Calculations'!AO$22:AO$652)</f>
        <v>0</v>
      </c>
      <c r="Q10" s="134">
        <f ca="1">SUMIF('AMD Calculations'!$Z$22:$Z$652,'Charges to party by investment'!$C10,'AMD Calculations'!AP$22:AP$652)</f>
        <v>0</v>
      </c>
      <c r="R10" s="134">
        <f ca="1">SUMIF('AMD Calculations'!$Z$22:$Z$652,'Charges to party by investment'!$C10,'AMD Calculations'!AQ$22:AQ$652)</f>
        <v>0</v>
      </c>
      <c r="S10" s="14"/>
      <c r="T10" s="14"/>
      <c r="V10" s="134">
        <f ca="1">SUMIFS('vSPD Benefits'!$F$3:$F$4996,'vSPD Benefits'!$A$3:$A$4996,'Charges to party by investment'!V$4,'vSPD Benefits'!$D$3:$D$4996,'Charges to party by investment'!$C10)*V$5/V$6</f>
        <v>0.93841696501210525</v>
      </c>
      <c r="W10" s="134">
        <f ca="1">SUMIFS('vSPD Benefits'!$F$3:$F$4996,'vSPD Benefits'!$A$3:$A$4996,'Charges to party by investment'!W$4,'vSPD Benefits'!$D$3:$D$4996,'Charges to party by investment'!$C10)*W$5/W$6</f>
        <v>0</v>
      </c>
      <c r="X10" s="134">
        <f ca="1">SUMIFS('vSPD Benefits'!$F$3:$F$4996,'vSPD Benefits'!$A$3:$A$4996,'Charges to party by investment'!X$4,'vSPD Benefits'!$D$3:$D$4996,'Charges to party by investment'!$C10)*X$5/X$6</f>
        <v>0</v>
      </c>
      <c r="Y10" s="134">
        <f ca="1">SUMIFS('vSPD Benefits'!$F$3:$F$4996,'vSPD Benefits'!$A$3:$A$4996,'Charges to party by investment'!Y$4,'vSPD Benefits'!$D$3:$D$4996,'Charges to party by investment'!$C10)*Y$5/Y$6</f>
        <v>0.41229701153867954</v>
      </c>
      <c r="Z10" s="134">
        <f ca="1">SUMIFS('vSPD Benefits'!$F$3:$F$4996,'vSPD Benefits'!$A$3:$A$4996,'Charges to party by investment'!Z$4,'vSPD Benefits'!$D$3:$D$4996,'Charges to party by investment'!$C10)*Z$5/Z$6</f>
        <v>0.3345355356791555</v>
      </c>
      <c r="AA10" s="134">
        <f ca="1">SUMIFS('vSPD Benefits'!$F$3:$F$4996,'vSPD Benefits'!$A$3:$A$4996,'Charges to party by investment'!AA$4,'vSPD Benefits'!$D$3:$D$4996,'Charges to party by investment'!$C10)*AA$5/AA$6</f>
        <v>0.24793839121921074</v>
      </c>
      <c r="AB10" s="134">
        <f>SUMIFS('vSPD Benefits'!$F$3:$F$4996,'vSPD Benefits'!$A$3:$A$4996,'Charges to party by investment'!AB$4,'vSPD Benefits'!$D$3:$D$4996,'Charges to party by investment'!$C10)</f>
        <v>0</v>
      </c>
      <c r="AC10" s="134">
        <f>SUMIFS('vSPD Benefits'!$F$3:$F$4996,'vSPD Benefits'!$A$3:$A$4996,'Charges to party by investment'!AC$4,'vSPD Benefits'!$D$3:$D$4996,'Charges to party by investment'!$C10)</f>
        <v>0</v>
      </c>
      <c r="AD10" s="134">
        <f>SUMIFS('vSPD Benefits'!$F$3:$F$4996,'vSPD Benefits'!$A$3:$A$4996,'Charges to party by investment'!AD$4,'vSPD Benefits'!$D$3:$D$4996,'Charges to party by investment'!$C10)</f>
        <v>0</v>
      </c>
      <c r="AE10" s="134">
        <f>SUMIFS('vSPD Benefits'!$F$3:$F$4996,'vSPD Benefits'!$A$3:$A$4996,'Charges to party by investment'!AE$4,'vSPD Benefits'!$D$3:$D$4996,'Charges to party by investment'!$C10)</f>
        <v>0</v>
      </c>
      <c r="AF10" s="134">
        <f>SUMIFS('vSPD Benefits'!$F$3:$F$4996,'vSPD Benefits'!$A$3:$A$4996,'Charges to party by investment'!AF$4,'vSPD Benefits'!$D$3:$D$4996,'Charges to party by investment'!$C10)</f>
        <v>0</v>
      </c>
      <c r="AG10" s="134">
        <f>SUMIFS('vSPD Benefits'!$F$3:$F$4996,'vSPD Benefits'!$A$3:$A$4996,'Charges to party by investment'!AG$4,'vSPD Benefits'!$D$3:$D$4996,'Charges to party by investment'!$C10)</f>
        <v>0</v>
      </c>
      <c r="AH10" s="134">
        <f>SUMIFS('vSPD Benefits'!$F$3:$F$4996,'vSPD Benefits'!$A$3:$A$4996,'Charges to party by investment'!AH$4,'vSPD Benefits'!$D$3:$D$4996,'Charges to party by investment'!$C10)</f>
        <v>0</v>
      </c>
      <c r="AJ10" s="116" t="str">
        <f>'Charges as $M per year'!A5</f>
        <v>Aurora Energy</v>
      </c>
      <c r="AK10" s="128" t="str">
        <f t="shared" ref="AK10:AK63" si="7">C10</f>
        <v>Aurora Energy</v>
      </c>
      <c r="AL10" s="129">
        <f t="shared" ref="AL10:AL63" ca="1" si="8">SUM(F10:AH10)</f>
        <v>1.933187903449151</v>
      </c>
      <c r="AM10" s="129">
        <f ca="1">SUMIF('AMD Calculations'!$AU$22:$AU$252,'Charges to party by investment'!AK10,'AMD Calculations'!$AY$22:$AY$252)</f>
        <v>9.6403283348741962</v>
      </c>
      <c r="AN10" s="129">
        <v>4.244808209999996</v>
      </c>
      <c r="AO10" s="129">
        <f ca="1">AV10*'Recovery amounts'!$J$17/'Recovery amounts'!$J$14</f>
        <v>0</v>
      </c>
      <c r="AP10" s="130">
        <f t="shared" ref="AP10:AP63" ca="1" si="9">(AL10+AO10)/(AL10+AM10+AO10+AR10)</f>
        <v>0.10387827189483391</v>
      </c>
      <c r="AQ10" s="130">
        <f t="shared" ref="AQ10:AQ63" ca="1" si="10">IF($AQ$7=1,AZ10,BA10)</f>
        <v>3.7428784280036306E-2</v>
      </c>
      <c r="AR10" s="162">
        <f t="shared" ca="1" si="1"/>
        <v>7.0366114446468258</v>
      </c>
      <c r="AS10" s="162">
        <f>SUMIF('AMD Calculations'!$AU$22:$AU$252,'Charges to party by investment'!AK10,'AMD Calculations'!$AW$22:$AW$252)</f>
        <v>317.79509999999993</v>
      </c>
      <c r="AT10" s="445">
        <f t="shared" ref="AT10:AT63" ca="1" si="11">AR10+AM10</f>
        <v>16.676939779521021</v>
      </c>
      <c r="AU10" s="162">
        <f t="shared" ref="AU10:AU63" ca="1" si="12">AR10+AL10+AM10+AO10</f>
        <v>18.610127682970173</v>
      </c>
      <c r="AV10" s="162">
        <v>0</v>
      </c>
      <c r="AW10" s="128"/>
      <c r="AX10" s="129"/>
      <c r="AY10" s="129"/>
      <c r="AZ10" s="631">
        <f t="shared" ref="AZ10:AZ37" ca="1" si="13">$AM10/($AM$65-SUM($AM$40:$AM$49))</f>
        <v>3.7428784280036306E-2</v>
      </c>
      <c r="BA10" s="83">
        <f t="shared" ca="1" si="2"/>
        <v>2.7910146974253189E-2</v>
      </c>
      <c r="BB10" s="18"/>
      <c r="BD10" s="18"/>
      <c r="BE10" s="18"/>
      <c r="BF10" s="18"/>
      <c r="BG10" s="18"/>
      <c r="BH10" s="18"/>
      <c r="BI10" s="18"/>
      <c r="BX10" s="70" t="str">
        <f t="shared" ref="BX10:BX63" si="14">C10</f>
        <v>Aurora Energy</v>
      </c>
      <c r="BY10" s="166">
        <f t="shared" ca="1" si="3"/>
        <v>1.933187903449151</v>
      </c>
      <c r="BZ10" s="166">
        <f t="shared" ca="1" si="4"/>
        <v>9.6403283348741962</v>
      </c>
      <c r="CA10" s="166">
        <f t="shared" ca="1" si="5"/>
        <v>0</v>
      </c>
      <c r="CB10" s="166">
        <f t="shared" ca="1" si="6"/>
        <v>7.0366114446468258</v>
      </c>
      <c r="CC10" s="166">
        <f t="shared" ref="CC10:CC63" ca="1" si="15">AU10</f>
        <v>18.610127682970173</v>
      </c>
    </row>
    <row r="11" spans="1:81" x14ac:dyDescent="0.3">
      <c r="B11" s="120"/>
      <c r="C11" s="41" t="s">
        <v>2</v>
      </c>
      <c r="D11" s="14"/>
      <c r="F11" s="134">
        <f ca="1">SUMIF('AMD Calculations'!$Z$22:$Z$652,'Charges to party by investment'!$C11,'AMD Calculations'!AE$22:AE$652)</f>
        <v>0</v>
      </c>
      <c r="G11" s="134">
        <f ca="1">SUMIF('AMD Calculations'!$Z$22:$Z$652,'Charges to party by investment'!$C11,'AMD Calculations'!AF$22:AF$652)</f>
        <v>0</v>
      </c>
      <c r="H11" s="134">
        <f ca="1">SUMIF('AMD Calculations'!$Z$22:$Z$652,'Charges to party by investment'!$C11,'AMD Calculations'!AG$22:AG$652)</f>
        <v>0</v>
      </c>
      <c r="I11" s="134">
        <f ca="1">SUMIF('AMD Calculations'!$Z$22:$Z$652,'Charges to party by investment'!$C11,'AMD Calculations'!AH$22:AH$652)</f>
        <v>0</v>
      </c>
      <c r="J11" s="134">
        <f ca="1">SUMIF('AMD Calculations'!$Z$22:$Z$652,'Charges to party by investment'!$C11,'AMD Calculations'!AI$22:AI$652)</f>
        <v>0</v>
      </c>
      <c r="K11" s="134">
        <f ca="1">SUMIF('AMD Calculations'!$Z$22:$Z$652,'Charges to party by investment'!$C11,'AMD Calculations'!AJ$22:AJ$652)</f>
        <v>0</v>
      </c>
      <c r="L11" s="134">
        <f ca="1">SUMIF('AMD Calculations'!$Z$22:$Z$652,'Charges to party by investment'!$C11,'AMD Calculations'!AK$22:AK$652)</f>
        <v>0</v>
      </c>
      <c r="M11" s="134">
        <f ca="1">SUMIF('AMD Calculations'!$Z$22:$Z$652,'Charges to party by investment'!$C11,'AMD Calculations'!AL$22:AL$652)</f>
        <v>0</v>
      </c>
      <c r="N11" s="134">
        <f ca="1">SUMIF('AMD Calculations'!$Z$22:$Z$652,'Charges to party by investment'!$C11,'AMD Calculations'!AM$22:AM$652)</f>
        <v>3.3898174061554445E-2</v>
      </c>
      <c r="O11" s="134">
        <f ca="1">SUMIF('AMD Calculations'!$Z$22:$Z$652,'Charges to party by investment'!$C11,'AMD Calculations'!AN$22:AN$652)</f>
        <v>0</v>
      </c>
      <c r="P11" s="134">
        <f ca="1">SUMIF('AMD Calculations'!$Z$22:$Z$652,'Charges to party by investment'!$C11,'AMD Calculations'!AO$22:AO$652)</f>
        <v>0</v>
      </c>
      <c r="Q11" s="134">
        <f ca="1">SUMIF('AMD Calculations'!$Z$22:$Z$652,'Charges to party by investment'!$C11,'AMD Calculations'!AP$22:AP$652)</f>
        <v>0</v>
      </c>
      <c r="R11" s="134">
        <f ca="1">SUMIF('AMD Calculations'!$Z$22:$Z$652,'Charges to party by investment'!$C11,'AMD Calculations'!AQ$22:AQ$652)</f>
        <v>0</v>
      </c>
      <c r="S11" s="14"/>
      <c r="T11" s="14"/>
      <c r="V11" s="134">
        <f ca="1">SUMIFS('vSPD Benefits'!$F$3:$F$4996,'vSPD Benefits'!$A$3:$A$4996,'Charges to party by investment'!V$4,'vSPD Benefits'!$D$3:$D$4996,'Charges to party by investment'!$C11)*V$5/V$6</f>
        <v>5.4808631768797876E-2</v>
      </c>
      <c r="W11" s="134">
        <f ca="1">SUMIFS('vSPD Benefits'!$F$3:$F$4996,'vSPD Benefits'!$A$3:$A$4996,'Charges to party by investment'!W$4,'vSPD Benefits'!$D$3:$D$4996,'Charges to party by investment'!$C11)*W$5/W$6</f>
        <v>0</v>
      </c>
      <c r="X11" s="134">
        <f ca="1">SUMIFS('vSPD Benefits'!$F$3:$F$4996,'vSPD Benefits'!$A$3:$A$4996,'Charges to party by investment'!X$4,'vSPD Benefits'!$D$3:$D$4996,'Charges to party by investment'!$C11)*X$5/X$6</f>
        <v>0</v>
      </c>
      <c r="Y11" s="134">
        <f ca="1">SUMIFS('vSPD Benefits'!$F$3:$F$4996,'vSPD Benefits'!$A$3:$A$4996,'Charges to party by investment'!Y$4,'vSPD Benefits'!$D$3:$D$4996,'Charges to party by investment'!$C11)*Y$5/Y$6</f>
        <v>3.2727510357345085E-2</v>
      </c>
      <c r="Z11" s="134">
        <f ca="1">SUMIFS('vSPD Benefits'!$F$3:$F$4996,'vSPD Benefits'!$A$3:$A$4996,'Charges to party by investment'!Z$4,'vSPD Benefits'!$D$3:$D$4996,'Charges to party by investment'!$C11)*Z$5/Z$6</f>
        <v>9.9847278135700504E-3</v>
      </c>
      <c r="AA11" s="134">
        <f ca="1">SUMIFS('vSPD Benefits'!$F$3:$F$4996,'vSPD Benefits'!$A$3:$A$4996,'Charges to party by investment'!AA$4,'vSPD Benefits'!$D$3:$D$4996,'Charges to party by investment'!$C11)*AA$5/AA$6</f>
        <v>2.1893040581249707E-2</v>
      </c>
      <c r="AB11" s="134">
        <f>SUMIFS('vSPD Benefits'!$F$3:$F$4996,'vSPD Benefits'!$A$3:$A$4996,'Charges to party by investment'!AB$4,'vSPD Benefits'!$D$3:$D$4996,'Charges to party by investment'!$C11)</f>
        <v>0</v>
      </c>
      <c r="AC11" s="134">
        <f>SUMIFS('vSPD Benefits'!$F$3:$F$4996,'vSPD Benefits'!$A$3:$A$4996,'Charges to party by investment'!AC$4,'vSPD Benefits'!$D$3:$D$4996,'Charges to party by investment'!$C11)</f>
        <v>0</v>
      </c>
      <c r="AD11" s="134">
        <f>SUMIFS('vSPD Benefits'!$F$3:$F$4996,'vSPD Benefits'!$A$3:$A$4996,'Charges to party by investment'!AD$4,'vSPD Benefits'!$D$3:$D$4996,'Charges to party by investment'!$C11)</f>
        <v>0</v>
      </c>
      <c r="AE11" s="134">
        <f>SUMIFS('vSPD Benefits'!$F$3:$F$4996,'vSPD Benefits'!$A$3:$A$4996,'Charges to party by investment'!AE$4,'vSPD Benefits'!$D$3:$D$4996,'Charges to party by investment'!$C11)</f>
        <v>0</v>
      </c>
      <c r="AF11" s="134">
        <f>SUMIFS('vSPD Benefits'!$F$3:$F$4996,'vSPD Benefits'!$A$3:$A$4996,'Charges to party by investment'!AF$4,'vSPD Benefits'!$D$3:$D$4996,'Charges to party by investment'!$C11)</f>
        <v>0</v>
      </c>
      <c r="AG11" s="134">
        <f>SUMIFS('vSPD Benefits'!$F$3:$F$4996,'vSPD Benefits'!$A$3:$A$4996,'Charges to party by investment'!AG$4,'vSPD Benefits'!$D$3:$D$4996,'Charges to party by investment'!$C11)</f>
        <v>0</v>
      </c>
      <c r="AH11" s="134">
        <f>SUMIFS('vSPD Benefits'!$F$3:$F$4996,'vSPD Benefits'!$A$3:$A$4996,'Charges to party by investment'!AH$4,'vSPD Benefits'!$D$3:$D$4996,'Charges to party by investment'!$C11)</f>
        <v>0</v>
      </c>
      <c r="AJ11" s="116" t="str">
        <f>'Charges as $M per year'!A6</f>
        <v>Buller Electricity</v>
      </c>
      <c r="AK11" s="128" t="str">
        <f t="shared" si="7"/>
        <v>Buller Electricity</v>
      </c>
      <c r="AL11" s="129">
        <f ca="1">SUM(F11:AH11)</f>
        <v>0.15331208458251716</v>
      </c>
      <c r="AM11" s="129">
        <f ca="1">SUMIF('AMD Calculations'!$AU$22:$AU$252,'Charges to party by investment'!AK11,'AMD Calculations'!$AY$22:$AY$252)</f>
        <v>0.38601828824235107</v>
      </c>
      <c r="AN11" s="129">
        <v>1.4912408599999996</v>
      </c>
      <c r="AO11" s="129">
        <f ca="1">AV11*'Recovery amounts'!$J$17/'Recovery amounts'!$J$14</f>
        <v>0</v>
      </c>
      <c r="AP11" s="130">
        <f t="shared" ca="1" si="9"/>
        <v>0.18671763172987224</v>
      </c>
      <c r="AQ11" s="130">
        <f t="shared" ca="1" si="10"/>
        <v>1.4987243937019266E-3</v>
      </c>
      <c r="AR11" s="162">
        <f t="shared" ca="1" si="1"/>
        <v>0.2817601860159622</v>
      </c>
      <c r="AS11" s="162">
        <f>SUMIF('AMD Calculations'!$AU$22:$AU$252,'Charges to party by investment'!AK11,'AMD Calculations'!$AW$22:$AW$252)</f>
        <v>12.725159999999899</v>
      </c>
      <c r="AT11" s="445">
        <f t="shared" ca="1" si="11"/>
        <v>0.66777847425831327</v>
      </c>
      <c r="AU11" s="162">
        <f t="shared" ca="1" si="12"/>
        <v>0.82109055884083038</v>
      </c>
      <c r="AV11" s="162">
        <v>0</v>
      </c>
      <c r="AW11" s="128"/>
      <c r="AX11" s="129"/>
      <c r="AY11" s="129"/>
      <c r="AZ11" s="631">
        <f t="shared" ca="1" si="13"/>
        <v>1.4987243937019266E-3</v>
      </c>
      <c r="BA11" s="83">
        <f t="shared" ca="1" si="2"/>
        <v>3.5827777926150483E-3</v>
      </c>
      <c r="BB11" s="18"/>
      <c r="BD11" s="35"/>
      <c r="BE11" s="96"/>
      <c r="BF11" s="18"/>
      <c r="BG11" s="18"/>
      <c r="BH11" s="18"/>
      <c r="BI11" s="18"/>
      <c r="BX11" s="70" t="str">
        <f t="shared" si="14"/>
        <v>Buller Electricity</v>
      </c>
      <c r="BY11" s="166">
        <f t="shared" ca="1" si="3"/>
        <v>0.15331208458251716</v>
      </c>
      <c r="BZ11" s="166">
        <f t="shared" ca="1" si="4"/>
        <v>0.38601828824235107</v>
      </c>
      <c r="CA11" s="166">
        <f t="shared" ca="1" si="5"/>
        <v>0</v>
      </c>
      <c r="CB11" s="166">
        <f t="shared" ca="1" si="6"/>
        <v>0.2817601860159622</v>
      </c>
      <c r="CC11" s="166">
        <f t="shared" ca="1" si="15"/>
        <v>0.82109055884083038</v>
      </c>
    </row>
    <row r="12" spans="1:81" x14ac:dyDescent="0.3">
      <c r="B12" s="120"/>
      <c r="C12" s="41" t="s">
        <v>68</v>
      </c>
      <c r="D12" s="14"/>
      <c r="F12" s="134">
        <f ca="1">SUMIF('AMD Calculations'!$Z$22:$Z$652,'Charges to party by investment'!$C12,'AMD Calculations'!AE$22:AE$652)</f>
        <v>0</v>
      </c>
      <c r="G12" s="134">
        <f ca="1">SUMIF('AMD Calculations'!$Z$22:$Z$652,'Charges to party by investment'!$C12,'AMD Calculations'!AF$22:AF$652)</f>
        <v>0</v>
      </c>
      <c r="H12" s="134">
        <f ca="1">SUMIF('AMD Calculations'!$Z$22:$Z$652,'Charges to party by investment'!$C12,'AMD Calculations'!AG$22:AG$652)</f>
        <v>0</v>
      </c>
      <c r="I12" s="134">
        <f ca="1">SUMIF('AMD Calculations'!$Z$22:$Z$652,'Charges to party by investment'!$C12,'AMD Calculations'!AH$22:AH$652)</f>
        <v>0</v>
      </c>
      <c r="J12" s="134">
        <f ca="1">SUMIF('AMD Calculations'!$Z$22:$Z$652,'Charges to party by investment'!$C12,'AMD Calculations'!AI$22:AI$652)</f>
        <v>0</v>
      </c>
      <c r="K12" s="134">
        <f ca="1">SUMIF('AMD Calculations'!$Z$22:$Z$652,'Charges to party by investment'!$C12,'AMD Calculations'!AJ$22:AJ$652)</f>
        <v>0</v>
      </c>
      <c r="L12" s="134">
        <f ca="1">SUMIF('AMD Calculations'!$Z$22:$Z$652,'Charges to party by investment'!$C12,'AMD Calculations'!AK$22:AK$652)</f>
        <v>0</v>
      </c>
      <c r="M12" s="134">
        <f ca="1">SUMIF('AMD Calculations'!$Z$22:$Z$652,'Charges to party by investment'!$C12,'AMD Calculations'!AL$22:AL$652)</f>
        <v>0</v>
      </c>
      <c r="N12" s="134">
        <f ca="1">SUMIF('AMD Calculations'!$Z$22:$Z$652,'Charges to party by investment'!$C12,'AMD Calculations'!AM$22:AM$652)</f>
        <v>0</v>
      </c>
      <c r="O12" s="134">
        <f ca="1">SUMIF('AMD Calculations'!$Z$22:$Z$652,'Charges to party by investment'!$C12,'AMD Calculations'!AN$22:AN$652)</f>
        <v>0</v>
      </c>
      <c r="P12" s="134">
        <f ca="1">SUMIF('AMD Calculations'!$Z$22:$Z$652,'Charges to party by investment'!$C12,'AMD Calculations'!AO$22:AO$652)</f>
        <v>0</v>
      </c>
      <c r="Q12" s="134">
        <f ca="1">SUMIF('AMD Calculations'!$Z$22:$Z$652,'Charges to party by investment'!$C12,'AMD Calculations'!AP$22:AP$652)</f>
        <v>0</v>
      </c>
      <c r="R12" s="134">
        <f ca="1">SUMIF('AMD Calculations'!$Z$22:$Z$652,'Charges to party by investment'!$C12,'AMD Calculations'!AQ$22:AQ$652)</f>
        <v>0</v>
      </c>
      <c r="S12" s="14"/>
      <c r="T12" s="14"/>
      <c r="V12" s="134">
        <f ca="1">SUMIFS('vSPD Benefits'!$F$3:$F$4996,'vSPD Benefits'!$A$3:$A$4996,'Charges to party by investment'!V$4,'vSPD Benefits'!$D$3:$D$4996,'Charges to party by investment'!$C12)*V$5/V$6</f>
        <v>0.10580801947694261</v>
      </c>
      <c r="W12" s="220">
        <f ca="1">SUMIFS('vSPD Benefits'!$F$3:$F$4996,'vSPD Benefits'!$A$3:$A$4996,'Charges to party by investment'!W$4,'vSPD Benefits'!$D$3:$D$4996,'Charges to party by investment'!$C12)*W$5/W$6</f>
        <v>0.13481210835704793</v>
      </c>
      <c r="X12" s="220">
        <f ca="1">SUMIFS('vSPD Benefits'!$F$3:$F$4996,'vSPD Benefits'!$A$3:$A$4996,'Charges to party by investment'!X$4,'vSPD Benefits'!$D$3:$D$4996,'Charges to party by investment'!$C12)*X$5/X$6</f>
        <v>0.15275808694310125</v>
      </c>
      <c r="Y12" s="220">
        <f ca="1">SUMIFS('vSPD Benefits'!$F$3:$F$4996,'vSPD Benefits'!$A$3:$A$4996,'Charges to party by investment'!Y$4,'vSPD Benefits'!$D$3:$D$4996,'Charges to party by investment'!$C12)*Y$5/Y$6</f>
        <v>4.0655457115444826E-2</v>
      </c>
      <c r="Z12" s="220">
        <f ca="1">SUMIFS('vSPD Benefits'!$F$3:$F$4996,'vSPD Benefits'!$A$3:$A$4996,'Charges to party by investment'!Z$4,'vSPD Benefits'!$D$3:$D$4996,'Charges to party by investment'!$C12)*Z$5/Z$6</f>
        <v>5.0396901164583973E-4</v>
      </c>
      <c r="AA12" s="220">
        <f ca="1">SUMIFS('vSPD Benefits'!$F$3:$F$4996,'vSPD Benefits'!$A$3:$A$4996,'Charges to party by investment'!AA$4,'vSPD Benefits'!$D$3:$D$4996,'Charges to party by investment'!$C12)*AA$5/AA$6</f>
        <v>2.9228794817952344E-2</v>
      </c>
      <c r="AB12" s="134">
        <f>SUMIFS('vSPD Benefits'!$F$3:$F$4996,'vSPD Benefits'!$A$3:$A$4996,'Charges to party by investment'!AB$4,'vSPD Benefits'!$D$3:$D$4996,'Charges to party by investment'!$C12)</f>
        <v>0</v>
      </c>
      <c r="AC12" s="134">
        <f>SUMIFS('vSPD Benefits'!$F$3:$F$4996,'vSPD Benefits'!$A$3:$A$4996,'Charges to party by investment'!AC$4,'vSPD Benefits'!$D$3:$D$4996,'Charges to party by investment'!$C12)</f>
        <v>0</v>
      </c>
      <c r="AD12" s="134">
        <f>SUMIFS('vSPD Benefits'!$F$3:$F$4996,'vSPD Benefits'!$A$3:$A$4996,'Charges to party by investment'!AD$4,'vSPD Benefits'!$D$3:$D$4996,'Charges to party by investment'!$C12)</f>
        <v>0</v>
      </c>
      <c r="AE12" s="134">
        <f>SUMIFS('vSPD Benefits'!$F$3:$F$4996,'vSPD Benefits'!$A$3:$A$4996,'Charges to party by investment'!AE$4,'vSPD Benefits'!$D$3:$D$4996,'Charges to party by investment'!$C12)</f>
        <v>0</v>
      </c>
      <c r="AF12" s="134">
        <f>SUMIFS('vSPD Benefits'!$F$3:$F$4996,'vSPD Benefits'!$A$3:$A$4996,'Charges to party by investment'!AF$4,'vSPD Benefits'!$D$3:$D$4996,'Charges to party by investment'!$C12)</f>
        <v>0</v>
      </c>
      <c r="AG12" s="134">
        <f>SUMIFS('vSPD Benefits'!$F$3:$F$4996,'vSPD Benefits'!$A$3:$A$4996,'Charges to party by investment'!AG$4,'vSPD Benefits'!$D$3:$D$4996,'Charges to party by investment'!$C12)</f>
        <v>0</v>
      </c>
      <c r="AH12" s="134">
        <f>SUMIFS('vSPD Benefits'!$F$3:$F$4996,'vSPD Benefits'!$A$3:$A$4996,'Charges to party by investment'!AH$4,'vSPD Benefits'!$D$3:$D$4996,'Charges to party by investment'!$C12)</f>
        <v>0</v>
      </c>
      <c r="AJ12" s="116" t="str">
        <f>'Charges as $M per year'!A7</f>
        <v>Centralines</v>
      </c>
      <c r="AK12" s="128" t="str">
        <f t="shared" si="7"/>
        <v>Centralines</v>
      </c>
      <c r="AL12" s="129">
        <f t="shared" ca="1" si="8"/>
        <v>0.46376643572213477</v>
      </c>
      <c r="AM12" s="129">
        <f ca="1">SUMIF('AMD Calculations'!$AU$22:$AU$252,'Charges to party by investment'!AK12,'AMD Calculations'!$AY$22:$AY$252)</f>
        <v>0.61964484284992061</v>
      </c>
      <c r="AN12" s="129">
        <v>0.72055638</v>
      </c>
      <c r="AO12" s="129">
        <f ca="1">AV12*'Recovery amounts'!$J$17/'Recovery amounts'!$J$14</f>
        <v>1.0723632311196191E-2</v>
      </c>
      <c r="AP12" s="130">
        <f t="shared" ca="1" si="9"/>
        <v>0.3068308277083433</v>
      </c>
      <c r="AQ12" s="130">
        <f t="shared" ca="1" si="10"/>
        <v>2.4057845695324375E-3</v>
      </c>
      <c r="AR12" s="162">
        <f t="shared" ca="1" si="1"/>
        <v>0.45228749907209825</v>
      </c>
      <c r="AS12" s="162">
        <f>SUMIF('AMD Calculations'!$AU$22:$AU$252,'Charges to party by investment'!AK12,'AMD Calculations'!$AW$22:$AW$252)</f>
        <v>20.4267</v>
      </c>
      <c r="AT12" s="445">
        <f t="shared" ca="1" si="11"/>
        <v>1.0719323419220188</v>
      </c>
      <c r="AU12" s="162">
        <f t="shared" ca="1" si="12"/>
        <v>1.5464224099553496</v>
      </c>
      <c r="AV12" s="162">
        <v>1.176617400095752E-2</v>
      </c>
      <c r="AW12" s="128"/>
      <c r="AX12" s="129"/>
      <c r="AY12" s="129"/>
      <c r="AZ12" s="631">
        <f t="shared" ca="1" si="13"/>
        <v>2.4057845695324375E-3</v>
      </c>
      <c r="BA12" s="83">
        <f t="shared" ca="1" si="2"/>
        <v>3.2018751927178507E-3</v>
      </c>
      <c r="BB12" s="18"/>
      <c r="BD12" s="61"/>
      <c r="BE12" s="61"/>
      <c r="BF12" s="18"/>
      <c r="BG12" s="18"/>
      <c r="BH12" s="18"/>
      <c r="BI12" s="18"/>
      <c r="BX12" s="70" t="str">
        <f t="shared" si="14"/>
        <v>Centralines</v>
      </c>
      <c r="BY12" s="166">
        <f t="shared" ca="1" si="3"/>
        <v>0.46376643572213477</v>
      </c>
      <c r="BZ12" s="166">
        <f t="shared" ca="1" si="4"/>
        <v>0.61964484284992061</v>
      </c>
      <c r="CA12" s="166">
        <f t="shared" ca="1" si="5"/>
        <v>1.0723632311196191E-2</v>
      </c>
      <c r="CB12" s="166">
        <f t="shared" ca="1" si="6"/>
        <v>0.45228749907209825</v>
      </c>
      <c r="CC12" s="166">
        <f t="shared" ca="1" si="15"/>
        <v>1.5464224099553496</v>
      </c>
    </row>
    <row r="13" spans="1:81" x14ac:dyDescent="0.3">
      <c r="B13" s="120"/>
      <c r="C13" s="41" t="s">
        <v>5</v>
      </c>
      <c r="D13" s="14"/>
      <c r="F13" s="134">
        <f ca="1">SUMIF('AMD Calculations'!$Z$22:$Z$652,'Charges to party by investment'!$C13,'AMD Calculations'!AE$22:AE$652)</f>
        <v>0</v>
      </c>
      <c r="G13" s="134">
        <f ca="1">SUMIF('AMD Calculations'!$Z$22:$Z$652,'Charges to party by investment'!$C13,'AMD Calculations'!AF$22:AF$652)</f>
        <v>0</v>
      </c>
      <c r="H13" s="134">
        <f ca="1">SUMIF('AMD Calculations'!$Z$22:$Z$652,'Charges to party by investment'!$C13,'AMD Calculations'!AG$22:AG$652)</f>
        <v>0</v>
      </c>
      <c r="I13" s="134">
        <f ca="1">SUMIF('AMD Calculations'!$Z$22:$Z$652,'Charges to party by investment'!$C13,'AMD Calculations'!AH$22:AH$652)</f>
        <v>0</v>
      </c>
      <c r="J13" s="134">
        <f ca="1">SUMIF('AMD Calculations'!$Z$22:$Z$652,'Charges to party by investment'!$C13,'AMD Calculations'!AI$22:AI$652)</f>
        <v>0</v>
      </c>
      <c r="K13" s="134">
        <f ca="1">SUMIF('AMD Calculations'!$Z$22:$Z$652,'Charges to party by investment'!$C13,'AMD Calculations'!AJ$22:AJ$652)</f>
        <v>0</v>
      </c>
      <c r="L13" s="134">
        <f ca="1">SUMIF('AMD Calculations'!$Z$22:$Z$652,'Charges to party by investment'!$C13,'AMD Calculations'!AK$22:AK$652)</f>
        <v>0.50990704909894791</v>
      </c>
      <c r="M13" s="134">
        <f ca="1">SUMIF('AMD Calculations'!$Z$22:$Z$652,'Charges to party by investment'!$C13,'AMD Calculations'!AL$22:AL$652)</f>
        <v>0</v>
      </c>
      <c r="N13" s="134">
        <f ca="1">SUMIF('AMD Calculations'!$Z$22:$Z$652,'Charges to party by investment'!$C13,'AMD Calculations'!AM$22:AM$652)</f>
        <v>0</v>
      </c>
      <c r="O13" s="134">
        <f ca="1">SUMIF('AMD Calculations'!$Z$22:$Z$652,'Charges to party by investment'!$C13,'AMD Calculations'!AN$22:AN$652)</f>
        <v>0.23517023384828467</v>
      </c>
      <c r="P13" s="134">
        <f ca="1">SUMIF('AMD Calculations'!$Z$22:$Z$652,'Charges to party by investment'!$C13,'AMD Calculations'!AO$22:AO$652)</f>
        <v>0</v>
      </c>
      <c r="Q13" s="134">
        <f ca="1">SUMIF('AMD Calculations'!$Z$22:$Z$652,'Charges to party by investment'!$C13,'AMD Calculations'!AP$22:AP$652)</f>
        <v>0</v>
      </c>
      <c r="R13" s="134">
        <f ca="1">SUMIF('AMD Calculations'!$Z$22:$Z$652,'Charges to party by investment'!$C13,'AMD Calculations'!AQ$22:AQ$652)</f>
        <v>0</v>
      </c>
      <c r="S13" s="14"/>
      <c r="T13" s="14"/>
      <c r="V13" s="134">
        <f ca="1">SUMIFS('vSPD Benefits'!$F$3:$F$4996,'vSPD Benefits'!$A$3:$A$4996,'Charges to party by investment'!V$4,'vSPD Benefits'!$D$3:$D$4996,'Charges to party by investment'!$C13)*V$5/V$6</f>
        <v>2.2290693855833825</v>
      </c>
      <c r="W13" s="220">
        <f ca="1">SUMIFS('vSPD Benefits'!$F$3:$F$4996,'vSPD Benefits'!$A$3:$A$4996,'Charges to party by investment'!W$4,'vSPD Benefits'!$D$3:$D$4996,'Charges to party by investment'!$C13)*W$5/W$6</f>
        <v>0.51014409940723282</v>
      </c>
      <c r="X13" s="220">
        <f ca="1">SUMIFS('vSPD Benefits'!$F$3:$F$4996,'vSPD Benefits'!$A$3:$A$4996,'Charges to party by investment'!X$4,'vSPD Benefits'!$D$3:$D$4996,'Charges to party by investment'!$C13)*X$5/X$6</f>
        <v>0.57738707444376247</v>
      </c>
      <c r="Y13" s="220">
        <f ca="1">SUMIFS('vSPD Benefits'!$F$3:$F$4996,'vSPD Benefits'!$A$3:$A$4996,'Charges to party by investment'!Y$4,'vSPD Benefits'!$D$3:$D$4996,'Charges to party by investment'!$C13)*Y$5/Y$6</f>
        <v>0.18734745819619003</v>
      </c>
      <c r="Z13" s="220">
        <f ca="1">SUMIFS('vSPD Benefits'!$F$3:$F$4996,'vSPD Benefits'!$A$3:$A$4996,'Charges to party by investment'!Z$4,'vSPD Benefits'!$D$3:$D$4996,'Charges to party by investment'!$C13)*Z$5/Z$6</f>
        <v>1.0460561878431385E-3</v>
      </c>
      <c r="AA13" s="220">
        <f ca="1">SUMIFS('vSPD Benefits'!$F$3:$F$4996,'vSPD Benefits'!$A$3:$A$4996,'Charges to party by investment'!AA$4,'vSPD Benefits'!$D$3:$D$4996,'Charges to party by investment'!$C13)*AA$5/AA$6</f>
        <v>0.21259899622097381</v>
      </c>
      <c r="AB13" s="134">
        <f>SUMIFS('vSPD Benefits'!$F$3:$F$4996,'vSPD Benefits'!$A$3:$A$4996,'Charges to party by investment'!AB$4,'vSPD Benefits'!$D$3:$D$4996,'Charges to party by investment'!$C13)</f>
        <v>0</v>
      </c>
      <c r="AC13" s="134">
        <f>SUMIFS('vSPD Benefits'!$F$3:$F$4996,'vSPD Benefits'!$A$3:$A$4996,'Charges to party by investment'!AC$4,'vSPD Benefits'!$D$3:$D$4996,'Charges to party by investment'!$C13)</f>
        <v>0</v>
      </c>
      <c r="AD13" s="134">
        <f>SUMIFS('vSPD Benefits'!$F$3:$F$4996,'vSPD Benefits'!$A$3:$A$4996,'Charges to party by investment'!AD$4,'vSPD Benefits'!$D$3:$D$4996,'Charges to party by investment'!$C13)</f>
        <v>0</v>
      </c>
      <c r="AE13" s="134">
        <f>SUMIFS('vSPD Benefits'!$F$3:$F$4996,'vSPD Benefits'!$A$3:$A$4996,'Charges to party by investment'!AE$4,'vSPD Benefits'!$D$3:$D$4996,'Charges to party by investment'!$C13)</f>
        <v>0</v>
      </c>
      <c r="AF13" s="134">
        <f>SUMIFS('vSPD Benefits'!$F$3:$F$4996,'vSPD Benefits'!$A$3:$A$4996,'Charges to party by investment'!AF$4,'vSPD Benefits'!$D$3:$D$4996,'Charges to party by investment'!$C13)</f>
        <v>0</v>
      </c>
      <c r="AG13" s="134">
        <f>SUMIFS('vSPD Benefits'!$F$3:$F$4996,'vSPD Benefits'!$A$3:$A$4996,'Charges to party by investment'!AG$4,'vSPD Benefits'!$D$3:$D$4996,'Charges to party by investment'!$C13)</f>
        <v>0</v>
      </c>
      <c r="AH13" s="134">
        <f>SUMIFS('vSPD Benefits'!$F$3:$F$4996,'vSPD Benefits'!$A$3:$A$4996,'Charges to party by investment'!AH$4,'vSPD Benefits'!$D$3:$D$4996,'Charges to party by investment'!$C13)</f>
        <v>0</v>
      </c>
      <c r="AJ13" s="116" t="str">
        <f>'Charges as $M per year'!A8</f>
        <v>Counties Power</v>
      </c>
      <c r="AK13" s="128" t="str">
        <f t="shared" si="7"/>
        <v>Counties Power</v>
      </c>
      <c r="AL13" s="129">
        <f t="shared" ca="1" si="8"/>
        <v>4.4626703529866178</v>
      </c>
      <c r="AM13" s="129">
        <f ca="1">SUMIF('AMD Calculations'!$AU$22:$AU$252,'Charges to party by investment'!AK13,'AMD Calculations'!$AY$22:$AY$252)</f>
        <v>3.8619665830095182</v>
      </c>
      <c r="AN13" s="129">
        <v>0.88525239</v>
      </c>
      <c r="AO13" s="129">
        <f ca="1">AV13*'Recovery amounts'!$J$17/'Recovery amounts'!$J$14</f>
        <v>9.5819289613597133E-2</v>
      </c>
      <c r="AP13" s="130">
        <f t="shared" ca="1" si="9"/>
        <v>0.40558266919377994</v>
      </c>
      <c r="AQ13" s="130">
        <f t="shared" ca="1" si="10"/>
        <v>1.4994169193310834E-2</v>
      </c>
      <c r="AR13" s="162">
        <f t="shared" ca="1" si="1"/>
        <v>2.8189038083424367</v>
      </c>
      <c r="AS13" s="162">
        <f>SUMIF('AMD Calculations'!$AU$22:$AU$252,'Charges to party by investment'!AK13,'AMD Calculations'!$AW$22:$AW$252)</f>
        <v>127.31040000000002</v>
      </c>
      <c r="AT13" s="445">
        <f t="shared" ca="1" si="11"/>
        <v>6.6808703913519549</v>
      </c>
      <c r="AU13" s="162">
        <f t="shared" ca="1" si="12"/>
        <v>11.23936003395217</v>
      </c>
      <c r="AV13" s="162">
        <v>0.10513475299452564</v>
      </c>
      <c r="AW13" s="128"/>
      <c r="AX13" s="129"/>
      <c r="AY13" s="129"/>
      <c r="AZ13" s="631">
        <f t="shared" ca="1" si="13"/>
        <v>1.4994169193310834E-2</v>
      </c>
      <c r="BA13" s="83">
        <f t="shared" ca="1" si="2"/>
        <v>1.6419166012792911E-2</v>
      </c>
      <c r="BB13" s="18"/>
      <c r="BD13" s="61"/>
      <c r="BE13" s="61"/>
      <c r="BF13" s="18"/>
      <c r="BG13" s="18"/>
      <c r="BH13" s="18"/>
      <c r="BI13" s="18"/>
      <c r="BX13" s="70" t="str">
        <f t="shared" si="14"/>
        <v>Counties Power</v>
      </c>
      <c r="BY13" s="166">
        <f t="shared" ca="1" si="3"/>
        <v>4.4626703529866178</v>
      </c>
      <c r="BZ13" s="166">
        <f t="shared" ca="1" si="4"/>
        <v>3.8619665830095182</v>
      </c>
      <c r="CA13" s="166">
        <f t="shared" ca="1" si="5"/>
        <v>9.5819289613597133E-2</v>
      </c>
      <c r="CB13" s="166">
        <f t="shared" ca="1" si="6"/>
        <v>2.8189038083424367</v>
      </c>
      <c r="CC13" s="166">
        <f t="shared" ca="1" si="15"/>
        <v>11.23936003395217</v>
      </c>
    </row>
    <row r="14" spans="1:81" x14ac:dyDescent="0.3">
      <c r="B14" s="120"/>
      <c r="C14" s="41" t="s">
        <v>7</v>
      </c>
      <c r="D14" s="14"/>
      <c r="E14" s="6"/>
      <c r="F14" s="134">
        <f ca="1">SUMIF('AMD Calculations'!$Z$22:$Z$652,'Charges to party by investment'!$C14,'AMD Calculations'!AE$22:AE$652)</f>
        <v>0</v>
      </c>
      <c r="G14" s="134">
        <f ca="1">SUMIF('AMD Calculations'!$Z$22:$Z$652,'Charges to party by investment'!$C14,'AMD Calculations'!AF$22:AF$652)</f>
        <v>0</v>
      </c>
      <c r="H14" s="134">
        <f ca="1">SUMIF('AMD Calculations'!$Z$22:$Z$652,'Charges to party by investment'!$C14,'AMD Calculations'!AG$22:AG$652)</f>
        <v>0</v>
      </c>
      <c r="I14" s="134">
        <f ca="1">SUMIF('AMD Calculations'!$Z$22:$Z$652,'Charges to party by investment'!$C14,'AMD Calculations'!AH$22:AH$652)</f>
        <v>0</v>
      </c>
      <c r="J14" s="134">
        <f ca="1">SUMIF('AMD Calculations'!$Z$22:$Z$652,'Charges to party by investment'!$C14,'AMD Calculations'!AI$22:AI$652)</f>
        <v>0</v>
      </c>
      <c r="K14" s="134">
        <f ca="1">SUMIF('AMD Calculations'!$Z$22:$Z$652,'Charges to party by investment'!$C14,'AMD Calculations'!AJ$22:AJ$652)</f>
        <v>0</v>
      </c>
      <c r="L14" s="134">
        <f ca="1">SUMIF('AMD Calculations'!$Z$22:$Z$652,'Charges to party by investment'!$C14,'AMD Calculations'!AK$22:AK$652)</f>
        <v>0</v>
      </c>
      <c r="M14" s="134">
        <f ca="1">SUMIF('AMD Calculations'!$Z$22:$Z$652,'Charges to party by investment'!$C14,'AMD Calculations'!AL$22:AL$652)</f>
        <v>0</v>
      </c>
      <c r="N14" s="134">
        <f ca="1">SUMIF('AMD Calculations'!$Z$22:$Z$652,'Charges to party by investment'!$C14,'AMD Calculations'!AM$22:AM$652)</f>
        <v>0</v>
      </c>
      <c r="O14" s="134">
        <f ca="1">SUMIF('AMD Calculations'!$Z$22:$Z$652,'Charges to party by investment'!$C14,'AMD Calculations'!AN$22:AN$652)</f>
        <v>0</v>
      </c>
      <c r="P14" s="134">
        <f ca="1">SUMIF('AMD Calculations'!$Z$22:$Z$652,'Charges to party by investment'!$C14,'AMD Calculations'!AO$22:AO$652)</f>
        <v>0</v>
      </c>
      <c r="Q14" s="134">
        <f ca="1">SUMIF('AMD Calculations'!$Z$22:$Z$652,'Charges to party by investment'!$C14,'AMD Calculations'!AP$22:AP$652)</f>
        <v>0</v>
      </c>
      <c r="R14" s="134">
        <f ca="1">SUMIF('AMD Calculations'!$Z$22:$Z$652,'Charges to party by investment'!$C14,'AMD Calculations'!AQ$22:AQ$652)</f>
        <v>0</v>
      </c>
      <c r="S14" s="14"/>
      <c r="T14" s="14"/>
      <c r="V14" s="134">
        <f ca="1">SUMIFS('vSPD Benefits'!$F$3:$F$4996,'vSPD Benefits'!$A$3:$A$4996,'Charges to party by investment'!V$4,'vSPD Benefits'!$D$3:$D$4996,'Charges to party by investment'!$C14)*V$5/V$6</f>
        <v>0.20160776614296821</v>
      </c>
      <c r="W14" s="220">
        <f ca="1">SUMIFS('vSPD Benefits'!$F$3:$F$4996,'vSPD Benefits'!$A$3:$A$4996,'Charges to party by investment'!W$4,'vSPD Benefits'!$D$3:$D$4996,'Charges to party by investment'!$C14)*W$5/W$6</f>
        <v>0.31853522572303333</v>
      </c>
      <c r="X14" s="220">
        <f ca="1">SUMIFS('vSPD Benefits'!$F$3:$F$4996,'vSPD Benefits'!$A$3:$A$4996,'Charges to party by investment'!X$4,'vSPD Benefits'!$D$3:$D$4996,'Charges to party by investment'!$C14)*X$5/X$6</f>
        <v>0.32173986245102798</v>
      </c>
      <c r="Y14" s="220">
        <f ca="1">SUMIFS('vSPD Benefits'!$F$3:$F$4996,'vSPD Benefits'!$A$3:$A$4996,'Charges to party by investment'!Y$4,'vSPD Benefits'!$D$3:$D$4996,'Charges to party by investment'!$C14)*Y$5/Y$6</f>
        <v>0.10524811134765653</v>
      </c>
      <c r="Z14" s="220">
        <f ca="1">SUMIFS('vSPD Benefits'!$F$3:$F$4996,'vSPD Benefits'!$A$3:$A$4996,'Charges to party by investment'!Z$4,'vSPD Benefits'!$D$3:$D$4996,'Charges to party by investment'!$C14)*Z$5/Z$6</f>
        <v>9.8875832770293701E-4</v>
      </c>
      <c r="AA14" s="220">
        <f ca="1">SUMIFS('vSPD Benefits'!$F$3:$F$4996,'vSPD Benefits'!$A$3:$A$4996,'Charges to party by investment'!AA$4,'vSPD Benefits'!$D$3:$D$4996,'Charges to party by investment'!$C14)*AA$5/AA$6</f>
        <v>0</v>
      </c>
      <c r="AB14" s="134">
        <f>SUMIFS('vSPD Benefits'!$F$3:$F$4996,'vSPD Benefits'!$A$3:$A$4996,'Charges to party by investment'!AB$4,'vSPD Benefits'!$D$3:$D$4996,'Charges to party by investment'!$C14)</f>
        <v>0</v>
      </c>
      <c r="AC14" s="134">
        <f>SUMIFS('vSPD Benefits'!$F$3:$F$4996,'vSPD Benefits'!$A$3:$A$4996,'Charges to party by investment'!AC$4,'vSPD Benefits'!$D$3:$D$4996,'Charges to party by investment'!$C14)</f>
        <v>0</v>
      </c>
      <c r="AD14" s="134">
        <f>SUMIFS('vSPD Benefits'!$F$3:$F$4996,'vSPD Benefits'!$A$3:$A$4996,'Charges to party by investment'!AD$4,'vSPD Benefits'!$D$3:$D$4996,'Charges to party by investment'!$C14)</f>
        <v>0</v>
      </c>
      <c r="AE14" s="134">
        <f>SUMIFS('vSPD Benefits'!$F$3:$F$4996,'vSPD Benefits'!$A$3:$A$4996,'Charges to party by investment'!AE$4,'vSPD Benefits'!$D$3:$D$4996,'Charges to party by investment'!$C14)</f>
        <v>0</v>
      </c>
      <c r="AF14" s="134">
        <f>SUMIFS('vSPD Benefits'!$F$3:$F$4996,'vSPD Benefits'!$A$3:$A$4996,'Charges to party by investment'!AF$4,'vSPD Benefits'!$D$3:$D$4996,'Charges to party by investment'!$C14)</f>
        <v>0</v>
      </c>
      <c r="AG14" s="134">
        <f>SUMIFS('vSPD Benefits'!$F$3:$F$4996,'vSPD Benefits'!$A$3:$A$4996,'Charges to party by investment'!AG$4,'vSPD Benefits'!$D$3:$D$4996,'Charges to party by investment'!$C14)</f>
        <v>0</v>
      </c>
      <c r="AH14" s="134">
        <f>SUMIFS('vSPD Benefits'!$F$3:$F$4996,'vSPD Benefits'!$A$3:$A$4996,'Charges to party by investment'!AH$4,'vSPD Benefits'!$D$3:$D$4996,'Charges to party by investment'!$C14)</f>
        <v>0</v>
      </c>
      <c r="AJ14" s="116" t="str">
        <f>'Charges as $M per year'!A9</f>
        <v>Eastland Network</v>
      </c>
      <c r="AK14" s="128" t="str">
        <f t="shared" si="7"/>
        <v>Eastland Network</v>
      </c>
      <c r="AL14" s="129">
        <f t="shared" ca="1" si="8"/>
        <v>0.94811972399238909</v>
      </c>
      <c r="AM14" s="129">
        <f ca="1">SUMIF('AMD Calculations'!$AU$22:$AU$252,'Charges to party by investment'!AK14,'AMD Calculations'!$AY$22:$AY$252)</f>
        <v>1.762869511276429</v>
      </c>
      <c r="AN14" s="129">
        <v>3.3524211900000034</v>
      </c>
      <c r="AO14" s="129">
        <f ca="1">AV14*'Recovery amounts'!$J$17/'Recovery amounts'!$J$14</f>
        <v>1.1777802218599913E-2</v>
      </c>
      <c r="AP14" s="130">
        <f t="shared" ca="1" si="9"/>
        <v>0.23940517626873301</v>
      </c>
      <c r="AQ14" s="130">
        <f t="shared" ca="1" si="10"/>
        <v>6.8443791911864948E-3</v>
      </c>
      <c r="AR14" s="162">
        <f t="shared" ca="1" si="1"/>
        <v>1.2867432879430609</v>
      </c>
      <c r="AS14" s="162">
        <f>SUMIF('AMD Calculations'!$AU$22:$AU$252,'Charges to party by investment'!AK14,'AMD Calculations'!$AW$22:$AW$252)</f>
        <v>58.113299999999903</v>
      </c>
      <c r="AT14" s="445">
        <f t="shared" ca="1" si="11"/>
        <v>3.0496127992194899</v>
      </c>
      <c r="AU14" s="162">
        <f t="shared" ca="1" si="12"/>
        <v>4.0095103254304787</v>
      </c>
      <c r="AV14" s="162">
        <v>1.2922829339105896E-2</v>
      </c>
      <c r="AW14" s="128"/>
      <c r="AX14" s="129"/>
      <c r="AY14" s="129"/>
      <c r="AZ14" s="631">
        <f t="shared" ca="1" si="13"/>
        <v>6.8443791911864948E-3</v>
      </c>
      <c r="BA14" s="83">
        <f t="shared" ca="1" si="2"/>
        <v>1.0719175528315772E-2</v>
      </c>
      <c r="BB14" s="18"/>
      <c r="BD14" s="61"/>
      <c r="BE14" s="61"/>
      <c r="BF14" s="18"/>
      <c r="BG14" s="18"/>
      <c r="BH14" s="18"/>
      <c r="BI14" s="18"/>
      <c r="BX14" s="70" t="str">
        <f t="shared" si="14"/>
        <v>Eastland Network</v>
      </c>
      <c r="BY14" s="166">
        <f t="shared" ca="1" si="3"/>
        <v>0.94811972399238909</v>
      </c>
      <c r="BZ14" s="166">
        <f t="shared" ca="1" si="4"/>
        <v>1.762869511276429</v>
      </c>
      <c r="CA14" s="166">
        <f t="shared" ca="1" si="5"/>
        <v>1.1777802218599913E-2</v>
      </c>
      <c r="CB14" s="166">
        <f t="shared" ca="1" si="6"/>
        <v>1.2867432879430609</v>
      </c>
      <c r="CC14" s="166">
        <f t="shared" ca="1" si="15"/>
        <v>4.0095103254304787</v>
      </c>
    </row>
    <row r="15" spans="1:81" x14ac:dyDescent="0.3">
      <c r="B15" s="120"/>
      <c r="C15" s="4" t="s">
        <v>8</v>
      </c>
      <c r="D15" s="14"/>
      <c r="F15" s="134">
        <f ca="1">SUMIF('AMD Calculations'!$Z$22:$Z$652,'Charges to party by investment'!$C15,'AMD Calculations'!AE$22:AE$652)</f>
        <v>0</v>
      </c>
      <c r="G15" s="134">
        <f ca="1">SUMIF('AMD Calculations'!$Z$22:$Z$652,'Charges to party by investment'!$C15,'AMD Calculations'!AF$22:AF$652)</f>
        <v>0</v>
      </c>
      <c r="H15" s="134">
        <f ca="1">SUMIF('AMD Calculations'!$Z$22:$Z$652,'Charges to party by investment'!$C15,'AMD Calculations'!AG$22:AG$652)</f>
        <v>0</v>
      </c>
      <c r="I15" s="134">
        <f ca="1">SUMIF('AMD Calculations'!$Z$22:$Z$652,'Charges to party by investment'!$C15,'AMD Calculations'!AH$22:AH$652)</f>
        <v>0</v>
      </c>
      <c r="J15" s="134">
        <f ca="1">SUMIF('AMD Calculations'!$Z$22:$Z$652,'Charges to party by investment'!$C15,'AMD Calculations'!AI$22:AI$652)</f>
        <v>0</v>
      </c>
      <c r="K15" s="134">
        <f ca="1">SUMIF('AMD Calculations'!$Z$22:$Z$652,'Charges to party by investment'!$C15,'AMD Calculations'!AJ$22:AJ$652)</f>
        <v>0</v>
      </c>
      <c r="L15" s="134">
        <f ca="1">SUMIF('AMD Calculations'!$Z$22:$Z$652,'Charges to party by investment'!$C15,'AMD Calculations'!AK$22:AK$652)</f>
        <v>0</v>
      </c>
      <c r="M15" s="134">
        <f ca="1">SUMIF('AMD Calculations'!$Z$22:$Z$652,'Charges to party by investment'!$C15,'AMD Calculations'!AL$22:AL$652)</f>
        <v>0</v>
      </c>
      <c r="N15" s="134">
        <f ca="1">SUMIF('AMD Calculations'!$Z$22:$Z$652,'Charges to party by investment'!$C15,'AMD Calculations'!AM$22:AM$652)</f>
        <v>0</v>
      </c>
      <c r="O15" s="134">
        <f ca="1">SUMIF('AMD Calculations'!$Z$22:$Z$652,'Charges to party by investment'!$C15,'AMD Calculations'!AN$22:AN$652)</f>
        <v>0</v>
      </c>
      <c r="P15" s="134">
        <f ca="1">SUMIF('AMD Calculations'!$Z$22:$Z$652,'Charges to party by investment'!$C15,'AMD Calculations'!AO$22:AO$652)</f>
        <v>0</v>
      </c>
      <c r="Q15" s="134">
        <f ca="1">SUMIF('AMD Calculations'!$Z$22:$Z$652,'Charges to party by investment'!$C15,'AMD Calculations'!AP$22:AP$652)</f>
        <v>0</v>
      </c>
      <c r="R15" s="134">
        <f ca="1">SUMIF('AMD Calculations'!$Z$22:$Z$652,'Charges to party by investment'!$C15,'AMD Calculations'!AQ$22:AQ$652)</f>
        <v>0</v>
      </c>
      <c r="S15" s="14"/>
      <c r="T15" s="14"/>
      <c r="V15" s="134">
        <f ca="1">SUMIFS('vSPD Benefits'!$F$3:$F$4996,'vSPD Benefits'!$A$3:$A$4996,'Charges to party by investment'!V$4,'vSPD Benefits'!$D$3:$D$4996,'Charges to party by investment'!$C15)*V$5/V$6</f>
        <v>0.38696307135066826</v>
      </c>
      <c r="W15" s="220">
        <f ca="1">SUMIFS('vSPD Benefits'!$F$3:$F$4996,'vSPD Benefits'!$A$3:$A$4996,'Charges to party by investment'!W$4,'vSPD Benefits'!$D$3:$D$4996,'Charges to party by investment'!$C15)*W$5/W$6</f>
        <v>0.21406043532912081</v>
      </c>
      <c r="X15" s="220">
        <f ca="1">SUMIFS('vSPD Benefits'!$F$3:$F$4996,'vSPD Benefits'!$A$3:$A$4996,'Charges to party by investment'!X$4,'vSPD Benefits'!$D$3:$D$4996,'Charges to party by investment'!$C15)*X$5/X$6</f>
        <v>1.0751543515844701</v>
      </c>
      <c r="Y15" s="220">
        <f ca="1">SUMIFS('vSPD Benefits'!$F$3:$F$4996,'vSPD Benefits'!$A$3:$A$4996,'Charges to party by investment'!Y$4,'vSPD Benefits'!$D$3:$D$4996,'Charges to party by investment'!$C15)*Y$5/Y$6</f>
        <v>0.16328964773112808</v>
      </c>
      <c r="Z15" s="220">
        <f ca="1">SUMIFS('vSPD Benefits'!$F$3:$F$4996,'vSPD Benefits'!$A$3:$A$4996,'Charges to party by investment'!Z$4,'vSPD Benefits'!$D$3:$D$4996,'Charges to party by investment'!$C15)*Z$5/Z$6</f>
        <v>0</v>
      </c>
      <c r="AA15" s="220">
        <f ca="1">SUMIFS('vSPD Benefits'!$F$3:$F$4996,'vSPD Benefits'!$A$3:$A$4996,'Charges to party by investment'!AA$4,'vSPD Benefits'!$D$3:$D$4996,'Charges to party by investment'!$C15)*AA$5/AA$6</f>
        <v>0.10826059984195117</v>
      </c>
      <c r="AB15" s="134">
        <f>SUMIFS('vSPD Benefits'!$F$3:$F$4996,'vSPD Benefits'!$A$3:$A$4996,'Charges to party by investment'!AB$4,'vSPD Benefits'!$D$3:$D$4996,'Charges to party by investment'!$C15)</f>
        <v>0</v>
      </c>
      <c r="AC15" s="134">
        <f>SUMIFS('vSPD Benefits'!$F$3:$F$4996,'vSPD Benefits'!$A$3:$A$4996,'Charges to party by investment'!AC$4,'vSPD Benefits'!$D$3:$D$4996,'Charges to party by investment'!$C15)</f>
        <v>0</v>
      </c>
      <c r="AD15" s="134">
        <f>SUMIFS('vSPD Benefits'!$F$3:$F$4996,'vSPD Benefits'!$A$3:$A$4996,'Charges to party by investment'!AD$4,'vSPD Benefits'!$D$3:$D$4996,'Charges to party by investment'!$C15)</f>
        <v>0</v>
      </c>
      <c r="AE15" s="134">
        <f>SUMIFS('vSPD Benefits'!$F$3:$F$4996,'vSPD Benefits'!$A$3:$A$4996,'Charges to party by investment'!AE$4,'vSPD Benefits'!$D$3:$D$4996,'Charges to party by investment'!$C15)</f>
        <v>0</v>
      </c>
      <c r="AF15" s="134">
        <f>SUMIFS('vSPD Benefits'!$F$3:$F$4996,'vSPD Benefits'!$A$3:$A$4996,'Charges to party by investment'!AF$4,'vSPD Benefits'!$D$3:$D$4996,'Charges to party by investment'!$C15)</f>
        <v>0</v>
      </c>
      <c r="AG15" s="134">
        <f>SUMIFS('vSPD Benefits'!$F$3:$F$4996,'vSPD Benefits'!$A$3:$A$4996,'Charges to party by investment'!AG$4,'vSPD Benefits'!$D$3:$D$4996,'Charges to party by investment'!$C15)</f>
        <v>0</v>
      </c>
      <c r="AH15" s="134">
        <f>SUMIFS('vSPD Benefits'!$F$3:$F$4996,'vSPD Benefits'!$A$3:$A$4996,'Charges to party by investment'!AH$4,'vSPD Benefits'!$D$3:$D$4996,'Charges to party by investment'!$C15)</f>
        <v>0</v>
      </c>
      <c r="AJ15" s="116" t="str">
        <f>'Charges as $M per year'!A10</f>
        <v>Electra</v>
      </c>
      <c r="AK15" s="128" t="str">
        <f t="shared" si="7"/>
        <v>Electra</v>
      </c>
      <c r="AL15" s="129">
        <f t="shared" ca="1" si="8"/>
        <v>1.9477281058373386</v>
      </c>
      <c r="AM15" s="129">
        <f ca="1">SUMIF('AMD Calculations'!$AU$22:$AU$252,'Charges to party by investment'!AK15,'AMD Calculations'!$AY$22:$AY$252)</f>
        <v>2.9353341285944938</v>
      </c>
      <c r="AN15" s="129">
        <v>1.0931924599999998</v>
      </c>
      <c r="AO15" s="129">
        <f ca="1">AV15*'Recovery amounts'!$J$17/'Recovery amounts'!$J$14</f>
        <v>4.8701545609272485E-2</v>
      </c>
      <c r="AP15" s="130">
        <f t="shared" ca="1" si="9"/>
        <v>0.28220857147768974</v>
      </c>
      <c r="AQ15" s="130">
        <f t="shared" ca="1" si="10"/>
        <v>1.1396498549903943E-2</v>
      </c>
      <c r="AR15" s="162">
        <f t="shared" ca="1" si="1"/>
        <v>2.1425417273819414</v>
      </c>
      <c r="AS15" s="162">
        <f>SUMIF('AMD Calculations'!$AU$22:$AU$252,'Charges to party by investment'!AK15,'AMD Calculations'!$AW$22:$AW$252)</f>
        <v>96.763800000000003</v>
      </c>
      <c r="AT15" s="445">
        <f t="shared" ca="1" si="11"/>
        <v>5.0778758559764352</v>
      </c>
      <c r="AU15" s="162">
        <f t="shared" ca="1" si="12"/>
        <v>7.0743055074230465</v>
      </c>
      <c r="AV15" s="162">
        <v>5.3436265168844532E-2</v>
      </c>
      <c r="AW15" s="128"/>
      <c r="AX15" s="129"/>
      <c r="AY15" s="129"/>
      <c r="AZ15" s="631">
        <f t="shared" ca="1" si="13"/>
        <v>1.1396498549903943E-2</v>
      </c>
      <c r="BA15" s="83">
        <f t="shared" ca="1" si="2"/>
        <v>1.0630545271867586E-2</v>
      </c>
      <c r="BB15" s="18"/>
      <c r="BD15" s="61"/>
      <c r="BE15" s="61"/>
      <c r="BF15" s="18"/>
      <c r="BG15" s="18"/>
      <c r="BH15" s="18"/>
      <c r="BI15" s="18"/>
      <c r="BX15" s="70" t="str">
        <f t="shared" si="14"/>
        <v>Electra</v>
      </c>
      <c r="BY15" s="166">
        <f t="shared" ca="1" si="3"/>
        <v>1.9477281058373386</v>
      </c>
      <c r="BZ15" s="166">
        <f t="shared" ca="1" si="4"/>
        <v>2.9353341285944938</v>
      </c>
      <c r="CA15" s="166">
        <f t="shared" ca="1" si="5"/>
        <v>4.8701545609272485E-2</v>
      </c>
      <c r="CB15" s="166">
        <f t="shared" ca="1" si="6"/>
        <v>2.1425417273819414</v>
      </c>
      <c r="CC15" s="166">
        <f t="shared" ca="1" si="15"/>
        <v>7.0743055074230465</v>
      </c>
    </row>
    <row r="16" spans="1:81" x14ac:dyDescent="0.3">
      <c r="A16" s="116"/>
      <c r="B16" s="120"/>
      <c r="C16" s="4" t="s">
        <v>9</v>
      </c>
      <c r="D16" s="14"/>
      <c r="F16" s="134">
        <f ca="1">SUMIF('AMD Calculations'!$Z$22:$Z$652,'Charges to party by investment'!$C16,'AMD Calculations'!AE$22:AE$652)</f>
        <v>0</v>
      </c>
      <c r="G16" s="134">
        <f ca="1">SUMIF('AMD Calculations'!$Z$22:$Z$652,'Charges to party by investment'!$C16,'AMD Calculations'!AF$22:AF$652)</f>
        <v>0</v>
      </c>
      <c r="H16" s="134">
        <f ca="1">SUMIF('AMD Calculations'!$Z$22:$Z$652,'Charges to party by investment'!$C16,'AMD Calculations'!AG$22:AG$652)</f>
        <v>0</v>
      </c>
      <c r="I16" s="134">
        <f ca="1">SUMIF('AMD Calculations'!$Z$22:$Z$652,'Charges to party by investment'!$C16,'AMD Calculations'!AH$22:AH$652)</f>
        <v>0</v>
      </c>
      <c r="J16" s="134">
        <f ca="1">SUMIF('AMD Calculations'!$Z$22:$Z$652,'Charges to party by investment'!$C16,'AMD Calculations'!AI$22:AI$652)</f>
        <v>0</v>
      </c>
      <c r="K16" s="134">
        <f ca="1">SUMIF('AMD Calculations'!$Z$22:$Z$652,'Charges to party by investment'!$C16,'AMD Calculations'!AJ$22:AJ$652)</f>
        <v>0</v>
      </c>
      <c r="L16" s="134">
        <f ca="1">SUMIF('AMD Calculations'!$Z$22:$Z$652,'Charges to party by investment'!$C16,'AMD Calculations'!AK$22:AK$652)</f>
        <v>0</v>
      </c>
      <c r="M16" s="134">
        <f ca="1">SUMIF('AMD Calculations'!$Z$22:$Z$652,'Charges to party by investment'!$C16,'AMD Calculations'!AL$22:AL$652)</f>
        <v>0</v>
      </c>
      <c r="N16" s="134">
        <f ca="1">SUMIF('AMD Calculations'!$Z$22:$Z$652,'Charges to party by investment'!$C16,'AMD Calculations'!AM$22:AM$652)</f>
        <v>0</v>
      </c>
      <c r="O16" s="134">
        <f ca="1">SUMIF('AMD Calculations'!$Z$22:$Z$652,'Charges to party by investment'!$C16,'AMD Calculations'!AN$22:AN$652)</f>
        <v>0</v>
      </c>
      <c r="P16" s="134">
        <f ca="1">SUMIF('AMD Calculations'!$Z$22:$Z$652,'Charges to party by investment'!$C16,'AMD Calculations'!AO$22:AO$652)</f>
        <v>0</v>
      </c>
      <c r="Q16" s="134">
        <f ca="1">SUMIF('AMD Calculations'!$Z$22:$Z$652,'Charges to party by investment'!$C16,'AMD Calculations'!AP$22:AP$652)</f>
        <v>0</v>
      </c>
      <c r="R16" s="134">
        <f ca="1">SUMIF('AMD Calculations'!$Z$22:$Z$652,'Charges to party by investment'!$C16,'AMD Calculations'!AQ$22:AQ$652)</f>
        <v>0</v>
      </c>
      <c r="S16" s="14"/>
      <c r="T16" s="14"/>
      <c r="V16" s="134">
        <f ca="1">SUMIFS('vSPD Benefits'!$F$3:$F$4996,'vSPD Benefits'!$A$3:$A$4996,'Charges to party by investment'!V$4,'vSPD Benefits'!$D$3:$D$4996,'Charges to party by investment'!$C16)*V$5/V$6</f>
        <v>0.40009137912776621</v>
      </c>
      <c r="W16" s="220">
        <f ca="1">SUMIFS('vSPD Benefits'!$F$3:$F$4996,'vSPD Benefits'!$A$3:$A$4996,'Charges to party by investment'!W$4,'vSPD Benefits'!$D$3:$D$4996,'Charges to party by investment'!$C16)*W$5/W$6</f>
        <v>0</v>
      </c>
      <c r="X16" s="220">
        <f ca="1">SUMIFS('vSPD Benefits'!$F$3:$F$4996,'vSPD Benefits'!$A$3:$A$4996,'Charges to party by investment'!X$4,'vSPD Benefits'!$D$3:$D$4996,'Charges to party by investment'!$C16)*X$5/X$6</f>
        <v>0</v>
      </c>
      <c r="Y16" s="220">
        <f ca="1">SUMIFS('vSPD Benefits'!$F$3:$F$4996,'vSPD Benefits'!$A$3:$A$4996,'Charges to party by investment'!Y$4,'vSPD Benefits'!$D$3:$D$4996,'Charges to party by investment'!$C16)*Y$5/Y$6</f>
        <v>0.15751456767108807</v>
      </c>
      <c r="Z16" s="220">
        <f ca="1">SUMIFS('vSPD Benefits'!$F$3:$F$4996,'vSPD Benefits'!$A$3:$A$4996,'Charges to party by investment'!Z$4,'vSPD Benefits'!$D$3:$D$4996,'Charges to party by investment'!$C16)*Z$5/Z$6</f>
        <v>2.7541692499662658E-2</v>
      </c>
      <c r="AA16" s="220">
        <f ca="1">SUMIFS('vSPD Benefits'!$F$3:$F$4996,'vSPD Benefits'!$A$3:$A$4996,'Charges to party by investment'!AA$4,'vSPD Benefits'!$D$3:$D$4996,'Charges to party by investment'!$C16)*AA$5/AA$6</f>
        <v>0.14341936143655565</v>
      </c>
      <c r="AB16" s="134">
        <f>SUMIFS('vSPD Benefits'!$F$3:$F$4996,'vSPD Benefits'!$A$3:$A$4996,'Charges to party by investment'!AB$4,'vSPD Benefits'!$D$3:$D$4996,'Charges to party by investment'!$C16)</f>
        <v>0</v>
      </c>
      <c r="AC16" s="134">
        <f>SUMIFS('vSPD Benefits'!$F$3:$F$4996,'vSPD Benefits'!$A$3:$A$4996,'Charges to party by investment'!AC$4,'vSPD Benefits'!$D$3:$D$4996,'Charges to party by investment'!$C16)</f>
        <v>0</v>
      </c>
      <c r="AD16" s="134">
        <f>SUMIFS('vSPD Benefits'!$F$3:$F$4996,'vSPD Benefits'!$A$3:$A$4996,'Charges to party by investment'!AD$4,'vSPD Benefits'!$D$3:$D$4996,'Charges to party by investment'!$C16)</f>
        <v>0</v>
      </c>
      <c r="AE16" s="134">
        <f>SUMIFS('vSPD Benefits'!$F$3:$F$4996,'vSPD Benefits'!$A$3:$A$4996,'Charges to party by investment'!AE$4,'vSPD Benefits'!$D$3:$D$4996,'Charges to party by investment'!$C16)</f>
        <v>0</v>
      </c>
      <c r="AF16" s="134">
        <f>SUMIFS('vSPD Benefits'!$F$3:$F$4996,'vSPD Benefits'!$A$3:$A$4996,'Charges to party by investment'!AF$4,'vSPD Benefits'!$D$3:$D$4996,'Charges to party by investment'!$C16)</f>
        <v>0</v>
      </c>
      <c r="AG16" s="134">
        <f>SUMIFS('vSPD Benefits'!$F$3:$F$4996,'vSPD Benefits'!$A$3:$A$4996,'Charges to party by investment'!AG$4,'vSPD Benefits'!$D$3:$D$4996,'Charges to party by investment'!$C16)</f>
        <v>0</v>
      </c>
      <c r="AH16" s="134">
        <f>SUMIFS('vSPD Benefits'!$F$3:$F$4996,'vSPD Benefits'!$A$3:$A$4996,'Charges to party by investment'!AH$4,'vSPD Benefits'!$D$3:$D$4996,'Charges to party by investment'!$C16)</f>
        <v>0</v>
      </c>
      <c r="AJ16" s="116" t="str">
        <f>'Charges as $M per year'!A11</f>
        <v>Electricity Ashburton</v>
      </c>
      <c r="AK16" s="128" t="str">
        <f t="shared" si="7"/>
        <v>Electricity Ashburton</v>
      </c>
      <c r="AL16" s="129">
        <f t="shared" ca="1" si="8"/>
        <v>0.72856700073507263</v>
      </c>
      <c r="AM16" s="129">
        <f ca="1">SUMIF('AMD Calculations'!$AU$22:$AU$252,'Charges to party by investment'!AK16,'AMD Calculations'!$AY$22:$AY$252)</f>
        <v>5.0272963979836724</v>
      </c>
      <c r="AN16" s="129">
        <v>0.68745484999999995</v>
      </c>
      <c r="AO16" s="129">
        <f ca="1">AV16*'Recovery amounts'!$J$17/'Recovery amounts'!$J$14</f>
        <v>0.22891036489203231</v>
      </c>
      <c r="AP16" s="130">
        <f t="shared" ca="1" si="9"/>
        <v>9.917658634927691E-2</v>
      </c>
      <c r="AQ16" s="130">
        <f t="shared" ca="1" si="10"/>
        <v>1.9518587526862481E-2</v>
      </c>
      <c r="AR16" s="162">
        <f t="shared" ca="1" si="1"/>
        <v>3.6694944550501463</v>
      </c>
      <c r="AS16" s="162">
        <f>SUMIF('AMD Calculations'!$AU$22:$AU$252,'Charges to party by investment'!AK16,'AMD Calculations'!$AW$22:$AW$252)</f>
        <v>165.72569999999999</v>
      </c>
      <c r="AT16" s="445">
        <f t="shared" ca="1" si="11"/>
        <v>8.6967908530338178</v>
      </c>
      <c r="AU16" s="162">
        <f t="shared" ca="1" si="12"/>
        <v>9.6542682186609223</v>
      </c>
      <c r="AV16" s="162">
        <v>0.25116482044337163</v>
      </c>
      <c r="AW16" s="128"/>
      <c r="AX16" s="129"/>
      <c r="AY16" s="129"/>
      <c r="AZ16" s="631">
        <f t="shared" ca="1" si="13"/>
        <v>1.9518587526862481E-2</v>
      </c>
      <c r="BA16" s="83">
        <f t="shared" ca="1" si="2"/>
        <v>1.1772604731940051E-2</v>
      </c>
      <c r="BB16" s="18"/>
      <c r="BD16" s="61"/>
      <c r="BE16" s="61"/>
      <c r="BF16" s="18"/>
      <c r="BG16" s="18"/>
      <c r="BH16" s="18"/>
      <c r="BI16" s="18"/>
      <c r="BX16" s="70" t="str">
        <f t="shared" si="14"/>
        <v>Electricity Ashburton</v>
      </c>
      <c r="BY16" s="166">
        <f t="shared" ca="1" si="3"/>
        <v>0.72856700073507263</v>
      </c>
      <c r="BZ16" s="166">
        <f t="shared" ca="1" si="4"/>
        <v>5.0272963979836724</v>
      </c>
      <c r="CA16" s="166">
        <f t="shared" ca="1" si="5"/>
        <v>0.22891036489203231</v>
      </c>
      <c r="CB16" s="166">
        <f t="shared" ca="1" si="6"/>
        <v>3.6694944550501463</v>
      </c>
      <c r="CC16" s="166">
        <f t="shared" ca="1" si="15"/>
        <v>9.6542682186609223</v>
      </c>
    </row>
    <row r="17" spans="2:81" x14ac:dyDescent="0.3">
      <c r="B17" s="120" t="str">
        <f>BG17&amp;BH17</f>
        <v/>
      </c>
      <c r="C17" s="4" t="s">
        <v>69</v>
      </c>
      <c r="D17" s="14"/>
      <c r="F17" s="134">
        <f ca="1">SUMIF('AMD Calculations'!$Z$22:$Z$652,'Charges to party by investment'!$C17,'AMD Calculations'!AE$22:AE$652)</f>
        <v>0</v>
      </c>
      <c r="G17" s="134">
        <f ca="1">SUMIF('AMD Calculations'!$Z$22:$Z$652,'Charges to party by investment'!$C17,'AMD Calculations'!AF$22:AF$652)</f>
        <v>0</v>
      </c>
      <c r="H17" s="134">
        <f ca="1">SUMIF('AMD Calculations'!$Z$22:$Z$652,'Charges to party by investment'!$C17,'AMD Calculations'!AG$22:AG$652)</f>
        <v>0</v>
      </c>
      <c r="I17" s="134">
        <f ca="1">SUMIF('AMD Calculations'!$Z$22:$Z$652,'Charges to party by investment'!$C17,'AMD Calculations'!AH$22:AH$652)</f>
        <v>0</v>
      </c>
      <c r="J17" s="134">
        <f ca="1">SUMIF('AMD Calculations'!$Z$22:$Z$652,'Charges to party by investment'!$C17,'AMD Calculations'!AI$22:AI$652)</f>
        <v>0</v>
      </c>
      <c r="K17" s="134">
        <f ca="1">SUMIF('AMD Calculations'!$Z$22:$Z$652,'Charges to party by investment'!$C17,'AMD Calculations'!AJ$22:AJ$652)</f>
        <v>0</v>
      </c>
      <c r="L17" s="134">
        <f ca="1">SUMIF('AMD Calculations'!$Z$22:$Z$652,'Charges to party by investment'!$C17,'AMD Calculations'!AK$22:AK$652)</f>
        <v>0</v>
      </c>
      <c r="M17" s="134">
        <f ca="1">SUMIF('AMD Calculations'!$Z$22:$Z$652,'Charges to party by investment'!$C17,'AMD Calculations'!AL$22:AL$652)</f>
        <v>0</v>
      </c>
      <c r="N17" s="134">
        <f ca="1">SUMIF('AMD Calculations'!$Z$22:$Z$652,'Charges to party by investment'!$C17,'AMD Calculations'!AM$22:AM$652)</f>
        <v>0</v>
      </c>
      <c r="O17" s="134">
        <f ca="1">SUMIF('AMD Calculations'!$Z$22:$Z$652,'Charges to party by investment'!$C17,'AMD Calculations'!AN$22:AN$652)</f>
        <v>0</v>
      </c>
      <c r="P17" s="134">
        <f ca="1">SUMIF('AMD Calculations'!$Z$22:$Z$652,'Charges to party by investment'!$C17,'AMD Calculations'!AO$22:AO$652)</f>
        <v>0.14895877538501817</v>
      </c>
      <c r="Q17" s="134">
        <f ca="1">SUMIF('AMD Calculations'!$Z$22:$Z$652,'Charges to party by investment'!$C17,'AMD Calculations'!AP$22:AP$652)</f>
        <v>0</v>
      </c>
      <c r="R17" s="134">
        <f ca="1">SUMIF('AMD Calculations'!$Z$22:$Z$652,'Charges to party by investment'!$C17,'AMD Calculations'!AQ$22:AQ$652)</f>
        <v>0</v>
      </c>
      <c r="S17" s="14"/>
      <c r="T17" s="14"/>
      <c r="V17" s="134">
        <f ca="1">SUMIFS('vSPD Benefits'!$F$3:$F$4996,'vSPD Benefits'!$A$3:$A$4996,'Charges to party by investment'!V$4,'vSPD Benefits'!$D$3:$D$4996,'Charges to party by investment'!$C17)*V$5/V$6</f>
        <v>0.1816847618429987</v>
      </c>
      <c r="W17" s="220">
        <f ca="1">SUMIFS('vSPD Benefits'!$F$3:$F$4996,'vSPD Benefits'!$A$3:$A$4996,'Charges to party by investment'!W$4,'vSPD Benefits'!$D$3:$D$4996,'Charges to party by investment'!$C17)*W$5/W$6</f>
        <v>0</v>
      </c>
      <c r="X17" s="220">
        <f ca="1">SUMIFS('vSPD Benefits'!$F$3:$F$4996,'vSPD Benefits'!$A$3:$A$4996,'Charges to party by investment'!X$4,'vSPD Benefits'!$D$3:$D$4996,'Charges to party by investment'!$C17)*X$5/X$6</f>
        <v>0</v>
      </c>
      <c r="Y17" s="220">
        <f ca="1">SUMIFS('vSPD Benefits'!$F$3:$F$4996,'vSPD Benefits'!$A$3:$A$4996,'Charges to party by investment'!Y$4,'vSPD Benefits'!$D$3:$D$4996,'Charges to party by investment'!$C17)*Y$5/Y$6</f>
        <v>8.2812733081059714E-2</v>
      </c>
      <c r="Z17" s="220">
        <f ca="1">SUMIFS('vSPD Benefits'!$F$3:$F$4996,'vSPD Benefits'!$A$3:$A$4996,'Charges to party by investment'!Z$4,'vSPD Benefits'!$D$3:$D$4996,'Charges to party by investment'!$C17)*Z$5/Z$6</f>
        <v>9.2009452270861727E-2</v>
      </c>
      <c r="AA17" s="220">
        <f ca="1">SUMIFS('vSPD Benefits'!$F$3:$F$4996,'vSPD Benefits'!$A$3:$A$4996,'Charges to party by investment'!AA$4,'vSPD Benefits'!$D$3:$D$4996,'Charges to party by investment'!$C17)*AA$5/AA$6</f>
        <v>5.3762938296756248E-2</v>
      </c>
      <c r="AB17" s="134">
        <f>SUMIFS('vSPD Benefits'!$F$3:$F$4996,'vSPD Benefits'!$A$3:$A$4996,'Charges to party by investment'!AB$4,'vSPD Benefits'!$D$3:$D$4996,'Charges to party by investment'!$C17)</f>
        <v>0</v>
      </c>
      <c r="AC17" s="134">
        <f>SUMIFS('vSPD Benefits'!$F$3:$F$4996,'vSPD Benefits'!$A$3:$A$4996,'Charges to party by investment'!AC$4,'vSPD Benefits'!$D$3:$D$4996,'Charges to party by investment'!$C17)</f>
        <v>0</v>
      </c>
      <c r="AD17" s="134">
        <f>SUMIFS('vSPD Benefits'!$F$3:$F$4996,'vSPD Benefits'!$A$3:$A$4996,'Charges to party by investment'!AD$4,'vSPD Benefits'!$D$3:$D$4996,'Charges to party by investment'!$C17)</f>
        <v>0</v>
      </c>
      <c r="AE17" s="134">
        <f>SUMIFS('vSPD Benefits'!$F$3:$F$4996,'vSPD Benefits'!$A$3:$A$4996,'Charges to party by investment'!AE$4,'vSPD Benefits'!$D$3:$D$4996,'Charges to party by investment'!$C17)</f>
        <v>0</v>
      </c>
      <c r="AF17" s="134">
        <f>SUMIFS('vSPD Benefits'!$F$3:$F$4996,'vSPD Benefits'!$A$3:$A$4996,'Charges to party by investment'!AF$4,'vSPD Benefits'!$D$3:$D$4996,'Charges to party by investment'!$C17)</f>
        <v>0</v>
      </c>
      <c r="AG17" s="134">
        <f>SUMIFS('vSPD Benefits'!$F$3:$F$4996,'vSPD Benefits'!$A$3:$A$4996,'Charges to party by investment'!AG$4,'vSPD Benefits'!$D$3:$D$4996,'Charges to party by investment'!$C17)</f>
        <v>0</v>
      </c>
      <c r="AH17" s="134">
        <f>SUMIFS('vSPD Benefits'!$F$3:$F$4996,'vSPD Benefits'!$A$3:$A$4996,'Charges to party by investment'!AH$4,'vSPD Benefits'!$D$3:$D$4996,'Charges to party by investment'!$C17)</f>
        <v>0</v>
      </c>
      <c r="AJ17" s="116" t="str">
        <f>'Charges as $M per year'!A12</f>
        <v>Electricity Invercargill</v>
      </c>
      <c r="AK17" s="131" t="str">
        <f t="shared" si="7"/>
        <v>Electricity Invercargill</v>
      </c>
      <c r="AL17" s="129">
        <f t="shared" ca="1" si="8"/>
        <v>0.55922866087669465</v>
      </c>
      <c r="AM17" s="129">
        <f ca="1">SUMIF('AMD Calculations'!$AU$22:$AU$252,'Charges to party by investment'!AK17,'AMD Calculations'!$AY$22:$AY$252)</f>
        <v>1.8602723039892446</v>
      </c>
      <c r="AN17" s="129">
        <v>0.9388440099999994</v>
      </c>
      <c r="AO17" s="129">
        <f ca="1">AV17*'Recovery amounts'!$J$17/'Recovery amounts'!$J$14</f>
        <v>0</v>
      </c>
      <c r="AP17" s="130">
        <f t="shared" ca="1" si="9"/>
        <v>0.14804827530588741</v>
      </c>
      <c r="AQ17" s="130">
        <f t="shared" ca="1" si="10"/>
        <v>7.2225476508158979E-3</v>
      </c>
      <c r="AR17" s="162">
        <f t="shared" ca="1" si="1"/>
        <v>1.3578389583533887</v>
      </c>
      <c r="AS17" s="162">
        <f>SUMIF('AMD Calculations'!$AU$22:$AU$252,'Charges to party by investment'!AK17,'AMD Calculations'!$AW$22:$AW$252)</f>
        <v>61.324199999999998</v>
      </c>
      <c r="AT17" s="445">
        <f t="shared" ca="1" si="11"/>
        <v>3.2181112623426333</v>
      </c>
      <c r="AU17" s="162">
        <f t="shared" ca="1" si="12"/>
        <v>3.7773399232193281</v>
      </c>
      <c r="AV17" s="162">
        <v>0</v>
      </c>
      <c r="AW17" s="128"/>
      <c r="AX17" s="129"/>
      <c r="AY17" s="129"/>
      <c r="AZ17" s="631">
        <f t="shared" ca="1" si="13"/>
        <v>7.2225476508158979E-3</v>
      </c>
      <c r="BA17" s="83">
        <f t="shared" ca="1" si="2"/>
        <v>5.9255265717278963E-3</v>
      </c>
      <c r="BB17" s="18"/>
      <c r="BD17" s="61"/>
      <c r="BE17" s="61"/>
      <c r="BF17" s="97"/>
      <c r="BG17" s="18"/>
      <c r="BH17" s="18"/>
      <c r="BI17" s="18"/>
      <c r="BX17" s="70" t="str">
        <f t="shared" si="14"/>
        <v>Electricity Invercargill</v>
      </c>
      <c r="BY17" s="166">
        <f t="shared" ca="1" si="3"/>
        <v>0.55922866087669465</v>
      </c>
      <c r="BZ17" s="166">
        <f t="shared" ca="1" si="4"/>
        <v>1.8602723039892446</v>
      </c>
      <c r="CA17" s="166">
        <f t="shared" ca="1" si="5"/>
        <v>0</v>
      </c>
      <c r="CB17" s="166">
        <f t="shared" ca="1" si="6"/>
        <v>1.3578389583533887</v>
      </c>
      <c r="CC17" s="166">
        <f t="shared" ca="1" si="15"/>
        <v>3.7773399232193281</v>
      </c>
    </row>
    <row r="18" spans="2:81" x14ac:dyDescent="0.3">
      <c r="B18" s="120"/>
      <c r="C18" s="4" t="s">
        <v>11</v>
      </c>
      <c r="D18" s="14"/>
      <c r="F18" s="134">
        <f ca="1">SUMIF('AMD Calculations'!$Z$22:$Z$652,'Charges to party by investment'!$C18,'AMD Calculations'!AE$22:AE$652)</f>
        <v>0</v>
      </c>
      <c r="G18" s="134">
        <f ca="1">SUMIF('AMD Calculations'!$Z$22:$Z$652,'Charges to party by investment'!$C18,'AMD Calculations'!AF$22:AF$652)</f>
        <v>0</v>
      </c>
      <c r="H18" s="134">
        <f ca="1">SUMIF('AMD Calculations'!$Z$22:$Z$652,'Charges to party by investment'!$C18,'AMD Calculations'!AG$22:AG$652)</f>
        <v>0</v>
      </c>
      <c r="I18" s="134">
        <f ca="1">SUMIF('AMD Calculations'!$Z$22:$Z$652,'Charges to party by investment'!$C18,'AMD Calculations'!AH$22:AH$652)</f>
        <v>0</v>
      </c>
      <c r="J18" s="134">
        <f ca="1">SUMIF('AMD Calculations'!$Z$22:$Z$652,'Charges to party by investment'!$C18,'AMD Calculations'!AI$22:AI$652)</f>
        <v>0</v>
      </c>
      <c r="K18" s="134">
        <f ca="1">SUMIF('AMD Calculations'!$Z$22:$Z$652,'Charges to party by investment'!$C18,'AMD Calculations'!AJ$22:AJ$652)</f>
        <v>0</v>
      </c>
      <c r="L18" s="134">
        <f ca="1">SUMIF('AMD Calculations'!$Z$22:$Z$652,'Charges to party by investment'!$C18,'AMD Calculations'!AK$22:AK$652)</f>
        <v>0</v>
      </c>
      <c r="M18" s="134">
        <f ca="1">SUMIF('AMD Calculations'!$Z$22:$Z$652,'Charges to party by investment'!$C18,'AMD Calculations'!AL$22:AL$652)</f>
        <v>0</v>
      </c>
      <c r="N18" s="134">
        <f ca="1">SUMIF('AMD Calculations'!$Z$22:$Z$652,'Charges to party by investment'!$C18,'AMD Calculations'!AM$22:AM$652)</f>
        <v>0</v>
      </c>
      <c r="O18" s="134">
        <f ca="1">SUMIF('AMD Calculations'!$Z$22:$Z$652,'Charges to party by investment'!$C18,'AMD Calculations'!AN$22:AN$652)</f>
        <v>0</v>
      </c>
      <c r="P18" s="134">
        <f ca="1">SUMIF('AMD Calculations'!$Z$22:$Z$652,'Charges to party by investment'!$C18,'AMD Calculations'!AO$22:AO$652)</f>
        <v>0</v>
      </c>
      <c r="Q18" s="134">
        <f ca="1">SUMIF('AMD Calculations'!$Z$22:$Z$652,'Charges to party by investment'!$C18,'AMD Calculations'!AP$22:AP$652)</f>
        <v>0</v>
      </c>
      <c r="R18" s="134">
        <f ca="1">SUMIF('AMD Calculations'!$Z$22:$Z$652,'Charges to party by investment'!$C18,'AMD Calculations'!AQ$22:AQ$652)</f>
        <v>0</v>
      </c>
      <c r="S18" s="14"/>
      <c r="T18" s="14"/>
      <c r="V18" s="134">
        <f ca="1">SUMIFS('vSPD Benefits'!$F$3:$F$4996,'vSPD Benefits'!$A$3:$A$4996,'Charges to party by investment'!V$4,'vSPD Benefits'!$D$3:$D$4996,'Charges to party by investment'!$C18)*V$5/V$6</f>
        <v>0.31013426396564092</v>
      </c>
      <c r="W18" s="220">
        <f ca="1">SUMIFS('vSPD Benefits'!$F$3:$F$4996,'vSPD Benefits'!$A$3:$A$4996,'Charges to party by investment'!W$4,'vSPD Benefits'!$D$3:$D$4996,'Charges to party by investment'!$C18)*W$5/W$6</f>
        <v>0.49347496798208584</v>
      </c>
      <c r="X18" s="220">
        <f ca="1">SUMIFS('vSPD Benefits'!$F$3:$F$4996,'vSPD Benefits'!$A$3:$A$4996,'Charges to party by investment'!X$4,'vSPD Benefits'!$D$3:$D$4996,'Charges to party by investment'!$C18)*X$5/X$6</f>
        <v>0.5133993455733743</v>
      </c>
      <c r="Y18" s="220">
        <f ca="1">SUMIFS('vSPD Benefits'!$F$3:$F$4996,'vSPD Benefits'!$A$3:$A$4996,'Charges to party by investment'!Y$4,'vSPD Benefits'!$D$3:$D$4996,'Charges to party by investment'!$C18)*Y$5/Y$6</f>
        <v>0.16128139555202925</v>
      </c>
      <c r="Z18" s="220">
        <f ca="1">SUMIFS('vSPD Benefits'!$F$3:$F$4996,'vSPD Benefits'!$A$3:$A$4996,'Charges to party by investment'!Z$4,'vSPD Benefits'!$D$3:$D$4996,'Charges to party by investment'!$C18)*Z$5/Z$6</f>
        <v>1.1986612778933264E-3</v>
      </c>
      <c r="AA18" s="220">
        <f ca="1">SUMIFS('vSPD Benefits'!$F$3:$F$4996,'vSPD Benefits'!$A$3:$A$4996,'Charges to party by investment'!AA$4,'vSPD Benefits'!$D$3:$D$4996,'Charges to party by investment'!$C18)*AA$5/AA$6</f>
        <v>0.10404301887584727</v>
      </c>
      <c r="AB18" s="134">
        <f>SUMIFS('vSPD Benefits'!$F$3:$F$4996,'vSPD Benefits'!$A$3:$A$4996,'Charges to party by investment'!AB$4,'vSPD Benefits'!$D$3:$D$4996,'Charges to party by investment'!$C18)</f>
        <v>0</v>
      </c>
      <c r="AC18" s="134">
        <f>SUMIFS('vSPD Benefits'!$F$3:$F$4996,'vSPD Benefits'!$A$3:$A$4996,'Charges to party by investment'!AC$4,'vSPD Benefits'!$D$3:$D$4996,'Charges to party by investment'!$C18)</f>
        <v>0</v>
      </c>
      <c r="AD18" s="134">
        <f>SUMIFS('vSPD Benefits'!$F$3:$F$4996,'vSPD Benefits'!$A$3:$A$4996,'Charges to party by investment'!AD$4,'vSPD Benefits'!$D$3:$D$4996,'Charges to party by investment'!$C18)</f>
        <v>0</v>
      </c>
      <c r="AE18" s="134">
        <f>SUMIFS('vSPD Benefits'!$F$3:$F$4996,'vSPD Benefits'!$A$3:$A$4996,'Charges to party by investment'!AE$4,'vSPD Benefits'!$D$3:$D$4996,'Charges to party by investment'!$C18)</f>
        <v>0</v>
      </c>
      <c r="AF18" s="134">
        <f>SUMIFS('vSPD Benefits'!$F$3:$F$4996,'vSPD Benefits'!$A$3:$A$4996,'Charges to party by investment'!AF$4,'vSPD Benefits'!$D$3:$D$4996,'Charges to party by investment'!$C18)</f>
        <v>0</v>
      </c>
      <c r="AG18" s="134">
        <f>SUMIFS('vSPD Benefits'!$F$3:$F$4996,'vSPD Benefits'!$A$3:$A$4996,'Charges to party by investment'!AG$4,'vSPD Benefits'!$D$3:$D$4996,'Charges to party by investment'!$C18)</f>
        <v>0</v>
      </c>
      <c r="AH18" s="134">
        <f>SUMIFS('vSPD Benefits'!$F$3:$F$4996,'vSPD Benefits'!$A$3:$A$4996,'Charges to party by investment'!AH$4,'vSPD Benefits'!$D$3:$D$4996,'Charges to party by investment'!$C18)</f>
        <v>0</v>
      </c>
      <c r="AJ18" s="116" t="str">
        <f>'Charges as $M per year'!A13</f>
        <v>Horizon</v>
      </c>
      <c r="AK18" s="128" t="str">
        <f t="shared" si="7"/>
        <v>Horizon</v>
      </c>
      <c r="AL18" s="129">
        <f t="shared" ca="1" si="8"/>
        <v>1.5835316532268708</v>
      </c>
      <c r="AM18" s="129">
        <f ca="1">SUMIF('AMD Calculations'!$AU$22:$AU$252,'Charges to party by investment'!AK18,'AMD Calculations'!$AY$22:$AY$252)</f>
        <v>2.8787016349897252</v>
      </c>
      <c r="AN18" s="129">
        <v>2.303110999999999</v>
      </c>
      <c r="AO18" s="129">
        <f ca="1">AV18*'Recovery amounts'!$J$17/'Recovery amounts'!$J$14</f>
        <v>1.8793804116337007E-2</v>
      </c>
      <c r="AP18" s="130">
        <f t="shared" ca="1" si="9"/>
        <v>0.24343193401340707</v>
      </c>
      <c r="AQ18" s="130">
        <f t="shared" ca="1" si="10"/>
        <v>1.1176621662650488E-2</v>
      </c>
      <c r="AR18" s="162">
        <f t="shared" ca="1" si="1"/>
        <v>2.1012048725782915</v>
      </c>
      <c r="AS18" s="162">
        <f>SUMIF('AMD Calculations'!$AU$22:$AU$252,'Charges to party by investment'!AK18,'AMD Calculations'!$AW$22:$AW$252)</f>
        <v>94.896899999999988</v>
      </c>
      <c r="AT18" s="445">
        <f t="shared" ca="1" si="11"/>
        <v>4.9799065075680167</v>
      </c>
      <c r="AU18" s="162">
        <f t="shared" ca="1" si="12"/>
        <v>6.582231964911224</v>
      </c>
      <c r="AV18" s="162">
        <v>2.0620920501149331E-2</v>
      </c>
      <c r="AW18" s="128"/>
      <c r="AX18" s="129"/>
      <c r="AY18" s="129"/>
      <c r="AZ18" s="631">
        <f t="shared" ca="1" si="13"/>
        <v>1.1176621662650488E-2</v>
      </c>
      <c r="BA18" s="83">
        <f t="shared" ca="1" si="2"/>
        <v>1.1970059905473203E-2</v>
      </c>
      <c r="BB18" s="18"/>
      <c r="BD18" s="61"/>
      <c r="BE18" s="61"/>
      <c r="BF18" s="97"/>
      <c r="BG18" s="18"/>
      <c r="BH18" s="18"/>
      <c r="BI18" s="18"/>
      <c r="BX18" s="70" t="str">
        <f t="shared" si="14"/>
        <v>Horizon</v>
      </c>
      <c r="BY18" s="166">
        <f t="shared" ca="1" si="3"/>
        <v>1.5835316532268708</v>
      </c>
      <c r="BZ18" s="166">
        <f t="shared" ca="1" si="4"/>
        <v>2.8787016349897252</v>
      </c>
      <c r="CA18" s="166">
        <f t="shared" ca="1" si="5"/>
        <v>1.8793804116337007E-2</v>
      </c>
      <c r="CB18" s="166">
        <f t="shared" ca="1" si="6"/>
        <v>2.1012048725782915</v>
      </c>
      <c r="CC18" s="166">
        <f t="shared" ca="1" si="15"/>
        <v>6.582231964911224</v>
      </c>
    </row>
    <row r="19" spans="2:81" x14ac:dyDescent="0.3">
      <c r="B19" s="120"/>
      <c r="C19" s="4" t="s">
        <v>70</v>
      </c>
      <c r="D19" s="14"/>
      <c r="F19" s="134">
        <f ca="1">SUMIF('AMD Calculations'!$Z$22:$Z$652,'Charges to party by investment'!$C19,'AMD Calculations'!AE$22:AE$652)</f>
        <v>0</v>
      </c>
      <c r="G19" s="134">
        <f ca="1">SUMIF('AMD Calculations'!$Z$22:$Z$652,'Charges to party by investment'!$C19,'AMD Calculations'!AF$22:AF$652)</f>
        <v>0</v>
      </c>
      <c r="H19" s="134">
        <f ca="1">SUMIF('AMD Calculations'!$Z$22:$Z$652,'Charges to party by investment'!$C19,'AMD Calculations'!AG$22:AG$652)</f>
        <v>0</v>
      </c>
      <c r="I19" s="134">
        <f ca="1">SUMIF('AMD Calculations'!$Z$22:$Z$652,'Charges to party by investment'!$C19,'AMD Calculations'!AH$22:AH$652)</f>
        <v>0</v>
      </c>
      <c r="J19" s="134">
        <f ca="1">SUMIF('AMD Calculations'!$Z$22:$Z$652,'Charges to party by investment'!$C19,'AMD Calculations'!AI$22:AI$652)</f>
        <v>0</v>
      </c>
      <c r="K19" s="134">
        <f ca="1">SUMIF('AMD Calculations'!$Z$22:$Z$652,'Charges to party by investment'!$C19,'AMD Calculations'!AJ$22:AJ$652)</f>
        <v>0</v>
      </c>
      <c r="L19" s="134">
        <f ca="1">SUMIF('AMD Calculations'!$Z$22:$Z$652,'Charges to party by investment'!$C19,'AMD Calculations'!AK$22:AK$652)</f>
        <v>0</v>
      </c>
      <c r="M19" s="134">
        <f ca="1">SUMIF('AMD Calculations'!$Z$22:$Z$652,'Charges to party by investment'!$C19,'AMD Calculations'!AL$22:AL$652)</f>
        <v>0</v>
      </c>
      <c r="N19" s="134">
        <f ca="1">SUMIF('AMD Calculations'!$Z$22:$Z$652,'Charges to party by investment'!$C19,'AMD Calculations'!AM$22:AM$652)</f>
        <v>0</v>
      </c>
      <c r="O19" s="134">
        <f ca="1">SUMIF('AMD Calculations'!$Z$22:$Z$652,'Charges to party by investment'!$C19,'AMD Calculations'!AN$22:AN$652)</f>
        <v>0</v>
      </c>
      <c r="P19" s="134">
        <f ca="1">SUMIF('AMD Calculations'!$Z$22:$Z$652,'Charges to party by investment'!$C19,'AMD Calculations'!AO$22:AO$652)</f>
        <v>0</v>
      </c>
      <c r="Q19" s="134">
        <f ca="1">SUMIF('AMD Calculations'!$Z$22:$Z$652,'Charges to party by investment'!$C19,'AMD Calculations'!AP$22:AP$652)</f>
        <v>0</v>
      </c>
      <c r="R19" s="134">
        <f ca="1">SUMIF('AMD Calculations'!$Z$22:$Z$652,'Charges to party by investment'!$C19,'AMD Calculations'!AQ$22:AQ$652)</f>
        <v>0</v>
      </c>
      <c r="S19" s="18"/>
      <c r="T19" s="18"/>
      <c r="U19" s="18"/>
      <c r="V19" s="134">
        <f ca="1">SUMIFS('vSPD Benefits'!$F$3:$F$4996,'vSPD Benefits'!$A$3:$A$4996,'Charges to party by investment'!V$4,'vSPD Benefits'!$D$3:$D$4996,'Charges to party by investment'!$C19)*V$5/V$6</f>
        <v>8.3263513720578265E-3</v>
      </c>
      <c r="W19" s="220">
        <f ca="1">SUMIFS('vSPD Benefits'!$F$3:$F$4996,'vSPD Benefits'!$A$3:$A$4996,'Charges to party by investment'!W$4,'vSPD Benefits'!$D$3:$D$4996,'Charges to party by investment'!$C19)*W$5/W$6</f>
        <v>0</v>
      </c>
      <c r="X19" s="220">
        <f ca="1">SUMIFS('vSPD Benefits'!$F$3:$F$4996,'vSPD Benefits'!$A$3:$A$4996,'Charges to party by investment'!X$4,'vSPD Benefits'!$D$3:$D$4996,'Charges to party by investment'!$C19)*X$5/X$6</f>
        <v>0</v>
      </c>
      <c r="Y19" s="220">
        <f ca="1">SUMIFS('vSPD Benefits'!$F$3:$F$4996,'vSPD Benefits'!$A$3:$A$4996,'Charges to party by investment'!Y$4,'vSPD Benefits'!$D$3:$D$4996,'Charges to party by investment'!$C19)*Y$5/Y$6</f>
        <v>3.7974193426175509E-3</v>
      </c>
      <c r="Z19" s="220">
        <f ca="1">SUMIFS('vSPD Benefits'!$F$3:$F$4996,'vSPD Benefits'!$A$3:$A$4996,'Charges to party by investment'!Z$4,'vSPD Benefits'!$D$3:$D$4996,'Charges to party by investment'!$C19)*Z$5/Z$6</f>
        <v>1.6277008658832816E-4</v>
      </c>
      <c r="AA19" s="220">
        <f ca="1">SUMIFS('vSPD Benefits'!$F$3:$F$4996,'vSPD Benefits'!$A$3:$A$4996,'Charges to party by investment'!AA$4,'vSPD Benefits'!$D$3:$D$4996,'Charges to party by investment'!$C19)*AA$5/AA$6</f>
        <v>2.1544681031555536E-3</v>
      </c>
      <c r="AB19" s="134">
        <f>SUMIFS('vSPD Benefits'!$F$3:$F$4996,'vSPD Benefits'!$A$3:$A$4996,'Charges to party by investment'!AB$4,'vSPD Benefits'!$D$3:$D$4996,'Charges to party by investment'!$C19)</f>
        <v>0</v>
      </c>
      <c r="AC19" s="134">
        <f>SUMIFS('vSPD Benefits'!$F$3:$F$4996,'vSPD Benefits'!$A$3:$A$4996,'Charges to party by investment'!AC$4,'vSPD Benefits'!$D$3:$D$4996,'Charges to party by investment'!$C19)</f>
        <v>0</v>
      </c>
      <c r="AD19" s="134">
        <f>SUMIFS('vSPD Benefits'!$F$3:$F$4996,'vSPD Benefits'!$A$3:$A$4996,'Charges to party by investment'!AD$4,'vSPD Benefits'!$D$3:$D$4996,'Charges to party by investment'!$C19)</f>
        <v>0</v>
      </c>
      <c r="AE19" s="134">
        <f>SUMIFS('vSPD Benefits'!$F$3:$F$4996,'vSPD Benefits'!$A$3:$A$4996,'Charges to party by investment'!AE$4,'vSPD Benefits'!$D$3:$D$4996,'Charges to party by investment'!$C19)</f>
        <v>0</v>
      </c>
      <c r="AF19" s="134">
        <f>SUMIFS('vSPD Benefits'!$F$3:$F$4996,'vSPD Benefits'!$A$3:$A$4996,'Charges to party by investment'!AF$4,'vSPD Benefits'!$D$3:$D$4996,'Charges to party by investment'!$C19)</f>
        <v>0</v>
      </c>
      <c r="AG19" s="134">
        <f>SUMIFS('vSPD Benefits'!$F$3:$F$4996,'vSPD Benefits'!$A$3:$A$4996,'Charges to party by investment'!AG$4,'vSPD Benefits'!$D$3:$D$4996,'Charges to party by investment'!$C19)</f>
        <v>0</v>
      </c>
      <c r="AH19" s="134">
        <f>SUMIFS('vSPD Benefits'!$F$3:$F$4996,'vSPD Benefits'!$A$3:$A$4996,'Charges to party by investment'!AH$4,'vSPD Benefits'!$D$3:$D$4996,'Charges to party by investment'!$C19)</f>
        <v>0</v>
      </c>
      <c r="AJ19" s="116" t="str">
        <f>'Charges as $M per year'!A14</f>
        <v>Lakeland Network</v>
      </c>
      <c r="AK19" s="128" t="str">
        <f t="shared" si="7"/>
        <v>Lakeland Network</v>
      </c>
      <c r="AL19" s="129">
        <f t="shared" ca="1" si="8"/>
        <v>1.4441008904419258E-2</v>
      </c>
      <c r="AM19" s="129">
        <f ca="1">SUMIF('AMD Calculations'!$AU$22:$AU$252,'Charges to party by investment'!AK19,'AMD Calculations'!$AY$22:$AY$252)</f>
        <v>8.447096346447977E-2</v>
      </c>
      <c r="AN19" s="129">
        <v>5.7698709999999986E-2</v>
      </c>
      <c r="AO19" s="129">
        <f ca="1">AV19*'Recovery amounts'!$J$17/'Recovery amounts'!$J$14</f>
        <v>0</v>
      </c>
      <c r="AP19" s="130">
        <f t="shared" ca="1" si="9"/>
        <v>8.9936738804487174E-2</v>
      </c>
      <c r="AQ19" s="130">
        <f t="shared" ca="1" si="10"/>
        <v>3.2796035151639891E-4</v>
      </c>
      <c r="AR19" s="162">
        <f t="shared" ca="1" si="1"/>
        <v>6.1656546085082996E-2</v>
      </c>
      <c r="AS19" s="162">
        <f>SUMIF('AMD Calculations'!$AU$22:$AU$252,'Charges to party by investment'!AK19,'AMD Calculations'!$AW$22:$AW$252)</f>
        <v>2.7846000000000002</v>
      </c>
      <c r="AT19" s="445">
        <f t="shared" ca="1" si="11"/>
        <v>0.14612750954956277</v>
      </c>
      <c r="AU19" s="162">
        <f t="shared" ca="1" si="12"/>
        <v>0.16056851845398201</v>
      </c>
      <c r="AV19" s="162">
        <v>0</v>
      </c>
      <c r="AW19" s="128"/>
      <c r="AX19" s="129"/>
      <c r="AY19" s="129"/>
      <c r="AZ19" s="631">
        <f t="shared" ca="1" si="13"/>
        <v>3.2796035151639891E-4</v>
      </c>
      <c r="BA19" s="83">
        <f t="shared" ca="1" si="2"/>
        <v>2.7632681178930805E-4</v>
      </c>
      <c r="BB19" s="18"/>
      <c r="BD19" s="61"/>
      <c r="BE19" s="61"/>
      <c r="BF19" s="18"/>
      <c r="BG19" s="18"/>
      <c r="BH19" s="18"/>
      <c r="BI19" s="18"/>
      <c r="BX19" s="70" t="str">
        <f t="shared" si="14"/>
        <v>Lakeland Network</v>
      </c>
      <c r="BY19" s="166">
        <f t="shared" ca="1" si="3"/>
        <v>1.4441008904419258E-2</v>
      </c>
      <c r="BZ19" s="166">
        <f t="shared" ca="1" si="4"/>
        <v>8.447096346447977E-2</v>
      </c>
      <c r="CA19" s="166">
        <f t="shared" ca="1" si="5"/>
        <v>0</v>
      </c>
      <c r="CB19" s="166">
        <f t="shared" ca="1" si="6"/>
        <v>6.1656546085082996E-2</v>
      </c>
      <c r="CC19" s="166">
        <f t="shared" ca="1" si="15"/>
        <v>0.16056851845398201</v>
      </c>
    </row>
    <row r="20" spans="2:81" x14ac:dyDescent="0.3">
      <c r="B20" s="120"/>
      <c r="C20" s="4" t="s">
        <v>12</v>
      </c>
      <c r="D20" s="14"/>
      <c r="F20" s="134">
        <f ca="1">SUMIF('AMD Calculations'!$Z$22:$Z$652,'Charges to party by investment'!$C20,'AMD Calculations'!AE$22:AE$652)</f>
        <v>0</v>
      </c>
      <c r="G20" s="134">
        <f ca="1">SUMIF('AMD Calculations'!$Z$22:$Z$652,'Charges to party by investment'!$C20,'AMD Calculations'!AF$22:AF$652)</f>
        <v>0</v>
      </c>
      <c r="H20" s="134">
        <f ca="1">SUMIF('AMD Calculations'!$Z$22:$Z$652,'Charges to party by investment'!$C20,'AMD Calculations'!AG$22:AG$652)</f>
        <v>0</v>
      </c>
      <c r="I20" s="134">
        <f ca="1">SUMIF('AMD Calculations'!$Z$22:$Z$652,'Charges to party by investment'!$C20,'AMD Calculations'!AH$22:AH$652)</f>
        <v>0</v>
      </c>
      <c r="J20" s="134">
        <f ca="1">SUMIF('AMD Calculations'!$Z$22:$Z$652,'Charges to party by investment'!$C20,'AMD Calculations'!AI$22:AI$652)</f>
        <v>0</v>
      </c>
      <c r="K20" s="134">
        <f ca="1">SUMIF('AMD Calculations'!$Z$22:$Z$652,'Charges to party by investment'!$C20,'AMD Calculations'!AJ$22:AJ$652)</f>
        <v>0</v>
      </c>
      <c r="L20" s="134">
        <f ca="1">SUMIF('AMD Calculations'!$Z$22:$Z$652,'Charges to party by investment'!$C20,'AMD Calculations'!AK$22:AK$652)</f>
        <v>0</v>
      </c>
      <c r="M20" s="134">
        <f ca="1">SUMIF('AMD Calculations'!$Z$22:$Z$652,'Charges to party by investment'!$C20,'AMD Calculations'!AL$22:AL$652)</f>
        <v>0</v>
      </c>
      <c r="N20" s="134">
        <f ca="1">SUMIF('AMD Calculations'!$Z$22:$Z$652,'Charges to party by investment'!$C20,'AMD Calculations'!AM$22:AM$652)</f>
        <v>0.33918312919997778</v>
      </c>
      <c r="O20" s="134">
        <f ca="1">SUMIF('AMD Calculations'!$Z$22:$Z$652,'Charges to party by investment'!$C20,'AMD Calculations'!AN$22:AN$652)</f>
        <v>0</v>
      </c>
      <c r="P20" s="134">
        <f ca="1">SUMIF('AMD Calculations'!$Z$22:$Z$652,'Charges to party by investment'!$C20,'AMD Calculations'!AO$22:AO$652)</f>
        <v>0</v>
      </c>
      <c r="Q20" s="134">
        <f ca="1">SUMIF('AMD Calculations'!$Z$22:$Z$652,'Charges to party by investment'!$C20,'AMD Calculations'!AP$22:AP$652)</f>
        <v>0</v>
      </c>
      <c r="R20" s="134">
        <f ca="1">SUMIF('AMD Calculations'!$Z$22:$Z$652,'Charges to party by investment'!$C20,'AMD Calculations'!AQ$22:AQ$652)</f>
        <v>0</v>
      </c>
      <c r="S20" s="18"/>
      <c r="T20" s="18"/>
      <c r="U20" s="18"/>
      <c r="V20" s="134">
        <f ca="1">SUMIFS('vSPD Benefits'!$F$3:$F$4996,'vSPD Benefits'!$A$3:$A$4996,'Charges to party by investment'!V$4,'vSPD Benefits'!$D$3:$D$4996,'Charges to party by investment'!$C20)*V$5/V$6</f>
        <v>0.43350974192671216</v>
      </c>
      <c r="W20" s="220">
        <f ca="1">SUMIFS('vSPD Benefits'!$F$3:$F$4996,'vSPD Benefits'!$A$3:$A$4996,'Charges to party by investment'!W$4,'vSPD Benefits'!$D$3:$D$4996,'Charges to party by investment'!$C20)*W$5/W$6</f>
        <v>0</v>
      </c>
      <c r="X20" s="220">
        <f ca="1">SUMIFS('vSPD Benefits'!$F$3:$F$4996,'vSPD Benefits'!$A$3:$A$4996,'Charges to party by investment'!X$4,'vSPD Benefits'!$D$3:$D$4996,'Charges to party by investment'!$C20)*X$5/X$6</f>
        <v>0</v>
      </c>
      <c r="Y20" s="220">
        <f ca="1">SUMIFS('vSPD Benefits'!$F$3:$F$4996,'vSPD Benefits'!$A$3:$A$4996,'Charges to party by investment'!Y$4,'vSPD Benefits'!$D$3:$D$4996,'Charges to party by investment'!$C20)*Y$5/Y$6</f>
        <v>0.196350179784017</v>
      </c>
      <c r="Z20" s="220">
        <f ca="1">SUMIFS('vSPD Benefits'!$F$3:$F$4996,'vSPD Benefits'!$A$3:$A$4996,'Charges to party by investment'!Z$4,'vSPD Benefits'!$D$3:$D$4996,'Charges to party by investment'!$C20)*Z$5/Z$6</f>
        <v>5.9714531776778698E-2</v>
      </c>
      <c r="AA20" s="220">
        <f ca="1">SUMIFS('vSPD Benefits'!$F$3:$F$4996,'vSPD Benefits'!$A$3:$A$4996,'Charges to party by investment'!AA$4,'vSPD Benefits'!$D$3:$D$4996,'Charges to party by investment'!$C20)*AA$5/AA$6</f>
        <v>0.12780180863727952</v>
      </c>
      <c r="AB20" s="134">
        <f>SUMIFS('vSPD Benefits'!$F$3:$F$4996,'vSPD Benefits'!$A$3:$A$4996,'Charges to party by investment'!AB$4,'vSPD Benefits'!$D$3:$D$4996,'Charges to party by investment'!$C20)</f>
        <v>0</v>
      </c>
      <c r="AC20" s="134">
        <f>SUMIFS('vSPD Benefits'!$F$3:$F$4996,'vSPD Benefits'!$A$3:$A$4996,'Charges to party by investment'!AC$4,'vSPD Benefits'!$D$3:$D$4996,'Charges to party by investment'!$C20)</f>
        <v>0</v>
      </c>
      <c r="AD20" s="134">
        <f>SUMIFS('vSPD Benefits'!$F$3:$F$4996,'vSPD Benefits'!$A$3:$A$4996,'Charges to party by investment'!AD$4,'vSPD Benefits'!$D$3:$D$4996,'Charges to party by investment'!$C20)</f>
        <v>0</v>
      </c>
      <c r="AE20" s="134">
        <f>SUMIFS('vSPD Benefits'!$F$3:$F$4996,'vSPD Benefits'!$A$3:$A$4996,'Charges to party by investment'!AE$4,'vSPD Benefits'!$D$3:$D$4996,'Charges to party by investment'!$C20)</f>
        <v>0</v>
      </c>
      <c r="AF20" s="134">
        <f>SUMIFS('vSPD Benefits'!$F$3:$F$4996,'vSPD Benefits'!$A$3:$A$4996,'Charges to party by investment'!AF$4,'vSPD Benefits'!$D$3:$D$4996,'Charges to party by investment'!$C20)</f>
        <v>0</v>
      </c>
      <c r="AG20" s="134">
        <f>SUMIFS('vSPD Benefits'!$F$3:$F$4996,'vSPD Benefits'!$A$3:$A$4996,'Charges to party by investment'!AG$4,'vSPD Benefits'!$D$3:$D$4996,'Charges to party by investment'!$C20)</f>
        <v>0</v>
      </c>
      <c r="AH20" s="134">
        <f>SUMIFS('vSPD Benefits'!$F$3:$F$4996,'vSPD Benefits'!$A$3:$A$4996,'Charges to party by investment'!AH$4,'vSPD Benefits'!$D$3:$D$4996,'Charges to party by investment'!$C20)</f>
        <v>0</v>
      </c>
      <c r="AJ20" s="116" t="str">
        <f>'Charges as $M per year'!A15</f>
        <v>Mainpower</v>
      </c>
      <c r="AK20" s="128" t="str">
        <f t="shared" si="7"/>
        <v>Mainpower</v>
      </c>
      <c r="AL20" s="129">
        <f t="shared" ca="1" si="8"/>
        <v>1.1565593913247652</v>
      </c>
      <c r="AM20" s="129">
        <f ca="1">SUMIF('AMD Calculations'!$AU$22:$AU$252,'Charges to party by investment'!AK20,'AMD Calculations'!$AY$22:$AY$252)</f>
        <v>3.8624762117483695</v>
      </c>
      <c r="AN20" s="129">
        <v>2.7979099600000006</v>
      </c>
      <c r="AO20" s="129">
        <f ca="1">AV20*'Recovery amounts'!$J$17/'Recovery amounts'!$J$14</f>
        <v>0.147801429573864</v>
      </c>
      <c r="AP20" s="130">
        <f t="shared" ca="1" si="9"/>
        <v>0.16332862423655567</v>
      </c>
      <c r="AQ20" s="130">
        <f t="shared" ca="1" si="10"/>
        <v>1.4996147837965535E-2</v>
      </c>
      <c r="AR20" s="162">
        <f t="shared" ca="1" si="1"/>
        <v>2.8192757935375208</v>
      </c>
      <c r="AS20" s="162">
        <f>SUMIF('AMD Calculations'!$AU$22:$AU$252,'Charges to party by investment'!AK20,'AMD Calculations'!$AW$22:$AW$252)</f>
        <v>127.3272</v>
      </c>
      <c r="AT20" s="445">
        <f t="shared" ca="1" si="11"/>
        <v>6.6817520052858903</v>
      </c>
      <c r="AU20" s="162">
        <f t="shared" ca="1" si="12"/>
        <v>7.9861128261845193</v>
      </c>
      <c r="AV20" s="162">
        <v>0.1621705488858155</v>
      </c>
      <c r="AW20" s="128"/>
      <c r="AX20" s="129"/>
      <c r="AY20" s="129"/>
      <c r="AZ20" s="631">
        <f t="shared" ca="1" si="13"/>
        <v>1.4996147837965535E-2</v>
      </c>
      <c r="BA20" s="83">
        <f t="shared" ca="1" si="2"/>
        <v>1.4053148290372887E-2</v>
      </c>
      <c r="BB20" s="18"/>
      <c r="BD20" s="61"/>
      <c r="BE20" s="61"/>
      <c r="BF20" s="18"/>
      <c r="BG20" s="18"/>
      <c r="BH20" s="18"/>
      <c r="BI20" s="18"/>
      <c r="BX20" s="70" t="str">
        <f t="shared" si="14"/>
        <v>Mainpower</v>
      </c>
      <c r="BY20" s="166">
        <f t="shared" ca="1" si="3"/>
        <v>1.1565593913247652</v>
      </c>
      <c r="BZ20" s="166">
        <f t="shared" ca="1" si="4"/>
        <v>3.8624762117483695</v>
      </c>
      <c r="CA20" s="166">
        <f t="shared" ca="1" si="5"/>
        <v>0.147801429573864</v>
      </c>
      <c r="CB20" s="166">
        <f t="shared" ca="1" si="6"/>
        <v>2.8192757935375208</v>
      </c>
      <c r="CC20" s="166">
        <f t="shared" ca="1" si="15"/>
        <v>7.9861128261845193</v>
      </c>
    </row>
    <row r="21" spans="2:81" x14ac:dyDescent="0.3">
      <c r="B21" s="120"/>
      <c r="C21" s="4" t="s">
        <v>13</v>
      </c>
      <c r="D21" s="14"/>
      <c r="F21" s="134">
        <f ca="1">SUMIF('AMD Calculations'!$Z$22:$Z$652,'Charges to party by investment'!$C21,'AMD Calculations'!AE$22:AE$652)</f>
        <v>0</v>
      </c>
      <c r="G21" s="134">
        <f ca="1">SUMIF('AMD Calculations'!$Z$22:$Z$652,'Charges to party by investment'!$C21,'AMD Calculations'!AF$22:AF$652)</f>
        <v>0</v>
      </c>
      <c r="H21" s="134">
        <f ca="1">SUMIF('AMD Calculations'!$Z$22:$Z$652,'Charges to party by investment'!$C21,'AMD Calculations'!AG$22:AG$652)</f>
        <v>0</v>
      </c>
      <c r="I21" s="134">
        <f ca="1">SUMIF('AMD Calculations'!$Z$22:$Z$652,'Charges to party by investment'!$C21,'AMD Calculations'!AH$22:AH$652)</f>
        <v>0</v>
      </c>
      <c r="J21" s="134">
        <f ca="1">SUMIF('AMD Calculations'!$Z$22:$Z$652,'Charges to party by investment'!$C21,'AMD Calculations'!AI$22:AI$652)</f>
        <v>0</v>
      </c>
      <c r="K21" s="134">
        <f ca="1">SUMIF('AMD Calculations'!$Z$22:$Z$652,'Charges to party by investment'!$C21,'AMD Calculations'!AJ$22:AJ$652)</f>
        <v>0</v>
      </c>
      <c r="L21" s="134">
        <f ca="1">SUMIF('AMD Calculations'!$Z$22:$Z$652,'Charges to party by investment'!$C21,'AMD Calculations'!AK$22:AK$652)</f>
        <v>0</v>
      </c>
      <c r="M21" s="134">
        <f ca="1">SUMIF('AMD Calculations'!$Z$22:$Z$652,'Charges to party by investment'!$C21,'AMD Calculations'!AL$22:AL$652)</f>
        <v>0</v>
      </c>
      <c r="N21" s="134">
        <f ca="1">SUMIF('AMD Calculations'!$Z$22:$Z$652,'Charges to party by investment'!$C21,'AMD Calculations'!AM$22:AM$652)</f>
        <v>0.203156328671764</v>
      </c>
      <c r="O21" s="134">
        <f ca="1">SUMIF('AMD Calculations'!$Z$22:$Z$652,'Charges to party by investment'!$C21,'AMD Calculations'!AN$22:AN$652)</f>
        <v>0</v>
      </c>
      <c r="P21" s="134">
        <f ca="1">SUMIF('AMD Calculations'!$Z$22:$Z$652,'Charges to party by investment'!$C21,'AMD Calculations'!AO$22:AO$652)</f>
        <v>0</v>
      </c>
      <c r="Q21" s="134">
        <f ca="1">SUMIF('AMD Calculations'!$Z$22:$Z$652,'Charges to party by investment'!$C21,'AMD Calculations'!AP$22:AP$652)</f>
        <v>0</v>
      </c>
      <c r="R21" s="134">
        <f ca="1">SUMIF('AMD Calculations'!$Z$22:$Z$652,'Charges to party by investment'!$C21,'AMD Calculations'!AQ$22:AQ$652)</f>
        <v>0</v>
      </c>
      <c r="S21" s="18"/>
      <c r="T21" s="18"/>
      <c r="U21" s="18"/>
      <c r="V21" s="134">
        <f ca="1">SUMIFS('vSPD Benefits'!$F$3:$F$4996,'vSPD Benefits'!$A$3:$A$4996,'Charges to party by investment'!V$4,'vSPD Benefits'!$D$3:$D$4996,'Charges to party by investment'!$C21)*V$5/V$6</f>
        <v>0.35042673012999109</v>
      </c>
      <c r="W21" s="220">
        <f ca="1">SUMIFS('vSPD Benefits'!$F$3:$F$4996,'vSPD Benefits'!$A$3:$A$4996,'Charges to party by investment'!W$4,'vSPD Benefits'!$D$3:$D$4996,'Charges to party by investment'!$C21)*W$5/W$6</f>
        <v>0</v>
      </c>
      <c r="X21" s="220">
        <f ca="1">SUMIFS('vSPD Benefits'!$F$3:$F$4996,'vSPD Benefits'!$A$3:$A$4996,'Charges to party by investment'!X$4,'vSPD Benefits'!$D$3:$D$4996,'Charges to party by investment'!$C21)*X$5/X$6</f>
        <v>0</v>
      </c>
      <c r="Y21" s="220">
        <f ca="1">SUMIFS('vSPD Benefits'!$F$3:$F$4996,'vSPD Benefits'!$A$3:$A$4996,'Charges to party by investment'!Y$4,'vSPD Benefits'!$D$3:$D$4996,'Charges to party by investment'!$C21)*Y$5/Y$6</f>
        <v>0.14736649195044643</v>
      </c>
      <c r="Z21" s="220">
        <f ca="1">SUMIFS('vSPD Benefits'!$F$3:$F$4996,'vSPD Benefits'!$A$3:$A$4996,'Charges to party by investment'!Z$4,'vSPD Benefits'!$D$3:$D$4996,'Charges to party by investment'!$C21)*Z$5/Z$6</f>
        <v>5.1838790631766225E-2</v>
      </c>
      <c r="AA21" s="220">
        <f ca="1">SUMIFS('vSPD Benefits'!$F$3:$F$4996,'vSPD Benefits'!$A$3:$A$4996,'Charges to party by investment'!AA$4,'vSPD Benefits'!$D$3:$D$4996,'Charges to party by investment'!$C21)*AA$5/AA$6</f>
        <v>9.7475397336818662E-2</v>
      </c>
      <c r="AB21" s="134">
        <f>SUMIFS('vSPD Benefits'!$F$3:$F$4996,'vSPD Benefits'!$A$3:$A$4996,'Charges to party by investment'!AB$4,'vSPD Benefits'!$D$3:$D$4996,'Charges to party by investment'!$C21)</f>
        <v>0</v>
      </c>
      <c r="AC21" s="134">
        <f>SUMIFS('vSPD Benefits'!$F$3:$F$4996,'vSPD Benefits'!$A$3:$A$4996,'Charges to party by investment'!AC$4,'vSPD Benefits'!$D$3:$D$4996,'Charges to party by investment'!$C21)</f>
        <v>0</v>
      </c>
      <c r="AD21" s="134">
        <f>SUMIFS('vSPD Benefits'!$F$3:$F$4996,'vSPD Benefits'!$A$3:$A$4996,'Charges to party by investment'!AD$4,'vSPD Benefits'!$D$3:$D$4996,'Charges to party by investment'!$C21)</f>
        <v>0</v>
      </c>
      <c r="AE21" s="134">
        <f>SUMIFS('vSPD Benefits'!$F$3:$F$4996,'vSPD Benefits'!$A$3:$A$4996,'Charges to party by investment'!AE$4,'vSPD Benefits'!$D$3:$D$4996,'Charges to party by investment'!$C21)</f>
        <v>0</v>
      </c>
      <c r="AF21" s="134">
        <f>SUMIFS('vSPD Benefits'!$F$3:$F$4996,'vSPD Benefits'!$A$3:$A$4996,'Charges to party by investment'!AF$4,'vSPD Benefits'!$D$3:$D$4996,'Charges to party by investment'!$C21)</f>
        <v>0</v>
      </c>
      <c r="AG21" s="134">
        <f>SUMIFS('vSPD Benefits'!$F$3:$F$4996,'vSPD Benefits'!$A$3:$A$4996,'Charges to party by investment'!AG$4,'vSPD Benefits'!$D$3:$D$4996,'Charges to party by investment'!$C21)</f>
        <v>0</v>
      </c>
      <c r="AH21" s="134">
        <f>SUMIFS('vSPD Benefits'!$F$3:$F$4996,'vSPD Benefits'!$A$3:$A$4996,'Charges to party by investment'!AH$4,'vSPD Benefits'!$D$3:$D$4996,'Charges to party by investment'!$C21)</f>
        <v>0</v>
      </c>
      <c r="AJ21" s="116" t="str">
        <f>'Charges as $M per year'!A16</f>
        <v>Marlborough Lines</v>
      </c>
      <c r="AK21" s="128" t="str">
        <f t="shared" si="7"/>
        <v>Marlborough Lines</v>
      </c>
      <c r="AL21" s="129">
        <f t="shared" ca="1" si="8"/>
        <v>0.85026373872078631</v>
      </c>
      <c r="AM21" s="129">
        <f ca="1">SUMIF('AMD Calculations'!$AU$22:$AU$252,'Charges to party by investment'!AK21,'AMD Calculations'!$AY$22:$AY$252)</f>
        <v>2.3134596600121018</v>
      </c>
      <c r="AN21" s="129">
        <v>0.47703765000000004</v>
      </c>
      <c r="AO21" s="129">
        <f ca="1">AV21*'Recovery amounts'!$J$17/'Recovery amounts'!$J$14</f>
        <v>0</v>
      </c>
      <c r="AP21" s="130">
        <f t="shared" ca="1" si="9"/>
        <v>0.17522720024518307</v>
      </c>
      <c r="AQ21" s="130">
        <f t="shared" ca="1" si="10"/>
        <v>8.9820574100071948E-3</v>
      </c>
      <c r="AR21" s="162">
        <f t="shared" ca="1" si="1"/>
        <v>1.6886267930813526</v>
      </c>
      <c r="AS21" s="162">
        <f>SUMIF('AMD Calculations'!$AU$22:$AU$252,'Charges to party by investment'!AK21,'AMD Calculations'!$AW$22:$AW$252)</f>
        <v>76.263599999999997</v>
      </c>
      <c r="AT21" s="445">
        <f t="shared" ca="1" si="11"/>
        <v>4.0020864530934546</v>
      </c>
      <c r="AU21" s="162">
        <f t="shared" ca="1" si="12"/>
        <v>4.8523501918142404</v>
      </c>
      <c r="AV21" s="162">
        <v>0</v>
      </c>
      <c r="AW21" s="128"/>
      <c r="AX21" s="129"/>
      <c r="AY21" s="129"/>
      <c r="AZ21" s="631">
        <f t="shared" ca="1" si="13"/>
        <v>8.9820574100071948E-3</v>
      </c>
      <c r="BA21" s="83">
        <f t="shared" ca="1" si="2"/>
        <v>6.4238267649796279E-3</v>
      </c>
      <c r="BB21" s="18"/>
      <c r="BD21" s="61"/>
      <c r="BE21" s="61"/>
      <c r="BF21" s="18"/>
      <c r="BG21" s="18"/>
      <c r="BH21" s="18"/>
      <c r="BI21" s="18"/>
      <c r="BX21" s="70" t="str">
        <f t="shared" si="14"/>
        <v>Marlborough Lines</v>
      </c>
      <c r="BY21" s="166">
        <f t="shared" ca="1" si="3"/>
        <v>0.85026373872078631</v>
      </c>
      <c r="BZ21" s="166">
        <f t="shared" ca="1" si="4"/>
        <v>2.3134596600121018</v>
      </c>
      <c r="CA21" s="166">
        <f t="shared" ca="1" si="5"/>
        <v>0</v>
      </c>
      <c r="CB21" s="166">
        <f t="shared" ca="1" si="6"/>
        <v>1.6886267930813526</v>
      </c>
      <c r="CC21" s="166">
        <f t="shared" ca="1" si="15"/>
        <v>4.8523501918142404</v>
      </c>
    </row>
    <row r="22" spans="2:81" x14ac:dyDescent="0.3">
      <c r="B22" s="3"/>
      <c r="C22" s="4" t="s">
        <v>19</v>
      </c>
      <c r="D22" s="14"/>
      <c r="F22" s="134">
        <f ca="1">SUMIF('AMD Calculations'!$Z$22:$Z$652,'Charges to party by investment'!$C22,'AMD Calculations'!AE$22:AE$652)</f>
        <v>0</v>
      </c>
      <c r="G22" s="134">
        <f ca="1">SUMIF('AMD Calculations'!$Z$22:$Z$652,'Charges to party by investment'!$C22,'AMD Calculations'!AF$22:AF$652)</f>
        <v>0</v>
      </c>
      <c r="H22" s="134">
        <f ca="1">SUMIF('AMD Calculations'!$Z$22:$Z$652,'Charges to party by investment'!$C22,'AMD Calculations'!AG$22:AG$652)</f>
        <v>0</v>
      </c>
      <c r="I22" s="134">
        <f ca="1">SUMIF('AMD Calculations'!$Z$22:$Z$652,'Charges to party by investment'!$C22,'AMD Calculations'!AH$22:AH$652)</f>
        <v>0</v>
      </c>
      <c r="J22" s="134">
        <f ca="1">SUMIF('AMD Calculations'!$Z$22:$Z$652,'Charges to party by investment'!$C22,'AMD Calculations'!AI$22:AI$652)</f>
        <v>0</v>
      </c>
      <c r="K22" s="134">
        <f ca="1">SUMIF('AMD Calculations'!$Z$22:$Z$652,'Charges to party by investment'!$C22,'AMD Calculations'!AJ$22:AJ$652)</f>
        <v>0</v>
      </c>
      <c r="L22" s="134">
        <f ca="1">SUMIF('AMD Calculations'!$Z$22:$Z$652,'Charges to party by investment'!$C22,'AMD Calculations'!AK$22:AK$652)</f>
        <v>0</v>
      </c>
      <c r="M22" s="134">
        <f ca="1">SUMIF('AMD Calculations'!$Z$22:$Z$652,'Charges to party by investment'!$C22,'AMD Calculations'!AL$22:AL$652)</f>
        <v>0</v>
      </c>
      <c r="N22" s="134">
        <f ca="1">SUMIF('AMD Calculations'!$Z$22:$Z$652,'Charges to party by investment'!$C22,'AMD Calculations'!AM$22:AM$652)</f>
        <v>0.42801787144327591</v>
      </c>
      <c r="O22" s="134">
        <f ca="1">SUMIF('AMD Calculations'!$Z$22:$Z$652,'Charges to party by investment'!$C22,'AMD Calculations'!AN$22:AN$652)</f>
        <v>0</v>
      </c>
      <c r="P22" s="134">
        <f ca="1">SUMIF('AMD Calculations'!$Z$22:$Z$652,'Charges to party by investment'!$C22,'AMD Calculations'!AO$22:AO$652)</f>
        <v>0</v>
      </c>
      <c r="Q22" s="134">
        <f ca="1">SUMIF('AMD Calculations'!$Z$22:$Z$652,'Charges to party by investment'!$C22,'AMD Calculations'!AP$22:AP$652)</f>
        <v>0</v>
      </c>
      <c r="R22" s="134">
        <f ca="1">SUMIF('AMD Calculations'!$Z$22:$Z$652,'Charges to party by investment'!$C22,'AMD Calculations'!AQ$22:AQ$652)</f>
        <v>0</v>
      </c>
      <c r="S22" s="18"/>
      <c r="T22" s="18"/>
      <c r="U22" s="18"/>
      <c r="V22" s="134">
        <f ca="1">SUMIFS('vSPD Benefits'!$F$3:$F$4996,'vSPD Benefits'!$A$3:$A$4996,'Charges to party by investment'!V$4,'vSPD Benefits'!$D$3:$D$4996,'Charges to party by investment'!$C22)*V$5/V$6</f>
        <v>0.61233597375262883</v>
      </c>
      <c r="W22" s="220">
        <f ca="1">SUMIFS('vSPD Benefits'!$F$3:$F$4996,'vSPD Benefits'!$A$3:$A$4996,'Charges to party by investment'!W$4,'vSPD Benefits'!$D$3:$D$4996,'Charges to party by investment'!$C22)*W$5/W$6</f>
        <v>0</v>
      </c>
      <c r="X22" s="220">
        <f ca="1">SUMIFS('vSPD Benefits'!$F$3:$F$4996,'vSPD Benefits'!$A$3:$A$4996,'Charges to party by investment'!X$4,'vSPD Benefits'!$D$3:$D$4996,'Charges to party by investment'!$C22)*X$5/X$6</f>
        <v>0</v>
      </c>
      <c r="Y22" s="220">
        <f ca="1">SUMIFS('vSPD Benefits'!$F$3:$F$4996,'vSPD Benefits'!$A$3:$A$4996,'Charges to party by investment'!Y$4,'vSPD Benefits'!$D$3:$D$4996,'Charges to party by investment'!$C22)*Y$5/Y$6</f>
        <v>0.29818854484508478</v>
      </c>
      <c r="Z22" s="220">
        <f ca="1">SUMIFS('vSPD Benefits'!$F$3:$F$4996,'vSPD Benefits'!$A$3:$A$4996,'Charges to party by investment'!Z$4,'vSPD Benefits'!$D$3:$D$4996,'Charges to party by investment'!$C22)*Z$5/Z$6</f>
        <v>8.4992035970797492E-2</v>
      </c>
      <c r="AA22" s="220">
        <f ca="1">SUMIFS('vSPD Benefits'!$F$3:$F$4996,'vSPD Benefits'!$A$3:$A$4996,'Charges to party by investment'!AA$4,'vSPD Benefits'!$D$3:$D$4996,'Charges to party by investment'!$C22)*AA$5/AA$6</f>
        <v>0.19002980574525685</v>
      </c>
      <c r="AB22" s="134">
        <f>SUMIFS('vSPD Benefits'!$F$3:$F$4996,'vSPD Benefits'!$A$3:$A$4996,'Charges to party by investment'!AB$4,'vSPD Benefits'!$D$3:$D$4996,'Charges to party by investment'!$C22)</f>
        <v>0</v>
      </c>
      <c r="AC22" s="134">
        <f>SUMIFS('vSPD Benefits'!$F$3:$F$4996,'vSPD Benefits'!$A$3:$A$4996,'Charges to party by investment'!AC$4,'vSPD Benefits'!$D$3:$D$4996,'Charges to party by investment'!$C22)</f>
        <v>0</v>
      </c>
      <c r="AD22" s="134">
        <f>SUMIFS('vSPD Benefits'!$F$3:$F$4996,'vSPD Benefits'!$A$3:$A$4996,'Charges to party by investment'!AD$4,'vSPD Benefits'!$D$3:$D$4996,'Charges to party by investment'!$C22)</f>
        <v>0</v>
      </c>
      <c r="AE22" s="134">
        <f>SUMIFS('vSPD Benefits'!$F$3:$F$4996,'vSPD Benefits'!$A$3:$A$4996,'Charges to party by investment'!AE$4,'vSPD Benefits'!$D$3:$D$4996,'Charges to party by investment'!$C22)</f>
        <v>0</v>
      </c>
      <c r="AF22" s="134">
        <f>SUMIFS('vSPD Benefits'!$F$3:$F$4996,'vSPD Benefits'!$A$3:$A$4996,'Charges to party by investment'!AF$4,'vSPD Benefits'!$D$3:$D$4996,'Charges to party by investment'!$C22)</f>
        <v>0</v>
      </c>
      <c r="AG22" s="134">
        <f>SUMIFS('vSPD Benefits'!$F$3:$F$4996,'vSPD Benefits'!$A$3:$A$4996,'Charges to party by investment'!AG$4,'vSPD Benefits'!$D$3:$D$4996,'Charges to party by investment'!$C22)</f>
        <v>0</v>
      </c>
      <c r="AH22" s="134">
        <f>SUMIFS('vSPD Benefits'!$F$3:$F$4996,'vSPD Benefits'!$A$3:$A$4996,'Charges to party by investment'!AH$4,'vSPD Benefits'!$D$3:$D$4996,'Charges to party by investment'!$C22)</f>
        <v>0</v>
      </c>
      <c r="AJ22" s="116" t="str">
        <f>'Charges as $M per year'!A17</f>
        <v>Network Tasman</v>
      </c>
      <c r="AK22" s="128" t="str">
        <f t="shared" si="7"/>
        <v>Network Tasman</v>
      </c>
      <c r="AL22" s="129">
        <f t="shared" ca="1" si="8"/>
        <v>1.6135642317570436</v>
      </c>
      <c r="AM22" s="129">
        <f ca="1">SUMIF('AMD Calculations'!$AU$22:$AU$252,'Charges to party by investment'!AK22,'AMD Calculations'!$AY$22:$AY$252)</f>
        <v>4.8740892583667241</v>
      </c>
      <c r="AN22" s="129">
        <v>3.0244478099999985</v>
      </c>
      <c r="AO22" s="129">
        <f ca="1">AV22*'Recovery amounts'!$J$17/'Recovery amounts'!$J$14</f>
        <v>0</v>
      </c>
      <c r="AP22" s="130">
        <f t="shared" ca="1" si="9"/>
        <v>0.16062845668213183</v>
      </c>
      <c r="AQ22" s="130">
        <f t="shared" ca="1" si="10"/>
        <v>1.8923757477543525E-2</v>
      </c>
      <c r="AR22" s="162">
        <f t="shared" ca="1" si="1"/>
        <v>3.5576664057781828</v>
      </c>
      <c r="AS22" s="468">
        <f>SUMIF('AMD Calculations'!$AU$22:$AU$252,'Charges to party by investment'!AK22,'AMD Calculations'!$AW$22:$AW$252)</f>
        <v>160.67520000000002</v>
      </c>
      <c r="AT22" s="445">
        <f t="shared" ca="1" si="11"/>
        <v>8.431755664144907</v>
      </c>
      <c r="AU22" s="162">
        <f t="shared" ca="1" si="12"/>
        <v>10.045319895901951</v>
      </c>
      <c r="AV22" s="162">
        <v>0</v>
      </c>
      <c r="AW22" s="128"/>
      <c r="AX22" s="129"/>
      <c r="AY22" s="129"/>
      <c r="AZ22" s="631">
        <f t="shared" ca="1" si="13"/>
        <v>1.8923757477543525E-2</v>
      </c>
      <c r="BA22" s="83">
        <f t="shared" ca="1" si="2"/>
        <v>1.6783329118564075E-2</v>
      </c>
      <c r="BB22" s="18"/>
      <c r="BD22" s="61"/>
      <c r="BE22" s="61"/>
      <c r="BF22" s="18"/>
      <c r="BG22" s="84"/>
      <c r="BH22" s="84"/>
      <c r="BI22" s="18"/>
      <c r="BX22" s="70" t="str">
        <f t="shared" si="14"/>
        <v>Network Tasman</v>
      </c>
      <c r="BY22" s="166">
        <f t="shared" ca="1" si="3"/>
        <v>1.6135642317570436</v>
      </c>
      <c r="BZ22" s="166">
        <f t="shared" ca="1" si="4"/>
        <v>4.8740892583667241</v>
      </c>
      <c r="CA22" s="166">
        <f t="shared" ca="1" si="5"/>
        <v>0</v>
      </c>
      <c r="CB22" s="166">
        <f t="shared" ca="1" si="6"/>
        <v>3.5576664057781828</v>
      </c>
      <c r="CC22" s="166">
        <f t="shared" ca="1" si="15"/>
        <v>10.045319895901951</v>
      </c>
    </row>
    <row r="23" spans="2:81" x14ac:dyDescent="0.3">
      <c r="B23" s="3"/>
      <c r="C23" s="4" t="s">
        <v>20</v>
      </c>
      <c r="D23" s="14"/>
      <c r="F23" s="134">
        <f ca="1">SUMIF('AMD Calculations'!$Z$22:$Z$652,'Charges to party by investment'!$C23,'AMD Calculations'!AE$22:AE$652)</f>
        <v>0</v>
      </c>
      <c r="G23" s="134">
        <f ca="1">SUMIF('AMD Calculations'!$Z$22:$Z$652,'Charges to party by investment'!$C23,'AMD Calculations'!AF$22:AF$652)</f>
        <v>0</v>
      </c>
      <c r="H23" s="134">
        <f ca="1">SUMIF('AMD Calculations'!$Z$22:$Z$652,'Charges to party by investment'!$C23,'AMD Calculations'!AG$22:AG$652)</f>
        <v>0</v>
      </c>
      <c r="I23" s="134">
        <f ca="1">SUMIF('AMD Calculations'!$Z$22:$Z$652,'Charges to party by investment'!$C23,'AMD Calculations'!AH$22:AH$652)</f>
        <v>0</v>
      </c>
      <c r="J23" s="134">
        <f ca="1">SUMIF('AMD Calculations'!$Z$22:$Z$652,'Charges to party by investment'!$C23,'AMD Calculations'!AI$22:AI$652)</f>
        <v>0</v>
      </c>
      <c r="K23" s="134">
        <f ca="1">SUMIF('AMD Calculations'!$Z$22:$Z$652,'Charges to party by investment'!$C23,'AMD Calculations'!AJ$22:AJ$652)</f>
        <v>0</v>
      </c>
      <c r="L23" s="134">
        <f ca="1">SUMIF('AMD Calculations'!$Z$22:$Z$652,'Charges to party by investment'!$C23,'AMD Calculations'!AK$22:AK$652)</f>
        <v>0</v>
      </c>
      <c r="M23" s="134">
        <f ca="1">SUMIF('AMD Calculations'!$Z$22:$Z$652,'Charges to party by investment'!$C23,'AMD Calculations'!AL$22:AL$652)</f>
        <v>0</v>
      </c>
      <c r="N23" s="134">
        <f ca="1">SUMIF('AMD Calculations'!$Z$22:$Z$652,'Charges to party by investment'!$C23,'AMD Calculations'!AM$22:AM$652)</f>
        <v>0</v>
      </c>
      <c r="O23" s="134">
        <f ca="1">SUMIF('AMD Calculations'!$Z$22:$Z$652,'Charges to party by investment'!$C23,'AMD Calculations'!AN$22:AN$652)</f>
        <v>0</v>
      </c>
      <c r="P23" s="134">
        <f ca="1">SUMIF('AMD Calculations'!$Z$22:$Z$652,'Charges to party by investment'!$C23,'AMD Calculations'!AO$22:AO$652)</f>
        <v>0</v>
      </c>
      <c r="Q23" s="134">
        <f ca="1">SUMIF('AMD Calculations'!$Z$22:$Z$652,'Charges to party by investment'!$C23,'AMD Calculations'!AP$22:AP$652)</f>
        <v>0</v>
      </c>
      <c r="R23" s="134">
        <f ca="1">SUMIF('AMD Calculations'!$Z$22:$Z$652,'Charges to party by investment'!$C23,'AMD Calculations'!AQ$22:AQ$652)</f>
        <v>0</v>
      </c>
      <c r="S23" s="18"/>
      <c r="T23" s="18"/>
      <c r="U23" s="18"/>
      <c r="V23" s="134">
        <f ca="1">SUMIFS('vSPD Benefits'!$F$3:$F$4996,'vSPD Benefits'!$A$3:$A$4996,'Charges to party by investment'!V$4,'vSPD Benefits'!$D$3:$D$4996,'Charges to party by investment'!$C23)*V$5/V$6</f>
        <v>0.20343284388688959</v>
      </c>
      <c r="W23" s="220">
        <f ca="1">SUMIFS('vSPD Benefits'!$F$3:$F$4996,'vSPD Benefits'!$A$3:$A$4996,'Charges to party by investment'!W$4,'vSPD Benefits'!$D$3:$D$4996,'Charges to party by investment'!$C23)*W$5/W$6</f>
        <v>0</v>
      </c>
      <c r="X23" s="220">
        <f ca="1">SUMIFS('vSPD Benefits'!$F$3:$F$4996,'vSPD Benefits'!$A$3:$A$4996,'Charges to party by investment'!X$4,'vSPD Benefits'!$D$3:$D$4996,'Charges to party by investment'!$C23)*X$5/X$6</f>
        <v>0</v>
      </c>
      <c r="Y23" s="220">
        <f ca="1">SUMIFS('vSPD Benefits'!$F$3:$F$4996,'vSPD Benefits'!$A$3:$A$4996,'Charges to party by investment'!Y$4,'vSPD Benefits'!$D$3:$D$4996,'Charges to party by investment'!$C23)*Y$5/Y$6</f>
        <v>7.7813470303828125E-2</v>
      </c>
      <c r="Z23" s="220">
        <f ca="1">SUMIFS('vSPD Benefits'!$F$3:$F$4996,'vSPD Benefits'!$A$3:$A$4996,'Charges to party by investment'!Z$4,'vSPD Benefits'!$D$3:$D$4996,'Charges to party by investment'!$C23)*Z$5/Z$6</f>
        <v>6.4959709501878363E-2</v>
      </c>
      <c r="AA23" s="220">
        <f ca="1">SUMIFS('vSPD Benefits'!$F$3:$F$4996,'vSPD Benefits'!$A$3:$A$4996,'Charges to party by investment'!AA$4,'vSPD Benefits'!$D$3:$D$4996,'Charges to party by investment'!$C23)*AA$5/AA$6</f>
        <v>6.8650448068638695E-2</v>
      </c>
      <c r="AB23" s="134">
        <f>SUMIFS('vSPD Benefits'!$F$3:$F$4996,'vSPD Benefits'!$A$3:$A$4996,'Charges to party by investment'!AB$4,'vSPD Benefits'!$D$3:$D$4996,'Charges to party by investment'!$C23)</f>
        <v>0</v>
      </c>
      <c r="AC23" s="134">
        <f>SUMIFS('vSPD Benefits'!$F$3:$F$4996,'vSPD Benefits'!$A$3:$A$4996,'Charges to party by investment'!AC$4,'vSPD Benefits'!$D$3:$D$4996,'Charges to party by investment'!$C23)</f>
        <v>0</v>
      </c>
      <c r="AD23" s="134">
        <f>SUMIFS('vSPD Benefits'!$F$3:$F$4996,'vSPD Benefits'!$A$3:$A$4996,'Charges to party by investment'!AD$4,'vSPD Benefits'!$D$3:$D$4996,'Charges to party by investment'!$C23)</f>
        <v>0</v>
      </c>
      <c r="AE23" s="134">
        <f>SUMIFS('vSPD Benefits'!$F$3:$F$4996,'vSPD Benefits'!$A$3:$A$4996,'Charges to party by investment'!AE$4,'vSPD Benefits'!$D$3:$D$4996,'Charges to party by investment'!$C23)</f>
        <v>0</v>
      </c>
      <c r="AF23" s="134">
        <f>SUMIFS('vSPD Benefits'!$F$3:$F$4996,'vSPD Benefits'!$A$3:$A$4996,'Charges to party by investment'!AF$4,'vSPD Benefits'!$D$3:$D$4996,'Charges to party by investment'!$C23)</f>
        <v>0</v>
      </c>
      <c r="AG23" s="134">
        <f>SUMIFS('vSPD Benefits'!$F$3:$F$4996,'vSPD Benefits'!$A$3:$A$4996,'Charges to party by investment'!AG$4,'vSPD Benefits'!$D$3:$D$4996,'Charges to party by investment'!$C23)</f>
        <v>0</v>
      </c>
      <c r="AH23" s="134">
        <f>SUMIFS('vSPD Benefits'!$F$3:$F$4996,'vSPD Benefits'!$A$3:$A$4996,'Charges to party by investment'!AH$4,'vSPD Benefits'!$D$3:$D$4996,'Charges to party by investment'!$C23)</f>
        <v>0</v>
      </c>
      <c r="AJ23" s="116" t="str">
        <f>'Charges as $M per year'!A18</f>
        <v>Network Waitaki</v>
      </c>
      <c r="AK23" s="128" t="str">
        <f t="shared" si="7"/>
        <v>Network Waitaki</v>
      </c>
      <c r="AL23" s="129">
        <f t="shared" ca="1" si="8"/>
        <v>0.41485647176123475</v>
      </c>
      <c r="AM23" s="129">
        <f ca="1">SUMIF('AMD Calculations'!$AU$22:$AU$252,'Charges to party by investment'!AK23,'AMD Calculations'!$AY$22:$AY$252)</f>
        <v>1.9372262435556786</v>
      </c>
      <c r="AN23" s="129">
        <v>0.64943285999999989</v>
      </c>
      <c r="AO23" s="129">
        <f ca="1">AV23*'Recovery amounts'!$J$17/'Recovery amounts'!$J$14</f>
        <v>1.8872520579246189E-2</v>
      </c>
      <c r="AP23" s="130">
        <f t="shared" ca="1" si="9"/>
        <v>0.114592634717883</v>
      </c>
      <c r="AQ23" s="130">
        <f t="shared" ca="1" si="10"/>
        <v>7.5213229936754835E-3</v>
      </c>
      <c r="AR23" s="162">
        <f t="shared" ca="1" si="1"/>
        <v>1.414008722810991</v>
      </c>
      <c r="AS23" s="468">
        <f>SUMIF('AMD Calculations'!$AU$22:$AU$252,'Charges to party by investment'!AK23,'AMD Calculations'!$AW$22:$AW$252)</f>
        <v>63.861000000000004</v>
      </c>
      <c r="AT23" s="445">
        <f t="shared" ca="1" si="11"/>
        <v>3.3512349663666696</v>
      </c>
      <c r="AU23" s="162">
        <f t="shared" ca="1" si="12"/>
        <v>3.7849639587071509</v>
      </c>
      <c r="AV23" s="162">
        <v>2.0707289706326421E-2</v>
      </c>
      <c r="AW23" s="128"/>
      <c r="AX23" s="129"/>
      <c r="AY23" s="129"/>
      <c r="AZ23" s="631">
        <f t="shared" ca="1" si="13"/>
        <v>7.5213229936754835E-3</v>
      </c>
      <c r="BA23" s="83">
        <f t="shared" ca="1" si="2"/>
        <v>5.3292291450427196E-3</v>
      </c>
      <c r="BB23" s="18"/>
      <c r="BD23" s="61"/>
      <c r="BE23" s="61"/>
      <c r="BF23" s="18"/>
      <c r="BG23" s="18"/>
      <c r="BH23" s="18"/>
      <c r="BI23" s="18"/>
      <c r="BX23" s="70" t="str">
        <f t="shared" si="14"/>
        <v>Network Waitaki</v>
      </c>
      <c r="BY23" s="166">
        <f t="shared" ca="1" si="3"/>
        <v>0.41485647176123475</v>
      </c>
      <c r="BZ23" s="166">
        <f t="shared" ca="1" si="4"/>
        <v>1.9372262435556786</v>
      </c>
      <c r="CA23" s="166">
        <f t="shared" ca="1" si="5"/>
        <v>1.8872520579246189E-2</v>
      </c>
      <c r="CB23" s="166">
        <f t="shared" ca="1" si="6"/>
        <v>1.414008722810991</v>
      </c>
      <c r="CC23" s="166">
        <f t="shared" ca="1" si="15"/>
        <v>3.7849639587071509</v>
      </c>
    </row>
    <row r="24" spans="2:81" x14ac:dyDescent="0.3">
      <c r="B24" s="4" t="s">
        <v>556</v>
      </c>
      <c r="C24" s="4" t="s">
        <v>23</v>
      </c>
      <c r="D24" s="14"/>
      <c r="F24" s="460">
        <f ca="1">SUMIF('AMD Calculations'!$Z$22:$Z$652,'Charges to party by investment'!$C24,'AMD Calculations'!AE$22:AE$652)</f>
        <v>0</v>
      </c>
      <c r="G24" s="460">
        <f ca="1">SUMIF('AMD Calculations'!$Z$22:$Z$652,'Charges to party by investment'!$C24,'AMD Calculations'!AF$22:AF$652)</f>
        <v>0</v>
      </c>
      <c r="H24" s="460">
        <f ca="1">SUMIF('AMD Calculations'!$Z$22:$Z$652,'Charges to party by investment'!$C24,'AMD Calculations'!AG$22:AG$652)</f>
        <v>0</v>
      </c>
      <c r="I24" s="460">
        <f ca="1">SUMIF('AMD Calculations'!$Z$22:$Z$652,'Charges to party by investment'!$C24,'AMD Calculations'!AH$22:AH$652)</f>
        <v>3.0333855877630524</v>
      </c>
      <c r="J24" s="460">
        <f ca="1">SUMIF('AMD Calculations'!$Z$22:$Z$652,'Charges to party by investment'!$C24,'AMD Calculations'!AI$22:AI$652)</f>
        <v>0</v>
      </c>
      <c r="K24" s="460">
        <f ca="1">SUMIF('AMD Calculations'!$Z$22:$Z$652,'Charges to party by investment'!$C24,'AMD Calculations'!AJ$22:AJ$652)</f>
        <v>0</v>
      </c>
      <c r="L24" s="460">
        <f ca="1">SUMIF('AMD Calculations'!$Z$22:$Z$652,'Charges to party by investment'!$C24,'AMD Calculations'!AK$22:AK$652)</f>
        <v>0.69218973529702776</v>
      </c>
      <c r="M24" s="460">
        <f ca="1">SUMIF('AMD Calculations'!$Z$22:$Z$652,'Charges to party by investment'!$C24,'AMD Calculations'!AL$22:AL$652)</f>
        <v>0</v>
      </c>
      <c r="N24" s="460">
        <f ca="1">SUMIF('AMD Calculations'!$Z$22:$Z$652,'Charges to party by investment'!$C24,'AMD Calculations'!AM$22:AM$652)</f>
        <v>0</v>
      </c>
      <c r="O24" s="460">
        <f ca="1">SUMIF('AMD Calculations'!$Z$22:$Z$652,'Charges to party by investment'!$C24,'AMD Calculations'!AN$22:AN$652)</f>
        <v>0.3192394029555693</v>
      </c>
      <c r="P24" s="460">
        <f ca="1">SUMIF('AMD Calculations'!$Z$22:$Z$652,'Charges to party by investment'!$C24,'AMD Calculations'!AO$22:AO$652)</f>
        <v>0</v>
      </c>
      <c r="Q24" s="460">
        <f ca="1">SUMIF('AMD Calculations'!$Z$22:$Z$652,'Charges to party by investment'!$C24,'AMD Calculations'!AP$22:AP$652)</f>
        <v>0</v>
      </c>
      <c r="R24" s="460">
        <f ca="1">SUMIF('AMD Calculations'!$Z$22:$Z$652,'Charges to party by investment'!$C24,'AMD Calculations'!AQ$22:AQ$652)</f>
        <v>0</v>
      </c>
      <c r="S24" s="18"/>
      <c r="T24" s="18"/>
      <c r="U24" s="18"/>
      <c r="V24" s="329">
        <f ca="1">SUMIFS('vSPD Benefits'!$F$3:$F$4996,'vSPD Benefits'!$A$3:$A$4996,'Charges to party by investment'!V$4,'vSPD Benefits'!$D$3:$D$4996,'Charges to party by investment'!$C24)*V$5/V$6+SUMIFS('vSPD Benefits'!$F$3:$F$4996,'vSPD Benefits'!$A$3:$A$4996,'Charges to party by investment'!V$4,'vSPD Benefits'!$D$3:$D$4996,'Charges to party by investment'!$B24)*V$5/V$6</f>
        <v>4.8991610893437567</v>
      </c>
      <c r="W24" s="329">
        <f ca="1">SUMIFS('vSPD Benefits'!$F$3:$F$4996,'vSPD Benefits'!$A$3:$A$4996,'Charges to party by investment'!W$4,'vSPD Benefits'!$D$3:$D$4996,'Charges to party by investment'!$C24)*W$5/W$6+SUMIFS('vSPD Benefits'!$F$3:$F$4996,'vSPD Benefits'!$A$3:$A$4996,'Charges to party by investment'!W$4,'vSPD Benefits'!$D$3:$D$4996,'Charges to party by investment'!$B24)*W$5/W$6</f>
        <v>1.1653093194615076</v>
      </c>
      <c r="X24" s="329">
        <f ca="1">SUMIFS('vSPD Benefits'!$F$3:$F$4996,'vSPD Benefits'!$A$3:$A$4996,'Charges to party by investment'!X$4,'vSPD Benefits'!$D$3:$D$4996,'Charges to party by investment'!$C24)*X$5/X$6+SUMIFS('vSPD Benefits'!$F$3:$F$4996,'vSPD Benefits'!$A$3:$A$4996,'Charges to party by investment'!X$4,'vSPD Benefits'!$D$3:$D$4996,'Charges to party by investment'!$B24)*X$5/X$6</f>
        <v>1.2328261004153318</v>
      </c>
      <c r="Y24" s="329">
        <f ca="1">SUMIFS('vSPD Benefits'!$F$3:$F$4996,'vSPD Benefits'!$A$3:$A$4996,'Charges to party by investment'!Y$4,'vSPD Benefits'!$D$3:$D$4996,'Charges to party by investment'!$C24)*Y$5/Y$6+SUMIFS('vSPD Benefits'!$F$3:$F$4996,'vSPD Benefits'!$A$3:$A$4996,'Charges to party by investment'!Y$4,'vSPD Benefits'!$D$3:$D$4996,'Charges to party by investment'!$B24)*Y$5/Y$6</f>
        <v>1.0415587228192735</v>
      </c>
      <c r="Z24" s="329">
        <f ca="1">SUMIFS('vSPD Benefits'!$F$3:$F$4996,'vSPD Benefits'!$A$3:$A$4996,'Charges to party by investment'!Z$4,'vSPD Benefits'!$D$3:$D$4996,'Charges to party by investment'!$C24)*Z$5/Z$6+SUMIFS('vSPD Benefits'!$F$3:$F$4996,'vSPD Benefits'!$A$3:$A$4996,'Charges to party by investment'!Z$4,'vSPD Benefits'!$D$3:$D$4996,'Charges to party by investment'!$B24)*Z$5/Z$6</f>
        <v>7.7396626929221554E-4</v>
      </c>
      <c r="AA24" s="329">
        <f ca="1">SUMIFS('vSPD Benefits'!$F$3:$F$4996,'vSPD Benefits'!$A$3:$A$4996,'Charges to party by investment'!AA$4,'vSPD Benefits'!$D$3:$D$4996,'Charges to party by investment'!$C24)*AA$5/AA$6+SUMIFS('vSPD Benefits'!$F$3:$F$4996,'vSPD Benefits'!$A$3:$A$4996,'Charges to party by investment'!AA$4,'vSPD Benefits'!$D$3:$D$4996,'Charges to party by investment'!$B24)*AA$5/AA$6</f>
        <v>0.49034072776205928</v>
      </c>
      <c r="AB24" s="134">
        <f>SUMIFS('vSPD Benefits'!$F$3:$F$4996,'vSPD Benefits'!$A$3:$A$4996,'Charges to party by investment'!AB$4,'vSPD Benefits'!$D$3:$D$4996,'Charges to party by investment'!$C24)</f>
        <v>0</v>
      </c>
      <c r="AC24" s="134">
        <f>SUMIFS('vSPD Benefits'!$F$3:$F$4996,'vSPD Benefits'!$A$3:$A$4996,'Charges to party by investment'!AC$4,'vSPD Benefits'!$D$3:$D$4996,'Charges to party by investment'!$C24)</f>
        <v>0</v>
      </c>
      <c r="AD24" s="134">
        <f>SUMIFS('vSPD Benefits'!$F$3:$F$4996,'vSPD Benefits'!$A$3:$A$4996,'Charges to party by investment'!AD$4,'vSPD Benefits'!$D$3:$D$4996,'Charges to party by investment'!$C24)</f>
        <v>0</v>
      </c>
      <c r="AE24" s="134">
        <f>SUMIFS('vSPD Benefits'!$F$3:$F$4996,'vSPD Benefits'!$A$3:$A$4996,'Charges to party by investment'!AE$4,'vSPD Benefits'!$D$3:$D$4996,'Charges to party by investment'!$C24)</f>
        <v>0</v>
      </c>
      <c r="AF24" s="134">
        <f>SUMIFS('vSPD Benefits'!$F$3:$F$4996,'vSPD Benefits'!$A$3:$A$4996,'Charges to party by investment'!AF$4,'vSPD Benefits'!$D$3:$D$4996,'Charges to party by investment'!$C24)</f>
        <v>0</v>
      </c>
      <c r="AG24" s="134">
        <f>SUMIFS('vSPD Benefits'!$F$3:$F$4996,'vSPD Benefits'!$A$3:$A$4996,'Charges to party by investment'!AG$4,'vSPD Benefits'!$D$3:$D$4996,'Charges to party by investment'!$C24)</f>
        <v>0</v>
      </c>
      <c r="AH24" s="134">
        <f>SUMIFS('vSPD Benefits'!$F$3:$F$4996,'vSPD Benefits'!$A$3:$A$4996,'Charges to party by investment'!AH$4,'vSPD Benefits'!$D$3:$D$4996,'Charges to party by investment'!$C24)</f>
        <v>0</v>
      </c>
      <c r="AJ24" s="116" t="str">
        <f>'Charges as $M per year'!A19</f>
        <v>Northpower</v>
      </c>
      <c r="AK24" s="632" t="str">
        <f t="shared" si="7"/>
        <v>Northpower</v>
      </c>
      <c r="AL24" s="129">
        <f t="shared" ca="1" si="8"/>
        <v>12.87478465208687</v>
      </c>
      <c r="AM24" s="129">
        <f ca="1">SUMIF('AMD Calculations'!$AU$22:$AU$252,'Charges to party by investment'!AK24,'AMD Calculations'!$AY$22:$AY$252)</f>
        <v>5.2425508365556768</v>
      </c>
      <c r="AN24" s="129">
        <v>3.0517049699999981</v>
      </c>
      <c r="AO24" s="332">
        <f ca="1">AV24*'Recovery amounts'!$J$17/'Recovery amounts'!$J$14+AV62*'Recovery amounts'!$J$17/'Recovery amounts'!$J$14</f>
        <v>0.13979058525446747</v>
      </c>
      <c r="AP24" s="130">
        <f t="shared" ca="1" si="9"/>
        <v>0.58932846284970453</v>
      </c>
      <c r="AQ24" s="130">
        <f t="shared" ca="1" si="10"/>
        <v>2.0354317562891074E-2</v>
      </c>
      <c r="AR24" s="162">
        <f t="shared" ca="1" si="1"/>
        <v>3.8266117018235222</v>
      </c>
      <c r="AS24" s="468">
        <f>SUMIF('AMD Calculations'!$AU$22:$AU$252,'Charges to party by investment'!AK24,'AMD Calculations'!$AW$22:$AW$252)</f>
        <v>172.82159999999999</v>
      </c>
      <c r="AT24" s="445">
        <f t="shared" ca="1" si="11"/>
        <v>9.0691625383791994</v>
      </c>
      <c r="AU24" s="162">
        <f t="shared" ca="1" si="12"/>
        <v>22.083737775720536</v>
      </c>
      <c r="AV24" s="162">
        <v>0.1294977657104418</v>
      </c>
      <c r="AW24" s="128"/>
      <c r="AX24" s="129"/>
      <c r="AY24" s="129"/>
      <c r="AZ24" s="631">
        <f t="shared" ca="1" si="13"/>
        <v>2.0354317562891074E-2</v>
      </c>
      <c r="BA24" s="83">
        <f t="shared" ca="1" si="2"/>
        <v>3.7597699315601855E-2</v>
      </c>
      <c r="BX24" s="70" t="str">
        <f t="shared" si="14"/>
        <v>Northpower</v>
      </c>
      <c r="BY24" s="166">
        <f t="shared" ca="1" si="3"/>
        <v>12.87478465208687</v>
      </c>
      <c r="BZ24" s="166">
        <f t="shared" ca="1" si="4"/>
        <v>5.2425508365556768</v>
      </c>
      <c r="CA24" s="166">
        <f t="shared" ca="1" si="5"/>
        <v>0.13979058525446747</v>
      </c>
      <c r="CB24" s="166">
        <f t="shared" ca="1" si="6"/>
        <v>3.8266117018235222</v>
      </c>
      <c r="CC24" s="166">
        <f t="shared" ca="1" si="15"/>
        <v>22.083737775720536</v>
      </c>
    </row>
    <row r="25" spans="2:81" x14ac:dyDescent="0.3">
      <c r="B25" s="3"/>
      <c r="C25" s="4" t="s">
        <v>25</v>
      </c>
      <c r="D25" s="14"/>
      <c r="F25" s="134">
        <f ca="1">SUMIF('AMD Calculations'!$Z$22:$Z$652,'Charges to party by investment'!$C25,'AMD Calculations'!AE$22:AE$652)</f>
        <v>0</v>
      </c>
      <c r="G25" s="134">
        <f ca="1">SUMIF('AMD Calculations'!$Z$22:$Z$652,'Charges to party by investment'!$C25,'AMD Calculations'!AF$22:AF$652)</f>
        <v>0</v>
      </c>
      <c r="H25" s="134">
        <f ca="1">SUMIF('AMD Calculations'!$Z$22:$Z$652,'Charges to party by investment'!$C25,'AMD Calculations'!AG$22:AG$652)</f>
        <v>0</v>
      </c>
      <c r="I25" s="134">
        <f ca="1">SUMIF('AMD Calculations'!$Z$22:$Z$652,'Charges to party by investment'!$C25,'AMD Calculations'!AH$22:AH$652)</f>
        <v>0</v>
      </c>
      <c r="J25" s="134">
        <f ca="1">SUMIF('AMD Calculations'!$Z$22:$Z$652,'Charges to party by investment'!$C25,'AMD Calculations'!AI$22:AI$652)</f>
        <v>0</v>
      </c>
      <c r="K25" s="134">
        <f ca="1">SUMIF('AMD Calculations'!$Z$22:$Z$652,'Charges to party by investment'!$C25,'AMD Calculations'!AJ$22:AJ$652)</f>
        <v>0</v>
      </c>
      <c r="L25" s="134">
        <f ca="1">SUMIF('AMD Calculations'!$Z$22:$Z$652,'Charges to party by investment'!$C25,'AMD Calculations'!AK$22:AK$652)</f>
        <v>0</v>
      </c>
      <c r="M25" s="134">
        <f ca="1">SUMIF('AMD Calculations'!$Z$22:$Z$652,'Charges to party by investment'!$C25,'AMD Calculations'!AL$22:AL$652)</f>
        <v>0</v>
      </c>
      <c r="N25" s="134">
        <f ca="1">SUMIF('AMD Calculations'!$Z$22:$Z$652,'Charges to party by investment'!$C25,'AMD Calculations'!AM$22:AM$652)</f>
        <v>1.9566299509274021</v>
      </c>
      <c r="O25" s="134">
        <f ca="1">SUMIF('AMD Calculations'!$Z$22:$Z$652,'Charges to party by investment'!$C25,'AMD Calculations'!AN$22:AN$652)</f>
        <v>0</v>
      </c>
      <c r="P25" s="134">
        <f ca="1">SUMIF('AMD Calculations'!$Z$22:$Z$652,'Charges to party by investment'!$C25,'AMD Calculations'!AO$22:AO$652)</f>
        <v>0</v>
      </c>
      <c r="Q25" s="134">
        <f ca="1">SUMIF('AMD Calculations'!$Z$22:$Z$652,'Charges to party by investment'!$C25,'AMD Calculations'!AP$22:AP$652)</f>
        <v>0</v>
      </c>
      <c r="R25" s="134">
        <f ca="1">SUMIF('AMD Calculations'!$Z$22:$Z$652,'Charges to party by investment'!$C25,'AMD Calculations'!AQ$22:AQ$652)</f>
        <v>0</v>
      </c>
      <c r="S25" s="18"/>
      <c r="T25" s="18"/>
      <c r="U25" s="18"/>
      <c r="V25" s="134">
        <f ca="1">SUMIFS('vSPD Benefits'!$F$3:$F$4996,'vSPD Benefits'!$A$3:$A$4996,'Charges to party by investment'!V$4,'vSPD Benefits'!$D$3:$D$4996,'Charges to party by investment'!$C25)*V$5/V$6</f>
        <v>2.3447478648345896</v>
      </c>
      <c r="W25" s="220">
        <f ca="1">SUMIFS('vSPD Benefits'!$F$3:$F$4996,'vSPD Benefits'!$A$3:$A$4996,'Charges to party by investment'!W$4,'vSPD Benefits'!$D$3:$D$4996,'Charges to party by investment'!$C25)*W$5/W$6</f>
        <v>0</v>
      </c>
      <c r="X25" s="220">
        <f ca="1">SUMIFS('vSPD Benefits'!$F$3:$F$4996,'vSPD Benefits'!$A$3:$A$4996,'Charges to party by investment'!X$4,'vSPD Benefits'!$D$3:$D$4996,'Charges to party by investment'!$C25)*X$5/X$6</f>
        <v>0</v>
      </c>
      <c r="Y25" s="220">
        <f ca="1">SUMIFS('vSPD Benefits'!$F$3:$F$4996,'vSPD Benefits'!$A$3:$A$4996,'Charges to party by investment'!Y$4,'vSPD Benefits'!$D$3:$D$4996,'Charges to party by investment'!$C25)*Y$5/Y$6</f>
        <v>1.1604326658082802</v>
      </c>
      <c r="Z25" s="220">
        <f ca="1">SUMIFS('vSPD Benefits'!$F$3:$F$4996,'vSPD Benefits'!$A$3:$A$4996,'Charges to party by investment'!Z$4,'vSPD Benefits'!$D$3:$D$4996,'Charges to party by investment'!$C25)*Z$5/Z$6</f>
        <v>0.33437329369170482</v>
      </c>
      <c r="AA25" s="220">
        <f ca="1">SUMIFS('vSPD Benefits'!$F$3:$F$4996,'vSPD Benefits'!$A$3:$A$4996,'Charges to party by investment'!AA$4,'vSPD Benefits'!$D$3:$D$4996,'Charges to party by investment'!$C25)*AA$5/AA$6</f>
        <v>0.6803177757432437</v>
      </c>
      <c r="AB25" s="134">
        <f>SUMIFS('vSPD Benefits'!$F$3:$F$4996,'vSPD Benefits'!$A$3:$A$4996,'Charges to party by investment'!AB$4,'vSPD Benefits'!$D$3:$D$4996,'Charges to party by investment'!$C25)</f>
        <v>0</v>
      </c>
      <c r="AC25" s="134">
        <f>SUMIFS('vSPD Benefits'!$F$3:$F$4996,'vSPD Benefits'!$A$3:$A$4996,'Charges to party by investment'!AC$4,'vSPD Benefits'!$D$3:$D$4996,'Charges to party by investment'!$C25)</f>
        <v>0</v>
      </c>
      <c r="AD25" s="134">
        <f>SUMIFS('vSPD Benefits'!$F$3:$F$4996,'vSPD Benefits'!$A$3:$A$4996,'Charges to party by investment'!AD$4,'vSPD Benefits'!$D$3:$D$4996,'Charges to party by investment'!$C25)</f>
        <v>0</v>
      </c>
      <c r="AE25" s="134">
        <f>SUMIFS('vSPD Benefits'!$F$3:$F$4996,'vSPD Benefits'!$A$3:$A$4996,'Charges to party by investment'!AE$4,'vSPD Benefits'!$D$3:$D$4996,'Charges to party by investment'!$C25)</f>
        <v>0</v>
      </c>
      <c r="AF25" s="134">
        <f>SUMIFS('vSPD Benefits'!$F$3:$F$4996,'vSPD Benefits'!$A$3:$A$4996,'Charges to party by investment'!AF$4,'vSPD Benefits'!$D$3:$D$4996,'Charges to party by investment'!$C25)</f>
        <v>0</v>
      </c>
      <c r="AG25" s="134">
        <f>SUMIFS('vSPD Benefits'!$F$3:$F$4996,'vSPD Benefits'!$A$3:$A$4996,'Charges to party by investment'!AG$4,'vSPD Benefits'!$D$3:$D$4996,'Charges to party by investment'!$C25)</f>
        <v>0</v>
      </c>
      <c r="AH25" s="134">
        <f>SUMIFS('vSPD Benefits'!$F$3:$F$4996,'vSPD Benefits'!$A$3:$A$4996,'Charges to party by investment'!AH$4,'vSPD Benefits'!$D$3:$D$4996,'Charges to party by investment'!$C25)</f>
        <v>0</v>
      </c>
      <c r="AJ25" s="116" t="str">
        <f>'Charges as $M per year'!A20</f>
        <v>Orion</v>
      </c>
      <c r="AK25" s="128" t="str">
        <f t="shared" si="7"/>
        <v>Orion</v>
      </c>
      <c r="AL25" s="129">
        <f t="shared" ca="1" si="8"/>
        <v>6.47650155100522</v>
      </c>
      <c r="AM25" s="129">
        <f ca="1">SUMIF('AMD Calculations'!$AU$22:$AU$252,'Charges to party by investment'!AK25,'AMD Calculations'!$AY$22:$AY$252)</f>
        <v>22.281286980508121</v>
      </c>
      <c r="AN25" s="129">
        <v>8.6734409999999933</v>
      </c>
      <c r="AO25" s="129">
        <f ca="1">AV25*'Recovery amounts'!$J$17/'Recovery amounts'!$J$14</f>
        <v>0.85146952670211817</v>
      </c>
      <c r="AP25" s="130">
        <f t="shared" ca="1" si="9"/>
        <v>0.1597458564456806</v>
      </c>
      <c r="AQ25" s="130">
        <f t="shared" ca="1" si="10"/>
        <v>8.6507580956359922E-2</v>
      </c>
      <c r="AR25" s="162">
        <f t="shared" ca="1" si="1"/>
        <v>16.263425219795664</v>
      </c>
      <c r="AS25" s="468">
        <f>SUMIF('AMD Calculations'!$AU$22:$AU$252,'Charges to party by investment'!AK25,'AMD Calculations'!$AW$22:$AW$252)</f>
        <v>734.50650000000007</v>
      </c>
      <c r="AT25" s="445">
        <f t="shared" ca="1" si="11"/>
        <v>38.544712200303785</v>
      </c>
      <c r="AU25" s="162">
        <f t="shared" ca="1" si="12"/>
        <v>45.872683278011124</v>
      </c>
      <c r="AV25" s="162">
        <v>0.93424861249952051</v>
      </c>
      <c r="AW25" s="128"/>
      <c r="AX25" s="129"/>
      <c r="AY25" s="129"/>
      <c r="AZ25" s="631">
        <f t="shared" ca="1" si="13"/>
        <v>8.6507580956359922E-2</v>
      </c>
      <c r="BA25" s="83">
        <f t="shared" ca="1" si="2"/>
        <v>6.7546708930929164E-2</v>
      </c>
      <c r="BX25" s="70" t="str">
        <f t="shared" si="14"/>
        <v>Orion</v>
      </c>
      <c r="BY25" s="166">
        <f t="shared" ca="1" si="3"/>
        <v>6.47650155100522</v>
      </c>
      <c r="BZ25" s="166">
        <f t="shared" ca="1" si="4"/>
        <v>22.281286980508121</v>
      </c>
      <c r="CA25" s="166">
        <f t="shared" ca="1" si="5"/>
        <v>0.85146952670211817</v>
      </c>
      <c r="CB25" s="166">
        <f t="shared" ca="1" si="6"/>
        <v>16.263425219795664</v>
      </c>
      <c r="CC25" s="166">
        <f t="shared" ca="1" si="15"/>
        <v>45.872683278011124</v>
      </c>
    </row>
    <row r="26" spans="2:81" x14ac:dyDescent="0.3">
      <c r="B26" s="3"/>
      <c r="C26" s="4" t="s">
        <v>71</v>
      </c>
      <c r="D26" s="14"/>
      <c r="F26" s="134">
        <f ca="1">SUMIF('AMD Calculations'!$Z$22:$Z$652,'Charges to party by investment'!$C26,'AMD Calculations'!AE$22:AE$652)</f>
        <v>0</v>
      </c>
      <c r="G26" s="134">
        <f ca="1">SUMIF('AMD Calculations'!$Z$22:$Z$652,'Charges to party by investment'!$C26,'AMD Calculations'!AF$22:AF$652)</f>
        <v>0</v>
      </c>
      <c r="H26" s="134">
        <f ca="1">SUMIF('AMD Calculations'!$Z$22:$Z$652,'Charges to party by investment'!$C26,'AMD Calculations'!AG$22:AG$652)</f>
        <v>0</v>
      </c>
      <c r="I26" s="134">
        <f ca="1">SUMIF('AMD Calculations'!$Z$22:$Z$652,'Charges to party by investment'!$C26,'AMD Calculations'!AH$22:AH$652)</f>
        <v>0</v>
      </c>
      <c r="J26" s="134">
        <f ca="1">SUMIF('AMD Calculations'!$Z$22:$Z$652,'Charges to party by investment'!$C26,'AMD Calculations'!AI$22:AI$652)</f>
        <v>0</v>
      </c>
      <c r="K26" s="134">
        <f ca="1">SUMIF('AMD Calculations'!$Z$22:$Z$652,'Charges to party by investment'!$C26,'AMD Calculations'!AJ$22:AJ$652)</f>
        <v>0</v>
      </c>
      <c r="L26" s="134">
        <f ca="1">SUMIF('AMD Calculations'!$Z$22:$Z$652,'Charges to party by investment'!$C26,'AMD Calculations'!AK$22:AK$652)</f>
        <v>0</v>
      </c>
      <c r="M26" s="134">
        <f ca="1">SUMIF('AMD Calculations'!$Z$22:$Z$652,'Charges to party by investment'!$C26,'AMD Calculations'!AL$22:AL$652)</f>
        <v>0</v>
      </c>
      <c r="N26" s="134">
        <f ca="1">SUMIF('AMD Calculations'!$Z$22:$Z$652,'Charges to party by investment'!$C26,'AMD Calculations'!AM$22:AM$652)</f>
        <v>0</v>
      </c>
      <c r="O26" s="134">
        <f ca="1">SUMIF('AMD Calculations'!$Z$22:$Z$652,'Charges to party by investment'!$C26,'AMD Calculations'!AN$22:AN$652)</f>
        <v>0</v>
      </c>
      <c r="P26" s="134">
        <f ca="1">SUMIF('AMD Calculations'!$Z$22:$Z$652,'Charges to party by investment'!$C26,'AMD Calculations'!AO$22:AO$652)</f>
        <v>7.0663855743053783E-2</v>
      </c>
      <c r="Q26" s="134">
        <f ca="1">SUMIF('AMD Calculations'!$Z$22:$Z$652,'Charges to party by investment'!$C26,'AMD Calculations'!AP$22:AP$652)</f>
        <v>0</v>
      </c>
      <c r="R26" s="134">
        <f ca="1">SUMIF('AMD Calculations'!$Z$22:$Z$652,'Charges to party by investment'!$C26,'AMD Calculations'!AQ$22:AQ$652)</f>
        <v>0</v>
      </c>
      <c r="S26" s="18"/>
      <c r="T26" s="18"/>
      <c r="U26" s="18"/>
      <c r="V26" s="134">
        <f ca="1">SUMIFS('vSPD Benefits'!$F$3:$F$4996,'vSPD Benefits'!$A$3:$A$4996,'Charges to party by investment'!V$4,'vSPD Benefits'!$D$3:$D$4996,'Charges to party by investment'!$C26)*V$5/V$6</f>
        <v>0.43069890354728513</v>
      </c>
      <c r="W26" s="220">
        <f ca="1">SUMIFS('vSPD Benefits'!$F$3:$F$4996,'vSPD Benefits'!$A$3:$A$4996,'Charges to party by investment'!W$4,'vSPD Benefits'!$D$3:$D$4996,'Charges to party by investment'!$C26)*W$5/W$6</f>
        <v>0</v>
      </c>
      <c r="X26" s="220">
        <f ca="1">SUMIFS('vSPD Benefits'!$F$3:$F$4996,'vSPD Benefits'!$A$3:$A$4996,'Charges to party by investment'!X$4,'vSPD Benefits'!$D$3:$D$4996,'Charges to party by investment'!$C26)*X$5/X$6</f>
        <v>0</v>
      </c>
      <c r="Y26" s="220">
        <f ca="1">SUMIFS('vSPD Benefits'!$F$3:$F$4996,'vSPD Benefits'!$A$3:$A$4996,'Charges to party by investment'!Y$4,'vSPD Benefits'!$D$3:$D$4996,'Charges to party by investment'!$C26)*Y$5/Y$6</f>
        <v>0.11527194444824394</v>
      </c>
      <c r="Z26" s="220">
        <f ca="1">SUMIFS('vSPD Benefits'!$F$3:$F$4996,'vSPD Benefits'!$A$3:$A$4996,'Charges to party by investment'!Z$4,'vSPD Benefits'!$D$3:$D$4996,'Charges to party by investment'!$C26)*Z$5/Z$6</f>
        <v>0.147322531479186</v>
      </c>
      <c r="AA26" s="220">
        <f ca="1">SUMIFS('vSPD Benefits'!$F$3:$F$4996,'vSPD Benefits'!$A$3:$A$4996,'Charges to party by investment'!AA$4,'vSPD Benefits'!$D$3:$D$4996,'Charges to party by investment'!$C26)*AA$5/AA$6</f>
        <v>8.2004418037151652E-2</v>
      </c>
      <c r="AB26" s="134">
        <f>SUMIFS('vSPD Benefits'!$F$3:$F$4996,'vSPD Benefits'!$A$3:$A$4996,'Charges to party by investment'!AB$4,'vSPD Benefits'!$D$3:$D$4996,'Charges to party by investment'!$C26)</f>
        <v>0</v>
      </c>
      <c r="AC26" s="134">
        <f>SUMIFS('vSPD Benefits'!$F$3:$F$4996,'vSPD Benefits'!$A$3:$A$4996,'Charges to party by investment'!AC$4,'vSPD Benefits'!$D$3:$D$4996,'Charges to party by investment'!$C26)</f>
        <v>0</v>
      </c>
      <c r="AD26" s="134">
        <f>SUMIFS('vSPD Benefits'!$F$3:$F$4996,'vSPD Benefits'!$A$3:$A$4996,'Charges to party by investment'!AD$4,'vSPD Benefits'!$D$3:$D$4996,'Charges to party by investment'!$C26)</f>
        <v>0</v>
      </c>
      <c r="AE26" s="134">
        <f>SUMIFS('vSPD Benefits'!$F$3:$F$4996,'vSPD Benefits'!$A$3:$A$4996,'Charges to party by investment'!AE$4,'vSPD Benefits'!$D$3:$D$4996,'Charges to party by investment'!$C26)</f>
        <v>0</v>
      </c>
      <c r="AF26" s="134">
        <f>SUMIFS('vSPD Benefits'!$F$3:$F$4996,'vSPD Benefits'!$A$3:$A$4996,'Charges to party by investment'!AF$4,'vSPD Benefits'!$D$3:$D$4996,'Charges to party by investment'!$C26)</f>
        <v>0</v>
      </c>
      <c r="AG26" s="134">
        <f>SUMIFS('vSPD Benefits'!$F$3:$F$4996,'vSPD Benefits'!$A$3:$A$4996,'Charges to party by investment'!AG$4,'vSPD Benefits'!$D$3:$D$4996,'Charges to party by investment'!$C26)</f>
        <v>0</v>
      </c>
      <c r="AH26" s="134">
        <f>SUMIFS('vSPD Benefits'!$F$3:$F$4996,'vSPD Benefits'!$A$3:$A$4996,'Charges to party by investment'!AH$4,'vSPD Benefits'!$D$3:$D$4996,'Charges to party by investment'!$C26)</f>
        <v>0</v>
      </c>
      <c r="AJ26" s="116" t="str">
        <f>'Charges as $M per year'!A21</f>
        <v>OtagoNet JV</v>
      </c>
      <c r="AK26" s="128" t="str">
        <f t="shared" si="7"/>
        <v>OtagoNet JV</v>
      </c>
      <c r="AL26" s="129">
        <f t="shared" ca="1" si="8"/>
        <v>0.84596165325492045</v>
      </c>
      <c r="AM26" s="129">
        <f ca="1">SUMIF('AMD Calculations'!$AU$22:$AU$252,'Charges to party by investment'!AK26,'AMD Calculations'!$AY$22:$AY$252)</f>
        <v>2.2231916696431973</v>
      </c>
      <c r="AN26" s="129">
        <v>2.6046047400000005</v>
      </c>
      <c r="AO26" s="129">
        <f ca="1">AV26*'Recovery amounts'!$J$17/'Recovery amounts'!$J$14</f>
        <v>0</v>
      </c>
      <c r="AP26" s="130">
        <f t="shared" ca="1" si="9"/>
        <v>0.18030287361445857</v>
      </c>
      <c r="AQ26" s="130">
        <f t="shared" ca="1" si="10"/>
        <v>8.6315899755435941E-3</v>
      </c>
      <c r="AR26" s="162">
        <f t="shared" ca="1" si="1"/>
        <v>1.6227389154021956</v>
      </c>
      <c r="AS26" s="468">
        <f>SUMIF('AMD Calculations'!$AU$22:$AU$252,'Charges to party by investment'!AK26,'AMD Calculations'!$AW$22:$AW$252)</f>
        <v>73.287900000000008</v>
      </c>
      <c r="AT26" s="445">
        <f t="shared" ca="1" si="11"/>
        <v>3.8459305850453926</v>
      </c>
      <c r="AU26" s="162">
        <f t="shared" ca="1" si="12"/>
        <v>4.6918922383003139</v>
      </c>
      <c r="AV26" s="162">
        <v>0</v>
      </c>
      <c r="AW26" s="128"/>
      <c r="AX26" s="129"/>
      <c r="AY26" s="129"/>
      <c r="AZ26" s="631">
        <f t="shared" ca="1" si="13"/>
        <v>8.6315899755435941E-3</v>
      </c>
      <c r="BA26" s="83">
        <f t="shared" ca="1" si="2"/>
        <v>1.001088465147934E-2</v>
      </c>
      <c r="BX26" s="70" t="str">
        <f t="shared" si="14"/>
        <v>OtagoNet JV</v>
      </c>
      <c r="BY26" s="166">
        <f t="shared" ca="1" si="3"/>
        <v>0.84596165325492045</v>
      </c>
      <c r="BZ26" s="166">
        <f t="shared" ca="1" si="4"/>
        <v>2.2231916696431973</v>
      </c>
      <c r="CA26" s="166">
        <f t="shared" ca="1" si="5"/>
        <v>0</v>
      </c>
      <c r="CB26" s="166">
        <f t="shared" ca="1" si="6"/>
        <v>1.6227389154021956</v>
      </c>
      <c r="CC26" s="166">
        <f t="shared" ca="1" si="15"/>
        <v>4.6918922383003139</v>
      </c>
    </row>
    <row r="27" spans="2:81" x14ac:dyDescent="0.3">
      <c r="B27" s="3" t="s">
        <v>3</v>
      </c>
      <c r="C27" s="4" t="s">
        <v>28</v>
      </c>
      <c r="D27" s="14"/>
      <c r="F27" s="329">
        <f ca="1">SUMIF('AMD Calculations'!$Z$22:$Z$652,'Charges to party by investment'!$C27,'AMD Calculations'!AE$22:AE$652)</f>
        <v>0</v>
      </c>
      <c r="G27" s="329">
        <f ca="1">SUMIF('AMD Calculations'!$Z$22:$Z$652,'Charges to party by investment'!$C27,'AMD Calculations'!AF$22:AF$652)</f>
        <v>0</v>
      </c>
      <c r="H27" s="329">
        <f ca="1">SUMIF('AMD Calculations'!$Z$22:$Z$652,'Charges to party by investment'!$C27,'AMD Calculations'!AG$22:AG$652)</f>
        <v>0</v>
      </c>
      <c r="I27" s="329">
        <f ca="1">SUMIF('AMD Calculations'!$Z$22:$Z$652,'Charges to party by investment'!$C27,'AMD Calculations'!AH$22:AH$652)</f>
        <v>0</v>
      </c>
      <c r="J27" s="329">
        <f ca="1">SUMIF('AMD Calculations'!$Z$22:$Z$652,'Charges to party by investment'!$C27,'AMD Calculations'!AI$22:AI$652)</f>
        <v>0</v>
      </c>
      <c r="K27" s="329">
        <f ca="1">SUMIF('AMD Calculations'!$Z$22:$Z$652,'Charges to party by investment'!$C27,'AMD Calculations'!AJ$22:AJ$652)</f>
        <v>0</v>
      </c>
      <c r="L27" s="329">
        <f ca="1">SUMIF('AMD Calculations'!$Z$22:$Z$652,'Charges to party by investment'!$C27,'AMD Calculations'!AK$22:AK$652)</f>
        <v>0</v>
      </c>
      <c r="M27" s="329">
        <f ca="1">SUMIF('AMD Calculations'!$Z$22:$Z$652,'Charges to party by investment'!$C27,'AMD Calculations'!AL$22:AL$652)</f>
        <v>0</v>
      </c>
      <c r="N27" s="329">
        <f ca="1">SUMIF('AMD Calculations'!$Z$22:$Z$652,'Charges to party by investment'!$C27,'AMD Calculations'!AM$22:AM$652)</f>
        <v>0</v>
      </c>
      <c r="O27" s="329">
        <f ca="1">SUMIF('AMD Calculations'!$Z$22:$Z$652,'Charges to party by investment'!$C27,'AMD Calculations'!AN$22:AN$652)</f>
        <v>0</v>
      </c>
      <c r="P27" s="329">
        <f ca="1">SUMIF('AMD Calculations'!$Z$22:$Z$652,'Charges to party by investment'!$C27,'AMD Calculations'!AO$22:AO$652)</f>
        <v>0</v>
      </c>
      <c r="Q27" s="329">
        <f ca="1">SUMIF('AMD Calculations'!$Z$22:$Z$652,'Charges to party by investment'!$C27,'AMD Calculations'!AP$22:AP$652)</f>
        <v>0</v>
      </c>
      <c r="R27" s="329">
        <f ca="1">SUMIF('AMD Calculations'!$Z$22:$Z$652,'Charges to party by investment'!$C27,'AMD Calculations'!AQ$22:AQ$652)</f>
        <v>0</v>
      </c>
      <c r="S27" s="18"/>
      <c r="T27" s="18"/>
      <c r="U27" s="18"/>
      <c r="V27" s="329">
        <f ca="1">SUMIFS('vSPD Benefits'!$F$3:$F$4996,'vSPD Benefits'!$A$3:$A$4996,'Charges to party by investment'!V$4,'vSPD Benefits'!$D$3:$D$4996,'Charges to party by investment'!$C27)*V$5/V$6+SUMIFS('vSPD Benefits'!$F$3:$F$4996,'vSPD Benefits'!$A$3:$A$4996,'Charges to party by investment'!V$4,'vSPD Benefits'!$D$3:$D$4996,'Charges to party by investment'!$B27)*V$5/V$6</f>
        <v>4.7285078971959331</v>
      </c>
      <c r="W27" s="329">
        <f ca="1">SUMIFS('vSPD Benefits'!$F$3:$F$4996,'vSPD Benefits'!$A$3:$A$4996,'Charges to party by investment'!W$4,'vSPD Benefits'!$D$3:$D$4996,'Charges to party by investment'!$C27)*W$5/W$6+SUMIFS('vSPD Benefits'!$F$3:$F$4996,'vSPD Benefits'!$A$3:$A$4996,'Charges to party by investment'!W$4,'vSPD Benefits'!$D$3:$D$4996,'Charges to party by investment'!$B27)*W$5/W$6</f>
        <v>5.1541779472603491</v>
      </c>
      <c r="X27" s="329">
        <f ca="1">SUMIFS('vSPD Benefits'!$F$3:$F$4996,'vSPD Benefits'!$A$3:$A$4996,'Charges to party by investment'!X$4,'vSPD Benefits'!$D$3:$D$4996,'Charges to party by investment'!$C27)*X$5/X$6+SUMIFS('vSPD Benefits'!$F$3:$F$4996,'vSPD Benefits'!$A$3:$A$4996,'Charges to party by investment'!X$4,'vSPD Benefits'!$D$3:$D$4996,'Charges to party by investment'!$B27)*X$5/X$6</f>
        <v>6.1857940877534698</v>
      </c>
      <c r="Y27" s="329">
        <f ca="1">SUMIFS('vSPD Benefits'!$F$3:$F$4996,'vSPD Benefits'!$A$3:$A$4996,'Charges to party by investment'!Y$4,'vSPD Benefits'!$D$3:$D$4996,'Charges to party by investment'!$C27)*Y$5/Y$6+SUMIFS('vSPD Benefits'!$F$3:$F$4996,'vSPD Benefits'!$A$3:$A$4996,'Charges to party by investment'!Y$4,'vSPD Benefits'!$D$3:$D$4996,'Charges to party by investment'!$B27)*Y$5/Y$6</f>
        <v>1.7110833193498678</v>
      </c>
      <c r="Z27" s="329">
        <f ca="1">SUMIFS('vSPD Benefits'!$F$3:$F$4996,'vSPD Benefits'!$A$3:$A$4996,'Charges to party by investment'!Z$4,'vSPD Benefits'!$D$3:$D$4996,'Charges to party by investment'!$C27)*Z$5/Z$6+SUMIFS('vSPD Benefits'!$F$3:$F$4996,'vSPD Benefits'!$A$3:$A$4996,'Charges to party by investment'!Z$4,'vSPD Benefits'!$D$3:$D$4996,'Charges to party by investment'!$B27)*Z$5/Z$6</f>
        <v>9.1525160750872345E-3</v>
      </c>
      <c r="AA27" s="329">
        <f ca="1">SUMIFS('vSPD Benefits'!$F$3:$F$4996,'vSPD Benefits'!$A$3:$A$4996,'Charges to party by investment'!AA$4,'vSPD Benefits'!$D$3:$D$4996,'Charges to party by investment'!$C27)*AA$5/AA$6+SUMIFS('vSPD Benefits'!$F$3:$F$4996,'vSPD Benefits'!$A$3:$A$4996,'Charges to party by investment'!AA$4,'vSPD Benefits'!$D$3:$D$4996,'Charges to party by investment'!$B27)*AA$5/AA$6</f>
        <v>1.4705057703505029</v>
      </c>
      <c r="AB27" s="134">
        <f>SUMIFS('vSPD Benefits'!$F$3:$F$4996,'vSPD Benefits'!$A$3:$A$4996,'Charges to party by investment'!AB$4,'vSPD Benefits'!$D$3:$D$4996,'Charges to party by investment'!$C27)</f>
        <v>0</v>
      </c>
      <c r="AC27" s="134">
        <f>SUMIFS('vSPD Benefits'!$F$3:$F$4996,'vSPD Benefits'!$A$3:$A$4996,'Charges to party by investment'!AC$4,'vSPD Benefits'!$D$3:$D$4996,'Charges to party by investment'!$C27)</f>
        <v>0</v>
      </c>
      <c r="AD27" s="134">
        <f>SUMIFS('vSPD Benefits'!$F$3:$F$4996,'vSPD Benefits'!$A$3:$A$4996,'Charges to party by investment'!AD$4,'vSPD Benefits'!$D$3:$D$4996,'Charges to party by investment'!$C27)</f>
        <v>0</v>
      </c>
      <c r="AE27" s="134">
        <f>SUMIFS('vSPD Benefits'!$F$3:$F$4996,'vSPD Benefits'!$A$3:$A$4996,'Charges to party by investment'!AE$4,'vSPD Benefits'!$D$3:$D$4996,'Charges to party by investment'!$C27)</f>
        <v>0</v>
      </c>
      <c r="AF27" s="134">
        <f>SUMIFS('vSPD Benefits'!$F$3:$F$4996,'vSPD Benefits'!$A$3:$A$4996,'Charges to party by investment'!AF$4,'vSPD Benefits'!$D$3:$D$4996,'Charges to party by investment'!$C27)</f>
        <v>0</v>
      </c>
      <c r="AG27" s="134">
        <f>SUMIFS('vSPD Benefits'!$F$3:$F$4996,'vSPD Benefits'!$A$3:$A$4996,'Charges to party by investment'!AG$4,'vSPD Benefits'!$D$3:$D$4996,'Charges to party by investment'!$C27)</f>
        <v>0</v>
      </c>
      <c r="AH27" s="134">
        <f>SUMIFS('vSPD Benefits'!$F$3:$F$4996,'vSPD Benefits'!$A$3:$A$4996,'Charges to party by investment'!AH$4,'vSPD Benefits'!$D$3:$D$4996,'Charges to party by investment'!$C27)</f>
        <v>0</v>
      </c>
      <c r="AJ27" s="116" t="str">
        <f>'Charges as $M per year'!A22</f>
        <v>Powerco</v>
      </c>
      <c r="AK27" s="632" t="str">
        <f t="shared" si="7"/>
        <v>Powerco</v>
      </c>
      <c r="AL27" s="129">
        <f t="shared" ca="1" si="8"/>
        <v>19.259221537985212</v>
      </c>
      <c r="AM27" s="129">
        <f ca="1">SUMIF('AMD Calculations'!$AU$22:$AU$252,'Charges to party by investment'!AK27,'AMD Calculations'!$AY$22:$AY$252)</f>
        <v>33.216521270713621</v>
      </c>
      <c r="AN27" s="129">
        <v>16.323840489999963</v>
      </c>
      <c r="AO27" s="332">
        <f ca="1">AV27*'Recovery amounts'!$J$17/'Recovery amounts'!$J$14+AV52*'Recovery amounts'!$J$17/'Recovery amounts'!$J$14</f>
        <v>0.42458726673135005</v>
      </c>
      <c r="AP27" s="130">
        <f t="shared" ca="1" si="9"/>
        <v>0.25515162136211728</v>
      </c>
      <c r="AQ27" s="130">
        <f t="shared" ca="1" si="10"/>
        <v>0.12896386575105193</v>
      </c>
      <c r="AR27" s="162">
        <f t="shared" ca="1" si="1"/>
        <v>24.24520676119776</v>
      </c>
      <c r="AS27" s="468">
        <f>SUMIF('AMD Calculations'!$AU$22:$AU$252,'Charges to party by investment'!AK27,'AMD Calculations'!$AW$22:$AW$252)</f>
        <v>1094.9883999999995</v>
      </c>
      <c r="AT27" s="445">
        <f t="shared" ca="1" si="11"/>
        <v>57.461728031911377</v>
      </c>
      <c r="AU27" s="468">
        <f t="shared" ca="1" si="12"/>
        <v>77.14553683662794</v>
      </c>
      <c r="AV27" s="162">
        <v>0.42784377825001829</v>
      </c>
      <c r="AW27" s="128"/>
      <c r="AX27" s="129"/>
      <c r="AY27" s="129"/>
      <c r="AZ27" s="631">
        <f t="shared" ca="1" si="13"/>
        <v>0.12896386575105193</v>
      </c>
      <c r="BA27" s="83">
        <f t="shared" ca="1" si="2"/>
        <v>0.1221404189150207</v>
      </c>
      <c r="BX27" s="70" t="str">
        <f t="shared" si="14"/>
        <v>Powerco</v>
      </c>
      <c r="BY27" s="166">
        <f t="shared" ca="1" si="3"/>
        <v>19.259221537985212</v>
      </c>
      <c r="BZ27" s="166">
        <f t="shared" ca="1" si="4"/>
        <v>33.216521270713621</v>
      </c>
      <c r="CA27" s="166">
        <f t="shared" ca="1" si="5"/>
        <v>0.42458726673135005</v>
      </c>
      <c r="CB27" s="166">
        <f t="shared" ca="1" si="6"/>
        <v>24.24520676119776</v>
      </c>
      <c r="CC27" s="166">
        <f t="shared" ca="1" si="15"/>
        <v>77.14553683662794</v>
      </c>
    </row>
    <row r="28" spans="2:81" x14ac:dyDescent="0.3">
      <c r="B28" s="3"/>
      <c r="C28" s="4" t="s">
        <v>31</v>
      </c>
      <c r="D28" s="14"/>
      <c r="F28" s="134">
        <f ca="1">SUMIF('AMD Calculations'!$Z$22:$Z$652,'Charges to party by investment'!$C28,'AMD Calculations'!AE$22:AE$652)</f>
        <v>0</v>
      </c>
      <c r="G28" s="134">
        <f ca="1">SUMIF('AMD Calculations'!$Z$22:$Z$652,'Charges to party by investment'!$C28,'AMD Calculations'!AF$22:AF$652)</f>
        <v>0</v>
      </c>
      <c r="H28" s="134">
        <f ca="1">SUMIF('AMD Calculations'!$Z$22:$Z$652,'Charges to party by investment'!$C28,'AMD Calculations'!AG$22:AG$652)</f>
        <v>0</v>
      </c>
      <c r="I28" s="134">
        <f ca="1">SUMIF('AMD Calculations'!$Z$22:$Z$652,'Charges to party by investment'!$C28,'AMD Calculations'!AH$22:AH$652)</f>
        <v>0</v>
      </c>
      <c r="J28" s="134">
        <f ca="1">SUMIF('AMD Calculations'!$Z$22:$Z$652,'Charges to party by investment'!$C28,'AMD Calculations'!AI$22:AI$652)</f>
        <v>0</v>
      </c>
      <c r="K28" s="134">
        <f ca="1">SUMIF('AMD Calculations'!$Z$22:$Z$652,'Charges to party by investment'!$C28,'AMD Calculations'!AJ$22:AJ$652)</f>
        <v>0</v>
      </c>
      <c r="L28" s="134">
        <f ca="1">SUMIF('AMD Calculations'!$Z$22:$Z$652,'Charges to party by investment'!$C28,'AMD Calculations'!AK$22:AK$652)</f>
        <v>0</v>
      </c>
      <c r="M28" s="134">
        <f ca="1">SUMIF('AMD Calculations'!$Z$22:$Z$652,'Charges to party by investment'!$C28,'AMD Calculations'!AL$22:AL$652)</f>
        <v>0</v>
      </c>
      <c r="N28" s="134">
        <f ca="1">SUMIF('AMD Calculations'!$Z$22:$Z$652,'Charges to party by investment'!$C28,'AMD Calculations'!AM$22:AM$652)</f>
        <v>0</v>
      </c>
      <c r="O28" s="134">
        <f ca="1">SUMIF('AMD Calculations'!$Z$22:$Z$652,'Charges to party by investment'!$C28,'AMD Calculations'!AN$22:AN$652)</f>
        <v>0</v>
      </c>
      <c r="P28" s="134">
        <f ca="1">SUMIF('AMD Calculations'!$Z$22:$Z$652,'Charges to party by investment'!$C28,'AMD Calculations'!AO$22:AO$652)</f>
        <v>0</v>
      </c>
      <c r="Q28" s="134">
        <f ca="1">SUMIF('AMD Calculations'!$Z$22:$Z$652,'Charges to party by investment'!$C28,'AMD Calculations'!AP$22:AP$652)</f>
        <v>0</v>
      </c>
      <c r="R28" s="134">
        <f ca="1">SUMIF('AMD Calculations'!$Z$22:$Z$652,'Charges to party by investment'!$C28,'AMD Calculations'!AQ$22:AQ$652)</f>
        <v>0</v>
      </c>
      <c r="S28" s="18"/>
      <c r="T28" s="18"/>
      <c r="U28" s="18"/>
      <c r="V28" s="134">
        <f ca="1">SUMIFS('vSPD Benefits'!$F$3:$F$4996,'vSPD Benefits'!$A$3:$A$4996,'Charges to party by investment'!V$4,'vSPD Benefits'!$D$3:$D$4996,'Charges to party by investment'!$C28)*V$5/V$6</f>
        <v>7.4803994203897467E-2</v>
      </c>
      <c r="W28" s="220">
        <f ca="1">SUMIFS('vSPD Benefits'!$F$3:$F$4996,'vSPD Benefits'!$A$3:$A$4996,'Charges to party by investment'!W$4,'vSPD Benefits'!$D$3:$D$4996,'Charges to party by investment'!$C28)*W$5/W$6</f>
        <v>9.9943646758970411E-2</v>
      </c>
      <c r="X28" s="220">
        <f ca="1">SUMIFS('vSPD Benefits'!$F$3:$F$4996,'vSPD Benefits'!$A$3:$A$4996,'Charges to party by investment'!X$4,'vSPD Benefits'!$D$3:$D$4996,'Charges to party by investment'!$C28)*X$5/X$6</f>
        <v>0.11242964548493829</v>
      </c>
      <c r="Y28" s="220">
        <f ca="1">SUMIFS('vSPD Benefits'!$F$3:$F$4996,'vSPD Benefits'!$A$3:$A$4996,'Charges to party by investment'!Y$4,'vSPD Benefits'!$D$3:$D$4996,'Charges to party by investment'!$C28)*Y$5/Y$6</f>
        <v>2.9803857467747927E-2</v>
      </c>
      <c r="Z28" s="220">
        <f ca="1">SUMIFS('vSPD Benefits'!$F$3:$F$4996,'vSPD Benefits'!$A$3:$A$4996,'Charges to party by investment'!Z$4,'vSPD Benefits'!$D$3:$D$4996,'Charges to party by investment'!$C28)*Z$5/Z$6</f>
        <v>2.9256570518597683E-4</v>
      </c>
      <c r="AA28" s="220">
        <f ca="1">SUMIFS('vSPD Benefits'!$F$3:$F$4996,'vSPD Benefits'!$A$3:$A$4996,'Charges to party by investment'!AA$4,'vSPD Benefits'!$D$3:$D$4996,'Charges to party by investment'!$C28)*AA$5/AA$6</f>
        <v>2.2831530284152381E-2</v>
      </c>
      <c r="AB28" s="134">
        <f>SUMIFS('vSPD Benefits'!$F$3:$F$4996,'vSPD Benefits'!$A$3:$A$4996,'Charges to party by investment'!AB$4,'vSPD Benefits'!$D$3:$D$4996,'Charges to party by investment'!$C28)</f>
        <v>0</v>
      </c>
      <c r="AC28" s="134">
        <f>SUMIFS('vSPD Benefits'!$F$3:$F$4996,'vSPD Benefits'!$A$3:$A$4996,'Charges to party by investment'!AC$4,'vSPD Benefits'!$D$3:$D$4996,'Charges to party by investment'!$C28)</f>
        <v>0</v>
      </c>
      <c r="AD28" s="134">
        <f>SUMIFS('vSPD Benefits'!$F$3:$F$4996,'vSPD Benefits'!$A$3:$A$4996,'Charges to party by investment'!AD$4,'vSPD Benefits'!$D$3:$D$4996,'Charges to party by investment'!$C28)</f>
        <v>0</v>
      </c>
      <c r="AE28" s="134">
        <f>SUMIFS('vSPD Benefits'!$F$3:$F$4996,'vSPD Benefits'!$A$3:$A$4996,'Charges to party by investment'!AE$4,'vSPD Benefits'!$D$3:$D$4996,'Charges to party by investment'!$C28)</f>
        <v>0</v>
      </c>
      <c r="AF28" s="134">
        <f>SUMIFS('vSPD Benefits'!$F$3:$F$4996,'vSPD Benefits'!$A$3:$A$4996,'Charges to party by investment'!AF$4,'vSPD Benefits'!$D$3:$D$4996,'Charges to party by investment'!$C28)</f>
        <v>0</v>
      </c>
      <c r="AG28" s="134">
        <f>SUMIFS('vSPD Benefits'!$F$3:$F$4996,'vSPD Benefits'!$A$3:$A$4996,'Charges to party by investment'!AG$4,'vSPD Benefits'!$D$3:$D$4996,'Charges to party by investment'!$C28)</f>
        <v>0</v>
      </c>
      <c r="AH28" s="134">
        <f>SUMIFS('vSPD Benefits'!$F$3:$F$4996,'vSPD Benefits'!$A$3:$A$4996,'Charges to party by investment'!AH$4,'vSPD Benefits'!$D$3:$D$4996,'Charges to party by investment'!$C28)</f>
        <v>0</v>
      </c>
      <c r="AJ28" s="116" t="str">
        <f>'Charges as $M per year'!A23</f>
        <v>Scanpower</v>
      </c>
      <c r="AK28" s="128" t="str">
        <f t="shared" si="7"/>
        <v>Scanpower</v>
      </c>
      <c r="AL28" s="129">
        <f t="shared" ca="1" si="8"/>
        <v>0.34010523990489244</v>
      </c>
      <c r="AM28" s="129">
        <f ca="1">SUMIF('AMD Calculations'!$AU$22:$AU$252,'Charges to party by investment'!AK28,'AMD Calculations'!$AY$22:$AY$252)</f>
        <v>0.46631029604825941</v>
      </c>
      <c r="AN28" s="129">
        <v>0.54767798000000012</v>
      </c>
      <c r="AO28" s="129">
        <f ca="1">AV28*'Recovery amounts'!$J$17/'Recovery amounts'!$J$14</f>
        <v>7.9774830260458795E-3</v>
      </c>
      <c r="AP28" s="130">
        <f t="shared" ca="1" si="9"/>
        <v>0.30143309600501933</v>
      </c>
      <c r="AQ28" s="130">
        <f t="shared" ca="1" si="10"/>
        <v>1.8104598590498041E-3</v>
      </c>
      <c r="AR28" s="162">
        <f t="shared" ca="1" si="1"/>
        <v>0.34036645350136319</v>
      </c>
      <c r="AS28" s="468">
        <f>SUMIF('AMD Calculations'!$AU$22:$AU$252,'Charges to party by investment'!AK28,'AMD Calculations'!$AW$22:$AW$252)</f>
        <v>15.372</v>
      </c>
      <c r="AT28" s="445">
        <f t="shared" ca="1" si="11"/>
        <v>0.80667674954962254</v>
      </c>
      <c r="AU28" s="162">
        <f t="shared" ca="1" si="12"/>
        <v>1.154759472480561</v>
      </c>
      <c r="AV28" s="162">
        <v>8.7530466030749845E-3</v>
      </c>
      <c r="AW28" s="128"/>
      <c r="AX28" s="129"/>
      <c r="AY28" s="129"/>
      <c r="AZ28" s="631">
        <f t="shared" ca="1" si="13"/>
        <v>1.8104598590498041E-3</v>
      </c>
      <c r="BA28" s="83">
        <f t="shared" ca="1" si="2"/>
        <v>2.4032634995615311E-3</v>
      </c>
      <c r="BX28" s="70" t="str">
        <f t="shared" si="14"/>
        <v>Scanpower</v>
      </c>
      <c r="BY28" s="166">
        <f t="shared" ca="1" si="3"/>
        <v>0.34010523990489244</v>
      </c>
      <c r="BZ28" s="166">
        <f t="shared" ca="1" si="4"/>
        <v>0.46631029604825941</v>
      </c>
      <c r="CA28" s="166">
        <f t="shared" ca="1" si="5"/>
        <v>7.9774830260458795E-3</v>
      </c>
      <c r="CB28" s="166">
        <f t="shared" ca="1" si="6"/>
        <v>0.34036645350136319</v>
      </c>
      <c r="CC28" s="166">
        <f t="shared" ca="1" si="15"/>
        <v>1.154759472480561</v>
      </c>
    </row>
    <row r="29" spans="2:81" x14ac:dyDescent="0.3">
      <c r="B29" s="3"/>
      <c r="C29" s="4" t="s">
        <v>32</v>
      </c>
      <c r="D29" s="14"/>
      <c r="F29" s="134">
        <f ca="1">SUMIF('AMD Calculations'!$Z$22:$Z$652,'Charges to party by investment'!$C29,'AMD Calculations'!AE$22:AE$652)</f>
        <v>0</v>
      </c>
      <c r="G29" s="134">
        <f ca="1">SUMIF('AMD Calculations'!$Z$22:$Z$652,'Charges to party by investment'!$C29,'AMD Calculations'!AF$22:AF$652)</f>
        <v>0</v>
      </c>
      <c r="H29" s="134">
        <f ca="1">SUMIF('AMD Calculations'!$Z$22:$Z$652,'Charges to party by investment'!$C29,'AMD Calculations'!AG$22:AG$652)</f>
        <v>0</v>
      </c>
      <c r="I29" s="134">
        <f ca="1">SUMIF('AMD Calculations'!$Z$22:$Z$652,'Charges to party by investment'!$C29,'AMD Calculations'!AH$22:AH$652)</f>
        <v>0</v>
      </c>
      <c r="J29" s="134">
        <f ca="1">SUMIF('AMD Calculations'!$Z$22:$Z$652,'Charges to party by investment'!$C29,'AMD Calculations'!AI$22:AI$652)</f>
        <v>0</v>
      </c>
      <c r="K29" s="134">
        <f ca="1">SUMIF('AMD Calculations'!$Z$22:$Z$652,'Charges to party by investment'!$C29,'AMD Calculations'!AJ$22:AJ$652)</f>
        <v>0</v>
      </c>
      <c r="L29" s="134">
        <f ca="1">SUMIF('AMD Calculations'!$Z$22:$Z$652,'Charges to party by investment'!$C29,'AMD Calculations'!AK$22:AK$652)</f>
        <v>0</v>
      </c>
      <c r="M29" s="134">
        <f ca="1">SUMIF('AMD Calculations'!$Z$22:$Z$652,'Charges to party by investment'!$C29,'AMD Calculations'!AL$22:AL$652)</f>
        <v>0</v>
      </c>
      <c r="N29" s="134">
        <f ca="1">SUMIF('AMD Calculations'!$Z$22:$Z$652,'Charges to party by investment'!$C29,'AMD Calculations'!AM$22:AM$652)</f>
        <v>0</v>
      </c>
      <c r="O29" s="134">
        <f ca="1">SUMIF('AMD Calculations'!$Z$22:$Z$652,'Charges to party by investment'!$C29,'AMD Calculations'!AN$22:AN$652)</f>
        <v>0</v>
      </c>
      <c r="P29" s="134">
        <f ca="1">SUMIF('AMD Calculations'!$Z$22:$Z$652,'Charges to party by investment'!$C29,'AMD Calculations'!AO$22:AO$652)</f>
        <v>0</v>
      </c>
      <c r="Q29" s="134">
        <f ca="1">SUMIF('AMD Calculations'!$Z$22:$Z$652,'Charges to party by investment'!$C29,'AMD Calculations'!AP$22:AP$652)</f>
        <v>0</v>
      </c>
      <c r="R29" s="134">
        <f ca="1">SUMIF('AMD Calculations'!$Z$22:$Z$652,'Charges to party by investment'!$C29,'AMD Calculations'!AQ$22:AQ$652)</f>
        <v>0</v>
      </c>
      <c r="S29" s="18"/>
      <c r="T29" s="18"/>
      <c r="U29" s="18"/>
      <c r="V29" s="134">
        <f ca="1">SUMIFS('vSPD Benefits'!$F$3:$F$4996,'vSPD Benefits'!$A$3:$A$4996,'Charges to party by investment'!V$4,'vSPD Benefits'!$D$3:$D$4996,'Charges to party by investment'!$C29)*V$5/V$6</f>
        <v>0.23379196840868344</v>
      </c>
      <c r="W29" s="220">
        <f ca="1">SUMIFS('vSPD Benefits'!$F$3:$F$4996,'vSPD Benefits'!$A$3:$A$4996,'Charges to party by investment'!W$4,'vSPD Benefits'!$D$3:$D$4996,'Charges to party by investment'!$C29)*W$5/W$6</f>
        <v>0.23985033773223854</v>
      </c>
      <c r="X29" s="220">
        <f ca="1">SUMIFS('vSPD Benefits'!$F$3:$F$4996,'vSPD Benefits'!$A$3:$A$4996,'Charges to party by investment'!X$4,'vSPD Benefits'!$D$3:$D$4996,'Charges to party by investment'!$C29)*X$5/X$6</f>
        <v>0.2671274728921027</v>
      </c>
      <c r="Y29" s="220">
        <f ca="1">SUMIFS('vSPD Benefits'!$F$3:$F$4996,'vSPD Benefits'!$A$3:$A$4996,'Charges to party by investment'!Y$4,'vSPD Benefits'!$D$3:$D$4996,'Charges to party by investment'!$C29)*Y$5/Y$6</f>
        <v>8.3711532145726408E-2</v>
      </c>
      <c r="Z29" s="220">
        <f ca="1">SUMIFS('vSPD Benefits'!$F$3:$F$4996,'vSPD Benefits'!$A$3:$A$4996,'Charges to party by investment'!Z$4,'vSPD Benefits'!$D$3:$D$4996,'Charges to party by investment'!$C29)*Z$5/Z$6</f>
        <v>2.6977761980456071E-3</v>
      </c>
      <c r="AA29" s="220">
        <f ca="1">SUMIFS('vSPD Benefits'!$F$3:$F$4996,'vSPD Benefits'!$A$3:$A$4996,'Charges to party by investment'!AA$4,'vSPD Benefits'!$D$3:$D$4996,'Charges to party by investment'!$C29)*AA$5/AA$6</f>
        <v>8.2346676478545613E-2</v>
      </c>
      <c r="AB29" s="134">
        <f>SUMIFS('vSPD Benefits'!$F$3:$F$4996,'vSPD Benefits'!$A$3:$A$4996,'Charges to party by investment'!AB$4,'vSPD Benefits'!$D$3:$D$4996,'Charges to party by investment'!$C29)</f>
        <v>0</v>
      </c>
      <c r="AC29" s="134">
        <f>SUMIFS('vSPD Benefits'!$F$3:$F$4996,'vSPD Benefits'!$A$3:$A$4996,'Charges to party by investment'!AC$4,'vSPD Benefits'!$D$3:$D$4996,'Charges to party by investment'!$C29)</f>
        <v>0</v>
      </c>
      <c r="AD29" s="134">
        <f>SUMIFS('vSPD Benefits'!$F$3:$F$4996,'vSPD Benefits'!$A$3:$A$4996,'Charges to party by investment'!AD$4,'vSPD Benefits'!$D$3:$D$4996,'Charges to party by investment'!$C29)</f>
        <v>0</v>
      </c>
      <c r="AE29" s="134">
        <f>SUMIFS('vSPD Benefits'!$F$3:$F$4996,'vSPD Benefits'!$A$3:$A$4996,'Charges to party by investment'!AE$4,'vSPD Benefits'!$D$3:$D$4996,'Charges to party by investment'!$C29)</f>
        <v>0</v>
      </c>
      <c r="AF29" s="134">
        <f>SUMIFS('vSPD Benefits'!$F$3:$F$4996,'vSPD Benefits'!$A$3:$A$4996,'Charges to party by investment'!AF$4,'vSPD Benefits'!$D$3:$D$4996,'Charges to party by investment'!$C29)</f>
        <v>0</v>
      </c>
      <c r="AG29" s="134">
        <f>SUMIFS('vSPD Benefits'!$F$3:$F$4996,'vSPD Benefits'!$A$3:$A$4996,'Charges to party by investment'!AG$4,'vSPD Benefits'!$D$3:$D$4996,'Charges to party by investment'!$C29)</f>
        <v>0</v>
      </c>
      <c r="AH29" s="134">
        <f>SUMIFS('vSPD Benefits'!$F$3:$F$4996,'vSPD Benefits'!$A$3:$A$4996,'Charges to party by investment'!AH$4,'vSPD Benefits'!$D$3:$D$4996,'Charges to party by investment'!$C29)</f>
        <v>0</v>
      </c>
      <c r="AJ29" s="116" t="str">
        <f>'Charges as $M per year'!A24</f>
        <v>The Lines Company</v>
      </c>
      <c r="AK29" s="128" t="str">
        <f t="shared" si="7"/>
        <v>The Lines Company</v>
      </c>
      <c r="AL29" s="129">
        <f t="shared" ca="1" si="8"/>
        <v>0.90952576385534223</v>
      </c>
      <c r="AM29" s="129">
        <f ca="1">SUMIF('AMD Calculations'!$AU$22:$AU$252,'Charges to party by investment'!AK29,'AMD Calculations'!$AY$22:$AY$252)</f>
        <v>2.3121855881649753</v>
      </c>
      <c r="AN29" s="129">
        <v>1.6645887099999996</v>
      </c>
      <c r="AO29" s="129">
        <f ca="1">AV29*'Recovery amounts'!$J$17/'Recovery amounts'!$J$14</f>
        <v>2.8927327157017672E-2</v>
      </c>
      <c r="AP29" s="130">
        <f t="shared" ca="1" si="9"/>
        <v>0.19003429176704495</v>
      </c>
      <c r="AQ29" s="130">
        <f t="shared" ca="1" si="10"/>
        <v>8.9771107983704461E-3</v>
      </c>
      <c r="AR29" s="162">
        <f t="shared" ca="1" si="1"/>
        <v>1.6876968300936439</v>
      </c>
      <c r="AS29" s="468">
        <f>SUMIF('AMD Calculations'!$AU$22:$AU$252,'Charges to party by investment'!AK29,'AMD Calculations'!$AW$22:$AW$252)</f>
        <v>76.221599999999981</v>
      </c>
      <c r="AT29" s="445">
        <f t="shared" ca="1" si="11"/>
        <v>3.9998824182586192</v>
      </c>
      <c r="AU29" s="162">
        <f t="shared" ca="1" si="12"/>
        <v>4.9383355092709795</v>
      </c>
      <c r="AV29" s="162">
        <v>3.1739615349990223E-2</v>
      </c>
      <c r="AW29" s="128"/>
      <c r="AX29" s="129"/>
      <c r="AY29" s="129"/>
      <c r="AZ29" s="631">
        <f t="shared" ca="1" si="13"/>
        <v>8.9771107983704461E-3</v>
      </c>
      <c r="BA29" s="83">
        <f t="shared" ca="1" si="2"/>
        <v>8.6725189695015404E-3</v>
      </c>
      <c r="BX29" s="70" t="str">
        <f t="shared" si="14"/>
        <v>The Lines Company</v>
      </c>
      <c r="BY29" s="166">
        <f t="shared" ca="1" si="3"/>
        <v>0.90952576385534223</v>
      </c>
      <c r="BZ29" s="166">
        <f t="shared" ca="1" si="4"/>
        <v>2.3121855881649753</v>
      </c>
      <c r="CA29" s="166">
        <f t="shared" ca="1" si="5"/>
        <v>2.8927327157017672E-2</v>
      </c>
      <c r="CB29" s="166">
        <f t="shared" ca="1" si="6"/>
        <v>1.6876968300936439</v>
      </c>
      <c r="CC29" s="166">
        <f t="shared" ca="1" si="15"/>
        <v>4.9383355092709795</v>
      </c>
    </row>
    <row r="30" spans="2:81" x14ac:dyDescent="0.3">
      <c r="B30" s="3"/>
      <c r="C30" s="4" t="s">
        <v>73</v>
      </c>
      <c r="D30" s="14"/>
      <c r="F30" s="134">
        <f ca="1">SUMIF('AMD Calculations'!$Z$22:$Z$652,'Charges to party by investment'!$C30,'AMD Calculations'!AE$22:AE$652)</f>
        <v>0</v>
      </c>
      <c r="G30" s="134">
        <f ca="1">SUMIF('AMD Calculations'!$Z$22:$Z$652,'Charges to party by investment'!$C30,'AMD Calculations'!AF$22:AF$652)</f>
        <v>0</v>
      </c>
      <c r="H30" s="134">
        <f ca="1">SUMIF('AMD Calculations'!$Z$22:$Z$652,'Charges to party by investment'!$C30,'AMD Calculations'!AG$22:AG$652)</f>
        <v>0</v>
      </c>
      <c r="I30" s="134">
        <f ca="1">SUMIF('AMD Calculations'!$Z$22:$Z$652,'Charges to party by investment'!$C30,'AMD Calculations'!AH$22:AH$652)</f>
        <v>0</v>
      </c>
      <c r="J30" s="134">
        <f ca="1">SUMIF('AMD Calculations'!$Z$22:$Z$652,'Charges to party by investment'!$C30,'AMD Calculations'!AI$22:AI$652)</f>
        <v>0</v>
      </c>
      <c r="K30" s="134">
        <f ca="1">SUMIF('AMD Calculations'!$Z$22:$Z$652,'Charges to party by investment'!$C30,'AMD Calculations'!AJ$22:AJ$652)</f>
        <v>0</v>
      </c>
      <c r="L30" s="134">
        <f ca="1">SUMIF('AMD Calculations'!$Z$22:$Z$652,'Charges to party by investment'!$C30,'AMD Calculations'!AK$22:AK$652)</f>
        <v>0</v>
      </c>
      <c r="M30" s="134">
        <f ca="1">SUMIF('AMD Calculations'!$Z$22:$Z$652,'Charges to party by investment'!$C30,'AMD Calculations'!AL$22:AL$652)</f>
        <v>0</v>
      </c>
      <c r="N30" s="134">
        <f ca="1">SUMIF('AMD Calculations'!$Z$22:$Z$652,'Charges to party by investment'!$C30,'AMD Calculations'!AM$22:AM$652)</f>
        <v>0</v>
      </c>
      <c r="O30" s="134">
        <f ca="1">SUMIF('AMD Calculations'!$Z$22:$Z$652,'Charges to party by investment'!$C30,'AMD Calculations'!AN$22:AN$652)</f>
        <v>0</v>
      </c>
      <c r="P30" s="134">
        <f ca="1">SUMIF('AMD Calculations'!$Z$22:$Z$652,'Charges to party by investment'!$C30,'AMD Calculations'!AO$22:AO$652)</f>
        <v>0.23685883762166748</v>
      </c>
      <c r="Q30" s="134">
        <f ca="1">SUMIF('AMD Calculations'!$Z$22:$Z$652,'Charges to party by investment'!$C30,'AMD Calculations'!AP$22:AP$652)</f>
        <v>0</v>
      </c>
      <c r="R30" s="134">
        <f ca="1">SUMIF('AMD Calculations'!$Z$22:$Z$652,'Charges to party by investment'!$C30,'AMD Calculations'!AQ$22:AQ$652)</f>
        <v>0</v>
      </c>
      <c r="S30" s="18"/>
      <c r="T30" s="18"/>
      <c r="U30" s="18"/>
      <c r="V30" s="134">
        <f ca="1">SUMIFS('vSPD Benefits'!$F$3:$F$4996,'vSPD Benefits'!$A$3:$A$4996,'Charges to party by investment'!V$4,'vSPD Benefits'!$D$3:$D$4996,'Charges to party by investment'!$C30)*V$5/V$6</f>
        <v>0.66414180637302533</v>
      </c>
      <c r="W30" s="221">
        <f ca="1">SUMIFS('vSPD Benefits'!$F$3:$F$4996,'vSPD Benefits'!$A$3:$A$4996,'Charges to party by investment'!W$4,'vSPD Benefits'!$D$3:$D$4996,'Charges to party by investment'!$C30)*W$5/W$6</f>
        <v>0</v>
      </c>
      <c r="X30" s="221">
        <f ca="1">SUMIFS('vSPD Benefits'!$F$3:$F$4996,'vSPD Benefits'!$A$3:$A$4996,'Charges to party by investment'!X$4,'vSPD Benefits'!$D$3:$D$4996,'Charges to party by investment'!$C30)*X$5/X$6</f>
        <v>0</v>
      </c>
      <c r="Y30" s="221">
        <f ca="1">SUMIFS('vSPD Benefits'!$F$3:$F$4996,'vSPD Benefits'!$A$3:$A$4996,'Charges to party by investment'!Y$4,'vSPD Benefits'!$D$3:$D$4996,'Charges to party by investment'!$C30)*Y$5/Y$6</f>
        <v>0.22475174662318123</v>
      </c>
      <c r="Z30" s="221">
        <f ca="1">SUMIFS('vSPD Benefits'!$F$3:$F$4996,'vSPD Benefits'!$A$3:$A$4996,'Charges to party by investment'!Z$4,'vSPD Benefits'!$D$3:$D$4996,'Charges to party by investment'!$C30)*Z$5/Z$6</f>
        <v>0.3070683839090898</v>
      </c>
      <c r="AA30" s="221">
        <f ca="1">SUMIFS('vSPD Benefits'!$F$3:$F$4996,'vSPD Benefits'!$A$3:$A$4996,'Charges to party by investment'!AA$4,'vSPD Benefits'!$D$3:$D$4996,'Charges to party by investment'!$C30)*AA$5/AA$6</f>
        <v>0.16724532903487016</v>
      </c>
      <c r="AB30" s="134">
        <f>SUMIFS('vSPD Benefits'!$F$3:$F$4996,'vSPD Benefits'!$A$3:$A$4996,'Charges to party by investment'!AB$4,'vSPD Benefits'!$D$3:$D$4996,'Charges to party by investment'!$C30)</f>
        <v>0</v>
      </c>
      <c r="AC30" s="134">
        <f>SUMIFS('vSPD Benefits'!$F$3:$F$4996,'vSPD Benefits'!$A$3:$A$4996,'Charges to party by investment'!AC$4,'vSPD Benefits'!$D$3:$D$4996,'Charges to party by investment'!$C30)</f>
        <v>0</v>
      </c>
      <c r="AD30" s="134">
        <f>SUMIFS('vSPD Benefits'!$F$3:$F$4996,'vSPD Benefits'!$A$3:$A$4996,'Charges to party by investment'!AD$4,'vSPD Benefits'!$D$3:$D$4996,'Charges to party by investment'!$C30)</f>
        <v>0</v>
      </c>
      <c r="AE30" s="134">
        <f>SUMIFS('vSPD Benefits'!$F$3:$F$4996,'vSPD Benefits'!$A$3:$A$4996,'Charges to party by investment'!AE$4,'vSPD Benefits'!$D$3:$D$4996,'Charges to party by investment'!$C30)</f>
        <v>0</v>
      </c>
      <c r="AF30" s="134">
        <f>SUMIFS('vSPD Benefits'!$F$3:$F$4996,'vSPD Benefits'!$A$3:$A$4996,'Charges to party by investment'!AF$4,'vSPD Benefits'!$D$3:$D$4996,'Charges to party by investment'!$C30)</f>
        <v>0</v>
      </c>
      <c r="AG30" s="134">
        <f>SUMIFS('vSPD Benefits'!$F$3:$F$4996,'vSPD Benefits'!$A$3:$A$4996,'Charges to party by investment'!AG$4,'vSPD Benefits'!$D$3:$D$4996,'Charges to party by investment'!$C30)</f>
        <v>0</v>
      </c>
      <c r="AH30" s="134">
        <f>SUMIFS('vSPD Benefits'!$F$3:$F$4996,'vSPD Benefits'!$A$3:$A$4996,'Charges to party by investment'!AH$4,'vSPD Benefits'!$D$3:$D$4996,'Charges to party by investment'!$C30)</f>
        <v>0</v>
      </c>
      <c r="AJ30" s="116" t="str">
        <f>'Charges as $M per year'!A25</f>
        <v>The Power Company</v>
      </c>
      <c r="AK30" s="131" t="str">
        <f t="shared" si="7"/>
        <v>The Power Company</v>
      </c>
      <c r="AL30" s="129">
        <f t="shared" ca="1" si="8"/>
        <v>1.600066103561834</v>
      </c>
      <c r="AM30" s="129">
        <f ca="1">SUMIF('AMD Calculations'!$AU$22:$AU$252,'Charges to party by investment'!AK30,'AMD Calculations'!$AY$22:$AY$252)</f>
        <v>4.7969442080232207</v>
      </c>
      <c r="AN30" s="129">
        <v>0.9388440099999994</v>
      </c>
      <c r="AO30" s="129">
        <f ca="1">AV30*'Recovery amounts'!$J$17/'Recovery amounts'!$J$14</f>
        <v>0</v>
      </c>
      <c r="AP30" s="130">
        <f t="shared" ca="1" si="9"/>
        <v>0.16164949526042163</v>
      </c>
      <c r="AQ30" s="130">
        <f t="shared" ca="1" si="10"/>
        <v>1.8624240142938425E-2</v>
      </c>
      <c r="AR30" s="162">
        <f t="shared" ca="1" si="1"/>
        <v>3.5013571468724241</v>
      </c>
      <c r="AS30" s="468">
        <f>SUMIF('AMD Calculations'!$AU$22:$AU$252,'Charges to party by investment'!AK30,'AMD Calculations'!$AW$22:$AW$252)</f>
        <v>158.13210000000001</v>
      </c>
      <c r="AT30" s="445">
        <f t="shared" ca="1" si="11"/>
        <v>8.2983013548956457</v>
      </c>
      <c r="AU30" s="162">
        <f t="shared" ca="1" si="12"/>
        <v>9.8983674584574786</v>
      </c>
      <c r="AV30" s="162">
        <v>0</v>
      </c>
      <c r="AW30" s="128"/>
      <c r="AX30" s="129"/>
      <c r="AY30" s="129"/>
      <c r="AZ30" s="631">
        <f t="shared" ca="1" si="13"/>
        <v>1.8624240142938425E-2</v>
      </c>
      <c r="BA30" s="83">
        <f t="shared" ca="1" si="2"/>
        <v>1.2943518320541915E-2</v>
      </c>
      <c r="BX30" s="70" t="str">
        <f t="shared" si="14"/>
        <v>The Power Company</v>
      </c>
      <c r="BY30" s="166">
        <f t="shared" ca="1" si="3"/>
        <v>1.600066103561834</v>
      </c>
      <c r="BZ30" s="166">
        <f t="shared" ca="1" si="4"/>
        <v>4.7969442080232207</v>
      </c>
      <c r="CA30" s="166">
        <f t="shared" ca="1" si="5"/>
        <v>0</v>
      </c>
      <c r="CB30" s="166">
        <f t="shared" ca="1" si="6"/>
        <v>3.5013571468724241</v>
      </c>
      <c r="CC30" s="166">
        <f t="shared" ca="1" si="15"/>
        <v>9.8983674584574786</v>
      </c>
    </row>
    <row r="31" spans="2:81" x14ac:dyDescent="0.3">
      <c r="B31" s="3" t="s">
        <v>677</v>
      </c>
      <c r="C31" s="4" t="s">
        <v>34</v>
      </c>
      <c r="D31" s="14"/>
      <c r="F31" s="460">
        <f ca="1">SUMIF('AMD Calculations'!$Z$22:$Z$652,'Charges to party by investment'!$C31,'AMD Calculations'!AE$22:AE$652)</f>
        <v>0</v>
      </c>
      <c r="G31" s="460">
        <f ca="1">SUMIF('AMD Calculations'!$Z$22:$Z$652,'Charges to party by investment'!$C31,'AMD Calculations'!AF$22:AF$652)</f>
        <v>0</v>
      </c>
      <c r="H31" s="460">
        <f ca="1">SUMIF('AMD Calculations'!$Z$22:$Z$652,'Charges to party by investment'!$C31,'AMD Calculations'!AG$22:AG$652)</f>
        <v>0</v>
      </c>
      <c r="I31" s="460">
        <f ca="1">SUMIF('AMD Calculations'!$Z$22:$Z$652,'Charges to party by investment'!$C31,'AMD Calculations'!AH$22:AH$652)+SUMIF('AMD Calculations'!$Z$22:$Z$652,'Charges to party by investment'!$B31,'AMD Calculations'!AH$22:AH$652)</f>
        <v>1.2914446733553766</v>
      </c>
      <c r="J31" s="460">
        <f ca="1">SUMIF('AMD Calculations'!$Z$22:$Z$652,'Charges to party by investment'!$C31,'AMD Calculations'!AI$22:AI$652)+SUMIF('AMD Calculations'!$Z$22:$Z$652,'Charges to party by investment'!$B31,'AMD Calculations'!AI$22:AI$652)</f>
        <v>0</v>
      </c>
      <c r="K31" s="460">
        <f ca="1">SUMIF('AMD Calculations'!$Z$22:$Z$652,'Charges to party by investment'!$C31,'AMD Calculations'!AJ$22:AJ$652)+SUMIF('AMD Calculations'!$Z$22:$Z$652,'Charges to party by investment'!$B31,'AMD Calculations'!AJ$22:AJ$652)</f>
        <v>0</v>
      </c>
      <c r="L31" s="460">
        <f ca="1">SUMIF('AMD Calculations'!$Z$22:$Z$652,'Charges to party by investment'!$C31,'AMD Calculations'!AK$22:AK$652)+SUMIF('AMD Calculations'!$Z$22:$Z$652,'Charges to party by investment'!$B31,'AMD Calculations'!AK$22:AK$652)</f>
        <v>0.29469538927289252</v>
      </c>
      <c r="M31" s="460">
        <f ca="1">SUMIF('AMD Calculations'!$Z$22:$Z$652,'Charges to party by investment'!$C31,'AMD Calculations'!AL$22:AL$652)+SUMIF('AMD Calculations'!$Z$22:$Z$652,'Charges to party by investment'!$B31,'AMD Calculations'!AL$22:AL$652)</f>
        <v>0</v>
      </c>
      <c r="N31" s="460">
        <f ca="1">SUMIF('AMD Calculations'!$Z$22:$Z$652,'Charges to party by investment'!$C31,'AMD Calculations'!AM$22:AM$652)+SUMIF('AMD Calculations'!$Z$22:$Z$652,'Charges to party by investment'!$B31,'AMD Calculations'!AM$22:AM$652)</f>
        <v>0</v>
      </c>
      <c r="O31" s="460">
        <f ca="1">SUMIF('AMD Calculations'!$Z$22:$Z$652,'Charges to party by investment'!$C31,'AMD Calculations'!AN$22:AN$652)+SUMIF('AMD Calculations'!$Z$22:$Z$652,'Charges to party by investment'!$B31,'AMD Calculations'!AN$22:AN$652)</f>
        <v>0.13591415088648637</v>
      </c>
      <c r="P31" s="460">
        <f ca="1">SUMIF('AMD Calculations'!$Z$22:$Z$652,'Charges to party by investment'!$C31,'AMD Calculations'!AO$22:AO$652)</f>
        <v>0</v>
      </c>
      <c r="Q31" s="460">
        <f ca="1">SUMIF('AMD Calculations'!$Z$22:$Z$652,'Charges to party by investment'!$C31,'AMD Calculations'!AP$22:AP$652)</f>
        <v>0</v>
      </c>
      <c r="R31" s="460">
        <f ca="1">SUMIF('AMD Calculations'!$Z$22:$Z$652,'Charges to party by investment'!$C31,'AMD Calculations'!AQ$22:AQ$652)</f>
        <v>0</v>
      </c>
      <c r="S31" s="18"/>
      <c r="T31" s="18"/>
      <c r="U31" s="18"/>
      <c r="V31" s="329">
        <f ca="1">SUMIFS('vSPD Benefits'!$F$3:$F$4996,'vSPD Benefits'!$A$3:$A$4996,'Charges to party by investment'!V$4,'vSPD Benefits'!$D$3:$D$4996,'Charges to party by investment'!$C31)*V$5/V$6+SUMIFS('vSPD Benefits'!$F$3:$F$4996,'vSPD Benefits'!$A$3:$A$4996,'Charges to party by investment'!V$4,'vSPD Benefits'!$D$3:$D$4996,'Charges to party by investment'!$B31)*V$5/V$6</f>
        <v>0.52105628644760316</v>
      </c>
      <c r="W31" s="329">
        <f ca="1">SUMIFS('vSPD Benefits'!$F$3:$F$4996,'vSPD Benefits'!$A$3:$A$4996,'Charges to party by investment'!W$4,'vSPD Benefits'!$D$3:$D$4996,'Charges to party by investment'!$C31)*W$5/W$6+SUMIFS('vSPD Benefits'!$F$3:$F$4996,'vSPD Benefits'!$A$3:$A$4996,'Charges to party by investment'!W$4,'vSPD Benefits'!$D$3:$D$4996,'Charges to party by investment'!$B31)*W$5/W$6</f>
        <v>0.31640609958014576</v>
      </c>
      <c r="X31" s="329">
        <f ca="1">SUMIFS('vSPD Benefits'!$F$3:$F$4996,'vSPD Benefits'!$A$3:$A$4996,'Charges to party by investment'!X$4,'vSPD Benefits'!$D$3:$D$4996,'Charges to party by investment'!$C31)*X$5/X$6+SUMIFS('vSPD Benefits'!$F$3:$F$4996,'vSPD Benefits'!$A$3:$A$4996,'Charges to party by investment'!X$4,'vSPD Benefits'!$D$3:$D$4996,'Charges to party by investment'!$B31)*X$5/X$6</f>
        <v>0.34745074070198584</v>
      </c>
      <c r="Y31" s="329">
        <f ca="1">SUMIFS('vSPD Benefits'!$F$3:$F$4996,'vSPD Benefits'!$A$3:$A$4996,'Charges to party by investment'!Y$4,'vSPD Benefits'!$D$3:$D$4996,'Charges to party by investment'!$C31)*Y$5/Y$6+SUMIFS('vSPD Benefits'!$F$3:$F$4996,'vSPD Benefits'!$A$3:$A$4996,'Charges to party by investment'!Y$4,'vSPD Benefits'!$D$3:$D$4996,'Charges to party by investment'!$B31)*Y$5/Y$6</f>
        <v>0.31454172195104579</v>
      </c>
      <c r="Z31" s="329">
        <f ca="1">SUMIFS('vSPD Benefits'!$F$3:$F$4996,'vSPD Benefits'!$A$3:$A$4996,'Charges to party by investment'!Z$4,'vSPD Benefits'!$D$3:$D$4996,'Charges to party by investment'!$C31)*Z$5/Z$6+SUMIFS('vSPD Benefits'!$F$3:$F$4996,'vSPD Benefits'!$A$3:$A$4996,'Charges to party by investment'!Z$4,'vSPD Benefits'!$D$3:$D$4996,'Charges to party by investment'!$B31)*Z$5/Z$6</f>
        <v>5.14277395298985E-3</v>
      </c>
      <c r="AA31" s="329">
        <f ca="1">SUMIFS('vSPD Benefits'!$F$3:$F$4996,'vSPD Benefits'!$A$3:$A$4996,'Charges to party by investment'!AA$4,'vSPD Benefits'!$D$3:$D$4996,'Charges to party by investment'!$C31)*AA$5/AA$6+SUMIFS('vSPD Benefits'!$F$3:$F$4996,'vSPD Benefits'!$A$3:$A$4996,'Charges to party by investment'!AA$4,'vSPD Benefits'!$D$3:$D$4996,'Charges to party by investment'!$B31)*AA$5/AA$6</f>
        <v>0.12552229439036619</v>
      </c>
      <c r="AB31" s="134">
        <f>SUMIFS('vSPD Benefits'!$F$3:$F$4996,'vSPD Benefits'!$A$3:$A$4996,'Charges to party by investment'!AB$4,'vSPD Benefits'!$D$3:$D$4996,'Charges to party by investment'!$C31)</f>
        <v>0</v>
      </c>
      <c r="AC31" s="134">
        <f>SUMIFS('vSPD Benefits'!$F$3:$F$4996,'vSPD Benefits'!$A$3:$A$4996,'Charges to party by investment'!AC$4,'vSPD Benefits'!$D$3:$D$4996,'Charges to party by investment'!$C31)</f>
        <v>0</v>
      </c>
      <c r="AD31" s="134">
        <f>SUMIFS('vSPD Benefits'!$F$3:$F$4996,'vSPD Benefits'!$A$3:$A$4996,'Charges to party by investment'!AD$4,'vSPD Benefits'!$D$3:$D$4996,'Charges to party by investment'!$C31)</f>
        <v>0</v>
      </c>
      <c r="AE31" s="134">
        <f>SUMIFS('vSPD Benefits'!$F$3:$F$4996,'vSPD Benefits'!$A$3:$A$4996,'Charges to party by investment'!AE$4,'vSPD Benefits'!$D$3:$D$4996,'Charges to party by investment'!$C31)</f>
        <v>0</v>
      </c>
      <c r="AF31" s="134">
        <f>SUMIFS('vSPD Benefits'!$F$3:$F$4996,'vSPD Benefits'!$A$3:$A$4996,'Charges to party by investment'!AF$4,'vSPD Benefits'!$D$3:$D$4996,'Charges to party by investment'!$C31)</f>
        <v>0</v>
      </c>
      <c r="AG31" s="134">
        <f>SUMIFS('vSPD Benefits'!$F$3:$F$4996,'vSPD Benefits'!$A$3:$A$4996,'Charges to party by investment'!AG$4,'vSPD Benefits'!$D$3:$D$4996,'Charges to party by investment'!$C31)</f>
        <v>0</v>
      </c>
      <c r="AH31" s="134">
        <f>SUMIFS('vSPD Benefits'!$F$3:$F$4996,'vSPD Benefits'!$A$3:$A$4996,'Charges to party by investment'!AH$4,'vSPD Benefits'!$D$3:$D$4996,'Charges to party by investment'!$C31)</f>
        <v>0</v>
      </c>
      <c r="AJ31" s="116" t="str">
        <f>'Charges as $M per year'!A26</f>
        <v>Top Energy</v>
      </c>
      <c r="AK31" s="331" t="str">
        <f t="shared" si="7"/>
        <v>Top Energy</v>
      </c>
      <c r="AL31" s="129">
        <f t="shared" ca="1" si="8"/>
        <v>3.3521741305388915</v>
      </c>
      <c r="AM31" s="129">
        <f ca="1">SUMIF('AMD Calculations'!$AU$22:$AU$252,'Charges to party by investment'!AK31,'AMD Calculations'!$AY$22:$AY$252)</f>
        <v>1.4736066659083744</v>
      </c>
      <c r="AN31" s="129">
        <v>1.0468772899999998</v>
      </c>
      <c r="AO31" s="332">
        <f ca="1">AV31*'Recovery amounts'!$J$17/'Recovery amounts'!$J$14+AV54*'Recovery amounts'!$J$17/'Recovery amounts'!$J$14</f>
        <v>5.6926119863773814E-2</v>
      </c>
      <c r="AP31" s="130">
        <f t="shared" ca="1" si="9"/>
        <v>0.57215862074606127</v>
      </c>
      <c r="AQ31" s="130">
        <f t="shared" ca="1" si="10"/>
        <v>5.7213099072966215E-3</v>
      </c>
      <c r="AR31" s="162">
        <f t="shared" ca="1" si="1"/>
        <v>1.0756062625717648</v>
      </c>
      <c r="AS31" s="468">
        <f>SUMIF('AMD Calculations'!$AU$22:$AU$252,'Charges to party by investment'!AK31,'AMD Calculations'!$AW$22:$AW$252)</f>
        <v>48.577700000000007</v>
      </c>
      <c r="AT31" s="445">
        <f t="shared" ca="1" si="11"/>
        <v>2.5492129284801393</v>
      </c>
      <c r="AU31" s="162">
        <f t="shared" ca="1" si="12"/>
        <v>5.958313178882805</v>
      </c>
      <c r="AV31" s="162">
        <v>5.4967741071422938E-2</v>
      </c>
      <c r="AW31" s="128"/>
      <c r="AX31" s="129"/>
      <c r="AY31" s="129"/>
      <c r="AZ31" s="631">
        <f t="shared" ca="1" si="13"/>
        <v>5.7213099072966215E-3</v>
      </c>
      <c r="BA31" s="83">
        <f t="shared" ca="1" si="2"/>
        <v>1.0462269075021607E-2</v>
      </c>
      <c r="BX31" s="70" t="str">
        <f t="shared" si="14"/>
        <v>Top Energy</v>
      </c>
      <c r="BY31" s="166">
        <f t="shared" ca="1" si="3"/>
        <v>3.3521741305388915</v>
      </c>
      <c r="BZ31" s="166">
        <f t="shared" ca="1" si="4"/>
        <v>1.4736066659083744</v>
      </c>
      <c r="CA31" s="166">
        <f t="shared" ca="1" si="5"/>
        <v>5.6926119863773814E-2</v>
      </c>
      <c r="CB31" s="166">
        <f t="shared" ca="1" si="6"/>
        <v>1.0756062625717648</v>
      </c>
      <c r="CC31" s="166">
        <f t="shared" ca="1" si="15"/>
        <v>5.958313178882805</v>
      </c>
    </row>
    <row r="32" spans="2:81" x14ac:dyDescent="0.3">
      <c r="B32" s="3"/>
      <c r="C32" s="41" t="s">
        <v>36</v>
      </c>
      <c r="D32" s="14"/>
      <c r="F32" s="134">
        <f ca="1">SUMIF('AMD Calculations'!$Z$22:$Z$652,'Charges to party by investment'!$C32,'AMD Calculations'!AE$22:AE$652)</f>
        <v>0</v>
      </c>
      <c r="G32" s="134">
        <f ca="1">SUMIF('AMD Calculations'!$Z$22:$Z$652,'Charges to party by investment'!$C32,'AMD Calculations'!AF$22:AF$652)</f>
        <v>0</v>
      </c>
      <c r="H32" s="134">
        <f ca="1">SUMIF('AMD Calculations'!$Z$22:$Z$652,'Charges to party by investment'!$C32,'AMD Calculations'!AG$22:AG$652)</f>
        <v>0</v>
      </c>
      <c r="I32" s="134">
        <f ca="1">SUMIF('AMD Calculations'!$Z$22:$Z$652,'Charges to party by investment'!$C32,'AMD Calculations'!AH$22:AH$652)</f>
        <v>0</v>
      </c>
      <c r="J32" s="134">
        <f ca="1">SUMIF('AMD Calculations'!$Z$22:$Z$652,'Charges to party by investment'!$C32,'AMD Calculations'!AI$22:AI$652)</f>
        <v>0</v>
      </c>
      <c r="K32" s="134">
        <f ca="1">SUMIF('AMD Calculations'!$Z$22:$Z$652,'Charges to party by investment'!$C32,'AMD Calculations'!AJ$22:AJ$652)</f>
        <v>0</v>
      </c>
      <c r="L32" s="134">
        <f ca="1">SUMIF('AMD Calculations'!$Z$22:$Z$652,'Charges to party by investment'!$C32,'AMD Calculations'!AK$22:AK$652)</f>
        <v>0</v>
      </c>
      <c r="M32" s="134">
        <f ca="1">SUMIF('AMD Calculations'!$Z$22:$Z$652,'Charges to party by investment'!$C32,'AMD Calculations'!AL$22:AL$652)</f>
        <v>0</v>
      </c>
      <c r="N32" s="134">
        <f ca="1">SUMIF('AMD Calculations'!$Z$22:$Z$652,'Charges to party by investment'!$C32,'AMD Calculations'!AM$22:AM$652)</f>
        <v>0</v>
      </c>
      <c r="O32" s="134">
        <f ca="1">SUMIF('AMD Calculations'!$Z$22:$Z$652,'Charges to party by investment'!$C32,'AMD Calculations'!AN$22:AN$652)</f>
        <v>0</v>
      </c>
      <c r="P32" s="134">
        <f ca="1">SUMIF('AMD Calculations'!$Z$22:$Z$652,'Charges to party by investment'!$C32,'AMD Calculations'!AO$22:AO$652)</f>
        <v>0</v>
      </c>
      <c r="Q32" s="134">
        <f ca="1">SUMIF('AMD Calculations'!$Z$22:$Z$652,'Charges to party by investment'!$C32,'AMD Calculations'!AP$22:AP$652)</f>
        <v>0</v>
      </c>
      <c r="R32" s="134">
        <f ca="1">SUMIF('AMD Calculations'!$Z$22:$Z$652,'Charges to party by investment'!$C32,'AMD Calculations'!AQ$22:AQ$652)</f>
        <v>0</v>
      </c>
      <c r="S32" s="18"/>
      <c r="T32" s="18"/>
      <c r="U32" s="18"/>
      <c r="V32" s="134">
        <f ca="1">SUMIFS('vSPD Benefits'!$F$3:$F$4996,'vSPD Benefits'!$A$3:$A$4996,'Charges to party by investment'!V$4,'vSPD Benefits'!$D$3:$D$4996,'Charges to party by investment'!$C32)*V$5/V$6</f>
        <v>1.0342434758840193</v>
      </c>
      <c r="W32" s="220">
        <f ca="1">SUMIFS('vSPD Benefits'!$F$3:$F$4996,'vSPD Benefits'!$A$3:$A$4996,'Charges to party by investment'!W$4,'vSPD Benefits'!$D$3:$D$4996,'Charges to party by investment'!$C32)*W$5/W$6</f>
        <v>1.8621280405356841</v>
      </c>
      <c r="X32" s="220">
        <f ca="1">SUMIFS('vSPD Benefits'!$F$3:$F$4996,'vSPD Benefits'!$A$3:$A$4996,'Charges to party by investment'!X$4,'vSPD Benefits'!$D$3:$D$4996,'Charges to party by investment'!$C32)*X$5/X$6</f>
        <v>1.9091668952407927</v>
      </c>
      <c r="Y32" s="220">
        <f ca="1">SUMIFS('vSPD Benefits'!$F$3:$F$4996,'vSPD Benefits'!$A$3:$A$4996,'Charges to party by investment'!Y$4,'vSPD Benefits'!$D$3:$D$4996,'Charges to party by investment'!$C32)*Y$5/Y$6</f>
        <v>0.62563631781201445</v>
      </c>
      <c r="Z32" s="220">
        <f ca="1">SUMIFS('vSPD Benefits'!$F$3:$F$4996,'vSPD Benefits'!$A$3:$A$4996,'Charges to party by investment'!Z$4,'vSPD Benefits'!$D$3:$D$4996,'Charges to party by investment'!$C32)*Z$5/Z$6</f>
        <v>6.3566987057439824E-3</v>
      </c>
      <c r="AA32" s="220">
        <f ca="1">SUMIFS('vSPD Benefits'!$F$3:$F$4996,'vSPD Benefits'!$A$3:$A$4996,'Charges to party by investment'!AA$4,'vSPD Benefits'!$D$3:$D$4996,'Charges to party by investment'!$C32)*AA$5/AA$6</f>
        <v>0.13358683748985276</v>
      </c>
      <c r="AB32" s="134">
        <f>SUMIFS('vSPD Benefits'!$F$3:$F$4996,'vSPD Benefits'!$A$3:$A$4996,'Charges to party by investment'!AB$4,'vSPD Benefits'!$D$3:$D$4996,'Charges to party by investment'!$C32)</f>
        <v>0</v>
      </c>
      <c r="AC32" s="134">
        <f>SUMIFS('vSPD Benefits'!$F$3:$F$4996,'vSPD Benefits'!$A$3:$A$4996,'Charges to party by investment'!AC$4,'vSPD Benefits'!$D$3:$D$4996,'Charges to party by investment'!$C32)</f>
        <v>0</v>
      </c>
      <c r="AD32" s="134">
        <f>SUMIFS('vSPD Benefits'!$F$3:$F$4996,'vSPD Benefits'!$A$3:$A$4996,'Charges to party by investment'!AD$4,'vSPD Benefits'!$D$3:$D$4996,'Charges to party by investment'!$C32)</f>
        <v>0</v>
      </c>
      <c r="AE32" s="134">
        <f>SUMIFS('vSPD Benefits'!$F$3:$F$4996,'vSPD Benefits'!$A$3:$A$4996,'Charges to party by investment'!AE$4,'vSPD Benefits'!$D$3:$D$4996,'Charges to party by investment'!$C32)</f>
        <v>0</v>
      </c>
      <c r="AF32" s="134">
        <f>SUMIFS('vSPD Benefits'!$F$3:$F$4996,'vSPD Benefits'!$A$3:$A$4996,'Charges to party by investment'!AF$4,'vSPD Benefits'!$D$3:$D$4996,'Charges to party by investment'!$C32)</f>
        <v>0</v>
      </c>
      <c r="AG32" s="134">
        <f>SUMIFS('vSPD Benefits'!$F$3:$F$4996,'vSPD Benefits'!$A$3:$A$4996,'Charges to party by investment'!AG$4,'vSPD Benefits'!$D$3:$D$4996,'Charges to party by investment'!$C32)</f>
        <v>0</v>
      </c>
      <c r="AH32" s="134">
        <f>SUMIFS('vSPD Benefits'!$F$3:$F$4996,'vSPD Benefits'!$A$3:$A$4996,'Charges to party by investment'!AH$4,'vSPD Benefits'!$D$3:$D$4996,'Charges to party by investment'!$C32)</f>
        <v>0</v>
      </c>
      <c r="AJ32" s="116" t="str">
        <f>'Charges as $M per year'!A27</f>
        <v>Unison</v>
      </c>
      <c r="AK32" s="128" t="str">
        <f t="shared" si="7"/>
        <v>Unison</v>
      </c>
      <c r="AL32" s="129">
        <f t="shared" ca="1" si="8"/>
        <v>5.5711182656681073</v>
      </c>
      <c r="AM32" s="129">
        <f ca="1">SUMIF('AMD Calculations'!$AU$22:$AU$252,'Charges to party by investment'!AK32,'AMD Calculations'!$AY$22:$AY$252)</f>
        <v>10.445478038665721</v>
      </c>
      <c r="AN32" s="129">
        <v>5.5064414899999958</v>
      </c>
      <c r="AO32" s="129">
        <f ca="1">AV32*'Recovery amounts'!$J$17/'Recovery amounts'!$J$14</f>
        <v>8.1490437895517243E-2</v>
      </c>
      <c r="AP32" s="130">
        <f t="shared" ca="1" si="9"/>
        <v>0.23828160271233409</v>
      </c>
      <c r="AQ32" s="130">
        <f t="shared" ca="1" si="10"/>
        <v>4.0554795503879276E-2</v>
      </c>
      <c r="AR32" s="162">
        <f t="shared" ca="1" si="1"/>
        <v>7.6243015547293043</v>
      </c>
      <c r="AS32" s="468">
        <f>SUMIF('AMD Calculations'!$AU$22:$AU$252,'Charges to party by investment'!AK32,'AMD Calculations'!$AW$22:$AW$252)</f>
        <v>344.33699999999999</v>
      </c>
      <c r="AT32" s="445">
        <f t="shared" ca="1" si="11"/>
        <v>18.069779593395026</v>
      </c>
      <c r="AU32" s="162">
        <f t="shared" ca="1" si="12"/>
        <v>23.722388296958648</v>
      </c>
      <c r="AV32" s="162">
        <v>8.9412863465282641E-2</v>
      </c>
      <c r="AW32" s="128"/>
      <c r="AX32" s="129"/>
      <c r="AY32" s="129"/>
      <c r="AZ32" s="631">
        <f t="shared" ca="1" si="13"/>
        <v>4.0554795503879276E-2</v>
      </c>
      <c r="BA32" s="83">
        <f t="shared" ca="1" si="2"/>
        <v>3.8119432955165906E-2</v>
      </c>
      <c r="BX32" s="70" t="str">
        <f t="shared" si="14"/>
        <v>Unison</v>
      </c>
      <c r="BY32" s="166">
        <f t="shared" ca="1" si="3"/>
        <v>5.5711182656681073</v>
      </c>
      <c r="BZ32" s="166">
        <f t="shared" ca="1" si="4"/>
        <v>10.445478038665721</v>
      </c>
      <c r="CA32" s="166">
        <f t="shared" ca="1" si="5"/>
        <v>8.1490437895517243E-2</v>
      </c>
      <c r="CB32" s="166">
        <f t="shared" ca="1" si="6"/>
        <v>7.6243015547293043</v>
      </c>
      <c r="CC32" s="166">
        <f t="shared" ca="1" si="15"/>
        <v>23.722388296958648</v>
      </c>
    </row>
    <row r="33" spans="1:81" x14ac:dyDescent="0.3">
      <c r="B33" s="3"/>
      <c r="C33" s="41" t="s">
        <v>37</v>
      </c>
      <c r="D33" s="14"/>
      <c r="F33" s="134">
        <f ca="1">SUMIF('AMD Calculations'!$Z$22:$Z$652,'Charges to party by investment'!$C33,'AMD Calculations'!AE$22:AE$652)</f>
        <v>0</v>
      </c>
      <c r="G33" s="134">
        <f ca="1">SUMIF('AMD Calculations'!$Z$22:$Z$652,'Charges to party by investment'!$C33,'AMD Calculations'!AF$22:AF$652)</f>
        <v>0</v>
      </c>
      <c r="H33" s="134">
        <f ca="1">SUMIF('AMD Calculations'!$Z$22:$Z$652,'Charges to party by investment'!$C33,'AMD Calculations'!AG$22:AG$652)</f>
        <v>0</v>
      </c>
      <c r="I33" s="322">
        <f ca="1">SUMIF('AMD Calculations'!$Z$22:$Z$652,'Charges to party by investment'!$C33,'AMD Calculations'!AH$22:AH$652)</f>
        <v>10.953007773370715</v>
      </c>
      <c r="J33" s="134">
        <f ca="1">SUMIF('AMD Calculations'!$Z$22:$Z$652,'Charges to party by investment'!$C33,'AMD Calculations'!AI$22:AI$652)</f>
        <v>0</v>
      </c>
      <c r="K33" s="134">
        <f ca="1">SUMIF('AMD Calculations'!$Z$22:$Z$652,'Charges to party by investment'!$C33,'AMD Calculations'!AJ$22:AJ$652)</f>
        <v>0</v>
      </c>
      <c r="L33" s="134">
        <f ca="1">SUMIF('AMD Calculations'!$Z$22:$Z$652,'Charges to party by investment'!$C33,'AMD Calculations'!AK$22:AK$652)</f>
        <v>8.7761308018033954</v>
      </c>
      <c r="M33" s="134">
        <f ca="1">SUMIF('AMD Calculations'!$Z$22:$Z$652,'Charges to party by investment'!$C33,'AMD Calculations'!AL$22:AL$652)</f>
        <v>0</v>
      </c>
      <c r="N33" s="134">
        <f ca="1">SUMIF('AMD Calculations'!$Z$22:$Z$652,'Charges to party by investment'!$C33,'AMD Calculations'!AM$22:AM$652)</f>
        <v>0</v>
      </c>
      <c r="O33" s="134">
        <f ca="1">SUMIF('AMD Calculations'!$Z$22:$Z$652,'Charges to party by investment'!$C33,'AMD Calculations'!AN$22:AN$652)</f>
        <v>4.0475705064095715</v>
      </c>
      <c r="P33" s="134">
        <f ca="1">SUMIF('AMD Calculations'!$Z$22:$Z$652,'Charges to party by investment'!$C33,'AMD Calculations'!AO$22:AO$652)</f>
        <v>0</v>
      </c>
      <c r="Q33" s="134">
        <f ca="1">SUMIF('AMD Calculations'!$Z$22:$Z$652,'Charges to party by investment'!$C33,'AMD Calculations'!AP$22:AP$652)</f>
        <v>0</v>
      </c>
      <c r="R33" s="134">
        <f ca="1">SUMIF('AMD Calculations'!$Z$22:$Z$652,'Charges to party by investment'!$C33,'AMD Calculations'!AQ$22:AQ$652)</f>
        <v>0</v>
      </c>
      <c r="S33" s="18"/>
      <c r="T33" s="18"/>
      <c r="U33" s="18"/>
      <c r="V33" s="134">
        <f ca="1">SUMIFS('vSPD Benefits'!$F$3:$F$4996,'vSPD Benefits'!$A$3:$A$4996,'Charges to party by investment'!V$4,'vSPD Benefits'!$D$3:$D$4996,'Charges to party by investment'!$C33)*V$5/V$6</f>
        <v>41.525573565768305</v>
      </c>
      <c r="W33" s="220">
        <f ca="1">SUMIFS('vSPD Benefits'!$F$3:$F$4996,'vSPD Benefits'!$A$3:$A$4996,'Charges to party by investment'!W$4,'vSPD Benefits'!$D$3:$D$4996,'Charges to party by investment'!$C33)*W$5/W$6</f>
        <v>10.652995866686172</v>
      </c>
      <c r="X33" s="220">
        <f ca="1">SUMIFS('vSPD Benefits'!$F$3:$F$4996,'vSPD Benefits'!$A$3:$A$4996,'Charges to party by investment'!X$4,'vSPD Benefits'!$D$3:$D$4996,'Charges to party by investment'!$C33)*X$5/X$6</f>
        <v>10.810452656705031</v>
      </c>
      <c r="Y33" s="220">
        <f ca="1">SUMIFS('vSPD Benefits'!$F$3:$F$4996,'vSPD Benefits'!$A$3:$A$4996,'Charges to party by investment'!Y$4,'vSPD Benefits'!$D$3:$D$4996,'Charges to party by investment'!$C33)*Y$5/Y$6</f>
        <v>9.1736409940707784</v>
      </c>
      <c r="Z33" s="220">
        <f ca="1">SUMIFS('vSPD Benefits'!$F$3:$F$4996,'vSPD Benefits'!$A$3:$A$4996,'Charges to party by investment'!Z$4,'vSPD Benefits'!$D$3:$D$4996,'Charges to party by investment'!$C33)*Z$5/Z$6</f>
        <v>2.5279546478685907E-2</v>
      </c>
      <c r="AA33" s="220">
        <f ca="1">SUMIFS('vSPD Benefits'!$F$3:$F$4996,'vSPD Benefits'!$A$3:$A$4996,'Charges to party by investment'!AA$4,'vSPD Benefits'!$D$3:$D$4996,'Charges to party by investment'!$C33)*AA$5/AA$6</f>
        <v>4.2212493148613692</v>
      </c>
      <c r="AB33" s="134">
        <f>SUMIFS('vSPD Benefits'!$F$3:$F$4996,'vSPD Benefits'!$A$3:$A$4996,'Charges to party by investment'!AB$4,'vSPD Benefits'!$D$3:$D$4996,'Charges to party by investment'!$C33)</f>
        <v>0</v>
      </c>
      <c r="AC33" s="134">
        <f>SUMIFS('vSPD Benefits'!$F$3:$F$4996,'vSPD Benefits'!$A$3:$A$4996,'Charges to party by investment'!AC$4,'vSPD Benefits'!$D$3:$D$4996,'Charges to party by investment'!$C33)</f>
        <v>0</v>
      </c>
      <c r="AD33" s="134">
        <f>SUMIFS('vSPD Benefits'!$F$3:$F$4996,'vSPD Benefits'!$A$3:$A$4996,'Charges to party by investment'!AD$4,'vSPD Benefits'!$D$3:$D$4996,'Charges to party by investment'!$C33)</f>
        <v>0</v>
      </c>
      <c r="AE33" s="134">
        <f>SUMIFS('vSPD Benefits'!$F$3:$F$4996,'vSPD Benefits'!$A$3:$A$4996,'Charges to party by investment'!AE$4,'vSPD Benefits'!$D$3:$D$4996,'Charges to party by investment'!$C33)</f>
        <v>0</v>
      </c>
      <c r="AF33" s="134">
        <f>SUMIFS('vSPD Benefits'!$F$3:$F$4996,'vSPD Benefits'!$A$3:$A$4996,'Charges to party by investment'!AF$4,'vSPD Benefits'!$D$3:$D$4996,'Charges to party by investment'!$C33)</f>
        <v>0</v>
      </c>
      <c r="AG33" s="134">
        <f>SUMIFS('vSPD Benefits'!$F$3:$F$4996,'vSPD Benefits'!$A$3:$A$4996,'Charges to party by investment'!AG$4,'vSPD Benefits'!$D$3:$D$4996,'Charges to party by investment'!$C33)</f>
        <v>0</v>
      </c>
      <c r="AH33" s="134">
        <f>SUMIFS('vSPD Benefits'!$F$3:$F$4996,'vSPD Benefits'!$A$3:$A$4996,'Charges to party by investment'!AH$4,'vSPD Benefits'!$D$3:$D$4996,'Charges to party by investment'!$C33)</f>
        <v>0</v>
      </c>
      <c r="AJ33" s="116" t="str">
        <f>'Charges as $M per year'!A28</f>
        <v>Vector</v>
      </c>
      <c r="AK33" s="128" t="str">
        <f t="shared" si="7"/>
        <v>Vector</v>
      </c>
      <c r="AL33" s="129">
        <f t="shared" ca="1" si="8"/>
        <v>100.18590102615401</v>
      </c>
      <c r="AM33" s="129">
        <f ca="1">SUMIF('AMD Calculations'!$AU$22:$AU$252,'Charges to party by investment'!AK33,'AMD Calculations'!$AY$22:$AY$252)</f>
        <v>66.469220114876777</v>
      </c>
      <c r="AN33" s="129">
        <v>10.274301060000003</v>
      </c>
      <c r="AO33" s="129">
        <f ca="1">AV33*'Recovery amounts'!$J$17/'Recovery amounts'!$J$14</f>
        <v>1.7355143745363915</v>
      </c>
      <c r="AP33" s="130">
        <f t="shared" ca="1" si="9"/>
        <v>0.46988433448863409</v>
      </c>
      <c r="AQ33" s="130">
        <f t="shared" ca="1" si="10"/>
        <v>0.25806819171729373</v>
      </c>
      <c r="AR33" s="162">
        <f t="shared" ca="1" si="1"/>
        <v>48.516820042851222</v>
      </c>
      <c r="AS33" s="162">
        <f>SUMIF('AMD Calculations'!$AU$22:$AU$252,'Charges to party by investment'!AK33,'AMD Calculations'!$AW$22:$AW$252)</f>
        <v>2191.1693999999979</v>
      </c>
      <c r="AT33" s="445">
        <f t="shared" ca="1" si="11"/>
        <v>114.986040157728</v>
      </c>
      <c r="AU33" s="162">
        <f t="shared" ca="1" si="12"/>
        <v>216.90745555841841</v>
      </c>
      <c r="AV33" s="162">
        <v>1.9042394889498322</v>
      </c>
      <c r="AW33" s="128"/>
      <c r="AX33" s="129"/>
      <c r="AY33" s="129"/>
      <c r="AZ33" s="631">
        <f t="shared" ca="1" si="13"/>
        <v>0.25806819171729373</v>
      </c>
      <c r="BA33" s="83">
        <f t="shared" ca="1" si="2"/>
        <v>0.31523974964985962</v>
      </c>
      <c r="BX33" s="70" t="str">
        <f t="shared" si="14"/>
        <v>Vector</v>
      </c>
      <c r="BY33" s="166">
        <f t="shared" ca="1" si="3"/>
        <v>100.18590102615401</v>
      </c>
      <c r="BZ33" s="166">
        <f t="shared" ca="1" si="4"/>
        <v>66.469220114876777</v>
      </c>
      <c r="CA33" s="166">
        <f t="shared" ca="1" si="5"/>
        <v>1.7355143745363915</v>
      </c>
      <c r="CB33" s="166">
        <f t="shared" ca="1" si="6"/>
        <v>48.516820042851222</v>
      </c>
      <c r="CC33" s="166">
        <f t="shared" ca="1" si="15"/>
        <v>216.90745555841841</v>
      </c>
    </row>
    <row r="34" spans="1:81" x14ac:dyDescent="0.3">
      <c r="B34" s="3"/>
      <c r="C34" s="41" t="s">
        <v>38</v>
      </c>
      <c r="D34" s="14"/>
      <c r="F34" s="134">
        <f ca="1">SUMIF('AMD Calculations'!$Z$22:$Z$652,'Charges to party by investment'!$C34,'AMD Calculations'!AE$22:AE$652)</f>
        <v>0</v>
      </c>
      <c r="G34" s="134">
        <f ca="1">SUMIF('AMD Calculations'!$Z$22:$Z$652,'Charges to party by investment'!$C34,'AMD Calculations'!AF$22:AF$652)</f>
        <v>0</v>
      </c>
      <c r="H34" s="134">
        <f ca="1">SUMIF('AMD Calculations'!$Z$22:$Z$652,'Charges to party by investment'!$C34,'AMD Calculations'!AG$22:AG$652)</f>
        <v>0</v>
      </c>
      <c r="I34" s="134">
        <f ca="1">SUMIF('AMD Calculations'!$Z$22:$Z$652,'Charges to party by investment'!$C34,'AMD Calculations'!AH$22:AH$652)</f>
        <v>0</v>
      </c>
      <c r="J34" s="134">
        <f ca="1">SUMIF('AMD Calculations'!$Z$22:$Z$652,'Charges to party by investment'!$C34,'AMD Calculations'!AI$22:AI$652)</f>
        <v>0</v>
      </c>
      <c r="K34" s="134">
        <f ca="1">SUMIF('AMD Calculations'!$Z$22:$Z$652,'Charges to party by investment'!$C34,'AMD Calculations'!AJ$22:AJ$652)</f>
        <v>0</v>
      </c>
      <c r="L34" s="134">
        <f ca="1">SUMIF('AMD Calculations'!$Z$22:$Z$652,'Charges to party by investment'!$C34,'AMD Calculations'!AK$22:AK$652)</f>
        <v>0</v>
      </c>
      <c r="M34" s="134">
        <f ca="1">SUMIF('AMD Calculations'!$Z$22:$Z$652,'Charges to party by investment'!$C34,'AMD Calculations'!AL$22:AL$652)</f>
        <v>0</v>
      </c>
      <c r="N34" s="134">
        <f ca="1">SUMIF('AMD Calculations'!$Z$22:$Z$652,'Charges to party by investment'!$C34,'AMD Calculations'!AM$22:AM$652)</f>
        <v>0</v>
      </c>
      <c r="O34" s="134">
        <f ca="1">SUMIF('AMD Calculations'!$Z$22:$Z$652,'Charges to party by investment'!$C34,'AMD Calculations'!AN$22:AN$652)</f>
        <v>0</v>
      </c>
      <c r="P34" s="134">
        <f ca="1">SUMIF('AMD Calculations'!$Z$22:$Z$652,'Charges to party by investment'!$C34,'AMD Calculations'!AO$22:AO$652)</f>
        <v>0</v>
      </c>
      <c r="Q34" s="134">
        <f ca="1">SUMIF('AMD Calculations'!$Z$22:$Z$652,'Charges to party by investment'!$C34,'AMD Calculations'!AP$22:AP$652)</f>
        <v>0</v>
      </c>
      <c r="R34" s="134">
        <f ca="1">SUMIF('AMD Calculations'!$Z$22:$Z$652,'Charges to party by investment'!$C34,'AMD Calculations'!AQ$22:AQ$652)</f>
        <v>0</v>
      </c>
      <c r="S34" s="18"/>
      <c r="T34" s="18"/>
      <c r="U34" s="18"/>
      <c r="V34" s="134">
        <f ca="1">SUMIFS('vSPD Benefits'!$F$3:$F$4996,'vSPD Benefits'!$A$3:$A$4996,'Charges to party by investment'!V$4,'vSPD Benefits'!$D$3:$D$4996,'Charges to party by investment'!$C34)*V$5/V$6</f>
        <v>0.48477970180486823</v>
      </c>
      <c r="W34" s="134">
        <f ca="1">SUMIFS('vSPD Benefits'!$F$3:$F$4996,'vSPD Benefits'!$A$3:$A$4996,'Charges to party by investment'!W$4,'vSPD Benefits'!$D$3:$D$4996,'Charges to party by investment'!$C34)*W$5/W$6</f>
        <v>0.4362739858381342</v>
      </c>
      <c r="X34" s="134">
        <f ca="1">SUMIFS('vSPD Benefits'!$F$3:$F$4996,'vSPD Benefits'!$A$3:$A$4996,'Charges to party by investment'!X$4,'vSPD Benefits'!$D$3:$D$4996,'Charges to party by investment'!$C34)*X$5/X$6</f>
        <v>0.45643446257309384</v>
      </c>
      <c r="Y34" s="134">
        <f ca="1">SUMIFS('vSPD Benefits'!$F$3:$F$4996,'vSPD Benefits'!$A$3:$A$4996,'Charges to party by investment'!Y$4,'vSPD Benefits'!$D$3:$D$4996,'Charges to party by investment'!$C34)*Y$5/Y$6</f>
        <v>0.14591197762184599</v>
      </c>
      <c r="Z34" s="134">
        <f ca="1">SUMIFS('vSPD Benefits'!$F$3:$F$4996,'vSPD Benefits'!$A$3:$A$4996,'Charges to party by investment'!Z$4,'vSPD Benefits'!$D$3:$D$4996,'Charges to party by investment'!$C34)*Z$5/Z$6</f>
        <v>1.4175682493884499E-5</v>
      </c>
      <c r="AA34" s="134">
        <f ca="1">SUMIFS('vSPD Benefits'!$F$3:$F$4996,'vSPD Benefits'!$A$3:$A$4996,'Charges to party by investment'!AA$4,'vSPD Benefits'!$D$3:$D$4996,'Charges to party by investment'!$C34)*AA$5/AA$6</f>
        <v>0.1910257323600465</v>
      </c>
      <c r="AB34" s="134">
        <f>SUMIFS('vSPD Benefits'!$F$3:$F$4996,'vSPD Benefits'!$A$3:$A$4996,'Charges to party by investment'!AB$4,'vSPD Benefits'!$D$3:$D$4996,'Charges to party by investment'!$C34)</f>
        <v>0</v>
      </c>
      <c r="AC34" s="134">
        <f>SUMIFS('vSPD Benefits'!$F$3:$F$4996,'vSPD Benefits'!$A$3:$A$4996,'Charges to party by investment'!AC$4,'vSPD Benefits'!$D$3:$D$4996,'Charges to party by investment'!$C34)</f>
        <v>0</v>
      </c>
      <c r="AD34" s="134">
        <f>SUMIFS('vSPD Benefits'!$F$3:$F$4996,'vSPD Benefits'!$A$3:$A$4996,'Charges to party by investment'!AD$4,'vSPD Benefits'!$D$3:$D$4996,'Charges to party by investment'!$C34)</f>
        <v>0</v>
      </c>
      <c r="AE34" s="134">
        <f>SUMIFS('vSPD Benefits'!$F$3:$F$4996,'vSPD Benefits'!$A$3:$A$4996,'Charges to party by investment'!AE$4,'vSPD Benefits'!$D$3:$D$4996,'Charges to party by investment'!$C34)</f>
        <v>0</v>
      </c>
      <c r="AF34" s="134">
        <f>SUMIFS('vSPD Benefits'!$F$3:$F$4996,'vSPD Benefits'!$A$3:$A$4996,'Charges to party by investment'!AF$4,'vSPD Benefits'!$D$3:$D$4996,'Charges to party by investment'!$C34)</f>
        <v>0</v>
      </c>
      <c r="AG34" s="134">
        <f>SUMIFS('vSPD Benefits'!$F$3:$F$4996,'vSPD Benefits'!$A$3:$A$4996,'Charges to party by investment'!AG$4,'vSPD Benefits'!$D$3:$D$4996,'Charges to party by investment'!$C34)</f>
        <v>0</v>
      </c>
      <c r="AH34" s="134">
        <f>SUMIFS('vSPD Benefits'!$F$3:$F$4996,'vSPD Benefits'!$A$3:$A$4996,'Charges to party by investment'!AH$4,'vSPD Benefits'!$D$3:$D$4996,'Charges to party by investment'!$C34)</f>
        <v>0</v>
      </c>
      <c r="AJ34" s="116" t="str">
        <f>'Charges as $M per year'!A29</f>
        <v>Waipa Power</v>
      </c>
      <c r="AK34" s="128" t="str">
        <f t="shared" si="7"/>
        <v>Waipa Power</v>
      </c>
      <c r="AL34" s="129">
        <f t="shared" ca="1" si="8"/>
        <v>1.7144400358804828</v>
      </c>
      <c r="AM34" s="129">
        <f ca="1">SUMIF('AMD Calculations'!$AU$22:$AU$252,'Charges to party by investment'!AK34,'AMD Calculations'!$AY$22:$AY$252)</f>
        <v>2.350917372317618</v>
      </c>
      <c r="AN34" s="129">
        <v>1.6865973000000007</v>
      </c>
      <c r="AO34" s="129">
        <f ca="1">AV34*'Recovery amounts'!$J$17/'Recovery amounts'!$J$14</f>
        <v>3.6177975132871312E-2</v>
      </c>
      <c r="AP34" s="130">
        <f t="shared" ca="1" si="9"/>
        <v>0.30092257527957406</v>
      </c>
      <c r="AQ34" s="130">
        <f t="shared" ca="1" si="10"/>
        <v>9.1274877921275911E-3</v>
      </c>
      <c r="AR34" s="162">
        <f t="shared" ca="1" si="1"/>
        <v>1.7159677049199871</v>
      </c>
      <c r="AS34" s="162">
        <f>SUMIF('AMD Calculations'!$AU$22:$AU$252,'Charges to party by investment'!AK34,'AMD Calculations'!$AW$22:$AW$252)</f>
        <v>77.498400000000004</v>
      </c>
      <c r="AT34" s="445">
        <f t="shared" ca="1" si="11"/>
        <v>4.0668850772376048</v>
      </c>
      <c r="AU34" s="162">
        <f t="shared" ca="1" si="12"/>
        <v>5.8175030882509597</v>
      </c>
      <c r="AV34" s="162">
        <v>3.9695164666476254E-2</v>
      </c>
      <c r="AW34" s="128"/>
      <c r="AX34" s="129"/>
      <c r="AY34" s="129"/>
      <c r="AZ34" s="631">
        <f t="shared" ca="1" si="13"/>
        <v>9.1274877921275911E-3</v>
      </c>
      <c r="BA34" s="83">
        <f t="shared" ca="1" si="2"/>
        <v>1.0212689367069414E-2</v>
      </c>
      <c r="BX34" s="70" t="str">
        <f t="shared" si="14"/>
        <v>Waipa Power</v>
      </c>
      <c r="BY34" s="166">
        <f t="shared" ca="1" si="3"/>
        <v>1.7144400358804828</v>
      </c>
      <c r="BZ34" s="166">
        <f t="shared" ca="1" si="4"/>
        <v>2.350917372317618</v>
      </c>
      <c r="CA34" s="166">
        <f t="shared" ca="1" si="5"/>
        <v>3.6177975132871312E-2</v>
      </c>
      <c r="CB34" s="166">
        <f t="shared" ca="1" si="6"/>
        <v>1.7159677049199871</v>
      </c>
      <c r="CC34" s="166">
        <f t="shared" ca="1" si="15"/>
        <v>5.8175030882509597</v>
      </c>
    </row>
    <row r="35" spans="1:81" x14ac:dyDescent="0.3">
      <c r="B35" s="3"/>
      <c r="C35" s="41" t="s">
        <v>39</v>
      </c>
      <c r="D35" s="14"/>
      <c r="F35" s="134">
        <f ca="1">SUMIF('AMD Calculations'!$Z$22:$Z$652,'Charges to party by investment'!$C35,'AMD Calculations'!AE$22:AE$652)</f>
        <v>0</v>
      </c>
      <c r="G35" s="134">
        <f ca="1">SUMIF('AMD Calculations'!$Z$22:$Z$652,'Charges to party by investment'!$C35,'AMD Calculations'!AF$22:AF$652)</f>
        <v>0</v>
      </c>
      <c r="H35" s="134">
        <f ca="1">SUMIF('AMD Calculations'!$Z$22:$Z$652,'Charges to party by investment'!$C35,'AMD Calculations'!AG$22:AG$652)</f>
        <v>0</v>
      </c>
      <c r="I35" s="134">
        <f ca="1">SUMIF('AMD Calculations'!$Z$22:$Z$652,'Charges to party by investment'!$C35,'AMD Calculations'!AH$22:AH$652)</f>
        <v>0</v>
      </c>
      <c r="J35" s="134">
        <f ca="1">SUMIF('AMD Calculations'!$Z$22:$Z$652,'Charges to party by investment'!$C35,'AMD Calculations'!AI$22:AI$652)</f>
        <v>0</v>
      </c>
      <c r="K35" s="134">
        <f ca="1">SUMIF('AMD Calculations'!$Z$22:$Z$652,'Charges to party by investment'!$C35,'AMD Calculations'!AJ$22:AJ$652)</f>
        <v>0</v>
      </c>
      <c r="L35" s="134">
        <f ca="1">SUMIF('AMD Calculations'!$Z$22:$Z$652,'Charges to party by investment'!$C35,'AMD Calculations'!AK$22:AK$652)</f>
        <v>3.3643906644163882E-5</v>
      </c>
      <c r="M35" s="134">
        <f ca="1">SUMIF('AMD Calculations'!$Z$22:$Z$652,'Charges to party by investment'!$C35,'AMD Calculations'!AL$22:AL$652)</f>
        <v>0</v>
      </c>
      <c r="N35" s="134">
        <f ca="1">SUMIF('AMD Calculations'!$Z$22:$Z$652,'Charges to party by investment'!$C35,'AMD Calculations'!AM$22:AM$652)</f>
        <v>0</v>
      </c>
      <c r="O35" s="134">
        <f ca="1">SUMIF('AMD Calculations'!$Z$22:$Z$652,'Charges to party by investment'!$C35,'AMD Calculations'!AN$22:AN$652)</f>
        <v>1.5516642507804476E-5</v>
      </c>
      <c r="P35" s="134">
        <f ca="1">SUMIF('AMD Calculations'!$Z$22:$Z$652,'Charges to party by investment'!$C35,'AMD Calculations'!AO$22:AO$652)</f>
        <v>0</v>
      </c>
      <c r="Q35" s="134">
        <f ca="1">SUMIF('AMD Calculations'!$Z$22:$Z$652,'Charges to party by investment'!$C35,'AMD Calculations'!AP$22:AP$652)</f>
        <v>0</v>
      </c>
      <c r="R35" s="134">
        <f ca="1">SUMIF('AMD Calculations'!$Z$22:$Z$652,'Charges to party by investment'!$C35,'AMD Calculations'!AQ$22:AQ$652)</f>
        <v>0</v>
      </c>
      <c r="S35" s="18"/>
      <c r="T35" s="18"/>
      <c r="U35" s="18"/>
      <c r="V35" s="134">
        <f ca="1">SUMIFS('vSPD Benefits'!$F$3:$F$4996,'vSPD Benefits'!$A$3:$A$4996,'Charges to party by investment'!V$4,'vSPD Benefits'!$D$3:$D$4996,'Charges to party by investment'!$C35)*V$5/V$6</f>
        <v>1.7103407541492004</v>
      </c>
      <c r="W35" s="134">
        <f ca="1">SUMIFS('vSPD Benefits'!$F$3:$F$4996,'vSPD Benefits'!$A$3:$A$4996,'Charges to party by investment'!W$4,'vSPD Benefits'!$D$3:$D$4996,'Charges to party by investment'!$C35)*W$5/W$6</f>
        <v>1.4601040064822663</v>
      </c>
      <c r="X35" s="134">
        <f ca="1">SUMIFS('vSPD Benefits'!$F$3:$F$4996,'vSPD Benefits'!$A$3:$A$4996,'Charges to party by investment'!X$4,'vSPD Benefits'!$D$3:$D$4996,'Charges to party by investment'!$C35)*X$5/X$6</f>
        <v>1.7163674193745508</v>
      </c>
      <c r="Y35" s="134">
        <f ca="1">SUMIFS('vSPD Benefits'!$F$3:$F$4996,'vSPD Benefits'!$A$3:$A$4996,'Charges to party by investment'!Y$4,'vSPD Benefits'!$D$3:$D$4996,'Charges to party by investment'!$C35)*Y$5/Y$6</f>
        <v>0.54333949600152098</v>
      </c>
      <c r="Z35" s="134">
        <f ca="1">SUMIFS('vSPD Benefits'!$F$3:$F$4996,'vSPD Benefits'!$A$3:$A$4996,'Charges to party by investment'!Z$4,'vSPD Benefits'!$D$3:$D$4996,'Charges to party by investment'!$C35)*Z$5/Z$6</f>
        <v>1.2354449653424555E-3</v>
      </c>
      <c r="AA35" s="134">
        <f ca="1">SUMIFS('vSPD Benefits'!$F$3:$F$4996,'vSPD Benefits'!$A$3:$A$4996,'Charges to party by investment'!AA$4,'vSPD Benefits'!$D$3:$D$4996,'Charges to party by investment'!$C35)*AA$5/AA$6</f>
        <v>0.629886867238174</v>
      </c>
      <c r="AB35" s="134">
        <f>SUMIFS('vSPD Benefits'!$F$3:$F$4996,'vSPD Benefits'!$A$3:$A$4996,'Charges to party by investment'!AB$4,'vSPD Benefits'!$D$3:$D$4996,'Charges to party by investment'!$C35)</f>
        <v>0</v>
      </c>
      <c r="AC35" s="134">
        <f>SUMIFS('vSPD Benefits'!$F$3:$F$4996,'vSPD Benefits'!$A$3:$A$4996,'Charges to party by investment'!AC$4,'vSPD Benefits'!$D$3:$D$4996,'Charges to party by investment'!$C35)</f>
        <v>0</v>
      </c>
      <c r="AD35" s="134">
        <f>SUMIFS('vSPD Benefits'!$F$3:$F$4996,'vSPD Benefits'!$A$3:$A$4996,'Charges to party by investment'!AD$4,'vSPD Benefits'!$D$3:$D$4996,'Charges to party by investment'!$C35)</f>
        <v>0</v>
      </c>
      <c r="AE35" s="134">
        <f>SUMIFS('vSPD Benefits'!$F$3:$F$4996,'vSPD Benefits'!$A$3:$A$4996,'Charges to party by investment'!AE$4,'vSPD Benefits'!$D$3:$D$4996,'Charges to party by investment'!$C35)</f>
        <v>0</v>
      </c>
      <c r="AF35" s="134">
        <f>SUMIFS('vSPD Benefits'!$F$3:$F$4996,'vSPD Benefits'!$A$3:$A$4996,'Charges to party by investment'!AF$4,'vSPD Benefits'!$D$3:$D$4996,'Charges to party by investment'!$C35)</f>
        <v>0</v>
      </c>
      <c r="AG35" s="134">
        <f>SUMIFS('vSPD Benefits'!$F$3:$F$4996,'vSPD Benefits'!$A$3:$A$4996,'Charges to party by investment'!AG$4,'vSPD Benefits'!$D$3:$D$4996,'Charges to party by investment'!$C35)</f>
        <v>0</v>
      </c>
      <c r="AH35" s="134">
        <f>SUMIFS('vSPD Benefits'!$F$3:$F$4996,'vSPD Benefits'!$A$3:$A$4996,'Charges to party by investment'!AH$4,'vSPD Benefits'!$D$3:$D$4996,'Charges to party by investment'!$C35)</f>
        <v>0</v>
      </c>
      <c r="AJ35" s="116" t="str">
        <f>'Charges as $M per year'!A30</f>
        <v>WEL Networks</v>
      </c>
      <c r="AK35" s="128" t="str">
        <f t="shared" si="7"/>
        <v>WEL</v>
      </c>
      <c r="AL35" s="129">
        <f ca="1">SUM(F35:AH35)</f>
        <v>6.0613231487602066</v>
      </c>
      <c r="AM35" s="129">
        <f ca="1">SUMIF('AMD Calculations'!$AU$22:$AU$252,'Charges to party by investment'!AK35,'AMD Calculations'!$AY$22:$AY$252)</f>
        <v>8.7351002874908978</v>
      </c>
      <c r="AN35" s="129">
        <v>1.3707663100000005</v>
      </c>
      <c r="AO35" s="129">
        <f ca="1">AV35*'Recovery amounts'!$J$17/'Recovery amounts'!$J$14</f>
        <v>0.13517439447518953</v>
      </c>
      <c r="AP35" s="130">
        <f t="shared" ca="1" si="9"/>
        <v>0.29081338031750703</v>
      </c>
      <c r="AQ35" s="130">
        <f t="shared" ca="1" si="10"/>
        <v>3.3914216712126799E-2</v>
      </c>
      <c r="AR35" s="162">
        <f t="shared" ca="1" si="1"/>
        <v>6.3758727418798387</v>
      </c>
      <c r="AS35" s="162">
        <f>SUMIF('AMD Calculations'!$AU$22:$AU$252,'Charges to party by investment'!AK35,'AMD Calculations'!$AW$22:$AW$252)</f>
        <v>287.95409999999998</v>
      </c>
      <c r="AT35" s="445">
        <f t="shared" ca="1" si="11"/>
        <v>15.110973029370736</v>
      </c>
      <c r="AU35" s="162">
        <f t="shared" ca="1" si="12"/>
        <v>21.307470572606132</v>
      </c>
      <c r="AV35" s="162">
        <v>0.1483159250255697</v>
      </c>
      <c r="AW35" s="128"/>
      <c r="AX35" s="129"/>
      <c r="AY35" s="129"/>
      <c r="AZ35" s="631">
        <f t="shared" ca="1" si="13"/>
        <v>3.3914216712126799E-2</v>
      </c>
      <c r="BA35" s="83">
        <f t="shared" ca="1" si="2"/>
        <v>2.8764195644229142E-2</v>
      </c>
      <c r="BX35" s="70" t="str">
        <f t="shared" si="14"/>
        <v>WEL</v>
      </c>
      <c r="BY35" s="166">
        <f t="shared" ca="1" si="3"/>
        <v>6.0613231487602066</v>
      </c>
      <c r="BZ35" s="166">
        <f t="shared" ca="1" si="4"/>
        <v>8.7351002874908978</v>
      </c>
      <c r="CA35" s="166">
        <f t="shared" ca="1" si="5"/>
        <v>0.13517439447518953</v>
      </c>
      <c r="CB35" s="166">
        <f t="shared" ca="1" si="6"/>
        <v>6.3758727418798387</v>
      </c>
      <c r="CC35" s="166">
        <f t="shared" ca="1" si="15"/>
        <v>21.307470572606132</v>
      </c>
    </row>
    <row r="36" spans="1:81" x14ac:dyDescent="0.3">
      <c r="B36" s="3"/>
      <c r="C36" s="41" t="s">
        <v>40</v>
      </c>
      <c r="D36" s="14"/>
      <c r="F36" s="134">
        <f ca="1">SUMIF('AMD Calculations'!$Z$22:$Z$652,'Charges to party by investment'!$C36,'AMD Calculations'!AE$22:AE$652)</f>
        <v>0</v>
      </c>
      <c r="G36" s="134">
        <f ca="1">SUMIF('AMD Calculations'!$Z$22:$Z$652,'Charges to party by investment'!$C36,'AMD Calculations'!AF$22:AF$652)</f>
        <v>0</v>
      </c>
      <c r="H36" s="134">
        <f ca="1">SUMIF('AMD Calculations'!$Z$22:$Z$652,'Charges to party by investment'!$C36,'AMD Calculations'!AG$22:AG$652)</f>
        <v>0</v>
      </c>
      <c r="I36" s="134">
        <f ca="1">SUMIF('AMD Calculations'!$Z$22:$Z$652,'Charges to party by investment'!$C36,'AMD Calculations'!AH$22:AH$652)</f>
        <v>0</v>
      </c>
      <c r="J36" s="134">
        <f ca="1">SUMIF('AMD Calculations'!$Z$22:$Z$652,'Charges to party by investment'!$C36,'AMD Calculations'!AI$22:AI$652)</f>
        <v>0</v>
      </c>
      <c r="K36" s="134">
        <f ca="1">SUMIF('AMD Calculations'!$Z$22:$Z$652,'Charges to party by investment'!$C36,'AMD Calculations'!AJ$22:AJ$652)</f>
        <v>0</v>
      </c>
      <c r="L36" s="134">
        <f ca="1">SUMIF('AMD Calculations'!$Z$22:$Z$652,'Charges to party by investment'!$C36,'AMD Calculations'!AK$22:AK$652)</f>
        <v>0</v>
      </c>
      <c r="M36" s="134">
        <f ca="1">SUMIF('AMD Calculations'!$Z$22:$Z$652,'Charges to party by investment'!$C36,'AMD Calculations'!AL$22:AL$652)</f>
        <v>0</v>
      </c>
      <c r="N36" s="134">
        <f ca="1">SUMIF('AMD Calculations'!$Z$22:$Z$652,'Charges to party by investment'!$C36,'AMD Calculations'!AM$22:AM$652)</f>
        <v>0</v>
      </c>
      <c r="O36" s="134">
        <f ca="1">SUMIF('AMD Calculations'!$Z$22:$Z$652,'Charges to party by investment'!$C36,'AMD Calculations'!AN$22:AN$652)</f>
        <v>0</v>
      </c>
      <c r="P36" s="134">
        <f ca="1">SUMIF('AMD Calculations'!$Z$22:$Z$652,'Charges to party by investment'!$C36,'AMD Calculations'!AO$22:AO$652)</f>
        <v>0</v>
      </c>
      <c r="Q36" s="134">
        <f ca="1">SUMIF('AMD Calculations'!$Z$22:$Z$652,'Charges to party by investment'!$C36,'AMD Calculations'!AP$22:AP$652)</f>
        <v>0</v>
      </c>
      <c r="R36" s="134">
        <f ca="1">SUMIF('AMD Calculations'!$Z$22:$Z$652,'Charges to party by investment'!$C36,'AMD Calculations'!AQ$22:AQ$652)</f>
        <v>0</v>
      </c>
      <c r="S36" s="18"/>
      <c r="T36" s="18"/>
      <c r="U36" s="18"/>
      <c r="V36" s="134">
        <f ca="1">SUMIFS('vSPD Benefits'!$F$3:$F$4996,'vSPD Benefits'!$A$3:$A$4996,'Charges to party by investment'!V$4,'vSPD Benefits'!$D$3:$D$4996,'Charges to party by investment'!$C36)*V$5/V$6</f>
        <v>1.9082182677359083</v>
      </c>
      <c r="W36" s="134">
        <f ca="1">SUMIFS('vSPD Benefits'!$F$3:$F$4996,'vSPD Benefits'!$A$3:$A$4996,'Charges to party by investment'!W$4,'vSPD Benefits'!$D$3:$D$4996,'Charges to party by investment'!$C36)*W$5/W$6</f>
        <v>3.2411850747901387</v>
      </c>
      <c r="X36" s="134">
        <f ca="1">SUMIFS('vSPD Benefits'!$F$3:$F$4996,'vSPD Benefits'!$A$3:$A$4996,'Charges to party by investment'!X$4,'vSPD Benefits'!$D$3:$D$4996,'Charges to party by investment'!$C36)*X$5/X$6</f>
        <v>3.6104842813945952</v>
      </c>
      <c r="Y36" s="134">
        <f ca="1">SUMIFS('vSPD Benefits'!$F$3:$F$4996,'vSPD Benefits'!$A$3:$A$4996,'Charges to party by investment'!Y$4,'vSPD Benefits'!$D$3:$D$4996,'Charges to party by investment'!$C36)*Y$5/Y$6</f>
        <v>0.95146712811168632</v>
      </c>
      <c r="Z36" s="134">
        <f ca="1">SUMIFS('vSPD Benefits'!$F$3:$F$4996,'vSPD Benefits'!$A$3:$A$4996,'Charges to party by investment'!Z$4,'vSPD Benefits'!$D$3:$D$4996,'Charges to party by investment'!$C36)*Z$5/Z$6</f>
        <v>4.7262823623781761E-4</v>
      </c>
      <c r="AA36" s="134">
        <f ca="1">SUMIFS('vSPD Benefits'!$F$3:$F$4996,'vSPD Benefits'!$A$3:$A$4996,'Charges to party by investment'!AA$4,'vSPD Benefits'!$D$3:$D$4996,'Charges to party by investment'!$C36)*AA$5/AA$6</f>
        <v>0.61049754398726819</v>
      </c>
      <c r="AB36" s="134">
        <f>SUMIFS('vSPD Benefits'!$F$3:$F$4996,'vSPD Benefits'!$A$3:$A$4996,'Charges to party by investment'!AB$4,'vSPD Benefits'!$D$3:$D$4996,'Charges to party by investment'!$C36)</f>
        <v>0</v>
      </c>
      <c r="AC36" s="134">
        <f>SUMIFS('vSPD Benefits'!$F$3:$F$4996,'vSPD Benefits'!$A$3:$A$4996,'Charges to party by investment'!AC$4,'vSPD Benefits'!$D$3:$D$4996,'Charges to party by investment'!$C36)</f>
        <v>0</v>
      </c>
      <c r="AD36" s="134">
        <f>SUMIFS('vSPD Benefits'!$F$3:$F$4996,'vSPD Benefits'!$A$3:$A$4996,'Charges to party by investment'!AD$4,'vSPD Benefits'!$D$3:$D$4996,'Charges to party by investment'!$C36)</f>
        <v>0</v>
      </c>
      <c r="AE36" s="134">
        <f>SUMIFS('vSPD Benefits'!$F$3:$F$4996,'vSPD Benefits'!$A$3:$A$4996,'Charges to party by investment'!AE$4,'vSPD Benefits'!$D$3:$D$4996,'Charges to party by investment'!$C36)</f>
        <v>0</v>
      </c>
      <c r="AF36" s="134">
        <f>SUMIFS('vSPD Benefits'!$F$3:$F$4996,'vSPD Benefits'!$A$3:$A$4996,'Charges to party by investment'!AF$4,'vSPD Benefits'!$D$3:$D$4996,'Charges to party by investment'!$C36)</f>
        <v>0</v>
      </c>
      <c r="AG36" s="134">
        <f>SUMIFS('vSPD Benefits'!$F$3:$F$4996,'vSPD Benefits'!$A$3:$A$4996,'Charges to party by investment'!AG$4,'vSPD Benefits'!$D$3:$D$4996,'Charges to party by investment'!$C36)</f>
        <v>0</v>
      </c>
      <c r="AH36" s="134">
        <f>SUMIFS('vSPD Benefits'!$F$3:$F$4996,'vSPD Benefits'!$A$3:$A$4996,'Charges to party by investment'!AH$4,'vSPD Benefits'!$D$3:$D$4996,'Charges to party by investment'!$C36)</f>
        <v>0</v>
      </c>
      <c r="AJ36" s="116" t="str">
        <f>'Charges as $M per year'!A31</f>
        <v>Wellington Electricity</v>
      </c>
      <c r="AK36" s="128" t="str">
        <f t="shared" si="7"/>
        <v>Wellington Electricity</v>
      </c>
      <c r="AL36" s="129">
        <f t="shared" ca="1" si="8"/>
        <v>10.322324924255835</v>
      </c>
      <c r="AM36" s="129">
        <f ca="1">SUMIF('AMD Calculations'!$AU$22:$AU$252,'Charges to party by investment'!AK36,'AMD Calculations'!$AY$22:$AY$252)</f>
        <v>17.886057625883851</v>
      </c>
      <c r="AN36" s="129">
        <v>7.8649419500000022</v>
      </c>
      <c r="AO36" s="129">
        <f ca="1">AV36*'Recovery amounts'!$J$17/'Recovery amounts'!$J$14</f>
        <v>0.13216755131205385</v>
      </c>
      <c r="AP36" s="130">
        <f t="shared" ca="1" si="9"/>
        <v>0.25254937720623599</v>
      </c>
      <c r="AQ36" s="130">
        <f t="shared" ca="1" si="10"/>
        <v>6.9443007462488174E-2</v>
      </c>
      <c r="AR36" s="162">
        <f t="shared" ca="1" si="1"/>
        <v>13.055285402947776</v>
      </c>
      <c r="AS36" s="162">
        <f>SUMIF('AMD Calculations'!$AU$22:$AU$252,'Charges to party by investment'!AK36,'AMD Calculations'!$AW$22:$AW$252)</f>
        <v>589.61699999999996</v>
      </c>
      <c r="AT36" s="445">
        <f t="shared" ca="1" si="11"/>
        <v>30.941343028831625</v>
      </c>
      <c r="AU36" s="162">
        <f t="shared" ca="1" si="12"/>
        <v>41.395835504399514</v>
      </c>
      <c r="AV36" s="162">
        <v>0.14501675933018252</v>
      </c>
      <c r="AW36" s="128"/>
      <c r="AX36" s="129"/>
      <c r="AY36" s="129"/>
      <c r="AZ36" s="631">
        <f t="shared" ca="1" si="13"/>
        <v>6.9443007462488174E-2</v>
      </c>
      <c r="BA36" s="83">
        <f t="shared" ca="1" si="2"/>
        <v>6.3881646108117432E-2</v>
      </c>
      <c r="BX36" s="70" t="str">
        <f t="shared" si="14"/>
        <v>Wellington Electricity</v>
      </c>
      <c r="BY36" s="166">
        <f t="shared" ca="1" si="3"/>
        <v>10.322324924255835</v>
      </c>
      <c r="BZ36" s="166">
        <f t="shared" ca="1" si="4"/>
        <v>17.886057625883851</v>
      </c>
      <c r="CA36" s="166">
        <f t="shared" ca="1" si="5"/>
        <v>0.13216755131205385</v>
      </c>
      <c r="CB36" s="166">
        <f t="shared" ca="1" si="6"/>
        <v>13.055285402947776</v>
      </c>
      <c r="CC36" s="166">
        <f t="shared" ca="1" si="15"/>
        <v>41.395835504399514</v>
      </c>
    </row>
    <row r="37" spans="1:81" x14ac:dyDescent="0.3">
      <c r="A37" s="116"/>
      <c r="B37" s="3"/>
      <c r="C37" s="41" t="s">
        <v>41</v>
      </c>
      <c r="D37" s="14"/>
      <c r="F37" s="134">
        <f ca="1">SUMIF('AMD Calculations'!$Z$22:$Z$652,'Charges to party by investment'!$C37,'AMD Calculations'!AE$22:AE$652)</f>
        <v>0</v>
      </c>
      <c r="G37" s="134">
        <f ca="1">SUMIF('AMD Calculations'!$Z$22:$Z$652,'Charges to party by investment'!$C37,'AMD Calculations'!AF$22:AF$652)</f>
        <v>0</v>
      </c>
      <c r="H37" s="134">
        <f ca="1">SUMIF('AMD Calculations'!$Z$22:$Z$652,'Charges to party by investment'!$C37,'AMD Calculations'!AG$22:AG$652)</f>
        <v>0</v>
      </c>
      <c r="I37" s="134">
        <f ca="1">SUMIF('AMD Calculations'!$Z$22:$Z$652,'Charges to party by investment'!$C37,'AMD Calculations'!AH$22:AH$652)</f>
        <v>0</v>
      </c>
      <c r="J37" s="134">
        <f ca="1">SUMIF('AMD Calculations'!$Z$22:$Z$652,'Charges to party by investment'!$C37,'AMD Calculations'!AI$22:AI$652)</f>
        <v>0</v>
      </c>
      <c r="K37" s="134">
        <f ca="1">SUMIF('AMD Calculations'!$Z$22:$Z$652,'Charges to party by investment'!$C37,'AMD Calculations'!AJ$22:AJ$652)</f>
        <v>0</v>
      </c>
      <c r="L37" s="134">
        <f ca="1">SUMIF('AMD Calculations'!$Z$22:$Z$652,'Charges to party by investment'!$C37,'AMD Calculations'!AK$22:AK$652)</f>
        <v>0</v>
      </c>
      <c r="M37" s="134">
        <f ca="1">SUMIF('AMD Calculations'!$Z$22:$Z$652,'Charges to party by investment'!$C37,'AMD Calculations'!AL$22:AL$652)</f>
        <v>0</v>
      </c>
      <c r="N37" s="134">
        <f ca="1">SUMIF('AMD Calculations'!$Z$22:$Z$652,'Charges to party by investment'!$C37,'AMD Calculations'!AM$22:AM$652)</f>
        <v>0.16359359453776601</v>
      </c>
      <c r="O37" s="134">
        <f ca="1">SUMIF('AMD Calculations'!$Z$22:$Z$652,'Charges to party by investment'!$C37,'AMD Calculations'!AN$22:AN$652)</f>
        <v>0</v>
      </c>
      <c r="P37" s="134">
        <f ca="1">SUMIF('AMD Calculations'!$Z$22:$Z$652,'Charges to party by investment'!$C37,'AMD Calculations'!AO$22:AO$652)</f>
        <v>0</v>
      </c>
      <c r="Q37" s="134">
        <f ca="1">SUMIF('AMD Calculations'!$Z$22:$Z$652,'Charges to party by investment'!$C37,'AMD Calculations'!AP$22:AP$652)</f>
        <v>0</v>
      </c>
      <c r="R37" s="134">
        <f ca="1">SUMIF('AMD Calculations'!$Z$22:$Z$652,'Charges to party by investment'!$C37,'AMD Calculations'!AQ$22:AQ$652)</f>
        <v>0</v>
      </c>
      <c r="S37" s="18"/>
      <c r="T37" s="18"/>
      <c r="U37" s="18"/>
      <c r="V37" s="134">
        <f ca="1">SUMIFS('vSPD Benefits'!$F$3:$F$4996,'vSPD Benefits'!$A$3:$A$4996,'Charges to party by investment'!V$4,'vSPD Benefits'!$D$3:$D$4996,'Charges to party by investment'!$C37)*V$5/V$6</f>
        <v>0.13632805257793468</v>
      </c>
      <c r="W37" s="134">
        <f ca="1">SUMIFS('vSPD Benefits'!$F$3:$F$4996,'vSPD Benefits'!$A$3:$A$4996,'Charges to party by investment'!W$4,'vSPD Benefits'!$D$3:$D$4996,'Charges to party by investment'!$C37)*W$5/W$6</f>
        <v>0</v>
      </c>
      <c r="X37" s="134">
        <f ca="1">SUMIFS('vSPD Benefits'!$F$3:$F$4996,'vSPD Benefits'!$A$3:$A$4996,'Charges to party by investment'!X$4,'vSPD Benefits'!$D$3:$D$4996,'Charges to party by investment'!$C37)*X$5/X$6</f>
        <v>0</v>
      </c>
      <c r="Y37" s="134">
        <f ca="1">SUMIFS('vSPD Benefits'!$F$3:$F$4996,'vSPD Benefits'!$A$3:$A$4996,'Charges to party by investment'!Y$4,'vSPD Benefits'!$D$3:$D$4996,'Charges to party by investment'!$C37)*Y$5/Y$6</f>
        <v>5.9355257082718334E-2</v>
      </c>
      <c r="Z37" s="134">
        <f ca="1">SUMIFS('vSPD Benefits'!$F$3:$F$4996,'vSPD Benefits'!$A$3:$A$4996,'Charges to party by investment'!Z$4,'vSPD Benefits'!$D$3:$D$4996,'Charges to party by investment'!$C37)*Z$5/Z$6</f>
        <v>2.6518924212830371E-2</v>
      </c>
      <c r="AA37" s="134">
        <f ca="1">SUMIFS('vSPD Benefits'!$F$3:$F$4996,'vSPD Benefits'!$A$3:$A$4996,'Charges to party by investment'!AA$4,'vSPD Benefits'!$D$3:$D$4996,'Charges to party by investment'!$C37)*AA$5/AA$6</f>
        <v>4.5412415887238024E-2</v>
      </c>
      <c r="AB37" s="134">
        <f>SUMIFS('vSPD Benefits'!$F$3:$F$4996,'vSPD Benefits'!$A$3:$A$4996,'Charges to party by investment'!AB$4,'vSPD Benefits'!$D$3:$D$4996,'Charges to party by investment'!$C37)</f>
        <v>0</v>
      </c>
      <c r="AC37" s="134">
        <f>SUMIFS('vSPD Benefits'!$F$3:$F$4996,'vSPD Benefits'!$A$3:$A$4996,'Charges to party by investment'!AC$4,'vSPD Benefits'!$D$3:$D$4996,'Charges to party by investment'!$C37)</f>
        <v>0</v>
      </c>
      <c r="AD37" s="134">
        <f>SUMIFS('vSPD Benefits'!$F$3:$F$4996,'vSPD Benefits'!$A$3:$A$4996,'Charges to party by investment'!AD$4,'vSPD Benefits'!$D$3:$D$4996,'Charges to party by investment'!$C37)</f>
        <v>0</v>
      </c>
      <c r="AE37" s="134">
        <f>SUMIFS('vSPD Benefits'!$F$3:$F$4996,'vSPD Benefits'!$A$3:$A$4996,'Charges to party by investment'!AE$4,'vSPD Benefits'!$D$3:$D$4996,'Charges to party by investment'!$C37)</f>
        <v>0</v>
      </c>
      <c r="AF37" s="134">
        <f>SUMIFS('vSPD Benefits'!$F$3:$F$4996,'vSPD Benefits'!$A$3:$A$4996,'Charges to party by investment'!AF$4,'vSPD Benefits'!$D$3:$D$4996,'Charges to party by investment'!$C37)</f>
        <v>0</v>
      </c>
      <c r="AG37" s="134">
        <f>SUMIFS('vSPD Benefits'!$F$3:$F$4996,'vSPD Benefits'!$A$3:$A$4996,'Charges to party by investment'!AG$4,'vSPD Benefits'!$D$3:$D$4996,'Charges to party by investment'!$C37)</f>
        <v>0</v>
      </c>
      <c r="AH37" s="134">
        <f>SUMIFS('vSPD Benefits'!$F$3:$F$4996,'vSPD Benefits'!$A$3:$A$4996,'Charges to party by investment'!AH$4,'vSPD Benefits'!$D$3:$D$4996,'Charges to party by investment'!$C37)</f>
        <v>0</v>
      </c>
      <c r="AJ37" s="116" t="str">
        <f>'Charges as $M per year'!A32</f>
        <v>Westpower</v>
      </c>
      <c r="AK37" s="128" t="str">
        <f t="shared" si="7"/>
        <v>Westpower</v>
      </c>
      <c r="AL37" s="129">
        <f t="shared" ca="1" si="8"/>
        <v>0.43120824429848742</v>
      </c>
      <c r="AM37" s="129">
        <f ca="1">SUMIF('AMD Calculations'!$AU$22:$AU$252,'Charges to party by investment'!AK37,'AMD Calculations'!$AY$22:$AY$252)</f>
        <v>1.8629357208506181</v>
      </c>
      <c r="AN37" s="129">
        <v>0.59358858999999986</v>
      </c>
      <c r="AO37" s="129">
        <f ca="1">AV37*'Recovery amounts'!$J$17/'Recovery amounts'!$J$14</f>
        <v>0</v>
      </c>
      <c r="AP37" s="130">
        <f t="shared" ca="1" si="9"/>
        <v>0.11801227709208106</v>
      </c>
      <c r="AQ37" s="130">
        <f t="shared" ca="1" si="10"/>
        <v>7.2328884246660513E-3</v>
      </c>
      <c r="AR37" s="162">
        <f t="shared" ca="1" si="1"/>
        <v>1.3597830238372177</v>
      </c>
      <c r="AS37" s="162">
        <f>SUMIF('AMD Calculations'!$AU$22:$AU$252,'Charges to party by investment'!AK37,'AMD Calculations'!$AW$22:$AW$252)</f>
        <v>61.411999999999999</v>
      </c>
      <c r="AT37" s="445">
        <f t="shared" ca="1" si="11"/>
        <v>3.2227187446878358</v>
      </c>
      <c r="AU37" s="162">
        <f t="shared" ca="1" si="12"/>
        <v>3.6539269889863233</v>
      </c>
      <c r="AV37" s="162">
        <v>0</v>
      </c>
      <c r="AW37" s="128"/>
      <c r="AX37" s="129"/>
      <c r="AY37" s="129"/>
      <c r="AZ37" s="631">
        <f t="shared" ca="1" si="13"/>
        <v>7.2328884246660513E-3</v>
      </c>
      <c r="BA37" s="83">
        <f t="shared" ca="1" si="2"/>
        <v>5.0951692323576089E-3</v>
      </c>
      <c r="BX37" s="70" t="str">
        <f t="shared" si="14"/>
        <v>Westpower</v>
      </c>
      <c r="BY37" s="166">
        <f t="shared" ca="1" si="3"/>
        <v>0.43120824429848742</v>
      </c>
      <c r="BZ37" s="166">
        <f t="shared" ca="1" si="4"/>
        <v>1.8629357208506181</v>
      </c>
      <c r="CA37" s="166">
        <f t="shared" ca="1" si="5"/>
        <v>0</v>
      </c>
      <c r="CB37" s="166">
        <f t="shared" ca="1" si="6"/>
        <v>1.3597830238372177</v>
      </c>
      <c r="CC37" s="166">
        <f t="shared" ca="1" si="15"/>
        <v>3.6539269889863233</v>
      </c>
    </row>
    <row r="38" spans="1:81" x14ac:dyDescent="0.3">
      <c r="B38" s="3"/>
      <c r="C38" s="269"/>
      <c r="D38" s="14"/>
      <c r="F38" s="134">
        <f>SUMIF('AMD Calculations'!$Z$22:$Z$652,'Charges to party by investment'!$C38,'AMD Calculations'!AE$22:AE$652)</f>
        <v>0</v>
      </c>
      <c r="G38" s="134">
        <f>SUMIF('AMD Calculations'!$Z$22:$Z$652,'Charges to party by investment'!$C38,'AMD Calculations'!AF$22:AF$652)</f>
        <v>0</v>
      </c>
      <c r="H38" s="134">
        <f>SUMIF('AMD Calculations'!$Z$22:$Z$652,'Charges to party by investment'!$C38,'AMD Calculations'!AG$22:AG$652)</f>
        <v>0</v>
      </c>
      <c r="I38" s="134">
        <f>SUMIF('AMD Calculations'!$Z$22:$Z$652,'Charges to party by investment'!$C38,'AMD Calculations'!AH$22:AH$652)</f>
        <v>0</v>
      </c>
      <c r="J38" s="134">
        <f>SUMIF('AMD Calculations'!$Z$22:$Z$652,'Charges to party by investment'!$C38,'AMD Calculations'!AI$22:AI$652)</f>
        <v>0</v>
      </c>
      <c r="K38" s="134">
        <f>SUMIF('AMD Calculations'!$Z$22:$Z$652,'Charges to party by investment'!$C38,'AMD Calculations'!AJ$22:AJ$652)</f>
        <v>0</v>
      </c>
      <c r="L38" s="134">
        <f>SUMIF('AMD Calculations'!$Z$22:$Z$652,'Charges to party by investment'!$C38,'AMD Calculations'!AK$22:AK$652)</f>
        <v>0</v>
      </c>
      <c r="M38" s="134">
        <f>SUMIF('AMD Calculations'!$Z$22:$Z$652,'Charges to party by investment'!$C38,'AMD Calculations'!AL$22:AL$652)</f>
        <v>0</v>
      </c>
      <c r="N38" s="134">
        <f>SUMIF('AMD Calculations'!$Z$22:$Z$652,'Charges to party by investment'!$C38,'AMD Calculations'!AM$22:AM$652)</f>
        <v>0</v>
      </c>
      <c r="O38" s="134">
        <f>SUMIF('AMD Calculations'!$Z$22:$Z$652,'Charges to party by investment'!$C38,'AMD Calculations'!AN$22:AN$652)</f>
        <v>0</v>
      </c>
      <c r="P38" s="134">
        <f>SUMIF('AMD Calculations'!$Z$22:$Z$652,'Charges to party by investment'!$C38,'AMD Calculations'!AO$22:AO$652)</f>
        <v>0</v>
      </c>
      <c r="Q38" s="134">
        <f>SUMIF('AMD Calculations'!$Z$22:$Z$652,'Charges to party by investment'!$C38,'AMD Calculations'!AP$22:AP$652)</f>
        <v>0</v>
      </c>
      <c r="R38" s="134">
        <f>SUMIF('AMD Calculations'!$Z$22:$Z$652,'Charges to party by investment'!$C38,'AMD Calculations'!AQ$22:AQ$652)</f>
        <v>0</v>
      </c>
      <c r="S38" s="14"/>
      <c r="T38" s="14"/>
      <c r="V38" s="134">
        <f ca="1">SUMIFS('vSPD Benefits'!$F$3:$F$4996,'vSPD Benefits'!$A$3:$A$4996,'Charges to party by investment'!V$4,'vSPD Benefits'!$D$3:$D$4996,'Charges to party by investment'!$C38)*V$5/V$6</f>
        <v>0</v>
      </c>
      <c r="W38" s="134">
        <f ca="1">SUMIFS('vSPD Benefits'!$F$3:$F$4996,'vSPD Benefits'!$A$3:$A$4996,'Charges to party by investment'!W$4,'vSPD Benefits'!$D$3:$D$4996,'Charges to party by investment'!$C38)*W$5/W$6</f>
        <v>0</v>
      </c>
      <c r="X38" s="134">
        <f ca="1">SUMIFS('vSPD Benefits'!$F$3:$F$4996,'vSPD Benefits'!$A$3:$A$4996,'Charges to party by investment'!X$4,'vSPD Benefits'!$D$3:$D$4996,'Charges to party by investment'!$C38)*X$5/X$6</f>
        <v>0</v>
      </c>
      <c r="Y38" s="134">
        <f ca="1">SUMIFS('vSPD Benefits'!$F$3:$F$4996,'vSPD Benefits'!$A$3:$A$4996,'Charges to party by investment'!Y$4,'vSPD Benefits'!$D$3:$D$4996,'Charges to party by investment'!$C38)*Y$5/Y$6</f>
        <v>0</v>
      </c>
      <c r="Z38" s="134">
        <f ca="1">SUMIFS('vSPD Benefits'!$F$3:$F$4996,'vSPD Benefits'!$A$3:$A$4996,'Charges to party by investment'!Z$4,'vSPD Benefits'!$D$3:$D$4996,'Charges to party by investment'!$C38)*Z$5/Z$6</f>
        <v>0</v>
      </c>
      <c r="AA38" s="134">
        <f ca="1">SUMIFS('vSPD Benefits'!$F$3:$F$4996,'vSPD Benefits'!$A$3:$A$4996,'Charges to party by investment'!AA$4,'vSPD Benefits'!$D$3:$D$4996,'Charges to party by investment'!$C38)*AA$5/AA$6</f>
        <v>0</v>
      </c>
      <c r="AB38" s="134">
        <f>SUMIFS('vSPD Benefits'!$F$3:$F$4996,'vSPD Benefits'!$A$3:$A$4996,'Charges to party by investment'!AB$4,'vSPD Benefits'!$D$3:$D$4996,'Charges to party by investment'!$C38)</f>
        <v>0</v>
      </c>
      <c r="AC38" s="134">
        <f>SUMIFS('vSPD Benefits'!$F$3:$F$4996,'vSPD Benefits'!$A$3:$A$4996,'Charges to party by investment'!AC$4,'vSPD Benefits'!$D$3:$D$4996,'Charges to party by investment'!$C38)</f>
        <v>0</v>
      </c>
      <c r="AD38" s="134">
        <f>SUMIFS('vSPD Benefits'!$F$3:$F$4996,'vSPD Benefits'!$A$3:$A$4996,'Charges to party by investment'!AD$4,'vSPD Benefits'!$D$3:$D$4996,'Charges to party by investment'!$C38)</f>
        <v>0</v>
      </c>
      <c r="AE38" s="134">
        <f>SUMIFS('vSPD Benefits'!$F$3:$F$4996,'vSPD Benefits'!$A$3:$A$4996,'Charges to party by investment'!AE$4,'vSPD Benefits'!$D$3:$D$4996,'Charges to party by investment'!$C38)</f>
        <v>0</v>
      </c>
      <c r="AF38" s="134">
        <f>SUMIFS('vSPD Benefits'!$F$3:$F$4996,'vSPD Benefits'!$A$3:$A$4996,'Charges to party by investment'!AF$4,'vSPD Benefits'!$D$3:$D$4996,'Charges to party by investment'!$C38)</f>
        <v>0</v>
      </c>
      <c r="AG38" s="134">
        <f>SUMIFS('vSPD Benefits'!$F$3:$F$4996,'vSPD Benefits'!$A$3:$A$4996,'Charges to party by investment'!AG$4,'vSPD Benefits'!$D$3:$D$4996,'Charges to party by investment'!$C38)</f>
        <v>0</v>
      </c>
      <c r="AH38" s="134">
        <f>SUMIFS('vSPD Benefits'!$F$3:$F$4996,'vSPD Benefits'!$A$3:$A$4996,'Charges to party by investment'!AH$4,'vSPD Benefits'!$D$3:$D$4996,'Charges to party by investment'!$C38)</f>
        <v>0</v>
      </c>
      <c r="AJ38" s="116"/>
      <c r="AK38" s="128" t="s">
        <v>556</v>
      </c>
      <c r="AL38" s="129"/>
      <c r="AM38" s="129"/>
      <c r="AN38" s="129"/>
      <c r="AO38" s="129"/>
      <c r="AP38" s="130"/>
      <c r="AQ38" s="130"/>
      <c r="AR38" s="130"/>
      <c r="AS38" s="130"/>
      <c r="AT38" s="445"/>
      <c r="AU38" s="162"/>
      <c r="AV38" s="162"/>
      <c r="AW38" s="128"/>
      <c r="AX38" s="129"/>
      <c r="AY38" s="129"/>
      <c r="AZ38" s="18"/>
      <c r="BA38" s="18"/>
      <c r="BX38" s="70"/>
      <c r="BY38" s="166"/>
      <c r="BZ38" s="166"/>
      <c r="CA38" s="166"/>
      <c r="CB38" s="166"/>
      <c r="CC38" s="166"/>
    </row>
    <row r="39" spans="1:81" x14ac:dyDescent="0.3">
      <c r="B39" s="3"/>
      <c r="C39" s="65" t="s">
        <v>44</v>
      </c>
      <c r="D39" s="14"/>
      <c r="F39" s="134">
        <f>SUMIF('AMD Calculations'!$Z$22:$Z$652,'Charges to party by investment'!$C39,'AMD Calculations'!AE$22:AE$652)</f>
        <v>0</v>
      </c>
      <c r="G39" s="134">
        <f>SUMIF('AMD Calculations'!$Z$22:$Z$652,'Charges to party by investment'!$C39,'AMD Calculations'!AF$22:AF$652)</f>
        <v>0</v>
      </c>
      <c r="H39" s="134">
        <f>SUMIF('AMD Calculations'!$Z$22:$Z$652,'Charges to party by investment'!$C39,'AMD Calculations'!AG$22:AG$652)</f>
        <v>0</v>
      </c>
      <c r="I39" s="134">
        <f>SUMIF('AMD Calculations'!$Z$22:$Z$652,'Charges to party by investment'!$C39,'AMD Calculations'!AH$22:AH$652)</f>
        <v>0</v>
      </c>
      <c r="J39" s="134">
        <f>SUMIF('AMD Calculations'!$Z$22:$Z$652,'Charges to party by investment'!$C39,'AMD Calculations'!AI$22:AI$652)</f>
        <v>0</v>
      </c>
      <c r="K39" s="134">
        <f>SUMIF('AMD Calculations'!$Z$22:$Z$652,'Charges to party by investment'!$C39,'AMD Calculations'!AJ$22:AJ$652)</f>
        <v>0</v>
      </c>
      <c r="L39" s="134">
        <f>SUMIF('AMD Calculations'!$Z$22:$Z$652,'Charges to party by investment'!$C39,'AMD Calculations'!AK$22:AK$652)</f>
        <v>0</v>
      </c>
      <c r="M39" s="134">
        <f>SUMIF('AMD Calculations'!$Z$22:$Z$652,'Charges to party by investment'!$C39,'AMD Calculations'!AL$22:AL$652)</f>
        <v>0</v>
      </c>
      <c r="N39" s="134">
        <f>SUMIF('AMD Calculations'!$Z$22:$Z$652,'Charges to party by investment'!$C39,'AMD Calculations'!AM$22:AM$652)</f>
        <v>0</v>
      </c>
      <c r="O39" s="134">
        <f>SUMIF('AMD Calculations'!$Z$22:$Z$652,'Charges to party by investment'!$C39,'AMD Calculations'!AN$22:AN$652)</f>
        <v>0</v>
      </c>
      <c r="P39" s="134">
        <f>SUMIF('AMD Calculations'!$Z$22:$Z$652,'Charges to party by investment'!$C39,'AMD Calculations'!AO$22:AO$652)</f>
        <v>0</v>
      </c>
      <c r="Q39" s="134">
        <f>SUMIF('AMD Calculations'!$Z$22:$Z$652,'Charges to party by investment'!$C39,'AMD Calculations'!AP$22:AP$652)</f>
        <v>0</v>
      </c>
      <c r="R39" s="134">
        <f>SUMIF('AMD Calculations'!$Z$22:$Z$652,'Charges to party by investment'!$C39,'AMD Calculations'!AQ$22:AQ$652)</f>
        <v>0</v>
      </c>
      <c r="S39" s="14"/>
      <c r="T39" s="14"/>
      <c r="V39" s="134">
        <f ca="1">SUMIFS('vSPD Benefits'!$F$3:$F$4996,'vSPD Benefits'!$A$3:$A$4996,'Charges to party by investment'!V$4,'vSPD Benefits'!$D$3:$D$4996,'Charges to party by investment'!$C39)*V$5/V$6</f>
        <v>0</v>
      </c>
      <c r="W39" s="134">
        <f ca="1">SUMIFS('vSPD Benefits'!$F$3:$F$4996,'vSPD Benefits'!$A$3:$A$4996,'Charges to party by investment'!W$4,'vSPD Benefits'!$D$3:$D$4996,'Charges to party by investment'!$C39)*W$5/W$6</f>
        <v>0</v>
      </c>
      <c r="X39" s="134">
        <f ca="1">SUMIFS('vSPD Benefits'!$F$3:$F$4996,'vSPD Benefits'!$A$3:$A$4996,'Charges to party by investment'!X$4,'vSPD Benefits'!$D$3:$D$4996,'Charges to party by investment'!$C39)*X$5/X$6</f>
        <v>0</v>
      </c>
      <c r="Y39" s="134">
        <f ca="1">SUMIFS('vSPD Benefits'!$F$3:$F$4996,'vSPD Benefits'!$A$3:$A$4996,'Charges to party by investment'!Y$4,'vSPD Benefits'!$D$3:$D$4996,'Charges to party by investment'!$C39)*Y$5/Y$6</f>
        <v>0</v>
      </c>
      <c r="Z39" s="134">
        <f ca="1">SUMIFS('vSPD Benefits'!$F$3:$F$4996,'vSPD Benefits'!$A$3:$A$4996,'Charges to party by investment'!Z$4,'vSPD Benefits'!$D$3:$D$4996,'Charges to party by investment'!$C39)*Z$5/Z$6</f>
        <v>0</v>
      </c>
      <c r="AA39" s="134">
        <f ca="1">SUMIFS('vSPD Benefits'!$F$3:$F$4996,'vSPD Benefits'!$A$3:$A$4996,'Charges to party by investment'!AA$4,'vSPD Benefits'!$D$3:$D$4996,'Charges to party by investment'!$C39)*AA$5/AA$6</f>
        <v>0</v>
      </c>
      <c r="AB39" s="134">
        <f>SUMIFS('vSPD Benefits'!$F$3:$F$4996,'vSPD Benefits'!$A$3:$A$4996,'Charges to party by investment'!AB$4,'vSPD Benefits'!$D$3:$D$4996,'Charges to party by investment'!$C39)</f>
        <v>0</v>
      </c>
      <c r="AC39" s="134">
        <f>SUMIFS('vSPD Benefits'!$F$3:$F$4996,'vSPD Benefits'!$A$3:$A$4996,'Charges to party by investment'!AC$4,'vSPD Benefits'!$D$3:$D$4996,'Charges to party by investment'!$C39)</f>
        <v>0</v>
      </c>
      <c r="AD39" s="134">
        <f>SUMIFS('vSPD Benefits'!$F$3:$F$4996,'vSPD Benefits'!$A$3:$A$4996,'Charges to party by investment'!AD$4,'vSPD Benefits'!$D$3:$D$4996,'Charges to party by investment'!$C39)</f>
        <v>0</v>
      </c>
      <c r="AE39" s="134">
        <f>SUMIFS('vSPD Benefits'!$F$3:$F$4996,'vSPD Benefits'!$A$3:$A$4996,'Charges to party by investment'!AE$4,'vSPD Benefits'!$D$3:$D$4996,'Charges to party by investment'!$C39)</f>
        <v>0</v>
      </c>
      <c r="AF39" s="134">
        <f>SUMIFS('vSPD Benefits'!$F$3:$F$4996,'vSPD Benefits'!$A$3:$A$4996,'Charges to party by investment'!AF$4,'vSPD Benefits'!$D$3:$D$4996,'Charges to party by investment'!$C39)</f>
        <v>0</v>
      </c>
      <c r="AG39" s="134">
        <f>SUMIFS('vSPD Benefits'!$F$3:$F$4996,'vSPD Benefits'!$A$3:$A$4996,'Charges to party by investment'!AG$4,'vSPD Benefits'!$D$3:$D$4996,'Charges to party by investment'!$C39)</f>
        <v>0</v>
      </c>
      <c r="AH39" s="134">
        <f>SUMIFS('vSPD Benefits'!$F$3:$F$4996,'vSPD Benefits'!$A$3:$A$4996,'Charges to party by investment'!AH$4,'vSPD Benefits'!$D$3:$D$4996,'Charges to party by investment'!$C39)</f>
        <v>0</v>
      </c>
      <c r="AJ39" s="116"/>
      <c r="AK39" s="128"/>
      <c r="AL39" s="129"/>
      <c r="AM39" s="129"/>
      <c r="AN39" s="129"/>
      <c r="AO39" s="129"/>
      <c r="AP39" s="130"/>
      <c r="AQ39" s="130"/>
      <c r="AR39" s="130"/>
      <c r="AS39" s="130"/>
      <c r="AT39" s="445"/>
      <c r="AU39" s="162"/>
      <c r="AV39" s="162"/>
      <c r="AW39" s="128"/>
      <c r="AX39" s="129"/>
      <c r="AY39" s="129"/>
      <c r="AZ39" s="18"/>
      <c r="BA39" s="18"/>
      <c r="BX39" s="70"/>
      <c r="BY39" s="166"/>
      <c r="BZ39" s="166"/>
      <c r="CA39" s="166"/>
      <c r="CB39" s="166"/>
      <c r="CC39" s="166"/>
    </row>
    <row r="40" spans="1:81" x14ac:dyDescent="0.3">
      <c r="B40" s="3"/>
      <c r="C40" s="41" t="s">
        <v>4</v>
      </c>
      <c r="D40" s="14"/>
      <c r="F40" s="134">
        <f ca="1">SUMIF('AMD Calculations'!$Z$22:$Z$652,'Charges to party by investment'!$C40,'AMD Calculations'!AE$22:AE$652)</f>
        <v>0</v>
      </c>
      <c r="G40" s="134">
        <f ca="1">SUMIF('AMD Calculations'!$Z$22:$Z$652,'Charges to party by investment'!$C40,'AMD Calculations'!AF$22:AF$652)</f>
        <v>0</v>
      </c>
      <c r="H40" s="134">
        <f ca="1">SUMIF('AMD Calculations'!$Z$22:$Z$652,'Charges to party by investment'!$C40,'AMD Calculations'!AG$22:AG$652)</f>
        <v>0</v>
      </c>
      <c r="I40" s="134">
        <f ca="1">SUMIF('AMD Calculations'!$Z$22:$Z$652,'Charges to party by investment'!$C40,'AMD Calculations'!AH$22:AH$652)</f>
        <v>0</v>
      </c>
      <c r="J40" s="134">
        <f ca="1">SUMIF('AMD Calculations'!$Z$22:$Z$652,'Charges to party by investment'!$C40,'AMD Calculations'!AI$22:AI$652)</f>
        <v>0</v>
      </c>
      <c r="K40" s="134">
        <f ca="1">SUMIF('AMD Calculations'!$Z$22:$Z$652,'Charges to party by investment'!$C40,'AMD Calculations'!AJ$22:AJ$652)</f>
        <v>0</v>
      </c>
      <c r="L40" s="134">
        <f ca="1">SUMIF('AMD Calculations'!$Z$22:$Z$652,'Charges to party by investment'!$C40,'AMD Calculations'!AK$22:AK$652)</f>
        <v>2.4240434737120082E-2</v>
      </c>
      <c r="M40" s="134">
        <f ca="1">SUMIF('AMD Calculations'!$Z$22:$Z$652,'Charges to party by investment'!$C40,'AMD Calculations'!AL$22:AL$652)</f>
        <v>1.3398515254318044</v>
      </c>
      <c r="N40" s="134">
        <f ca="1">SUMIF('AMD Calculations'!$Z$22:$Z$652,'Charges to party by investment'!$C40,'AMD Calculations'!AM$22:AM$652)</f>
        <v>0</v>
      </c>
      <c r="O40" s="134">
        <f ca="1">SUMIF('AMD Calculations'!$Z$22:$Z$652,'Charges to party by investment'!$C40,'AMD Calculations'!AN$22:AN$652)</f>
        <v>1.1179740926873126E-2</v>
      </c>
      <c r="P40" s="134">
        <f ca="1">SUMIF('AMD Calculations'!$Z$22:$Z$652,'Charges to party by investment'!$C40,'AMD Calculations'!AO$22:AO$652)</f>
        <v>0</v>
      </c>
      <c r="Q40" s="134">
        <f ca="1">SUMIF('AMD Calculations'!$Z$22:$Z$652,'Charges to party by investment'!$C40,'AMD Calculations'!AP$22:AP$652)</f>
        <v>0</v>
      </c>
      <c r="R40" s="134">
        <f ca="1">SUMIF('AMD Calculations'!$Z$22:$Z$652,'Charges to party by investment'!$C40,'AMD Calculations'!AQ$22:AQ$652)</f>
        <v>0</v>
      </c>
      <c r="S40" s="14"/>
      <c r="T40" s="14"/>
      <c r="V40" s="134">
        <f ca="1">SUMIFS('vSPD Benefits'!$F$3:$F$4996,'vSPD Benefits'!$A$3:$A$4996,'Charges to party by investment'!V$4,'vSPD Benefits'!$D$3:$D$4996,'Charges to party by investment'!$C40)*V$5/V$6</f>
        <v>5.185018872351721E-2</v>
      </c>
      <c r="W40" s="134">
        <f ca="1">SUMIFS('vSPD Benefits'!$F$3:$F$4996,'vSPD Benefits'!$A$3:$A$4996,'Charges to party by investment'!W$4,'vSPD Benefits'!$D$3:$D$4996,'Charges to party by investment'!$C40)*W$5/W$6</f>
        <v>9.0029305051513457</v>
      </c>
      <c r="X40" s="134">
        <f ca="1">SUMIFS('vSPD Benefits'!$F$3:$F$4996,'vSPD Benefits'!$A$3:$A$4996,'Charges to party by investment'!X$4,'vSPD Benefits'!$D$3:$D$4996,'Charges to party by investment'!$C40)*X$5/X$6</f>
        <v>2.3980335034659661</v>
      </c>
      <c r="Y40" s="134">
        <f ca="1">SUMIFS('vSPD Benefits'!$F$3:$F$4996,'vSPD Benefits'!$A$3:$A$4996,'Charges to party by investment'!Y$4,'vSPD Benefits'!$D$3:$D$4996,'Charges to party by investment'!$C40)*Y$5/Y$6</f>
        <v>5.145098550607183E-3</v>
      </c>
      <c r="Z40" s="134">
        <f ca="1">SUMIFS('vSPD Benefits'!$F$3:$F$4996,'vSPD Benefits'!$A$3:$A$4996,'Charges to party by investment'!Z$4,'vSPD Benefits'!$D$3:$D$4996,'Charges to party by investment'!$C40)*Z$5/Z$6</f>
        <v>9.2917466662160483E-2</v>
      </c>
      <c r="AA40" s="134">
        <f ca="1">SUMIFS('vSPD Benefits'!$F$3:$F$4996,'vSPD Benefits'!$A$3:$A$4996,'Charges to party by investment'!AA$4,'vSPD Benefits'!$D$3:$D$4996,'Charges to party by investment'!$C40)*AA$5/AA$6</f>
        <v>0.65562481571876952</v>
      </c>
      <c r="AB40" s="134">
        <f>SUMIFS('vSPD Benefits'!$F$3:$F$4996,'vSPD Benefits'!$A$3:$A$4996,'Charges to party by investment'!AB$4,'vSPD Benefits'!$D$3:$D$4996,'Charges to party by investment'!$C40)</f>
        <v>0</v>
      </c>
      <c r="AC40" s="134">
        <f>SUMIFS('vSPD Benefits'!$F$3:$F$4996,'vSPD Benefits'!$A$3:$A$4996,'Charges to party by investment'!AC$4,'vSPD Benefits'!$D$3:$D$4996,'Charges to party by investment'!$C40)</f>
        <v>0</v>
      </c>
      <c r="AD40" s="134">
        <f>SUMIFS('vSPD Benefits'!$F$3:$F$4996,'vSPD Benefits'!$A$3:$A$4996,'Charges to party by investment'!AD$4,'vSPD Benefits'!$D$3:$D$4996,'Charges to party by investment'!$C40)</f>
        <v>0</v>
      </c>
      <c r="AE40" s="134">
        <f>SUMIFS('vSPD Benefits'!$F$3:$F$4996,'vSPD Benefits'!$A$3:$A$4996,'Charges to party by investment'!AE$4,'vSPD Benefits'!$D$3:$D$4996,'Charges to party by investment'!$C40)</f>
        <v>0</v>
      </c>
      <c r="AF40" s="134">
        <f>SUMIFS('vSPD Benefits'!$F$3:$F$4996,'vSPD Benefits'!$A$3:$A$4996,'Charges to party by investment'!AF$4,'vSPD Benefits'!$D$3:$D$4996,'Charges to party by investment'!$C40)</f>
        <v>0</v>
      </c>
      <c r="AG40" s="134">
        <f>SUMIFS('vSPD Benefits'!$F$3:$F$4996,'vSPD Benefits'!$A$3:$A$4996,'Charges to party by investment'!AG$4,'vSPD Benefits'!$D$3:$D$4996,'Charges to party by investment'!$C40)</f>
        <v>0</v>
      </c>
      <c r="AH40" s="134">
        <f>SUMIFS('vSPD Benefits'!$F$3:$F$4996,'vSPD Benefits'!$A$3:$A$4996,'Charges to party by investment'!AH$4,'vSPD Benefits'!$D$3:$D$4996,'Charges to party by investment'!$C40)</f>
        <v>0</v>
      </c>
      <c r="AJ40" s="116" t="str">
        <f>'Charges as $M per year'!A35</f>
        <v>Contact</v>
      </c>
      <c r="AK40" s="128" t="str">
        <f t="shared" si="7"/>
        <v>Contact</v>
      </c>
      <c r="AL40" s="129">
        <f t="shared" ca="1" si="8"/>
        <v>13.581773279368164</v>
      </c>
      <c r="AM40" s="129">
        <f ca="1">SUMIF('AMD Calculations'!$AU$22:$AU$252,'Charges to party by investment'!AK40,'AMD Calculations'!$AY$22:$AY$252)</f>
        <v>1.2423474581329446</v>
      </c>
      <c r="AN40" s="129">
        <v>3.3737188699999994</v>
      </c>
      <c r="AO40" s="129">
        <f ca="1">AV40*'Recovery amounts'!$J$17/'Recovery amounts'!$J$14</f>
        <v>9.8327030786068484E-2</v>
      </c>
      <c r="AP40" s="130">
        <f t="shared" ca="1" si="9"/>
        <v>0.91674640263957563</v>
      </c>
      <c r="AQ40" s="318"/>
      <c r="AR40" s="319"/>
      <c r="AS40" s="130"/>
      <c r="AT40" s="445">
        <f t="shared" ca="1" si="11"/>
        <v>1.2423474581329446</v>
      </c>
      <c r="AU40" s="162">
        <f t="shared" ca="1" si="12"/>
        <v>14.922447768287176</v>
      </c>
      <c r="AV40" s="162">
        <v>0.10788629446185628</v>
      </c>
      <c r="AW40" s="128"/>
      <c r="AX40" s="129"/>
      <c r="AY40" s="129"/>
      <c r="AZ40" s="631">
        <f t="shared" ref="AZ40:BA49" ca="1" si="16">SUM($AL40:$AO40)/SUM($AL$40:$AO$49)</f>
        <v>0.20327438356047423</v>
      </c>
      <c r="BA40" s="631">
        <f t="shared" ca="1" si="16"/>
        <v>0.20327438356047423</v>
      </c>
      <c r="BX40" s="70" t="str">
        <f t="shared" si="14"/>
        <v>Contact</v>
      </c>
      <c r="BY40" s="166">
        <f t="shared" ca="1" si="3"/>
        <v>13.581773279368164</v>
      </c>
      <c r="BZ40" s="166">
        <f t="shared" ca="1" si="4"/>
        <v>1.2423474581329446</v>
      </c>
      <c r="CA40" s="166">
        <f t="shared" ca="1" si="5"/>
        <v>9.8327030786068484E-2</v>
      </c>
      <c r="CB40" s="166">
        <f t="shared" si="6"/>
        <v>0</v>
      </c>
      <c r="CC40" s="166">
        <f t="shared" ca="1" si="15"/>
        <v>14.922447768287176</v>
      </c>
    </row>
    <row r="41" spans="1:81" x14ac:dyDescent="0.3">
      <c r="B41" s="3"/>
      <c r="C41" s="41" t="s">
        <v>10</v>
      </c>
      <c r="D41" s="14"/>
      <c r="F41" s="134">
        <f ca="1">SUMIF('AMD Calculations'!$Z$22:$Z$652,'Charges to party by investment'!$C41,'AMD Calculations'!AE$22:AE$652)</f>
        <v>0</v>
      </c>
      <c r="G41" s="134">
        <f ca="1">SUMIF('AMD Calculations'!$Z$22:$Z$652,'Charges to party by investment'!$C41,'AMD Calculations'!AF$22:AF$652)</f>
        <v>0</v>
      </c>
      <c r="H41" s="134">
        <f ca="1">SUMIF('AMD Calculations'!$Z$22:$Z$652,'Charges to party by investment'!$C41,'AMD Calculations'!AG$22:AG$652)</f>
        <v>0</v>
      </c>
      <c r="I41" s="134">
        <f ca="1">SUMIF('AMD Calculations'!$Z$22:$Z$652,'Charges to party by investment'!$C41,'AMD Calculations'!AH$22:AH$652)</f>
        <v>0</v>
      </c>
      <c r="J41" s="134">
        <f ca="1">SUMIF('AMD Calculations'!$Z$22:$Z$652,'Charges to party by investment'!$C41,'AMD Calculations'!AI$22:AI$652)</f>
        <v>0</v>
      </c>
      <c r="K41" s="134">
        <f ca="1">SUMIF('AMD Calculations'!$Z$22:$Z$652,'Charges to party by investment'!$C41,'AMD Calculations'!AJ$22:AJ$652)</f>
        <v>0</v>
      </c>
      <c r="L41" s="134">
        <f ca="1">SUMIF('AMD Calculations'!$Z$22:$Z$652,'Charges to party by investment'!$C41,'AMD Calculations'!AK$22:AK$652)</f>
        <v>0</v>
      </c>
      <c r="M41" s="134">
        <f ca="1">SUMIF('AMD Calculations'!$Z$22:$Z$652,'Charges to party by investment'!$C41,'AMD Calculations'!AL$22:AL$652)</f>
        <v>0.88194119061018328</v>
      </c>
      <c r="N41" s="134">
        <f ca="1">SUMIF('AMD Calculations'!$Z$22:$Z$652,'Charges to party by investment'!$C41,'AMD Calculations'!AM$22:AM$652)</f>
        <v>0</v>
      </c>
      <c r="O41" s="134">
        <f ca="1">SUMIF('AMD Calculations'!$Z$22:$Z$652,'Charges to party by investment'!$C41,'AMD Calculations'!AN$22:AN$652)</f>
        <v>0</v>
      </c>
      <c r="P41" s="134">
        <f ca="1">SUMIF('AMD Calculations'!$Z$22:$Z$652,'Charges to party by investment'!$C41,'AMD Calculations'!AO$22:AO$652)</f>
        <v>0</v>
      </c>
      <c r="Q41" s="134">
        <f ca="1">SUMIF('AMD Calculations'!$Z$22:$Z$652,'Charges to party by investment'!$C41,'AMD Calculations'!AP$22:AP$652)</f>
        <v>0</v>
      </c>
      <c r="R41" s="134">
        <f ca="1">SUMIF('AMD Calculations'!$Z$22:$Z$652,'Charges to party by investment'!$C41,'AMD Calculations'!AQ$22:AQ$652)</f>
        <v>0</v>
      </c>
      <c r="S41" s="14"/>
      <c r="T41" s="14"/>
      <c r="V41" s="134">
        <f ca="1">SUMIFS('vSPD Benefits'!$F$3:$F$4996,'vSPD Benefits'!$A$3:$A$4996,'Charges to party by investment'!V$4,'vSPD Benefits'!$D$3:$D$4996,'Charges to party by investment'!$C41)*V$5/V$6</f>
        <v>1.428826419108419E-2</v>
      </c>
      <c r="W41" s="134">
        <f ca="1">SUMIFS('vSPD Benefits'!$F$3:$F$4996,'vSPD Benefits'!$A$3:$A$4996,'Charges to party by investment'!W$4,'vSPD Benefits'!$D$3:$D$4996,'Charges to party by investment'!$C41)*W$5/W$6</f>
        <v>1.96208647438079</v>
      </c>
      <c r="X41" s="134">
        <f ca="1">SUMIFS('vSPD Benefits'!$F$3:$F$4996,'vSPD Benefits'!$A$3:$A$4996,'Charges to party by investment'!X$4,'vSPD Benefits'!$D$3:$D$4996,'Charges to party by investment'!$C41)*X$5/X$6</f>
        <v>0.41022326821558897</v>
      </c>
      <c r="Y41" s="134">
        <f ca="1">SUMIFS('vSPD Benefits'!$F$3:$F$4996,'vSPD Benefits'!$A$3:$A$4996,'Charges to party by investment'!Y$4,'vSPD Benefits'!$D$3:$D$4996,'Charges to party by investment'!$C41)*Y$5/Y$6</f>
        <v>1.1857606878494836E-4</v>
      </c>
      <c r="Z41" s="134">
        <f ca="1">SUMIFS('vSPD Benefits'!$F$3:$F$4996,'vSPD Benefits'!$A$3:$A$4996,'Charges to party by investment'!Z$4,'vSPD Benefits'!$D$3:$D$4996,'Charges to party by investment'!$C41)*Z$5/Z$6</f>
        <v>5.1022496601744016E-2</v>
      </c>
      <c r="AA41" s="134">
        <f ca="1">SUMIFS('vSPD Benefits'!$F$3:$F$4996,'vSPD Benefits'!$A$3:$A$4996,'Charges to party by investment'!AA$4,'vSPD Benefits'!$D$3:$D$4996,'Charges to party by investment'!$C41)*AA$5/AA$6</f>
        <v>0.26039457388471338</v>
      </c>
      <c r="AB41" s="134">
        <f>SUMIFS('vSPD Benefits'!$F$3:$F$4996,'vSPD Benefits'!$A$3:$A$4996,'Charges to party by investment'!AB$4,'vSPD Benefits'!$D$3:$D$4996,'Charges to party by investment'!$C41)</f>
        <v>0</v>
      </c>
      <c r="AC41" s="134">
        <f>SUMIFS('vSPD Benefits'!$F$3:$F$4996,'vSPD Benefits'!$A$3:$A$4996,'Charges to party by investment'!AC$4,'vSPD Benefits'!$D$3:$D$4996,'Charges to party by investment'!$C41)</f>
        <v>0</v>
      </c>
      <c r="AD41" s="134">
        <f>SUMIFS('vSPD Benefits'!$F$3:$F$4996,'vSPD Benefits'!$A$3:$A$4996,'Charges to party by investment'!AD$4,'vSPD Benefits'!$D$3:$D$4996,'Charges to party by investment'!$C41)</f>
        <v>0</v>
      </c>
      <c r="AE41" s="134">
        <f>SUMIFS('vSPD Benefits'!$F$3:$F$4996,'vSPD Benefits'!$A$3:$A$4996,'Charges to party by investment'!AE$4,'vSPD Benefits'!$D$3:$D$4996,'Charges to party by investment'!$C41)</f>
        <v>0</v>
      </c>
      <c r="AF41" s="134">
        <f>SUMIFS('vSPD Benefits'!$F$3:$F$4996,'vSPD Benefits'!$A$3:$A$4996,'Charges to party by investment'!AF$4,'vSPD Benefits'!$D$3:$D$4996,'Charges to party by investment'!$C41)</f>
        <v>0</v>
      </c>
      <c r="AG41" s="134">
        <f>SUMIFS('vSPD Benefits'!$F$3:$F$4996,'vSPD Benefits'!$A$3:$A$4996,'Charges to party by investment'!AG$4,'vSPD Benefits'!$D$3:$D$4996,'Charges to party by investment'!$C41)</f>
        <v>0</v>
      </c>
      <c r="AH41" s="134">
        <f>SUMIFS('vSPD Benefits'!$F$3:$F$4996,'vSPD Benefits'!$A$3:$A$4996,'Charges to party by investment'!AH$4,'vSPD Benefits'!$D$3:$D$4996,'Charges to party by investment'!$C41)</f>
        <v>0</v>
      </c>
      <c r="AJ41" s="116" t="str">
        <f>'Charges as $M per year'!A36</f>
        <v>Genesis</v>
      </c>
      <c r="AK41" s="128" t="str">
        <f t="shared" si="7"/>
        <v>Genesis</v>
      </c>
      <c r="AL41" s="129">
        <f t="shared" ca="1" si="8"/>
        <v>3.5800748439528887</v>
      </c>
      <c r="AM41" s="129">
        <f ca="1">SUMIF('AMD Calculations'!$AU$22:$AU$252,'Charges to party by investment'!AK41,'AMD Calculations'!$AY$22:$AY$252)</f>
        <v>0.7822164105432482</v>
      </c>
      <c r="AN41" s="129">
        <v>4.6878067800000043</v>
      </c>
      <c r="AO41" s="129">
        <f ca="1">AV41*'Recovery amounts'!$J$17/'Recovery amounts'!$J$14</f>
        <v>2.1498004262153113E-2</v>
      </c>
      <c r="AP41" s="130">
        <f t="shared" ca="1" si="9"/>
        <v>0.82156614646097026</v>
      </c>
      <c r="AQ41" s="318"/>
      <c r="AR41" s="319"/>
      <c r="AS41" s="130"/>
      <c r="AT41" s="445">
        <f t="shared" ca="1" si="11"/>
        <v>0.7822164105432482</v>
      </c>
      <c r="AU41" s="162">
        <f t="shared" ca="1" si="12"/>
        <v>4.3837892587582905</v>
      </c>
      <c r="AV41" s="162">
        <v>2.3588020502877921E-2</v>
      </c>
      <c r="AW41" s="128"/>
      <c r="AX41" s="129"/>
      <c r="AY41" s="129"/>
      <c r="AZ41" s="631">
        <f t="shared" ca="1" si="16"/>
        <v>0.1007874014893025</v>
      </c>
      <c r="BA41" s="631">
        <f t="shared" ca="1" si="16"/>
        <v>0.1007874014893025</v>
      </c>
      <c r="BX41" s="70" t="str">
        <f t="shared" si="14"/>
        <v>Genesis</v>
      </c>
      <c r="BY41" s="166">
        <f t="shared" ca="1" si="3"/>
        <v>3.5800748439528887</v>
      </c>
      <c r="BZ41" s="166">
        <f t="shared" ca="1" si="4"/>
        <v>0.7822164105432482</v>
      </c>
      <c r="CA41" s="166">
        <f t="shared" ca="1" si="5"/>
        <v>2.1498004262153113E-2</v>
      </c>
      <c r="CB41" s="166">
        <f t="shared" si="6"/>
        <v>0</v>
      </c>
      <c r="CC41" s="166">
        <f t="shared" ca="1" si="15"/>
        <v>4.3837892587582905</v>
      </c>
    </row>
    <row r="42" spans="1:81" x14ac:dyDescent="0.3">
      <c r="B42" s="3"/>
      <c r="C42" s="41" t="s">
        <v>14</v>
      </c>
      <c r="D42" s="14"/>
      <c r="F42" s="134">
        <f ca="1">SUMIF('AMD Calculations'!$Z$22:$Z$652,'Charges to party by investment'!$C42,'AMD Calculations'!AE$22:AE$652)</f>
        <v>0</v>
      </c>
      <c r="G42" s="134">
        <f ca="1">SUMIF('AMD Calculations'!$Z$22:$Z$652,'Charges to party by investment'!$C42,'AMD Calculations'!AF$22:AF$652)</f>
        <v>0</v>
      </c>
      <c r="H42" s="134">
        <f ca="1">SUMIF('AMD Calculations'!$Z$22:$Z$652,'Charges to party by investment'!$C42,'AMD Calculations'!AG$22:AG$652)</f>
        <v>0</v>
      </c>
      <c r="I42" s="134">
        <f ca="1">SUMIF('AMD Calculations'!$Z$22:$Z$652,'Charges to party by investment'!$C42,'AMD Calculations'!AH$22:AH$652)</f>
        <v>0</v>
      </c>
      <c r="J42" s="134">
        <f ca="1">SUMIF('AMD Calculations'!$Z$22:$Z$652,'Charges to party by investment'!$C42,'AMD Calculations'!AI$22:AI$652)</f>
        <v>0</v>
      </c>
      <c r="K42" s="134">
        <f ca="1">SUMIF('AMD Calculations'!$Z$22:$Z$652,'Charges to party by investment'!$C42,'AMD Calculations'!AJ$22:AJ$652)</f>
        <v>0</v>
      </c>
      <c r="L42" s="134">
        <f ca="1">SUMIF('AMD Calculations'!$Z$22:$Z$652,'Charges to party by investment'!$C42,'AMD Calculations'!AK$22:AK$652)</f>
        <v>0</v>
      </c>
      <c r="M42" s="134">
        <f ca="1">SUMIF('AMD Calculations'!$Z$22:$Z$652,'Charges to party by investment'!$C42,'AMD Calculations'!AL$22:AL$652)</f>
        <v>1.7073644034811877</v>
      </c>
      <c r="N42" s="134">
        <f ca="1">SUMIF('AMD Calculations'!$Z$22:$Z$652,'Charges to party by investment'!$C42,'AMD Calculations'!AM$22:AM$652)</f>
        <v>0</v>
      </c>
      <c r="O42" s="134">
        <f ca="1">SUMIF('AMD Calculations'!$Z$22:$Z$652,'Charges to party by investment'!$C42,'AMD Calculations'!AN$22:AN$652)</f>
        <v>0</v>
      </c>
      <c r="P42" s="134">
        <f ca="1">SUMIF('AMD Calculations'!$Z$22:$Z$652,'Charges to party by investment'!$C42,'AMD Calculations'!AO$22:AO$652)</f>
        <v>0</v>
      </c>
      <c r="Q42" s="134">
        <f ca="1">SUMIF('AMD Calculations'!$Z$22:$Z$652,'Charges to party by investment'!$C42,'AMD Calculations'!AP$22:AP$652)</f>
        <v>0</v>
      </c>
      <c r="R42" s="134">
        <f ca="1">SUMIF('AMD Calculations'!$Z$22:$Z$652,'Charges to party by investment'!$C42,'AMD Calculations'!AQ$22:AQ$652)</f>
        <v>0</v>
      </c>
      <c r="S42" s="14"/>
      <c r="T42" s="14"/>
      <c r="V42" s="134">
        <f ca="1">SUMIFS('vSPD Benefits'!$F$3:$F$4996,'vSPD Benefits'!$A$3:$A$4996,'Charges to party by investment'!V$4,'vSPD Benefits'!$D$3:$D$4996,'Charges to party by investment'!$C42)*V$5/V$6</f>
        <v>5.5915358432918286E-3</v>
      </c>
      <c r="W42" s="134">
        <f ca="1">SUMIFS('vSPD Benefits'!$F$3:$F$4996,'vSPD Benefits'!$A$3:$A$4996,'Charges to party by investment'!W$4,'vSPD Benefits'!$D$3:$D$4996,'Charges to party by investment'!$C42)*W$5/W$6</f>
        <v>25.867371174366692</v>
      </c>
      <c r="X42" s="134">
        <f ca="1">SUMIFS('vSPD Benefits'!$F$3:$F$4996,'vSPD Benefits'!$A$3:$A$4996,'Charges to party by investment'!X$4,'vSPD Benefits'!$D$3:$D$4996,'Charges to party by investment'!$C42)*X$5/X$6</f>
        <v>6.6495914081572423</v>
      </c>
      <c r="Y42" s="134">
        <f ca="1">SUMIFS('vSPD Benefits'!$F$3:$F$4996,'vSPD Benefits'!$A$3:$A$4996,'Charges to party by investment'!Y$4,'vSPD Benefits'!$D$3:$D$4996,'Charges to party by investment'!$C42)*Y$5/Y$6</f>
        <v>1.7137912675370302E-3</v>
      </c>
      <c r="Z42" s="134">
        <f ca="1">SUMIFS('vSPD Benefits'!$F$3:$F$4996,'vSPD Benefits'!$A$3:$A$4996,'Charges to party by investment'!Z$4,'vSPD Benefits'!$D$3:$D$4996,'Charges to party by investment'!$C42)*Z$5/Z$6</f>
        <v>0.10999255299809281</v>
      </c>
      <c r="AA42" s="134">
        <f ca="1">SUMIFS('vSPD Benefits'!$F$3:$F$4996,'vSPD Benefits'!$A$3:$A$4996,'Charges to party by investment'!AA$4,'vSPD Benefits'!$D$3:$D$4996,'Charges to party by investment'!$C42)*AA$5/AA$6</f>
        <v>1.1075849823054969E-3</v>
      </c>
      <c r="AB42" s="134">
        <f>SUMIFS('vSPD Benefits'!$F$3:$F$4996,'vSPD Benefits'!$A$3:$A$4996,'Charges to party by investment'!AB$4,'vSPD Benefits'!$D$3:$D$4996,'Charges to party by investment'!$C42)</f>
        <v>0</v>
      </c>
      <c r="AC42" s="134">
        <f>SUMIFS('vSPD Benefits'!$F$3:$F$4996,'vSPD Benefits'!$A$3:$A$4996,'Charges to party by investment'!AC$4,'vSPD Benefits'!$D$3:$D$4996,'Charges to party by investment'!$C42)</f>
        <v>0</v>
      </c>
      <c r="AD42" s="134">
        <f>SUMIFS('vSPD Benefits'!$F$3:$F$4996,'vSPD Benefits'!$A$3:$A$4996,'Charges to party by investment'!AD$4,'vSPD Benefits'!$D$3:$D$4996,'Charges to party by investment'!$C42)</f>
        <v>0</v>
      </c>
      <c r="AE42" s="134">
        <f>SUMIFS('vSPD Benefits'!$F$3:$F$4996,'vSPD Benefits'!$A$3:$A$4996,'Charges to party by investment'!AE$4,'vSPD Benefits'!$D$3:$D$4996,'Charges to party by investment'!$C42)</f>
        <v>0</v>
      </c>
      <c r="AF42" s="134">
        <f>SUMIFS('vSPD Benefits'!$F$3:$F$4996,'vSPD Benefits'!$A$3:$A$4996,'Charges to party by investment'!AF$4,'vSPD Benefits'!$D$3:$D$4996,'Charges to party by investment'!$C42)</f>
        <v>0</v>
      </c>
      <c r="AG42" s="134">
        <f>SUMIFS('vSPD Benefits'!$F$3:$F$4996,'vSPD Benefits'!$A$3:$A$4996,'Charges to party by investment'!AG$4,'vSPD Benefits'!$D$3:$D$4996,'Charges to party by investment'!$C42)</f>
        <v>0</v>
      </c>
      <c r="AH42" s="134">
        <f>SUMIFS('vSPD Benefits'!$F$3:$F$4996,'vSPD Benefits'!$A$3:$A$4996,'Charges to party by investment'!AH$4,'vSPD Benefits'!$D$3:$D$4996,'Charges to party by investment'!$C42)</f>
        <v>0</v>
      </c>
      <c r="AJ42" s="116" t="str">
        <f>'Charges as $M per year'!A37</f>
        <v>Meridian</v>
      </c>
      <c r="AK42" s="128" t="str">
        <f t="shared" si="7"/>
        <v>Meridian</v>
      </c>
      <c r="AL42" s="129">
        <f t="shared" ca="1" si="8"/>
        <v>34.342732451096353</v>
      </c>
      <c r="AM42" s="129">
        <f ca="1">SUMIF('AMD Calculations'!$AU$22:$AU$252,'Charges to party by investment'!AK42,'AMD Calculations'!$AY$22:$AY$252)</f>
        <v>1.1058943633057079</v>
      </c>
      <c r="AN42" s="129">
        <v>14.581880569999997</v>
      </c>
      <c r="AO42" s="129">
        <f ca="1">AV42*'Recovery amounts'!$J$17/'Recovery amounts'!$J$14</f>
        <v>0.27472849752642614</v>
      </c>
      <c r="AP42" s="130">
        <f t="shared" ca="1" si="9"/>
        <v>0.96904281936427072</v>
      </c>
      <c r="AQ42" s="318"/>
      <c r="AR42" s="319"/>
      <c r="AS42" s="130"/>
      <c r="AT42" s="445">
        <f t="shared" ca="1" si="11"/>
        <v>1.1058943633057079</v>
      </c>
      <c r="AU42" s="162">
        <f t="shared" ca="1" si="12"/>
        <v>35.723355311928486</v>
      </c>
      <c r="AV42" s="162">
        <v>0.30143734987468829</v>
      </c>
      <c r="AW42" s="128"/>
      <c r="AX42" s="129"/>
      <c r="AY42" s="129"/>
      <c r="AZ42" s="631">
        <f t="shared" ca="1" si="16"/>
        <v>0.55890209222102716</v>
      </c>
      <c r="BA42" s="631">
        <f t="shared" ca="1" si="16"/>
        <v>0.55890209222102716</v>
      </c>
      <c r="BX42" s="70" t="str">
        <f t="shared" si="14"/>
        <v>Meridian</v>
      </c>
      <c r="BY42" s="166">
        <f t="shared" ca="1" si="3"/>
        <v>34.342732451096353</v>
      </c>
      <c r="BZ42" s="166">
        <f t="shared" ca="1" si="4"/>
        <v>1.1058943633057079</v>
      </c>
      <c r="CA42" s="166">
        <f t="shared" ca="1" si="5"/>
        <v>0.27472849752642614</v>
      </c>
      <c r="CB42" s="166">
        <f t="shared" si="6"/>
        <v>0</v>
      </c>
      <c r="CC42" s="166">
        <f t="shared" ca="1" si="15"/>
        <v>35.723355311928486</v>
      </c>
    </row>
    <row r="43" spans="1:81" x14ac:dyDescent="0.3">
      <c r="B43" s="31" t="s">
        <v>680</v>
      </c>
      <c r="C43" s="41" t="s">
        <v>16</v>
      </c>
      <c r="D43" s="14"/>
      <c r="F43" s="134">
        <f ca="1">SUMIF('AMD Calculations'!$Z$22:$Z$652,'Charges to party by investment'!$C43,'AMD Calculations'!AE$22:AE$652)</f>
        <v>0</v>
      </c>
      <c r="G43" s="134">
        <f ca="1">SUMIF('AMD Calculations'!$Z$22:$Z$652,'Charges to party by investment'!$C43,'AMD Calculations'!AF$22:AF$652)</f>
        <v>0</v>
      </c>
      <c r="H43" s="134">
        <f ca="1">SUMIF('AMD Calculations'!$Z$22:$Z$652,'Charges to party by investment'!$C43,'AMD Calculations'!AG$22:AG$652)</f>
        <v>0</v>
      </c>
      <c r="I43" s="134">
        <f ca="1">SUMIF('AMD Calculations'!$Z$22:$Z$652,'Charges to party by investment'!$C43,'AMD Calculations'!AH$22:AH$652)</f>
        <v>0</v>
      </c>
      <c r="J43" s="134">
        <f ca="1">SUMIF('AMD Calculations'!$Z$22:$Z$652,'Charges to party by investment'!$C43,'AMD Calculations'!AI$22:AI$652)</f>
        <v>0</v>
      </c>
      <c r="K43" s="134">
        <f ca="1">SUMIF('AMD Calculations'!$Z$22:$Z$652,'Charges to party by investment'!$C43,'AMD Calculations'!AJ$22:AJ$652)</f>
        <v>0</v>
      </c>
      <c r="L43" s="134">
        <f ca="1">SUMIF('AMD Calculations'!$Z$22:$Z$652,'Charges to party by investment'!$C43,'AMD Calculations'!AK$22:AK$652)</f>
        <v>0</v>
      </c>
      <c r="M43" s="134">
        <f ca="1">SUMIF('AMD Calculations'!$Z$22:$Z$652,'Charges to party by investment'!$C43,'AMD Calculations'!AL$22:AL$652)</f>
        <v>0.10596062231342553</v>
      </c>
      <c r="N43" s="134">
        <f ca="1">SUMIF('AMD Calculations'!$Z$22:$Z$652,'Charges to party by investment'!$C43,'AMD Calculations'!AM$22:AM$652)</f>
        <v>0</v>
      </c>
      <c r="O43" s="134">
        <f ca="1">SUMIF('AMD Calculations'!$Z$22:$Z$652,'Charges to party by investment'!$C43,'AMD Calculations'!AN$22:AN$652)</f>
        <v>0</v>
      </c>
      <c r="P43" s="134">
        <f ca="1">SUMIF('AMD Calculations'!$Z$22:$Z$652,'Charges to party by investment'!$C43,'AMD Calculations'!AO$22:AO$652)</f>
        <v>0</v>
      </c>
      <c r="Q43" s="134">
        <f ca="1">SUMIF('AMD Calculations'!$Z$22:$Z$652,'Charges to party by investment'!$C43,'AMD Calculations'!AP$22:AP$652)</f>
        <v>0</v>
      </c>
      <c r="R43" s="134">
        <f ca="1">SUMIF('AMD Calculations'!$Z$22:$Z$652,'Charges to party by investment'!$C43,'AMD Calculations'!AQ$22:AQ$652)</f>
        <v>0</v>
      </c>
      <c r="S43" s="14"/>
      <c r="T43" s="14"/>
      <c r="V43" s="134">
        <f ca="1">SUMIFS('vSPD Benefits'!$F$3:$F$4996,'vSPD Benefits'!$A$3:$A$4996,'Charges to party by investment'!V$4,'vSPD Benefits'!$D$3:$D$4996,'Charges to party by investment'!$B43)*V$5/V$6</f>
        <v>0</v>
      </c>
      <c r="W43" s="134">
        <f ca="1">SUMIFS('vSPD Benefits'!$F$3:$F$4996,'vSPD Benefits'!$A$3:$A$4996,'Charges to party by investment'!W$4,'vSPD Benefits'!$D$3:$D$4996,'Charges to party by investment'!$B43)*W$5/W$6</f>
        <v>0</v>
      </c>
      <c r="X43" s="134">
        <f ca="1">SUMIFS('vSPD Benefits'!$F$3:$F$4996,'vSPD Benefits'!$A$3:$A$4996,'Charges to party by investment'!X$4,'vSPD Benefits'!$D$3:$D$4996,'Charges to party by investment'!$B43)*X$5/X$6</f>
        <v>0</v>
      </c>
      <c r="Y43" s="134">
        <f ca="1">SUMIFS('vSPD Benefits'!$F$3:$F$4996,'vSPD Benefits'!$A$3:$A$4996,'Charges to party by investment'!Y$4,'vSPD Benefits'!$D$3:$D$4996,'Charges to party by investment'!$B43)*Y$5/Y$6</f>
        <v>0</v>
      </c>
      <c r="Z43" s="134">
        <f ca="1">SUMIFS('vSPD Benefits'!$F$3:$F$4996,'vSPD Benefits'!$A$3:$A$4996,'Charges to party by investment'!Z$4,'vSPD Benefits'!$D$3:$D$4996,'Charges to party by investment'!$B43)*Z$5/Z$6</f>
        <v>0</v>
      </c>
      <c r="AA43" s="134">
        <f ca="1">SUMIFS('vSPD Benefits'!$F$3:$F$4996,'vSPD Benefits'!$A$3:$A$4996,'Charges to party by investment'!AA$4,'vSPD Benefits'!$D$3:$D$4996,'Charges to party by investment'!$B43)*AA$5/AA$6</f>
        <v>0</v>
      </c>
      <c r="AB43" s="134">
        <f>SUMIFS('vSPD Benefits'!$F$3:$F$4996,'vSPD Benefits'!$A$3:$A$4996,'Charges to party by investment'!AB$4,'vSPD Benefits'!$D$3:$D$4996,'Charges to party by investment'!$C43)</f>
        <v>0</v>
      </c>
      <c r="AC43" s="134">
        <f>SUMIFS('vSPD Benefits'!$F$3:$F$4996,'vSPD Benefits'!$A$3:$A$4996,'Charges to party by investment'!AC$4,'vSPD Benefits'!$D$3:$D$4996,'Charges to party by investment'!$C43)</f>
        <v>0</v>
      </c>
      <c r="AD43" s="134">
        <f>SUMIFS('vSPD Benefits'!$F$3:$F$4996,'vSPD Benefits'!$A$3:$A$4996,'Charges to party by investment'!AD$4,'vSPD Benefits'!$D$3:$D$4996,'Charges to party by investment'!$C43)</f>
        <v>0</v>
      </c>
      <c r="AE43" s="134">
        <f>SUMIFS('vSPD Benefits'!$F$3:$F$4996,'vSPD Benefits'!$A$3:$A$4996,'Charges to party by investment'!AE$4,'vSPD Benefits'!$D$3:$D$4996,'Charges to party by investment'!$C43)</f>
        <v>0</v>
      </c>
      <c r="AF43" s="134">
        <f>SUMIFS('vSPD Benefits'!$F$3:$F$4996,'vSPD Benefits'!$A$3:$A$4996,'Charges to party by investment'!AF$4,'vSPD Benefits'!$D$3:$D$4996,'Charges to party by investment'!$C43)</f>
        <v>0</v>
      </c>
      <c r="AG43" s="134">
        <f>SUMIFS('vSPD Benefits'!$F$3:$F$4996,'vSPD Benefits'!$A$3:$A$4996,'Charges to party by investment'!AG$4,'vSPD Benefits'!$D$3:$D$4996,'Charges to party by investment'!$C43)</f>
        <v>0</v>
      </c>
      <c r="AH43" s="134">
        <f>SUMIFS('vSPD Benefits'!$F$3:$F$4996,'vSPD Benefits'!$A$3:$A$4996,'Charges to party by investment'!AH$4,'vSPD Benefits'!$D$3:$D$4996,'Charges to party by investment'!$C43)</f>
        <v>0</v>
      </c>
      <c r="AJ43" s="116" t="str">
        <f>'Charges as $M per year'!A38</f>
        <v>Tuaropaki</v>
      </c>
      <c r="AK43" s="128" t="str">
        <f t="shared" si="7"/>
        <v>Mokai JV</v>
      </c>
      <c r="AL43" s="129">
        <f t="shared" ca="1" si="8"/>
        <v>0.10596062231342553</v>
      </c>
      <c r="AM43" s="129">
        <f>SUMIF('AMD Calculations'!$AU$22:$AU$252,'Charges to party by investment'!AK43,'AMD Calculations'!$AY$22:$AY$252)</f>
        <v>0</v>
      </c>
      <c r="AN43" s="132">
        <v>0.19051899</v>
      </c>
      <c r="AO43" s="129">
        <f ca="1">AV43*'Recovery amounts'!$J$17/'Recovery amounts'!$J$14</f>
        <v>0</v>
      </c>
      <c r="AP43" s="130">
        <f t="shared" ca="1" si="9"/>
        <v>1</v>
      </c>
      <c r="AQ43" s="318"/>
      <c r="AR43" s="319"/>
      <c r="AS43" s="130"/>
      <c r="AT43" s="445">
        <f t="shared" si="11"/>
        <v>0</v>
      </c>
      <c r="AU43" s="162">
        <f t="shared" ca="1" si="12"/>
        <v>0.10596062231342553</v>
      </c>
      <c r="AV43" s="162">
        <v>0</v>
      </c>
      <c r="AW43" s="128"/>
      <c r="AX43" s="129"/>
      <c r="AY43" s="129"/>
      <c r="AZ43" s="631">
        <f t="shared" ca="1" si="16"/>
        <v>3.2939528603299771E-3</v>
      </c>
      <c r="BA43" s="631">
        <f t="shared" ca="1" si="16"/>
        <v>3.2939528603299771E-3</v>
      </c>
      <c r="BX43" s="70" t="str">
        <f t="shared" si="14"/>
        <v>Mokai JV</v>
      </c>
      <c r="BY43" s="166">
        <f t="shared" ca="1" si="3"/>
        <v>0.10596062231342553</v>
      </c>
      <c r="BZ43" s="166">
        <f t="shared" si="4"/>
        <v>0</v>
      </c>
      <c r="CA43" s="166">
        <f t="shared" ca="1" si="5"/>
        <v>0</v>
      </c>
      <c r="CB43" s="166">
        <f t="shared" si="6"/>
        <v>0</v>
      </c>
      <c r="CC43" s="166">
        <f t="shared" ca="1" si="15"/>
        <v>0.10596062231342553</v>
      </c>
    </row>
    <row r="44" spans="1:81" x14ac:dyDescent="0.3">
      <c r="B44" s="3"/>
      <c r="C44" s="41" t="s">
        <v>17</v>
      </c>
      <c r="D44" s="14"/>
      <c r="F44" s="134">
        <f ca="1">SUMIF('AMD Calculations'!$Z$22:$Z$652,'Charges to party by investment'!$C44,'AMD Calculations'!AE$22:AE$652)</f>
        <v>0</v>
      </c>
      <c r="G44" s="134">
        <f ca="1">SUMIF('AMD Calculations'!$Z$22:$Z$652,'Charges to party by investment'!$C44,'AMD Calculations'!AF$22:AF$652)</f>
        <v>0</v>
      </c>
      <c r="H44" s="134">
        <f ca="1">SUMIF('AMD Calculations'!$Z$22:$Z$652,'Charges to party by investment'!$C44,'AMD Calculations'!AG$22:AG$652)</f>
        <v>0</v>
      </c>
      <c r="I44" s="134">
        <f ca="1">SUMIF('AMD Calculations'!$Z$22:$Z$652,'Charges to party by investment'!$C44,'AMD Calculations'!AH$22:AH$652)</f>
        <v>0</v>
      </c>
      <c r="J44" s="134">
        <f ca="1">SUMIF('AMD Calculations'!$Z$22:$Z$652,'Charges to party by investment'!$C44,'AMD Calculations'!AI$22:AI$652)</f>
        <v>0</v>
      </c>
      <c r="K44" s="134">
        <f ca="1">SUMIF('AMD Calculations'!$Z$22:$Z$652,'Charges to party by investment'!$C44,'AMD Calculations'!AJ$22:AJ$652)</f>
        <v>0</v>
      </c>
      <c r="L44" s="134">
        <f ca="1">SUMIF('AMD Calculations'!$Z$22:$Z$652,'Charges to party by investment'!$C44,'AMD Calculations'!AK$22:AK$652)</f>
        <v>1.4971538456652929E-2</v>
      </c>
      <c r="M44" s="134">
        <f ca="1">SUMIF('AMD Calculations'!$Z$22:$Z$652,'Charges to party by investment'!$C44,'AMD Calculations'!AL$22:AL$652)</f>
        <v>0.51198918727485943</v>
      </c>
      <c r="N44" s="134">
        <f ca="1">SUMIF('AMD Calculations'!$Z$22:$Z$652,'Charges to party by investment'!$C44,'AMD Calculations'!AM$22:AM$652)</f>
        <v>0</v>
      </c>
      <c r="O44" s="134">
        <f ca="1">SUMIF('AMD Calculations'!$Z$22:$Z$652,'Charges to party by investment'!$C44,'AMD Calculations'!AN$22:AN$652)</f>
        <v>6.904905915972993E-3</v>
      </c>
      <c r="P44" s="134">
        <f ca="1">SUMIF('AMD Calculations'!$Z$22:$Z$652,'Charges to party by investment'!$C44,'AMD Calculations'!AO$22:AO$652)</f>
        <v>0</v>
      </c>
      <c r="Q44" s="134">
        <f ca="1">SUMIF('AMD Calculations'!$Z$22:$Z$652,'Charges to party by investment'!$C44,'AMD Calculations'!AP$22:AP$652)</f>
        <v>0</v>
      </c>
      <c r="R44" s="134">
        <f ca="1">SUMIF('AMD Calculations'!$Z$22:$Z$652,'Charges to party by investment'!$C44,'AMD Calculations'!AQ$22:AQ$652)</f>
        <v>0</v>
      </c>
      <c r="S44" s="14"/>
      <c r="T44" s="14"/>
      <c r="V44" s="134">
        <f ca="1">SUMIFS('vSPD Benefits'!$F$3:$F$4996,'vSPD Benefits'!$A$3:$A$4996,'Charges to party by investment'!V$4,'vSPD Benefits'!$D$3:$D$4996,'Charges to party by investment'!$C44)*V$5/V$6</f>
        <v>8.4873451159453439E-2</v>
      </c>
      <c r="W44" s="134">
        <f ca="1">SUMIFS('vSPD Benefits'!$F$3:$F$4996,'vSPD Benefits'!$A$3:$A$4996,'Charges to party by investment'!W$4,'vSPD Benefits'!$D$3:$D$4996,'Charges to party by investment'!$C44)*W$5/W$6</f>
        <v>2.7642012927072833E-3</v>
      </c>
      <c r="X44" s="134">
        <f ca="1">SUMIFS('vSPD Benefits'!$F$3:$F$4996,'vSPD Benefits'!$A$3:$A$4996,'Charges to party by investment'!X$4,'vSPD Benefits'!$D$3:$D$4996,'Charges to party by investment'!$C44)*X$5/X$6</f>
        <v>4.1818988378950371E-3</v>
      </c>
      <c r="Y44" s="134">
        <f ca="1">SUMIFS('vSPD Benefits'!$F$3:$F$4996,'vSPD Benefits'!$A$3:$A$4996,'Charges to party by investment'!Y$4,'vSPD Benefits'!$D$3:$D$4996,'Charges to party by investment'!$C44)*Y$5/Y$6</f>
        <v>1.6148526237416566E-3</v>
      </c>
      <c r="Z44" s="134">
        <f ca="1">SUMIFS('vSPD Benefits'!$F$3:$F$4996,'vSPD Benefits'!$A$3:$A$4996,'Charges to party by investment'!Z$4,'vSPD Benefits'!$D$3:$D$4996,'Charges to party by investment'!$C44)*Z$5/Z$6</f>
        <v>3.1373923580591601E-2</v>
      </c>
      <c r="AA44" s="134">
        <f ca="1">SUMIFS('vSPD Benefits'!$F$3:$F$4996,'vSPD Benefits'!$A$3:$A$4996,'Charges to party by investment'!AA$4,'vSPD Benefits'!$D$3:$D$4996,'Charges to party by investment'!$C44)*AA$5/AA$6</f>
        <v>0.20061307329494776</v>
      </c>
      <c r="AB44" s="134">
        <f>SUMIFS('vSPD Benefits'!$F$3:$F$4996,'vSPD Benefits'!$A$3:$A$4996,'Charges to party by investment'!AB$4,'vSPD Benefits'!$D$3:$D$4996,'Charges to party by investment'!$C44)</f>
        <v>0</v>
      </c>
      <c r="AC44" s="134">
        <f>SUMIFS('vSPD Benefits'!$F$3:$F$4996,'vSPD Benefits'!$A$3:$A$4996,'Charges to party by investment'!AC$4,'vSPD Benefits'!$D$3:$D$4996,'Charges to party by investment'!$C44)</f>
        <v>0</v>
      </c>
      <c r="AD44" s="134">
        <f>SUMIFS('vSPD Benefits'!$F$3:$F$4996,'vSPD Benefits'!$A$3:$A$4996,'Charges to party by investment'!AD$4,'vSPD Benefits'!$D$3:$D$4996,'Charges to party by investment'!$C44)</f>
        <v>0</v>
      </c>
      <c r="AE44" s="134">
        <f>SUMIFS('vSPD Benefits'!$F$3:$F$4996,'vSPD Benefits'!$A$3:$A$4996,'Charges to party by investment'!AE$4,'vSPD Benefits'!$D$3:$D$4996,'Charges to party by investment'!$C44)</f>
        <v>0</v>
      </c>
      <c r="AF44" s="134">
        <f>SUMIFS('vSPD Benefits'!$F$3:$F$4996,'vSPD Benefits'!$A$3:$A$4996,'Charges to party by investment'!AF$4,'vSPD Benefits'!$D$3:$D$4996,'Charges to party by investment'!$C44)</f>
        <v>0</v>
      </c>
      <c r="AG44" s="134">
        <f>SUMIFS('vSPD Benefits'!$F$3:$F$4996,'vSPD Benefits'!$A$3:$A$4996,'Charges to party by investment'!AG$4,'vSPD Benefits'!$D$3:$D$4996,'Charges to party by investment'!$C44)</f>
        <v>0</v>
      </c>
      <c r="AH44" s="134">
        <f>SUMIFS('vSPD Benefits'!$F$3:$F$4996,'vSPD Benefits'!$A$3:$A$4996,'Charges to party by investment'!AH$4,'vSPD Benefits'!$D$3:$D$4996,'Charges to party by investment'!$C44)</f>
        <v>0</v>
      </c>
      <c r="AJ44" s="116" t="str">
        <f>'Charges as $M per year'!A39</f>
        <v>Mercury</v>
      </c>
      <c r="AK44" s="128" t="str">
        <f t="shared" si="7"/>
        <v>MRP</v>
      </c>
      <c r="AL44" s="129">
        <f t="shared" ca="1" si="8"/>
        <v>0.85928703243682203</v>
      </c>
      <c r="AM44" s="129">
        <f ca="1">SUMIF('AMD Calculations'!$AU$22:$AU$252,'Charges to party by investment'!AK44,'AMD Calculations'!$AY$22:$AY$252)</f>
        <v>1.6162875452645407</v>
      </c>
      <c r="AN44" s="129">
        <v>3.5951406100000005</v>
      </c>
      <c r="AO44" s="129">
        <f ca="1">AV44*'Recovery amounts'!$J$17/'Recovery amounts'!$J$14</f>
        <v>1.4885111218288644E-2</v>
      </c>
      <c r="AP44" s="130">
        <f t="shared" ca="1" si="9"/>
        <v>0.3510083489985425</v>
      </c>
      <c r="AQ44" s="318"/>
      <c r="AR44" s="319"/>
      <c r="AS44" s="130"/>
      <c r="AT44" s="445">
        <f t="shared" ca="1" si="11"/>
        <v>1.6162875452645407</v>
      </c>
      <c r="AU44" s="162">
        <f t="shared" ca="1" si="12"/>
        <v>2.4904596889196515</v>
      </c>
      <c r="AV44" s="162">
        <v>1.6332228067455299E-2</v>
      </c>
      <c r="AW44" s="128"/>
      <c r="AX44" s="129"/>
      <c r="AY44" s="129"/>
      <c r="AZ44" s="631">
        <f t="shared" ca="1" si="16"/>
        <v>6.761234054185121E-2</v>
      </c>
      <c r="BA44" s="631">
        <f t="shared" ca="1" si="16"/>
        <v>6.761234054185121E-2</v>
      </c>
      <c r="BX44" s="70" t="str">
        <f t="shared" si="14"/>
        <v>MRP</v>
      </c>
      <c r="BY44" s="166">
        <f t="shared" ca="1" si="3"/>
        <v>0.85928703243682203</v>
      </c>
      <c r="BZ44" s="166">
        <f t="shared" ca="1" si="4"/>
        <v>1.6162875452645407</v>
      </c>
      <c r="CA44" s="166">
        <f t="shared" ca="1" si="5"/>
        <v>1.4885111218288644E-2</v>
      </c>
      <c r="CB44" s="166">
        <f t="shared" si="6"/>
        <v>0</v>
      </c>
      <c r="CC44" s="166">
        <f t="shared" ca="1" si="15"/>
        <v>2.4904596889196515</v>
      </c>
    </row>
    <row r="45" spans="1:81" x14ac:dyDescent="0.3">
      <c r="B45" s="3"/>
      <c r="C45" s="41" t="s">
        <v>18</v>
      </c>
      <c r="D45" s="14"/>
      <c r="F45" s="134">
        <f ca="1">SUMIF('AMD Calculations'!$Z$22:$Z$652,'Charges to party by investment'!$C45,'AMD Calculations'!AE$22:AE$652)</f>
        <v>0</v>
      </c>
      <c r="G45" s="134">
        <f ca="1">SUMIF('AMD Calculations'!$Z$22:$Z$652,'Charges to party by investment'!$C45,'AMD Calculations'!AF$22:AF$652)</f>
        <v>0</v>
      </c>
      <c r="H45" s="134">
        <f ca="1">SUMIF('AMD Calculations'!$Z$22:$Z$652,'Charges to party by investment'!$C45,'AMD Calculations'!AG$22:AG$652)</f>
        <v>0</v>
      </c>
      <c r="I45" s="134">
        <f ca="1">SUMIF('AMD Calculations'!$Z$22:$Z$652,'Charges to party by investment'!$C45,'AMD Calculations'!AH$22:AH$652)</f>
        <v>0</v>
      </c>
      <c r="J45" s="134">
        <f ca="1">SUMIF('AMD Calculations'!$Z$22:$Z$652,'Charges to party by investment'!$C45,'AMD Calculations'!AI$22:AI$652)</f>
        <v>0</v>
      </c>
      <c r="K45" s="134">
        <f ca="1">SUMIF('AMD Calculations'!$Z$22:$Z$652,'Charges to party by investment'!$C45,'AMD Calculations'!AJ$22:AJ$652)</f>
        <v>0</v>
      </c>
      <c r="L45" s="134">
        <f ca="1">SUMIF('AMD Calculations'!$Z$22:$Z$652,'Charges to party by investment'!$C45,'AMD Calculations'!AK$22:AK$652)</f>
        <v>0</v>
      </c>
      <c r="M45" s="134">
        <f ca="1">SUMIF('AMD Calculations'!$Z$22:$Z$652,'Charges to party by investment'!$C45,'AMD Calculations'!AL$22:AL$652)</f>
        <v>0.12491597526407261</v>
      </c>
      <c r="N45" s="134">
        <f ca="1">SUMIF('AMD Calculations'!$Z$22:$Z$652,'Charges to party by investment'!$C45,'AMD Calculations'!AM$22:AM$652)</f>
        <v>0</v>
      </c>
      <c r="O45" s="134">
        <f ca="1">SUMIF('AMD Calculations'!$Z$22:$Z$652,'Charges to party by investment'!$C45,'AMD Calculations'!AN$22:AN$652)</f>
        <v>0</v>
      </c>
      <c r="P45" s="134">
        <f ca="1">SUMIF('AMD Calculations'!$Z$22:$Z$652,'Charges to party by investment'!$C45,'AMD Calculations'!AO$22:AO$652)</f>
        <v>0</v>
      </c>
      <c r="Q45" s="134">
        <f ca="1">SUMIF('AMD Calculations'!$Z$22:$Z$652,'Charges to party by investment'!$C45,'AMD Calculations'!AP$22:AP$652)</f>
        <v>0</v>
      </c>
      <c r="R45" s="134">
        <f ca="1">SUMIF('AMD Calculations'!$Z$22:$Z$652,'Charges to party by investment'!$C45,'AMD Calculations'!AQ$22:AQ$652)</f>
        <v>0</v>
      </c>
      <c r="S45" s="14"/>
      <c r="T45" s="14"/>
      <c r="V45" s="134">
        <f ca="1">SUMIFS('vSPD Benefits'!$F$3:$F$4996,'vSPD Benefits'!$A$3:$A$4996,'Charges to party by investment'!V$4,'vSPD Benefits'!$D$3:$D$4996,'Charges to party by investment'!$C45)*V$5/V$6</f>
        <v>0</v>
      </c>
      <c r="W45" s="134">
        <f ca="1">SUMIFS('vSPD Benefits'!$F$3:$F$4996,'vSPD Benefits'!$A$3:$A$4996,'Charges to party by investment'!W$4,'vSPD Benefits'!$D$3:$D$4996,'Charges to party by investment'!$C45)*W$5/W$6</f>
        <v>0</v>
      </c>
      <c r="X45" s="134">
        <f ca="1">SUMIFS('vSPD Benefits'!$F$3:$F$4996,'vSPD Benefits'!$A$3:$A$4996,'Charges to party by investment'!X$4,'vSPD Benefits'!$D$3:$D$4996,'Charges to party by investment'!$C45)*X$5/X$6</f>
        <v>0</v>
      </c>
      <c r="Y45" s="134">
        <f ca="1">SUMIFS('vSPD Benefits'!$F$3:$F$4996,'vSPD Benefits'!$A$3:$A$4996,'Charges to party by investment'!Y$4,'vSPD Benefits'!$D$3:$D$4996,'Charges to party by investment'!$C45)*Y$5/Y$6</f>
        <v>0</v>
      </c>
      <c r="Z45" s="134">
        <f ca="1">SUMIFS('vSPD Benefits'!$F$3:$F$4996,'vSPD Benefits'!$A$3:$A$4996,'Charges to party by investment'!Z$4,'vSPD Benefits'!$D$3:$D$4996,'Charges to party by investment'!$C45)*Z$5/Z$6</f>
        <v>0</v>
      </c>
      <c r="AA45" s="134">
        <f ca="1">SUMIFS('vSPD Benefits'!$F$3:$F$4996,'vSPD Benefits'!$A$3:$A$4996,'Charges to party by investment'!AA$4,'vSPD Benefits'!$D$3:$D$4996,'Charges to party by investment'!$C45)*AA$5/AA$6</f>
        <v>0.31988586455611651</v>
      </c>
      <c r="AB45" s="134">
        <f>SUMIFS('vSPD Benefits'!$F$3:$F$4996,'vSPD Benefits'!$A$3:$A$4996,'Charges to party by investment'!AB$4,'vSPD Benefits'!$D$3:$D$4996,'Charges to party by investment'!$C45)</f>
        <v>0</v>
      </c>
      <c r="AC45" s="134">
        <f>SUMIFS('vSPD Benefits'!$F$3:$F$4996,'vSPD Benefits'!$A$3:$A$4996,'Charges to party by investment'!AC$4,'vSPD Benefits'!$D$3:$D$4996,'Charges to party by investment'!$C45)</f>
        <v>0</v>
      </c>
      <c r="AD45" s="134">
        <f>SUMIFS('vSPD Benefits'!$F$3:$F$4996,'vSPD Benefits'!$A$3:$A$4996,'Charges to party by investment'!AD$4,'vSPD Benefits'!$D$3:$D$4996,'Charges to party by investment'!$C45)</f>
        <v>0</v>
      </c>
      <c r="AE45" s="134">
        <f>SUMIFS('vSPD Benefits'!$F$3:$F$4996,'vSPD Benefits'!$A$3:$A$4996,'Charges to party by investment'!AE$4,'vSPD Benefits'!$D$3:$D$4996,'Charges to party by investment'!$C45)</f>
        <v>0</v>
      </c>
      <c r="AF45" s="134">
        <f>SUMIFS('vSPD Benefits'!$F$3:$F$4996,'vSPD Benefits'!$A$3:$A$4996,'Charges to party by investment'!AF$4,'vSPD Benefits'!$D$3:$D$4996,'Charges to party by investment'!$C45)</f>
        <v>0</v>
      </c>
      <c r="AG45" s="134">
        <f>SUMIFS('vSPD Benefits'!$F$3:$F$4996,'vSPD Benefits'!$A$3:$A$4996,'Charges to party by investment'!AG$4,'vSPD Benefits'!$D$3:$D$4996,'Charges to party by investment'!$C45)</f>
        <v>0</v>
      </c>
      <c r="AH45" s="134">
        <f>SUMIFS('vSPD Benefits'!$F$3:$F$4996,'vSPD Benefits'!$A$3:$A$4996,'Charges to party by investment'!AH$4,'vSPD Benefits'!$D$3:$D$4996,'Charges to party by investment'!$C45)</f>
        <v>0</v>
      </c>
      <c r="AJ45" s="116" t="str">
        <f>'Charges as $M per year'!A40</f>
        <v>Nga Awa Purua JV</v>
      </c>
      <c r="AK45" s="128" t="str">
        <f t="shared" si="7"/>
        <v>NAP JV</v>
      </c>
      <c r="AL45" s="129">
        <f t="shared" ca="1" si="8"/>
        <v>0.44480183982018912</v>
      </c>
      <c r="AM45" s="129">
        <f>SUMIF('AMD Calculations'!$AU$22:$AU$252,'Charges to party by investment'!AK45,'AMD Calculations'!$AY$22:$AY$252)</f>
        <v>0</v>
      </c>
      <c r="AN45" s="129">
        <v>0.24736537000000006</v>
      </c>
      <c r="AO45" s="129">
        <f ca="1">AV45*'Recovery amounts'!$J$17/'Recovery amounts'!$J$14</f>
        <v>0</v>
      </c>
      <c r="AP45" s="130">
        <f t="shared" ca="1" si="9"/>
        <v>1</v>
      </c>
      <c r="AQ45" s="318"/>
      <c r="AR45" s="319"/>
      <c r="AS45" s="130"/>
      <c r="AT45" s="445">
        <f t="shared" si="11"/>
        <v>0</v>
      </c>
      <c r="AU45" s="162">
        <f t="shared" ca="1" si="12"/>
        <v>0.44480183982018912</v>
      </c>
      <c r="AV45" s="162">
        <v>0</v>
      </c>
      <c r="AW45" s="128"/>
      <c r="AX45" s="129"/>
      <c r="AY45" s="129"/>
      <c r="AZ45" s="631">
        <f t="shared" ca="1" si="16"/>
        <v>7.6901279748151762E-3</v>
      </c>
      <c r="BA45" s="631">
        <f t="shared" ca="1" si="16"/>
        <v>7.6901279748151762E-3</v>
      </c>
      <c r="BX45" s="70" t="str">
        <f t="shared" si="14"/>
        <v>NAP JV</v>
      </c>
      <c r="BY45" s="166">
        <f t="shared" ca="1" si="3"/>
        <v>0.44480183982018912</v>
      </c>
      <c r="BZ45" s="166">
        <f t="shared" si="4"/>
        <v>0</v>
      </c>
      <c r="CA45" s="166">
        <f t="shared" ca="1" si="5"/>
        <v>0</v>
      </c>
      <c r="CB45" s="166">
        <f t="shared" si="6"/>
        <v>0</v>
      </c>
      <c r="CC45" s="166">
        <f t="shared" ca="1" si="15"/>
        <v>0.44480183982018912</v>
      </c>
    </row>
    <row r="46" spans="1:81" x14ac:dyDescent="0.3">
      <c r="B46" s="3"/>
      <c r="C46" s="41" t="s">
        <v>21</v>
      </c>
      <c r="D46" s="14"/>
      <c r="F46" s="134">
        <f ca="1">SUMIF('AMD Calculations'!$Z$22:$Z$652,'Charges to party by investment'!$C46,'AMD Calculations'!AE$22:AE$652)</f>
        <v>0</v>
      </c>
      <c r="G46" s="134">
        <f ca="1">SUMIF('AMD Calculations'!$Z$22:$Z$652,'Charges to party by investment'!$C46,'AMD Calculations'!AF$22:AF$652)</f>
        <v>0</v>
      </c>
      <c r="H46" s="134">
        <f ca="1">SUMIF('AMD Calculations'!$Z$22:$Z$652,'Charges to party by investment'!$C46,'AMD Calculations'!AG$22:AG$652)</f>
        <v>0</v>
      </c>
      <c r="I46" s="134">
        <f ca="1">SUMIF('AMD Calculations'!$Z$22:$Z$652,'Charges to party by investment'!$C46,'AMD Calculations'!AH$22:AH$652)</f>
        <v>0</v>
      </c>
      <c r="J46" s="134">
        <f ca="1">SUMIF('AMD Calculations'!$Z$22:$Z$652,'Charges to party by investment'!$C46,'AMD Calculations'!AI$22:AI$652)</f>
        <v>0</v>
      </c>
      <c r="K46" s="134">
        <f ca="1">SUMIF('AMD Calculations'!$Z$22:$Z$652,'Charges to party by investment'!$C46,'AMD Calculations'!AJ$22:AJ$652)</f>
        <v>0</v>
      </c>
      <c r="L46" s="134">
        <f ca="1">SUMIF('AMD Calculations'!$Z$22:$Z$652,'Charges to party by investment'!$C46,'AMD Calculations'!AK$22:AK$652)</f>
        <v>0</v>
      </c>
      <c r="M46" s="134">
        <f ca="1">SUMIF('AMD Calculations'!$Z$22:$Z$652,'Charges to party by investment'!$C46,'AMD Calculations'!AL$22:AL$652)</f>
        <v>7.5900232860893271E-2</v>
      </c>
      <c r="N46" s="134">
        <f ca="1">SUMIF('AMD Calculations'!$Z$22:$Z$652,'Charges to party by investment'!$C46,'AMD Calculations'!AM$22:AM$652)</f>
        <v>0</v>
      </c>
      <c r="O46" s="134">
        <f ca="1">SUMIF('AMD Calculations'!$Z$22:$Z$652,'Charges to party by investment'!$C46,'AMD Calculations'!AN$22:AN$652)</f>
        <v>0</v>
      </c>
      <c r="P46" s="134">
        <f ca="1">SUMIF('AMD Calculations'!$Z$22:$Z$652,'Charges to party by investment'!$C46,'AMD Calculations'!AO$22:AO$652)</f>
        <v>0</v>
      </c>
      <c r="Q46" s="134">
        <f ca="1">SUMIF('AMD Calculations'!$Z$22:$Z$652,'Charges to party by investment'!$C46,'AMD Calculations'!AP$22:AP$652)</f>
        <v>0</v>
      </c>
      <c r="R46" s="134">
        <f ca="1">SUMIF('AMD Calculations'!$Z$22:$Z$652,'Charges to party by investment'!$C46,'AMD Calculations'!AQ$22:AQ$652)</f>
        <v>0</v>
      </c>
      <c r="S46" s="14"/>
      <c r="T46" s="14"/>
      <c r="V46" s="134">
        <f ca="1">SUMIFS('vSPD Benefits'!$F$3:$F$4996,'vSPD Benefits'!$A$3:$A$4996,'Charges to party by investment'!V$4,'vSPD Benefits'!$D$3:$D$4996,'Charges to party by investment'!$C46)*V$5/V$6</f>
        <v>0</v>
      </c>
      <c r="W46" s="134">
        <f ca="1">SUMIFS('vSPD Benefits'!$F$3:$F$4996,'vSPD Benefits'!$A$3:$A$4996,'Charges to party by investment'!W$4,'vSPD Benefits'!$D$3:$D$4996,'Charges to party by investment'!$C46)*W$5/W$6</f>
        <v>0</v>
      </c>
      <c r="X46" s="134">
        <f ca="1">SUMIFS('vSPD Benefits'!$F$3:$F$4996,'vSPD Benefits'!$A$3:$A$4996,'Charges to party by investment'!X$4,'vSPD Benefits'!$D$3:$D$4996,'Charges to party by investment'!$C46)*X$5/X$6</f>
        <v>0</v>
      </c>
      <c r="Y46" s="134">
        <f ca="1">SUMIFS('vSPD Benefits'!$F$3:$F$4996,'vSPD Benefits'!$A$3:$A$4996,'Charges to party by investment'!Y$4,'vSPD Benefits'!$D$3:$D$4996,'Charges to party by investment'!$C46)*Y$5/Y$6</f>
        <v>0</v>
      </c>
      <c r="Z46" s="134">
        <f ca="1">SUMIFS('vSPD Benefits'!$F$3:$F$4996,'vSPD Benefits'!$A$3:$A$4996,'Charges to party by investment'!Z$4,'vSPD Benefits'!$D$3:$D$4996,'Charges to party by investment'!$C46)*Z$5/Z$6</f>
        <v>0</v>
      </c>
      <c r="AA46" s="134">
        <f ca="1">SUMIFS('vSPD Benefits'!$F$3:$F$4996,'vSPD Benefits'!$A$3:$A$4996,'Charges to party by investment'!AA$4,'vSPD Benefits'!$D$3:$D$4996,'Charges to party by investment'!$C46)*AA$5/AA$6</f>
        <v>0.1916966059570048</v>
      </c>
      <c r="AB46" s="134">
        <f>SUMIFS('vSPD Benefits'!$F$3:$F$4996,'vSPD Benefits'!$A$3:$A$4996,'Charges to party by investment'!AB$4,'vSPD Benefits'!$D$3:$D$4996,'Charges to party by investment'!$C46)</f>
        <v>0</v>
      </c>
      <c r="AC46" s="134">
        <f>SUMIFS('vSPD Benefits'!$F$3:$F$4996,'vSPD Benefits'!$A$3:$A$4996,'Charges to party by investment'!AC$4,'vSPD Benefits'!$D$3:$D$4996,'Charges to party by investment'!$C46)</f>
        <v>0</v>
      </c>
      <c r="AD46" s="134">
        <f>SUMIFS('vSPD Benefits'!$F$3:$F$4996,'vSPD Benefits'!$A$3:$A$4996,'Charges to party by investment'!AD$4,'vSPD Benefits'!$D$3:$D$4996,'Charges to party by investment'!$C46)</f>
        <v>0</v>
      </c>
      <c r="AE46" s="134">
        <f>SUMIFS('vSPD Benefits'!$F$3:$F$4996,'vSPD Benefits'!$A$3:$A$4996,'Charges to party by investment'!AE$4,'vSPD Benefits'!$D$3:$D$4996,'Charges to party by investment'!$C46)</f>
        <v>0</v>
      </c>
      <c r="AF46" s="134">
        <f>SUMIFS('vSPD Benefits'!$F$3:$F$4996,'vSPD Benefits'!$A$3:$A$4996,'Charges to party by investment'!AF$4,'vSPD Benefits'!$D$3:$D$4996,'Charges to party by investment'!$C46)</f>
        <v>0</v>
      </c>
      <c r="AG46" s="134">
        <f>SUMIFS('vSPD Benefits'!$F$3:$F$4996,'vSPD Benefits'!$A$3:$A$4996,'Charges to party by investment'!AG$4,'vSPD Benefits'!$D$3:$D$4996,'Charges to party by investment'!$C46)</f>
        <v>0</v>
      </c>
      <c r="AH46" s="134">
        <f>SUMIFS('vSPD Benefits'!$F$3:$F$4996,'vSPD Benefits'!$A$3:$A$4996,'Charges to party by investment'!AH$4,'vSPD Benefits'!$D$3:$D$4996,'Charges to party by investment'!$C46)</f>
        <v>0</v>
      </c>
      <c r="AJ46" s="116" t="str">
        <f>'Charges as $M per year'!A41</f>
        <v>Ngatamariki</v>
      </c>
      <c r="AK46" s="128" t="str">
        <f t="shared" si="7"/>
        <v>Ngatamariki</v>
      </c>
      <c r="AL46" s="129">
        <f t="shared" ca="1" si="8"/>
        <v>0.26759683881789809</v>
      </c>
      <c r="AM46" s="129">
        <f>SUMIF('AMD Calculations'!$AU$22:$AU$252,'Charges to party by investment'!AK46,'AMD Calculations'!$AY$22:$AY$252)</f>
        <v>0</v>
      </c>
      <c r="AN46" s="129">
        <v>0.13821997</v>
      </c>
      <c r="AO46" s="129">
        <f ca="1">AV46*'Recovery amounts'!$J$17/'Recovery amounts'!$J$14</f>
        <v>0</v>
      </c>
      <c r="AP46" s="130">
        <f t="shared" ca="1" si="9"/>
        <v>1</v>
      </c>
      <c r="AQ46" s="318"/>
      <c r="AR46" s="319"/>
      <c r="AS46" s="130"/>
      <c r="AT46" s="445">
        <f t="shared" si="11"/>
        <v>0</v>
      </c>
      <c r="AU46" s="162">
        <f t="shared" ca="1" si="12"/>
        <v>0.26759683881789809</v>
      </c>
      <c r="AV46" s="162">
        <v>0</v>
      </c>
      <c r="AW46" s="128"/>
      <c r="AX46" s="129"/>
      <c r="AY46" s="129"/>
      <c r="AZ46" s="631">
        <f t="shared" ca="1" si="16"/>
        <v>4.5087128512653106E-3</v>
      </c>
      <c r="BA46" s="631">
        <f t="shared" ca="1" si="16"/>
        <v>4.5087128512653106E-3</v>
      </c>
      <c r="BX46" s="70" t="str">
        <f t="shared" si="14"/>
        <v>Ngatamariki</v>
      </c>
      <c r="BY46" s="166">
        <f t="shared" ca="1" si="3"/>
        <v>0.26759683881789809</v>
      </c>
      <c r="BZ46" s="166">
        <f t="shared" si="4"/>
        <v>0</v>
      </c>
      <c r="CA46" s="166">
        <f t="shared" ca="1" si="5"/>
        <v>0</v>
      </c>
      <c r="CB46" s="166">
        <f t="shared" si="6"/>
        <v>0</v>
      </c>
      <c r="CC46" s="166">
        <f t="shared" ca="1" si="15"/>
        <v>0.26759683881789809</v>
      </c>
    </row>
    <row r="47" spans="1:81" ht="15.75" customHeight="1" x14ac:dyDescent="0.3">
      <c r="B47" s="3" t="s">
        <v>72</v>
      </c>
      <c r="C47" s="41" t="s">
        <v>27</v>
      </c>
      <c r="D47" s="14"/>
      <c r="F47" s="134">
        <f>SUMIF('AMD Calculations'!$Z$22:$Z$652,'Charges to party by investment'!$C47,'AMD Calculations'!AE$22:AE$652)</f>
        <v>0</v>
      </c>
      <c r="G47" s="134">
        <f>SUMIF('AMD Calculations'!$Z$22:$Z$652,'Charges to party by investment'!$C47,'AMD Calculations'!AF$22:AF$652)</f>
        <v>0</v>
      </c>
      <c r="H47" s="134">
        <f>SUMIF('AMD Calculations'!$Z$22:$Z$652,'Charges to party by investment'!$C47,'AMD Calculations'!AG$22:AG$652)</f>
        <v>0</v>
      </c>
      <c r="I47" s="134">
        <f>SUMIF('AMD Calculations'!$Z$22:$Z$652,'Charges to party by investment'!$C47,'AMD Calculations'!AH$22:AH$652)</f>
        <v>0</v>
      </c>
      <c r="J47" s="134">
        <f>SUMIF('AMD Calculations'!$Z$22:$Z$652,'Charges to party by investment'!$C47,'AMD Calculations'!AI$22:AI$652)</f>
        <v>0</v>
      </c>
      <c r="K47" s="134">
        <f>SUMIF('AMD Calculations'!$Z$22:$Z$652,'Charges to party by investment'!$C47,'AMD Calculations'!AJ$22:AJ$652)</f>
        <v>0</v>
      </c>
      <c r="L47" s="134">
        <f>SUMIF('AMD Calculations'!$Z$22:$Z$652,'Charges to party by investment'!$C47,'AMD Calculations'!AK$22:AK$652)</f>
        <v>0</v>
      </c>
      <c r="M47" s="134">
        <f>SUMIF('AMD Calculations'!$Z$22:$Z$652,'Charges to party by investment'!$C47,'AMD Calculations'!AL$22:AL$652)</f>
        <v>0</v>
      </c>
      <c r="N47" s="134">
        <f>SUMIF('AMD Calculations'!$Z$22:$Z$652,'Charges to party by investment'!$C47,'AMD Calculations'!AM$22:AM$652)</f>
        <v>0</v>
      </c>
      <c r="O47" s="134">
        <f>SUMIF('AMD Calculations'!$Z$22:$Z$652,'Charges to party by investment'!$C47,'AMD Calculations'!AN$22:AN$652)</f>
        <v>0</v>
      </c>
      <c r="P47" s="134">
        <f>SUMIF('AMD Calculations'!$Z$22:$Z$652,'Charges to party by investment'!$C47,'AMD Calculations'!AO$22:AO$652)</f>
        <v>0</v>
      </c>
      <c r="Q47" s="134">
        <f>SUMIF('AMD Calculations'!$Z$22:$Z$652,'Charges to party by investment'!$C47,'AMD Calculations'!AP$22:AP$652)</f>
        <v>0</v>
      </c>
      <c r="R47" s="134">
        <f>SUMIF('AMD Calculations'!$Z$22:$Z$652,'Charges to party by investment'!$C47,'AMD Calculations'!AQ$22:AQ$652)</f>
        <v>0</v>
      </c>
      <c r="S47" s="14"/>
      <c r="T47" s="14"/>
      <c r="V47" s="329">
        <f ca="1">SUMIFS('vSPD Benefits'!$F$3:$F$4996,'vSPD Benefits'!$A$3:$A$4996,'Charges to party by investment'!V$4,'vSPD Benefits'!$D$3:$D$4996,'Charges to party by investment'!$C47)*V$5/V$6+SUMIFS('vSPD Benefits'!$F$3:$F$4996,'vSPD Benefits'!$A$3:$A$4996,'Charges to party by investment'!V$4,'vSPD Benefits'!$D$3:$D$4996,'Charges to party by investment'!$B47)*V$5/V$6</f>
        <v>0</v>
      </c>
      <c r="W47" s="329">
        <f ca="1">SUMIFS('vSPD Benefits'!$F$3:$F$4996,'vSPD Benefits'!$A$3:$A$4996,'Charges to party by investment'!W$4,'vSPD Benefits'!$D$3:$D$4996,'Charges to party by investment'!$C47)*W$5/W$6+SUMIFS('vSPD Benefits'!$F$3:$F$4996,'vSPD Benefits'!$A$3:$A$4996,'Charges to party by investment'!W$4,'vSPD Benefits'!$D$3:$D$4996,'Charges to party by investment'!$B47)*W$5/W$6</f>
        <v>7.1155618585714092E-2</v>
      </c>
      <c r="X47" s="329">
        <f ca="1">SUMIFS('vSPD Benefits'!$F$3:$F$4996,'vSPD Benefits'!$A$3:$A$4996,'Charges to party by investment'!X$4,'vSPD Benefits'!$D$3:$D$4996,'Charges to party by investment'!$C47)*X$5/X$6+SUMIFS('vSPD Benefits'!$F$3:$F$4996,'vSPD Benefits'!$A$3:$A$4996,'Charges to party by investment'!X$4,'vSPD Benefits'!$D$3:$D$4996,'Charges to party by investment'!$B47)*X$5/X$6</f>
        <v>1.8118988181318303E-2</v>
      </c>
      <c r="Y47" s="329">
        <f ca="1">SUMIFS('vSPD Benefits'!$F$3:$F$4996,'vSPD Benefits'!$A$3:$A$4996,'Charges to party by investment'!Y$4,'vSPD Benefits'!$D$3:$D$4996,'Charges to party by investment'!$C47)*Y$5/Y$6+SUMIFS('vSPD Benefits'!$F$3:$F$4996,'vSPD Benefits'!$A$3:$A$4996,'Charges to party by investment'!Y$4,'vSPD Benefits'!$D$3:$D$4996,'Charges to party by investment'!$B47)*Y$5/Y$6</f>
        <v>0</v>
      </c>
      <c r="Z47" s="329">
        <f ca="1">SUMIFS('vSPD Benefits'!$F$3:$F$4996,'vSPD Benefits'!$A$3:$A$4996,'Charges to party by investment'!Z$4,'vSPD Benefits'!$D$3:$D$4996,'Charges to party by investment'!$C47)*Z$5/Z$6+SUMIFS('vSPD Benefits'!$F$3:$F$4996,'vSPD Benefits'!$A$3:$A$4996,'Charges to party by investment'!Z$4,'vSPD Benefits'!$D$3:$D$4996,'Charges to party by investment'!$B47)*Z$5/Z$6</f>
        <v>4.6150318397433274E-8</v>
      </c>
      <c r="AA47" s="329">
        <f ca="1">SUMIFS('vSPD Benefits'!$F$3:$F$4996,'vSPD Benefits'!$A$3:$A$4996,'Charges to party by investment'!AA$4,'vSPD Benefits'!$D$3:$D$4996,'Charges to party by investment'!$C47)*AA$5/AA$6+SUMIFS('vSPD Benefits'!$F$3:$F$4996,'vSPD Benefits'!$A$3:$A$4996,'Charges to party by investment'!AA$4,'vSPD Benefits'!$D$3:$D$4996,'Charges to party by investment'!$B47)*AA$5/AA$6</f>
        <v>8.4779928604838605E-8</v>
      </c>
      <c r="AB47" s="134">
        <f>SUMIFS('vSPD Benefits'!$F$3:$F$4996,'vSPD Benefits'!$A$3:$A$4996,'Charges to party by investment'!AB$4,'vSPD Benefits'!$D$3:$D$4996,'Charges to party by investment'!$C47)</f>
        <v>0</v>
      </c>
      <c r="AC47" s="134">
        <f>SUMIFS('vSPD Benefits'!$F$3:$F$4996,'vSPD Benefits'!$A$3:$A$4996,'Charges to party by investment'!AC$4,'vSPD Benefits'!$D$3:$D$4996,'Charges to party by investment'!$C47)</f>
        <v>0</v>
      </c>
      <c r="AD47" s="134">
        <f>SUMIFS('vSPD Benefits'!$F$3:$F$4996,'vSPD Benefits'!$A$3:$A$4996,'Charges to party by investment'!AD$4,'vSPD Benefits'!$D$3:$D$4996,'Charges to party by investment'!$C47)</f>
        <v>0</v>
      </c>
      <c r="AE47" s="134">
        <f>SUMIFS('vSPD Benefits'!$F$3:$F$4996,'vSPD Benefits'!$A$3:$A$4996,'Charges to party by investment'!AE$4,'vSPD Benefits'!$D$3:$D$4996,'Charges to party by investment'!$C47)</f>
        <v>0</v>
      </c>
      <c r="AF47" s="134">
        <f>SUMIFS('vSPD Benefits'!$F$3:$F$4996,'vSPD Benefits'!$A$3:$A$4996,'Charges to party by investment'!AF$4,'vSPD Benefits'!$D$3:$D$4996,'Charges to party by investment'!$C47)</f>
        <v>0</v>
      </c>
      <c r="AG47" s="134">
        <f>SUMIFS('vSPD Benefits'!$F$3:$F$4996,'vSPD Benefits'!$A$3:$A$4996,'Charges to party by investment'!AG$4,'vSPD Benefits'!$D$3:$D$4996,'Charges to party by investment'!$C47)</f>
        <v>0</v>
      </c>
      <c r="AH47" s="134">
        <f>SUMIFS('vSPD Benefits'!$F$3:$F$4996,'vSPD Benefits'!$A$3:$A$4996,'Charges to party by investment'!AH$4,'vSPD Benefits'!$D$3:$D$4996,'Charges to party by investment'!$C47)</f>
        <v>0</v>
      </c>
      <c r="AJ47" s="116" t="str">
        <f>'Charges as $M per year'!A42</f>
        <v>Pioneer</v>
      </c>
      <c r="AK47" s="128" t="str">
        <f t="shared" si="7"/>
        <v>Pioneer</v>
      </c>
      <c r="AL47" s="129">
        <f t="shared" ca="1" si="8"/>
        <v>8.9274737697279394E-2</v>
      </c>
      <c r="AM47" s="129">
        <f>SUMIF('AMD Calculations'!$AU$22:$AU$252,'Charges to party by investment'!AK47,'AMD Calculations'!$AY$22:$AY$252)</f>
        <v>0</v>
      </c>
      <c r="AN47" s="129">
        <v>0.30017046000000003</v>
      </c>
      <c r="AO47" s="129">
        <f ca="1">AV47*'Recovery amounts'!$J$17/'Recovery amounts'!$J$14</f>
        <v>6.6327453979439109E-4</v>
      </c>
      <c r="AP47" s="130">
        <f t="shared" ca="1" si="9"/>
        <v>1</v>
      </c>
      <c r="AQ47" s="318"/>
      <c r="AR47" s="319"/>
      <c r="AS47" s="130"/>
      <c r="AT47" s="445">
        <f t="shared" si="11"/>
        <v>0</v>
      </c>
      <c r="AU47" s="162">
        <f t="shared" ca="1" si="12"/>
        <v>8.9938012237073789E-2</v>
      </c>
      <c r="AV47" s="162">
        <v>7.277574817142619E-4</v>
      </c>
      <c r="AW47" s="128"/>
      <c r="AX47" s="129"/>
      <c r="AY47" s="129"/>
      <c r="AZ47" s="631">
        <f t="shared" ca="1" si="16"/>
        <v>4.3341898214769008E-3</v>
      </c>
      <c r="BA47" s="631">
        <f t="shared" ca="1" si="16"/>
        <v>4.3341898214769008E-3</v>
      </c>
      <c r="BX47" s="70" t="str">
        <f t="shared" si="14"/>
        <v>Pioneer</v>
      </c>
      <c r="BY47" s="166">
        <f t="shared" ca="1" si="3"/>
        <v>8.9274737697279394E-2</v>
      </c>
      <c r="BZ47" s="166">
        <f t="shared" si="4"/>
        <v>0</v>
      </c>
      <c r="CA47" s="166">
        <f t="shared" ca="1" si="5"/>
        <v>6.6327453979439109E-4</v>
      </c>
      <c r="CB47" s="166">
        <f t="shared" si="6"/>
        <v>0</v>
      </c>
      <c r="CC47" s="166">
        <f t="shared" ca="1" si="15"/>
        <v>8.9938012237073789E-2</v>
      </c>
    </row>
    <row r="48" spans="1:81" x14ac:dyDescent="0.3">
      <c r="B48" s="3"/>
      <c r="C48" s="41" t="s">
        <v>33</v>
      </c>
      <c r="D48" s="14"/>
      <c r="F48" s="134">
        <f ca="1">SUMIF('AMD Calculations'!$Z$22:$Z$652,'Charges to party by investment'!$C48,'AMD Calculations'!AE$22:AE$652)</f>
        <v>0</v>
      </c>
      <c r="G48" s="134">
        <f ca="1">SUMIF('AMD Calculations'!$Z$22:$Z$652,'Charges to party by investment'!$C48,'AMD Calculations'!AF$22:AF$652)</f>
        <v>0</v>
      </c>
      <c r="H48" s="134">
        <f ca="1">SUMIF('AMD Calculations'!$Z$22:$Z$652,'Charges to party by investment'!$C48,'AMD Calculations'!AG$22:AG$652)</f>
        <v>0</v>
      </c>
      <c r="I48" s="134">
        <f ca="1">SUMIF('AMD Calculations'!$Z$22:$Z$652,'Charges to party by investment'!$C48,'AMD Calculations'!AH$22:AH$652)</f>
        <v>0</v>
      </c>
      <c r="J48" s="134">
        <f ca="1">SUMIF('AMD Calculations'!$Z$22:$Z$652,'Charges to party by investment'!$C48,'AMD Calculations'!AI$22:AI$652)</f>
        <v>0</v>
      </c>
      <c r="K48" s="134">
        <f ca="1">SUMIF('AMD Calculations'!$Z$22:$Z$652,'Charges to party by investment'!$C48,'AMD Calculations'!AJ$22:AJ$652)</f>
        <v>0</v>
      </c>
      <c r="L48" s="134">
        <f ca="1">SUMIF('AMD Calculations'!$Z$22:$Z$652,'Charges to party by investment'!$C48,'AMD Calculations'!AK$22:AK$652)</f>
        <v>0</v>
      </c>
      <c r="M48" s="134">
        <f ca="1">SUMIF('AMD Calculations'!$Z$22:$Z$652,'Charges to party by investment'!$C48,'AMD Calculations'!AL$22:AL$652)</f>
        <v>6.3067408396975957E-2</v>
      </c>
      <c r="N48" s="134">
        <f ca="1">SUMIF('AMD Calculations'!$Z$22:$Z$652,'Charges to party by investment'!$C48,'AMD Calculations'!AM$22:AM$652)</f>
        <v>0</v>
      </c>
      <c r="O48" s="134">
        <f ca="1">SUMIF('AMD Calculations'!$Z$22:$Z$652,'Charges to party by investment'!$C48,'AMD Calculations'!AN$22:AN$652)</f>
        <v>0</v>
      </c>
      <c r="P48" s="134">
        <f ca="1">SUMIF('AMD Calculations'!$Z$22:$Z$652,'Charges to party by investment'!$C48,'AMD Calculations'!AO$22:AO$652)</f>
        <v>0</v>
      </c>
      <c r="Q48" s="134">
        <f ca="1">SUMIF('AMD Calculations'!$Z$22:$Z$652,'Charges to party by investment'!$C48,'AMD Calculations'!AP$22:AP$652)</f>
        <v>0</v>
      </c>
      <c r="R48" s="134">
        <f ca="1">SUMIF('AMD Calculations'!$Z$22:$Z$652,'Charges to party by investment'!$C48,'AMD Calculations'!AQ$22:AQ$652)</f>
        <v>0</v>
      </c>
      <c r="S48" s="14"/>
      <c r="T48" s="14"/>
      <c r="V48" s="134">
        <f ca="1">SUMIFS('vSPD Benefits'!$F$3:$F$4996,'vSPD Benefits'!$A$3:$A$4996,'Charges to party by investment'!V$4,'vSPD Benefits'!$D$3:$D$4996,'Charges to party by investment'!$C48)*V$5/V$6</f>
        <v>1.2414228380541845E-3</v>
      </c>
      <c r="W48" s="134">
        <f ca="1">SUMIFS('vSPD Benefits'!$F$3:$F$4996,'vSPD Benefits'!$A$3:$A$4996,'Charges to party by investment'!W$4,'vSPD Benefits'!$D$3:$D$4996,'Charges to party by investment'!$C48)*W$5/W$6</f>
        <v>1.2316027413262238E-3</v>
      </c>
      <c r="X48" s="134">
        <f ca="1">SUMIFS('vSPD Benefits'!$F$3:$F$4996,'vSPD Benefits'!$A$3:$A$4996,'Charges to party by investment'!X$4,'vSPD Benefits'!$D$3:$D$4996,'Charges to party by investment'!$C48)*X$5/X$6</f>
        <v>1.16017675737643E-3</v>
      </c>
      <c r="Y48" s="134">
        <f ca="1">SUMIFS('vSPD Benefits'!$F$3:$F$4996,'vSPD Benefits'!$A$3:$A$4996,'Charges to party by investment'!Y$4,'vSPD Benefits'!$D$3:$D$4996,'Charges to party by investment'!$C48)*Y$5/Y$6</f>
        <v>2.0670322487205872E-4</v>
      </c>
      <c r="Z48" s="134">
        <f ca="1">SUMIFS('vSPD Benefits'!$F$3:$F$4996,'vSPD Benefits'!$A$3:$A$4996,'Charges to party by investment'!Z$4,'vSPD Benefits'!$D$3:$D$4996,'Charges to party by investment'!$C48)*Z$5/Z$6</f>
        <v>3.7910028352654357E-3</v>
      </c>
      <c r="AA48" s="134">
        <f ca="1">SUMIFS('vSPD Benefits'!$F$3:$F$4996,'vSPD Benefits'!$A$3:$A$4996,'Charges to party by investment'!AA$4,'vSPD Benefits'!$D$3:$D$4996,'Charges to party by investment'!$C48)*AA$5/AA$6</f>
        <v>1.0726854953884933E-4</v>
      </c>
      <c r="AB48" s="134">
        <f>SUMIFS('vSPD Benefits'!$F$3:$F$4996,'vSPD Benefits'!$A$3:$A$4996,'Charges to party by investment'!AB$4,'vSPD Benefits'!$D$3:$D$4996,'Charges to party by investment'!$C48)</f>
        <v>0</v>
      </c>
      <c r="AC48" s="134">
        <f>SUMIFS('vSPD Benefits'!$F$3:$F$4996,'vSPD Benefits'!$A$3:$A$4996,'Charges to party by investment'!AC$4,'vSPD Benefits'!$D$3:$D$4996,'Charges to party by investment'!$C48)</f>
        <v>0</v>
      </c>
      <c r="AD48" s="134">
        <f>SUMIFS('vSPD Benefits'!$F$3:$F$4996,'vSPD Benefits'!$A$3:$A$4996,'Charges to party by investment'!AD$4,'vSPD Benefits'!$D$3:$D$4996,'Charges to party by investment'!$C48)</f>
        <v>0</v>
      </c>
      <c r="AE48" s="134">
        <f>SUMIFS('vSPD Benefits'!$F$3:$F$4996,'vSPD Benefits'!$A$3:$A$4996,'Charges to party by investment'!AE$4,'vSPD Benefits'!$D$3:$D$4996,'Charges to party by investment'!$C48)</f>
        <v>0</v>
      </c>
      <c r="AF48" s="134">
        <f>SUMIFS('vSPD Benefits'!$F$3:$F$4996,'vSPD Benefits'!$A$3:$A$4996,'Charges to party by investment'!AF$4,'vSPD Benefits'!$D$3:$D$4996,'Charges to party by investment'!$C48)</f>
        <v>0</v>
      </c>
      <c r="AG48" s="134">
        <f>SUMIFS('vSPD Benefits'!$F$3:$F$4996,'vSPD Benefits'!$A$3:$A$4996,'Charges to party by investment'!AG$4,'vSPD Benefits'!$D$3:$D$4996,'Charges to party by investment'!$C48)</f>
        <v>0</v>
      </c>
      <c r="AH48" s="134">
        <f>SUMIFS('vSPD Benefits'!$F$3:$F$4996,'vSPD Benefits'!$A$3:$A$4996,'Charges to party by investment'!AH$4,'vSPD Benefits'!$D$3:$D$4996,'Charges to party by investment'!$C48)</f>
        <v>0</v>
      </c>
      <c r="AJ48" s="116" t="str">
        <f>'Charges as $M per year'!A43</f>
        <v>Todd</v>
      </c>
      <c r="AK48" s="128" t="str">
        <f t="shared" si="7"/>
        <v>Todd</v>
      </c>
      <c r="AL48" s="129">
        <f ca="1">SUM(F48:AH48)</f>
        <v>7.0805585343409139E-2</v>
      </c>
      <c r="AM48" s="129">
        <f ca="1">SUMIF('AMD Calculations'!$AU$22:$AU$252,'Charges to party by investment'!AK48,'AMD Calculations'!$AY$22:$AY$252)</f>
        <v>2.6373287235516307E-2</v>
      </c>
      <c r="AN48" s="129">
        <v>0</v>
      </c>
      <c r="AO48" s="129">
        <f ca="1">AV48*'Recovery amounts'!$J$17/'Recovery amounts'!$J$14</f>
        <v>2.6088431186913004E-4</v>
      </c>
      <c r="AP48" s="130">
        <f t="shared" ca="1" si="9"/>
        <v>0.72933750989265989</v>
      </c>
      <c r="AQ48" s="318"/>
      <c r="AR48" s="319"/>
      <c r="AS48" s="130"/>
      <c r="AT48" s="445">
        <f t="shared" ca="1" si="11"/>
        <v>2.6373287235516307E-2</v>
      </c>
      <c r="AU48" s="162">
        <f t="shared" ca="1" si="12"/>
        <v>9.7439756890794579E-2</v>
      </c>
      <c r="AV48" s="162">
        <v>2.8624724519576945E-4</v>
      </c>
      <c r="AW48" s="128"/>
      <c r="AX48" s="129"/>
      <c r="AY48" s="129"/>
      <c r="AZ48" s="631">
        <f t="shared" ca="1" si="16"/>
        <v>1.0825768538208394E-3</v>
      </c>
      <c r="BA48" s="631">
        <f t="shared" ca="1" si="16"/>
        <v>1.0825768538208394E-3</v>
      </c>
      <c r="BX48" s="70" t="str">
        <f t="shared" si="14"/>
        <v>Todd</v>
      </c>
      <c r="BY48" s="166">
        <f t="shared" ca="1" si="3"/>
        <v>7.0805585343409139E-2</v>
      </c>
      <c r="BZ48" s="166">
        <f t="shared" ca="1" si="4"/>
        <v>2.6373287235516307E-2</v>
      </c>
      <c r="CA48" s="166">
        <f t="shared" ca="1" si="5"/>
        <v>2.6088431186913004E-4</v>
      </c>
      <c r="CB48" s="166">
        <f t="shared" si="6"/>
        <v>0</v>
      </c>
      <c r="CC48" s="166">
        <f t="shared" ca="1" si="15"/>
        <v>9.7439756890794579E-2</v>
      </c>
    </row>
    <row r="49" spans="1:81" x14ac:dyDescent="0.3">
      <c r="B49" s="3"/>
      <c r="C49" s="41" t="s">
        <v>35</v>
      </c>
      <c r="D49" s="14"/>
      <c r="F49" s="134">
        <f ca="1">SUMIF('AMD Calculations'!$Z$22:$Z$652,'Charges to party by investment'!$C49,'AMD Calculations'!AE$22:AE$652)</f>
        <v>0</v>
      </c>
      <c r="G49" s="134">
        <f ca="1">SUMIF('AMD Calculations'!$Z$22:$Z$652,'Charges to party by investment'!$C49,'AMD Calculations'!AF$22:AF$652)</f>
        <v>0</v>
      </c>
      <c r="H49" s="134">
        <f ca="1">SUMIF('AMD Calculations'!$Z$22:$Z$652,'Charges to party by investment'!$C49,'AMD Calculations'!AG$22:AG$652)</f>
        <v>0</v>
      </c>
      <c r="I49" s="134">
        <f ca="1">SUMIF('AMD Calculations'!$Z$22:$Z$652,'Charges to party by investment'!$C49,'AMD Calculations'!AH$22:AH$652)</f>
        <v>0</v>
      </c>
      <c r="J49" s="134">
        <f ca="1">SUMIF('AMD Calculations'!$Z$22:$Z$652,'Charges to party by investment'!$C49,'AMD Calculations'!AI$22:AI$652)</f>
        <v>0</v>
      </c>
      <c r="K49" s="134">
        <f ca="1">SUMIF('AMD Calculations'!$Z$22:$Z$652,'Charges to party by investment'!$C49,'AMD Calculations'!AJ$22:AJ$652)</f>
        <v>0</v>
      </c>
      <c r="L49" s="134">
        <f ca="1">SUMIF('AMD Calculations'!$Z$22:$Z$652,'Charges to party by investment'!$C49,'AMD Calculations'!AK$22:AK$652)</f>
        <v>0</v>
      </c>
      <c r="M49" s="134">
        <f ca="1">SUMIF('AMD Calculations'!$Z$22:$Z$652,'Charges to party by investment'!$C49,'AMD Calculations'!AL$22:AL$652)</f>
        <v>0.17470928452238677</v>
      </c>
      <c r="N49" s="134">
        <f ca="1">SUMIF('AMD Calculations'!$Z$22:$Z$652,'Charges to party by investment'!$C49,'AMD Calculations'!AM$22:AM$652)</f>
        <v>3.8040065948011768E-4</v>
      </c>
      <c r="O49" s="134">
        <f ca="1">SUMIF('AMD Calculations'!$Z$22:$Z$652,'Charges to party by investment'!$C49,'AMD Calculations'!AN$22:AN$652)</f>
        <v>0</v>
      </c>
      <c r="P49" s="134">
        <f ca="1">SUMIF('AMD Calculations'!$Z$22:$Z$652,'Charges to party by investment'!$C49,'AMD Calculations'!AO$22:AO$652)</f>
        <v>2.4484697001852173E-4</v>
      </c>
      <c r="Q49" s="134">
        <f ca="1">SUMIF('AMD Calculations'!$Z$22:$Z$652,'Charges to party by investment'!$C49,'AMD Calculations'!AP$22:AP$652)</f>
        <v>0</v>
      </c>
      <c r="R49" s="134">
        <f ca="1">SUMIF('AMD Calculations'!$Z$22:$Z$652,'Charges to party by investment'!$C49,'AMD Calculations'!AQ$22:AQ$652)</f>
        <v>0</v>
      </c>
      <c r="S49" s="14"/>
      <c r="T49" s="14"/>
      <c r="V49" s="134">
        <f ca="1">SUMIFS('vSPD Benefits'!$F$3:$F$4996,'vSPD Benefits'!$A$3:$A$4996,'Charges to party by investment'!V$4,'vSPD Benefits'!$D$3:$D$4996,'Charges to party by investment'!$C49)*V$5/V$6</f>
        <v>3.4229824691759591E-3</v>
      </c>
      <c r="W49" s="134">
        <f ca="1">SUMIFS('vSPD Benefits'!$F$3:$F$4996,'vSPD Benefits'!$A$3:$A$4996,'Charges to party by investment'!W$4,'vSPD Benefits'!$D$3:$D$4996,'Charges to party by investment'!$C49)*W$5/W$6</f>
        <v>1.7198899797584264</v>
      </c>
      <c r="X49" s="134">
        <f ca="1">SUMIFS('vSPD Benefits'!$F$3:$F$4996,'vSPD Benefits'!$A$3:$A$4996,'Charges to party by investment'!X$4,'vSPD Benefits'!$D$3:$D$4996,'Charges to party by investment'!$C49)*X$5/X$6</f>
        <v>0.31300780749139395</v>
      </c>
      <c r="Y49" s="134">
        <f ca="1">SUMIFS('vSPD Benefits'!$F$3:$F$4996,'vSPD Benefits'!$A$3:$A$4996,'Charges to party by investment'!Y$4,'vSPD Benefits'!$D$3:$D$4996,'Charges to party by investment'!$C49)*Y$5/Y$6</f>
        <v>1.9433810971678832E-4</v>
      </c>
      <c r="Z49" s="134">
        <f ca="1">SUMIFS('vSPD Benefits'!$F$3:$F$4996,'vSPD Benefits'!$A$3:$A$4996,'Charges to party by investment'!Z$4,'vSPD Benefits'!$D$3:$D$4996,'Charges to party by investment'!$C49)*Z$5/Z$6</f>
        <v>7.5718478912672731E-3</v>
      </c>
      <c r="AA49" s="134">
        <f ca="1">SUMIFS('vSPD Benefits'!$F$3:$F$4996,'vSPD Benefits'!$A$3:$A$4996,'Charges to party by investment'!AA$4,'vSPD Benefits'!$D$3:$D$4996,'Charges to party by investment'!$C49)*AA$5/AA$6</f>
        <v>8.0543640798513689E-5</v>
      </c>
      <c r="AB49" s="134">
        <f>SUMIFS('vSPD Benefits'!$F$3:$F$4996,'vSPD Benefits'!$A$3:$A$4996,'Charges to party by investment'!AB$4,'vSPD Benefits'!$D$3:$D$4996,'Charges to party by investment'!$C49)</f>
        <v>0</v>
      </c>
      <c r="AC49" s="134">
        <f>SUMIFS('vSPD Benefits'!$F$3:$F$4996,'vSPD Benefits'!$A$3:$A$4996,'Charges to party by investment'!AC$4,'vSPD Benefits'!$D$3:$D$4996,'Charges to party by investment'!$C49)</f>
        <v>0</v>
      </c>
      <c r="AD49" s="134">
        <f>SUMIFS('vSPD Benefits'!$F$3:$F$4996,'vSPD Benefits'!$A$3:$A$4996,'Charges to party by investment'!AD$4,'vSPD Benefits'!$D$3:$D$4996,'Charges to party by investment'!$C49)</f>
        <v>0</v>
      </c>
      <c r="AE49" s="134">
        <f>SUMIFS('vSPD Benefits'!$F$3:$F$4996,'vSPD Benefits'!$A$3:$A$4996,'Charges to party by investment'!AE$4,'vSPD Benefits'!$D$3:$D$4996,'Charges to party by investment'!$C49)</f>
        <v>0</v>
      </c>
      <c r="AF49" s="134">
        <f>SUMIFS('vSPD Benefits'!$F$3:$F$4996,'vSPD Benefits'!$A$3:$A$4996,'Charges to party by investment'!AF$4,'vSPD Benefits'!$D$3:$D$4996,'Charges to party by investment'!$C49)</f>
        <v>0</v>
      </c>
      <c r="AG49" s="134">
        <f>SUMIFS('vSPD Benefits'!$F$3:$F$4996,'vSPD Benefits'!$A$3:$A$4996,'Charges to party by investment'!AG$4,'vSPD Benefits'!$D$3:$D$4996,'Charges to party by investment'!$C49)</f>
        <v>0</v>
      </c>
      <c r="AH49" s="134">
        <f>SUMIFS('vSPD Benefits'!$F$3:$F$4996,'vSPD Benefits'!$A$3:$A$4996,'Charges to party by investment'!AH$4,'vSPD Benefits'!$D$3:$D$4996,'Charges to party by investment'!$C49)</f>
        <v>0</v>
      </c>
      <c r="AJ49" s="116" t="str">
        <f>'Charges as $M per year'!A44</f>
        <v>Trustpower</v>
      </c>
      <c r="AK49" s="128" t="str">
        <f t="shared" si="7"/>
        <v>Trustpower</v>
      </c>
      <c r="AL49" s="129">
        <f t="shared" ca="1" si="8"/>
        <v>2.2195020315126643</v>
      </c>
      <c r="AM49" s="129">
        <f ca="1">SUMIF('AMD Calculations'!$AU$22:$AU$252,'Charges to party by investment'!AK49,'AMD Calculations'!$AY$22:$AY$252)</f>
        <v>0.25010030359091007</v>
      </c>
      <c r="AN49" s="129">
        <v>1.8845370200000009</v>
      </c>
      <c r="AO49" s="129">
        <f ca="1">AV49*'Recovery amounts'!$J$17/'Recovery amounts'!$J$14</f>
        <v>1.2491950333937315E-2</v>
      </c>
      <c r="AP49" s="130">
        <f t="shared" ca="1" si="9"/>
        <v>0.89923819370672076</v>
      </c>
      <c r="AQ49" s="318"/>
      <c r="AR49" s="319"/>
      <c r="AS49" s="130"/>
      <c r="AT49" s="445">
        <f t="shared" ca="1" si="11"/>
        <v>0.25010030359091007</v>
      </c>
      <c r="AU49" s="162">
        <f t="shared" ca="1" si="12"/>
        <v>2.4820942854375114</v>
      </c>
      <c r="AV49" s="162">
        <v>1.3706406278679129E-2</v>
      </c>
      <c r="AW49" s="128"/>
      <c r="AX49" s="129"/>
      <c r="AY49" s="129"/>
      <c r="AZ49" s="631">
        <f t="shared" ca="1" si="16"/>
        <v>4.851422182563677E-2</v>
      </c>
      <c r="BA49" s="631">
        <f t="shared" ca="1" si="16"/>
        <v>4.851422182563677E-2</v>
      </c>
      <c r="BX49" s="70" t="str">
        <f t="shared" si="14"/>
        <v>Trustpower</v>
      </c>
      <c r="BY49" s="166">
        <f t="shared" ca="1" si="3"/>
        <v>2.2195020315126643</v>
      </c>
      <c r="BZ49" s="166">
        <f t="shared" ca="1" si="4"/>
        <v>0.25010030359091007</v>
      </c>
      <c r="CA49" s="166">
        <f t="shared" ca="1" si="5"/>
        <v>1.2491950333937315E-2</v>
      </c>
      <c r="CB49" s="166">
        <f t="shared" si="6"/>
        <v>0</v>
      </c>
      <c r="CC49" s="166">
        <f t="shared" ca="1" si="15"/>
        <v>2.4820942854375114</v>
      </c>
    </row>
    <row r="50" spans="1:81" x14ac:dyDescent="0.3">
      <c r="B50" s="3"/>
      <c r="C50" s="269"/>
      <c r="D50" s="14"/>
      <c r="F50" s="134">
        <f>SUMIF('AMD Calculations'!$Z$22:$Z$652,'Charges to party by investment'!$C50,'AMD Calculations'!AE$22:AE$652)</f>
        <v>0</v>
      </c>
      <c r="G50" s="134">
        <f>SUMIF('AMD Calculations'!$Z$22:$Z$652,'Charges to party by investment'!$C50,'AMD Calculations'!AF$22:AF$652)</f>
        <v>0</v>
      </c>
      <c r="H50" s="134">
        <f>SUMIF('AMD Calculations'!$Z$22:$Z$652,'Charges to party by investment'!$C50,'AMD Calculations'!AG$22:AG$652)</f>
        <v>0</v>
      </c>
      <c r="I50" s="134">
        <f>SUMIF('AMD Calculations'!$Z$22:$Z$652,'Charges to party by investment'!$C50,'AMD Calculations'!AH$22:AH$652)</f>
        <v>0</v>
      </c>
      <c r="J50" s="134">
        <f>SUMIF('AMD Calculations'!$Z$22:$Z$652,'Charges to party by investment'!$C50,'AMD Calculations'!AI$22:AI$652)</f>
        <v>0</v>
      </c>
      <c r="K50" s="134">
        <f>SUMIF('AMD Calculations'!$Z$22:$Z$652,'Charges to party by investment'!$C50,'AMD Calculations'!AJ$22:AJ$652)</f>
        <v>0</v>
      </c>
      <c r="L50" s="134">
        <f>SUMIF('AMD Calculations'!$Z$22:$Z$652,'Charges to party by investment'!$C50,'AMD Calculations'!AK$22:AK$652)</f>
        <v>0</v>
      </c>
      <c r="M50" s="134">
        <f>SUMIF('AMD Calculations'!$Z$22:$Z$652,'Charges to party by investment'!$C50,'AMD Calculations'!AL$22:AL$652)</f>
        <v>0</v>
      </c>
      <c r="N50" s="134">
        <f>SUMIF('AMD Calculations'!$Z$22:$Z$652,'Charges to party by investment'!$C50,'AMD Calculations'!AM$22:AM$652)</f>
        <v>0</v>
      </c>
      <c r="O50" s="134">
        <f>SUMIF('AMD Calculations'!$Z$22:$Z$652,'Charges to party by investment'!$C50,'AMD Calculations'!AN$22:AN$652)</f>
        <v>0</v>
      </c>
      <c r="P50" s="134">
        <f>SUMIF('AMD Calculations'!$Z$22:$Z$652,'Charges to party by investment'!$C50,'AMD Calculations'!AO$22:AO$652)</f>
        <v>0</v>
      </c>
      <c r="Q50" s="134">
        <f>SUMIF('AMD Calculations'!$Z$22:$Z$652,'Charges to party by investment'!$C50,'AMD Calculations'!AP$22:AP$652)</f>
        <v>0</v>
      </c>
      <c r="R50" s="134">
        <f>SUMIF('AMD Calculations'!$Z$22:$Z$652,'Charges to party by investment'!$C50,'AMD Calculations'!AQ$22:AQ$652)</f>
        <v>0</v>
      </c>
      <c r="S50" s="14"/>
      <c r="T50" s="14"/>
      <c r="V50" s="134">
        <f ca="1">SUMIFS('vSPD Benefits'!$F$3:$F$4996,'vSPD Benefits'!$A$3:$A$4996,'Charges to party by investment'!V$4,'vSPD Benefits'!$D$3:$D$4996,'Charges to party by investment'!$C50)*V$5/V$6</f>
        <v>0</v>
      </c>
      <c r="W50" s="134">
        <f ca="1">SUMIFS('vSPD Benefits'!$F$3:$F$4996,'vSPD Benefits'!$A$3:$A$4996,'Charges to party by investment'!W$4,'vSPD Benefits'!$D$3:$D$4996,'Charges to party by investment'!$C50)*W$5/W$6</f>
        <v>0</v>
      </c>
      <c r="X50" s="134">
        <f ca="1">SUMIFS('vSPD Benefits'!$F$3:$F$4996,'vSPD Benefits'!$A$3:$A$4996,'Charges to party by investment'!X$4,'vSPD Benefits'!$D$3:$D$4996,'Charges to party by investment'!$C50)*X$5/X$6</f>
        <v>0</v>
      </c>
      <c r="Y50" s="134">
        <f ca="1">SUMIFS('vSPD Benefits'!$F$3:$F$4996,'vSPD Benefits'!$A$3:$A$4996,'Charges to party by investment'!Y$4,'vSPD Benefits'!$D$3:$D$4996,'Charges to party by investment'!$C50)*Y$5/Y$6</f>
        <v>0</v>
      </c>
      <c r="Z50" s="134">
        <f ca="1">SUMIFS('vSPD Benefits'!$F$3:$F$4996,'vSPD Benefits'!$A$3:$A$4996,'Charges to party by investment'!Z$4,'vSPD Benefits'!$D$3:$D$4996,'Charges to party by investment'!$C50)*Z$5/Z$6</f>
        <v>0</v>
      </c>
      <c r="AA50" s="134">
        <f ca="1">SUMIFS('vSPD Benefits'!$F$3:$F$4996,'vSPD Benefits'!$A$3:$A$4996,'Charges to party by investment'!AA$4,'vSPD Benefits'!$D$3:$D$4996,'Charges to party by investment'!$C50)*AA$5/AA$6</f>
        <v>0</v>
      </c>
      <c r="AB50" s="134">
        <f>SUMIFS('vSPD Benefits'!$F$3:$F$4996,'vSPD Benefits'!$A$3:$A$4996,'Charges to party by investment'!AB$4,'vSPD Benefits'!$D$3:$D$4996,'Charges to party by investment'!$C50)</f>
        <v>0</v>
      </c>
      <c r="AC50" s="134">
        <f>SUMIFS('vSPD Benefits'!$F$3:$F$4996,'vSPD Benefits'!$A$3:$A$4996,'Charges to party by investment'!AC$4,'vSPD Benefits'!$D$3:$D$4996,'Charges to party by investment'!$C50)</f>
        <v>0</v>
      </c>
      <c r="AD50" s="134">
        <f>SUMIFS('vSPD Benefits'!$F$3:$F$4996,'vSPD Benefits'!$A$3:$A$4996,'Charges to party by investment'!AD$4,'vSPD Benefits'!$D$3:$D$4996,'Charges to party by investment'!$C50)</f>
        <v>0</v>
      </c>
      <c r="AE50" s="134">
        <f>SUMIFS('vSPD Benefits'!$F$3:$F$4996,'vSPD Benefits'!$A$3:$A$4996,'Charges to party by investment'!AE$4,'vSPD Benefits'!$D$3:$D$4996,'Charges to party by investment'!$C50)</f>
        <v>0</v>
      </c>
      <c r="AF50" s="134">
        <f>SUMIFS('vSPD Benefits'!$F$3:$F$4996,'vSPD Benefits'!$A$3:$A$4996,'Charges to party by investment'!AF$4,'vSPD Benefits'!$D$3:$D$4996,'Charges to party by investment'!$C50)</f>
        <v>0</v>
      </c>
      <c r="AG50" s="134">
        <f>SUMIFS('vSPD Benefits'!$F$3:$F$4996,'vSPD Benefits'!$A$3:$A$4996,'Charges to party by investment'!AG$4,'vSPD Benefits'!$D$3:$D$4996,'Charges to party by investment'!$C50)</f>
        <v>0</v>
      </c>
      <c r="AH50" s="134">
        <f>SUMIFS('vSPD Benefits'!$F$3:$F$4996,'vSPD Benefits'!$A$3:$A$4996,'Charges to party by investment'!AH$4,'vSPD Benefits'!$D$3:$D$4996,'Charges to party by investment'!$C50)</f>
        <v>0</v>
      </c>
      <c r="AJ50" s="116"/>
      <c r="AK50" s="128"/>
      <c r="AL50" s="129"/>
      <c r="AM50" s="129"/>
      <c r="AN50" s="129"/>
      <c r="AO50" s="129"/>
      <c r="AP50" s="130"/>
      <c r="AQ50" s="130"/>
      <c r="AR50" s="130"/>
      <c r="AS50" s="130"/>
      <c r="AT50" s="445">
        <f t="shared" si="11"/>
        <v>0</v>
      </c>
      <c r="AU50" s="162">
        <f>AR50+AL50+AM50+AO50</f>
        <v>0</v>
      </c>
      <c r="AV50" s="162"/>
      <c r="AW50" s="128"/>
      <c r="AX50" s="129"/>
      <c r="AY50" s="129"/>
      <c r="AZ50" s="18"/>
      <c r="BA50" s="18"/>
      <c r="BX50" s="70"/>
      <c r="BY50" s="166"/>
      <c r="BZ50" s="166"/>
      <c r="CA50" s="166"/>
      <c r="CB50" s="166"/>
      <c r="CC50" s="169"/>
    </row>
    <row r="51" spans="1:81" x14ac:dyDescent="0.3">
      <c r="B51" s="3"/>
      <c r="C51" s="65" t="s">
        <v>63</v>
      </c>
      <c r="D51" s="14"/>
      <c r="F51" s="134">
        <f>SUMIF('AMD Calculations'!$Z$22:$Z$652,'Charges to party by investment'!$C51,'AMD Calculations'!AE$22:AE$652)</f>
        <v>0</v>
      </c>
      <c r="G51" s="134">
        <f>SUMIF('AMD Calculations'!$Z$22:$Z$652,'Charges to party by investment'!$C51,'AMD Calculations'!AF$22:AF$652)</f>
        <v>0</v>
      </c>
      <c r="H51" s="134">
        <f>SUMIF('AMD Calculations'!$Z$22:$Z$652,'Charges to party by investment'!$C51,'AMD Calculations'!AG$22:AG$652)</f>
        <v>0</v>
      </c>
      <c r="I51" s="134">
        <f>SUMIF('AMD Calculations'!$Z$22:$Z$652,'Charges to party by investment'!$C51,'AMD Calculations'!AH$22:AH$652)</f>
        <v>0</v>
      </c>
      <c r="J51" s="134">
        <f>SUMIF('AMD Calculations'!$Z$22:$Z$652,'Charges to party by investment'!$C51,'AMD Calculations'!AI$22:AI$652)</f>
        <v>0</v>
      </c>
      <c r="K51" s="134">
        <f>SUMIF('AMD Calculations'!$Z$22:$Z$652,'Charges to party by investment'!$C51,'AMD Calculations'!AJ$22:AJ$652)</f>
        <v>0</v>
      </c>
      <c r="L51" s="134">
        <f>SUMIF('AMD Calculations'!$Z$22:$Z$652,'Charges to party by investment'!$C51,'AMD Calculations'!AK$22:AK$652)</f>
        <v>0</v>
      </c>
      <c r="M51" s="134">
        <f>SUMIF('AMD Calculations'!$Z$22:$Z$652,'Charges to party by investment'!$C51,'AMD Calculations'!AL$22:AL$652)</f>
        <v>0</v>
      </c>
      <c r="N51" s="134">
        <f>SUMIF('AMD Calculations'!$Z$22:$Z$652,'Charges to party by investment'!$C51,'AMD Calculations'!AM$22:AM$652)</f>
        <v>0</v>
      </c>
      <c r="O51" s="134">
        <f>SUMIF('AMD Calculations'!$Z$22:$Z$652,'Charges to party by investment'!$C51,'AMD Calculations'!AN$22:AN$652)</f>
        <v>0</v>
      </c>
      <c r="P51" s="134">
        <f>SUMIF('AMD Calculations'!$Z$22:$Z$652,'Charges to party by investment'!$C51,'AMD Calculations'!AO$22:AO$652)</f>
        <v>0</v>
      </c>
      <c r="Q51" s="134">
        <f>SUMIF('AMD Calculations'!$Z$22:$Z$652,'Charges to party by investment'!$C51,'AMD Calculations'!AP$22:AP$652)</f>
        <v>0</v>
      </c>
      <c r="R51" s="134">
        <f>SUMIF('AMD Calculations'!$Z$22:$Z$652,'Charges to party by investment'!$C51,'AMD Calculations'!AQ$22:AQ$652)</f>
        <v>0</v>
      </c>
      <c r="S51" s="14"/>
      <c r="T51" s="14"/>
      <c r="V51" s="134">
        <f ca="1">SUMIFS('vSPD Benefits'!$F$3:$F$4996,'vSPD Benefits'!$A$3:$A$4996,'Charges to party by investment'!V$4,'vSPD Benefits'!$D$3:$D$4996,'Charges to party by investment'!$C51)*V$5/V$6</f>
        <v>0</v>
      </c>
      <c r="W51" s="134">
        <f ca="1">SUMIFS('vSPD Benefits'!$F$3:$F$4996,'vSPD Benefits'!$A$3:$A$4996,'Charges to party by investment'!W$4,'vSPD Benefits'!$D$3:$D$4996,'Charges to party by investment'!$C51)*W$5/W$6</f>
        <v>0</v>
      </c>
      <c r="X51" s="134">
        <f ca="1">SUMIFS('vSPD Benefits'!$F$3:$F$4996,'vSPD Benefits'!$A$3:$A$4996,'Charges to party by investment'!X$4,'vSPD Benefits'!$D$3:$D$4996,'Charges to party by investment'!$C51)*X$5/X$6</f>
        <v>0</v>
      </c>
      <c r="Y51" s="134">
        <f ca="1">SUMIFS('vSPD Benefits'!$F$3:$F$4996,'vSPD Benefits'!$A$3:$A$4996,'Charges to party by investment'!Y$4,'vSPD Benefits'!$D$3:$D$4996,'Charges to party by investment'!$C51)*Y$5/Y$6</f>
        <v>0</v>
      </c>
      <c r="Z51" s="134">
        <f ca="1">SUMIFS('vSPD Benefits'!$F$3:$F$4996,'vSPD Benefits'!$A$3:$A$4996,'Charges to party by investment'!Z$4,'vSPD Benefits'!$D$3:$D$4996,'Charges to party by investment'!$C51)*Z$5/Z$6</f>
        <v>0</v>
      </c>
      <c r="AA51" s="134">
        <f ca="1">SUMIFS('vSPD Benefits'!$F$3:$F$4996,'vSPD Benefits'!$A$3:$A$4996,'Charges to party by investment'!AA$4,'vSPD Benefits'!$D$3:$D$4996,'Charges to party by investment'!$C51)*AA$5/AA$6</f>
        <v>0</v>
      </c>
      <c r="AB51" s="134">
        <f>SUMIFS('vSPD Benefits'!$F$3:$F$4996,'vSPD Benefits'!$A$3:$A$4996,'Charges to party by investment'!AB$4,'vSPD Benefits'!$D$3:$D$4996,'Charges to party by investment'!$C51)</f>
        <v>0</v>
      </c>
      <c r="AC51" s="134">
        <f>SUMIFS('vSPD Benefits'!$F$3:$F$4996,'vSPD Benefits'!$A$3:$A$4996,'Charges to party by investment'!AC$4,'vSPD Benefits'!$D$3:$D$4996,'Charges to party by investment'!$C51)</f>
        <v>0</v>
      </c>
      <c r="AD51" s="134">
        <f>SUMIFS('vSPD Benefits'!$F$3:$F$4996,'vSPD Benefits'!$A$3:$A$4996,'Charges to party by investment'!AD$4,'vSPD Benefits'!$D$3:$D$4996,'Charges to party by investment'!$C51)</f>
        <v>0</v>
      </c>
      <c r="AE51" s="134">
        <f>SUMIFS('vSPD Benefits'!$F$3:$F$4996,'vSPD Benefits'!$A$3:$A$4996,'Charges to party by investment'!AE$4,'vSPD Benefits'!$D$3:$D$4996,'Charges to party by investment'!$C51)</f>
        <v>0</v>
      </c>
      <c r="AF51" s="134">
        <f>SUMIFS('vSPD Benefits'!$F$3:$F$4996,'vSPD Benefits'!$A$3:$A$4996,'Charges to party by investment'!AF$4,'vSPD Benefits'!$D$3:$D$4996,'Charges to party by investment'!$C51)</f>
        <v>0</v>
      </c>
      <c r="AG51" s="134">
        <f>SUMIFS('vSPD Benefits'!$F$3:$F$4996,'vSPD Benefits'!$A$3:$A$4996,'Charges to party by investment'!AG$4,'vSPD Benefits'!$D$3:$D$4996,'Charges to party by investment'!$C51)</f>
        <v>0</v>
      </c>
      <c r="AH51" s="134">
        <f>SUMIFS('vSPD Benefits'!$F$3:$F$4996,'vSPD Benefits'!$A$3:$A$4996,'Charges to party by investment'!AH$4,'vSPD Benefits'!$D$3:$D$4996,'Charges to party by investment'!$C51)</f>
        <v>0</v>
      </c>
      <c r="AJ51" s="116"/>
      <c r="AK51" s="128"/>
      <c r="AL51" s="129"/>
      <c r="AM51" s="129"/>
      <c r="AN51" s="129"/>
      <c r="AO51" s="129"/>
      <c r="AP51" s="130"/>
      <c r="AQ51" s="130"/>
      <c r="AR51" s="130"/>
      <c r="AS51" s="130"/>
      <c r="AT51" s="445">
        <f t="shared" si="11"/>
        <v>0</v>
      </c>
      <c r="AU51" s="162">
        <f t="shared" si="12"/>
        <v>0</v>
      </c>
      <c r="AV51" s="162"/>
      <c r="AW51" s="128"/>
      <c r="AX51" s="128"/>
      <c r="AY51" s="129"/>
      <c r="AZ51" s="18"/>
      <c r="BA51" s="18"/>
      <c r="BX51" s="70"/>
      <c r="BY51" s="166"/>
      <c r="BZ51" s="166"/>
      <c r="CA51" s="166"/>
      <c r="CB51" s="166"/>
      <c r="CC51" s="169"/>
    </row>
    <row r="52" spans="1:81" x14ac:dyDescent="0.3">
      <c r="B52" s="3"/>
      <c r="C52" s="41"/>
      <c r="D52" s="14"/>
      <c r="F52" s="134">
        <f>SUMIF('AMD Calculations'!$Z$22:$Z$652,'Charges to party by investment'!$C52,'AMD Calculations'!AE$22:AE$652)</f>
        <v>0</v>
      </c>
      <c r="G52" s="134">
        <f>SUMIF('AMD Calculations'!$Z$22:$Z$652,'Charges to party by investment'!$C52,'AMD Calculations'!AF$22:AF$652)</f>
        <v>0</v>
      </c>
      <c r="H52" s="134">
        <f>SUMIF('AMD Calculations'!$Z$22:$Z$652,'Charges to party by investment'!$C52,'AMD Calculations'!AG$22:AG$652)</f>
        <v>0</v>
      </c>
      <c r="I52" s="134">
        <f>SUMIF('AMD Calculations'!$Z$22:$Z$652,'Charges to party by investment'!$C52,'AMD Calculations'!AH$22:AH$652)</f>
        <v>0</v>
      </c>
      <c r="J52" s="134">
        <f>SUMIF('AMD Calculations'!$Z$22:$Z$652,'Charges to party by investment'!$C52,'AMD Calculations'!AI$22:AI$652)</f>
        <v>0</v>
      </c>
      <c r="K52" s="134">
        <f>SUMIF('AMD Calculations'!$Z$22:$Z$652,'Charges to party by investment'!$C52,'AMD Calculations'!AJ$22:AJ$652)</f>
        <v>0</v>
      </c>
      <c r="L52" s="134">
        <f>SUMIF('AMD Calculations'!$Z$22:$Z$652,'Charges to party by investment'!$C52,'AMD Calculations'!AK$22:AK$652)</f>
        <v>0</v>
      </c>
      <c r="M52" s="134">
        <f>SUMIF('AMD Calculations'!$Z$22:$Z$652,'Charges to party by investment'!$C52,'AMD Calculations'!AL$22:AL$652)</f>
        <v>0</v>
      </c>
      <c r="N52" s="134">
        <f>SUMIF('AMD Calculations'!$Z$22:$Z$652,'Charges to party by investment'!$C52,'AMD Calculations'!AM$22:AM$652)</f>
        <v>0</v>
      </c>
      <c r="O52" s="134">
        <f>SUMIF('AMD Calculations'!$Z$22:$Z$652,'Charges to party by investment'!$C52,'AMD Calculations'!AN$22:AN$652)</f>
        <v>0</v>
      </c>
      <c r="P52" s="134">
        <f>SUMIF('AMD Calculations'!$Z$22:$Z$652,'Charges to party by investment'!$C52,'AMD Calculations'!AO$22:AO$652)</f>
        <v>0</v>
      </c>
      <c r="Q52" s="134">
        <f>SUMIF('AMD Calculations'!$Z$22:$Z$652,'Charges to party by investment'!$C52,'AMD Calculations'!AP$22:AP$652)</f>
        <v>0</v>
      </c>
      <c r="R52" s="134">
        <f>SUMIF('AMD Calculations'!$Z$22:$Z$652,'Charges to party by investment'!$C52,'AMD Calculations'!AQ$22:AQ$652)</f>
        <v>0</v>
      </c>
      <c r="S52" s="14"/>
      <c r="T52" s="14"/>
      <c r="V52" s="134">
        <f ca="1">SUMIFS('vSPD Benefits'!$F$3:$F$4996,'vSPD Benefits'!$A$3:$A$4996,'Charges to party by investment'!V$4,'vSPD Benefits'!$D$3:$D$4996,'Charges to party by investment'!$C52)*V$5/V$6</f>
        <v>0</v>
      </c>
      <c r="W52" s="134">
        <f ca="1">SUMIFS('vSPD Benefits'!$F$3:$F$4996,'vSPD Benefits'!$A$3:$A$4996,'Charges to party by investment'!W$4,'vSPD Benefits'!$D$3:$D$4996,'Charges to party by investment'!$C52)*W$5/W$6</f>
        <v>0</v>
      </c>
      <c r="X52" s="134">
        <f ca="1">SUMIFS('vSPD Benefits'!$F$3:$F$4996,'vSPD Benefits'!$A$3:$A$4996,'Charges to party by investment'!X$4,'vSPD Benefits'!$D$3:$D$4996,'Charges to party by investment'!$C52)*X$5/X$6</f>
        <v>0</v>
      </c>
      <c r="Y52" s="134">
        <f ca="1">SUMIFS('vSPD Benefits'!$F$3:$F$4996,'vSPD Benefits'!$A$3:$A$4996,'Charges to party by investment'!Y$4,'vSPD Benefits'!$D$3:$D$4996,'Charges to party by investment'!$C52)*Y$5/Y$6</f>
        <v>0</v>
      </c>
      <c r="Z52" s="134">
        <f ca="1">SUMIFS('vSPD Benefits'!$F$3:$F$4996,'vSPD Benefits'!$A$3:$A$4996,'Charges to party by investment'!Z$4,'vSPD Benefits'!$D$3:$D$4996,'Charges to party by investment'!$C52)*Z$5/Z$6</f>
        <v>0</v>
      </c>
      <c r="AA52" s="134">
        <f ca="1">SUMIFS('vSPD Benefits'!$F$3:$F$4996,'vSPD Benefits'!$A$3:$A$4996,'Charges to party by investment'!AA$4,'vSPD Benefits'!$D$3:$D$4996,'Charges to party by investment'!$C52)*AA$5/AA$6</f>
        <v>0</v>
      </c>
      <c r="AB52" s="134">
        <f>SUMIFS('vSPD Benefits'!$F$3:$F$4996,'vSPD Benefits'!$A$3:$A$4996,'Charges to party by investment'!AB$4,'vSPD Benefits'!$D$3:$D$4996,'Charges to party by investment'!$C52)</f>
        <v>0</v>
      </c>
      <c r="AC52" s="134">
        <f>SUMIFS('vSPD Benefits'!$F$3:$F$4996,'vSPD Benefits'!$A$3:$A$4996,'Charges to party by investment'!AC$4,'vSPD Benefits'!$D$3:$D$4996,'Charges to party by investment'!$C52)</f>
        <v>0</v>
      </c>
      <c r="AD52" s="134">
        <f>SUMIFS('vSPD Benefits'!$F$3:$F$4996,'vSPD Benefits'!$A$3:$A$4996,'Charges to party by investment'!AD$4,'vSPD Benefits'!$D$3:$D$4996,'Charges to party by investment'!$C52)</f>
        <v>0</v>
      </c>
      <c r="AE52" s="134">
        <f>SUMIFS('vSPD Benefits'!$F$3:$F$4996,'vSPD Benefits'!$A$3:$A$4996,'Charges to party by investment'!AE$4,'vSPD Benefits'!$D$3:$D$4996,'Charges to party by investment'!$C52)</f>
        <v>0</v>
      </c>
      <c r="AF52" s="134">
        <f>SUMIFS('vSPD Benefits'!$F$3:$F$4996,'vSPD Benefits'!$A$3:$A$4996,'Charges to party by investment'!AF$4,'vSPD Benefits'!$D$3:$D$4996,'Charges to party by investment'!$C52)</f>
        <v>0</v>
      </c>
      <c r="AG52" s="134">
        <f>SUMIFS('vSPD Benefits'!$F$3:$F$4996,'vSPD Benefits'!$A$3:$A$4996,'Charges to party by investment'!AG$4,'vSPD Benefits'!$D$3:$D$4996,'Charges to party by investment'!$C52)</f>
        <v>0</v>
      </c>
      <c r="AH52" s="134">
        <f>SUMIFS('vSPD Benefits'!$F$3:$F$4996,'vSPD Benefits'!$A$3:$A$4996,'Charges to party by investment'!AH$4,'vSPD Benefits'!$D$3:$D$4996,'Charges to party by investment'!$C52)</f>
        <v>0</v>
      </c>
      <c r="AJ52" s="116" t="str">
        <f>'Charges as $M per year'!A47</f>
        <v>Carter Holt Harvey</v>
      </c>
      <c r="AK52" s="128">
        <f t="shared" si="7"/>
        <v>0</v>
      </c>
      <c r="AL52" s="129">
        <f t="shared" ca="1" si="8"/>
        <v>0</v>
      </c>
      <c r="AM52" s="129">
        <f>SUMIF('AMD Calculations'!$AU$22:$AU$252,'Charges to party by investment'!AK52,'AMD Calculations'!$AY$22:$AY$252)</f>
        <v>0</v>
      </c>
      <c r="AN52" s="129"/>
      <c r="AO52" s="129"/>
      <c r="AP52" s="130"/>
      <c r="AQ52" s="130">
        <f t="shared" ca="1" si="10"/>
        <v>0</v>
      </c>
      <c r="AR52" s="162">
        <f t="shared" ref="AR52:AR63" ca="1" si="17">AQ52*$BA$2</f>
        <v>0</v>
      </c>
      <c r="AS52" s="162">
        <f>SUMIF('AMD Calculations'!$AU$22:$AU$252,'Charges to party by investment'!AK52,'AMD Calculations'!$AW$22:$AW$252)</f>
        <v>0</v>
      </c>
      <c r="AT52" s="445">
        <f t="shared" ca="1" si="11"/>
        <v>0</v>
      </c>
      <c r="AU52" s="162">
        <f t="shared" ca="1" si="12"/>
        <v>0</v>
      </c>
      <c r="AV52" s="162">
        <v>3.8021472811985292E-2</v>
      </c>
      <c r="AW52" s="128"/>
      <c r="AX52" s="129"/>
      <c r="AY52" s="129"/>
      <c r="AZ52" s="631">
        <f t="shared" ref="AZ52:AZ63" ca="1" si="18">$AM52/($AM$65-SUM($AM$40:$AM$49))</f>
        <v>0</v>
      </c>
      <c r="BA52" s="83">
        <f t="shared" ref="BA52:BA63" ca="1" si="19">SUM($AL52:$AO52)/(SUM($AL$52:$AO$63)+SUM($AL$9:$AO$37))</f>
        <v>0</v>
      </c>
      <c r="BX52" s="70">
        <f t="shared" si="14"/>
        <v>0</v>
      </c>
      <c r="BY52" s="166">
        <f t="shared" ca="1" si="3"/>
        <v>0</v>
      </c>
      <c r="BZ52" s="166">
        <f t="shared" si="4"/>
        <v>0</v>
      </c>
      <c r="CA52" s="166">
        <f t="shared" si="5"/>
        <v>0</v>
      </c>
      <c r="CB52" s="166">
        <f t="shared" ca="1" si="6"/>
        <v>0</v>
      </c>
      <c r="CC52" s="169">
        <f t="shared" ca="1" si="15"/>
        <v>0</v>
      </c>
    </row>
    <row r="53" spans="1:81" x14ac:dyDescent="0.3">
      <c r="B53" s="120"/>
      <c r="C53" s="41" t="s">
        <v>6</v>
      </c>
      <c r="D53" s="14"/>
      <c r="F53" s="134">
        <f ca="1">SUMIF('AMD Calculations'!$Z$22:$Z$652,'Charges to party by investment'!$C53,'AMD Calculations'!AE$22:AE$652)</f>
        <v>0</v>
      </c>
      <c r="G53" s="134">
        <f ca="1">SUMIF('AMD Calculations'!$Z$22:$Z$652,'Charges to party by investment'!$C53,'AMD Calculations'!AF$22:AF$652)</f>
        <v>0</v>
      </c>
      <c r="H53" s="134">
        <f ca="1">SUMIF('AMD Calculations'!$Z$22:$Z$652,'Charges to party by investment'!$C53,'AMD Calculations'!AG$22:AG$652)</f>
        <v>0</v>
      </c>
      <c r="I53" s="134">
        <f ca="1">SUMIF('AMD Calculations'!$Z$22:$Z$652,'Charges to party by investment'!$C53,'AMD Calculations'!AH$22:AH$652)</f>
        <v>0</v>
      </c>
      <c r="J53" s="134">
        <f ca="1">SUMIF('AMD Calculations'!$Z$22:$Z$652,'Charges to party by investment'!$C53,'AMD Calculations'!AI$22:AI$652)</f>
        <v>0</v>
      </c>
      <c r="K53" s="134">
        <f ca="1">SUMIF('AMD Calculations'!$Z$22:$Z$652,'Charges to party by investment'!$C53,'AMD Calculations'!AJ$22:AJ$652)</f>
        <v>0</v>
      </c>
      <c r="L53" s="134">
        <f ca="1">SUMIF('AMD Calculations'!$Z$22:$Z$652,'Charges to party by investment'!$C53,'AMD Calculations'!AK$22:AK$652)</f>
        <v>0</v>
      </c>
      <c r="M53" s="134">
        <f ca="1">SUMIF('AMD Calculations'!$Z$22:$Z$652,'Charges to party by investment'!$C53,'AMD Calculations'!AL$22:AL$652)</f>
        <v>0</v>
      </c>
      <c r="N53" s="134">
        <f ca="1">SUMIF('AMD Calculations'!$Z$22:$Z$652,'Charges to party by investment'!$C53,'AMD Calculations'!AM$22:AM$652)</f>
        <v>3.0297793702122308E-2</v>
      </c>
      <c r="O53" s="134">
        <f ca="1">SUMIF('AMD Calculations'!$Z$22:$Z$652,'Charges to party by investment'!$C53,'AMD Calculations'!AN$22:AN$652)</f>
        <v>0</v>
      </c>
      <c r="P53" s="134">
        <f ca="1">SUMIF('AMD Calculations'!$Z$22:$Z$652,'Charges to party by investment'!$C53,'AMD Calculations'!AO$22:AO$652)</f>
        <v>0</v>
      </c>
      <c r="Q53" s="134">
        <f ca="1">SUMIF('AMD Calculations'!$Z$22:$Z$652,'Charges to party by investment'!$C53,'AMD Calculations'!AP$22:AP$652)</f>
        <v>0</v>
      </c>
      <c r="R53" s="134">
        <f ca="1">SUMIF('AMD Calculations'!$Z$22:$Z$652,'Charges to party by investment'!$C53,'AMD Calculations'!AQ$22:AQ$652)</f>
        <v>0</v>
      </c>
      <c r="S53" s="14"/>
      <c r="T53" s="14"/>
      <c r="V53" s="134">
        <f ca="1">SUMIFS('vSPD Benefits'!$F$3:$F$4996,'vSPD Benefits'!$A$3:$A$4996,'Charges to party by investment'!V$4,'vSPD Benefits'!$D$3:$D$4996,'Charges to party by investment'!$C53)*V$5/V$6</f>
        <v>7.5229388691159541E-2</v>
      </c>
      <c r="W53" s="134">
        <f ca="1">SUMIFS('vSPD Benefits'!$F$3:$F$4996,'vSPD Benefits'!$A$3:$A$4996,'Charges to party by investment'!W$4,'vSPD Benefits'!$D$3:$D$4996,'Charges to party by investment'!$C53)*W$5/W$6</f>
        <v>0</v>
      </c>
      <c r="X53" s="134">
        <f ca="1">SUMIFS('vSPD Benefits'!$F$3:$F$4996,'vSPD Benefits'!$A$3:$A$4996,'Charges to party by investment'!X$4,'vSPD Benefits'!$D$3:$D$4996,'Charges to party by investment'!$C53)*X$5/X$6</f>
        <v>0</v>
      </c>
      <c r="Y53" s="134">
        <f ca="1">SUMIFS('vSPD Benefits'!$F$3:$F$4996,'vSPD Benefits'!$A$3:$A$4996,'Charges to party by investment'!Y$4,'vSPD Benefits'!$D$3:$D$4996,'Charges to party by investment'!$C53)*Y$5/Y$6</f>
        <v>2.0122518571329493E-2</v>
      </c>
      <c r="Z53" s="134">
        <f ca="1">SUMIFS('vSPD Benefits'!$F$3:$F$4996,'vSPD Benefits'!$A$3:$A$4996,'Charges to party by investment'!Z$4,'vSPD Benefits'!$D$3:$D$4996,'Charges to party by investment'!$C53)*Z$5/Z$6</f>
        <v>7.3280790839625196E-3</v>
      </c>
      <c r="AA53" s="134">
        <f ca="1">SUMIFS('vSPD Benefits'!$F$3:$F$4996,'vSPD Benefits'!$A$3:$A$4996,'Charges to party by investment'!AA$4,'vSPD Benefits'!$D$3:$D$4996,'Charges to party by investment'!$C53)*AA$5/AA$6</f>
        <v>1.3434089076040632E-2</v>
      </c>
      <c r="AB53" s="134">
        <f>SUMIFS('vSPD Benefits'!$F$3:$F$4996,'vSPD Benefits'!$A$3:$A$4996,'Charges to party by investment'!AB$4,'vSPD Benefits'!$D$3:$D$4996,'Charges to party by investment'!$C53)</f>
        <v>0</v>
      </c>
      <c r="AC53" s="134">
        <f>SUMIFS('vSPD Benefits'!$F$3:$F$4996,'vSPD Benefits'!$A$3:$A$4996,'Charges to party by investment'!AC$4,'vSPD Benefits'!$D$3:$D$4996,'Charges to party by investment'!$C53)</f>
        <v>0</v>
      </c>
      <c r="AD53" s="134">
        <f>SUMIFS('vSPD Benefits'!$F$3:$F$4996,'vSPD Benefits'!$A$3:$A$4996,'Charges to party by investment'!AD$4,'vSPD Benefits'!$D$3:$D$4996,'Charges to party by investment'!$C53)</f>
        <v>0</v>
      </c>
      <c r="AE53" s="134">
        <f>SUMIFS('vSPD Benefits'!$F$3:$F$4996,'vSPD Benefits'!$A$3:$A$4996,'Charges to party by investment'!AE$4,'vSPD Benefits'!$D$3:$D$4996,'Charges to party by investment'!$C53)</f>
        <v>0</v>
      </c>
      <c r="AF53" s="134">
        <f>SUMIFS('vSPD Benefits'!$F$3:$F$4996,'vSPD Benefits'!$A$3:$A$4996,'Charges to party by investment'!AF$4,'vSPD Benefits'!$D$3:$D$4996,'Charges to party by investment'!$C53)</f>
        <v>0</v>
      </c>
      <c r="AG53" s="134">
        <f>SUMIFS('vSPD Benefits'!$F$3:$F$4996,'vSPD Benefits'!$A$3:$A$4996,'Charges to party by investment'!AG$4,'vSPD Benefits'!$D$3:$D$4996,'Charges to party by investment'!$C53)</f>
        <v>0</v>
      </c>
      <c r="AH53" s="134">
        <f>SUMIFS('vSPD Benefits'!$F$3:$F$4996,'vSPD Benefits'!$A$3:$A$4996,'Charges to party by investment'!AH$4,'vSPD Benefits'!$D$3:$D$4996,'Charges to party by investment'!$C53)</f>
        <v>0</v>
      </c>
      <c r="AJ53" s="116" t="str">
        <f>'Charges as $M per year'!A48</f>
        <v>Daiken MDF</v>
      </c>
      <c r="AK53" s="128" t="str">
        <f t="shared" si="7"/>
        <v>Daiken MDF</v>
      </c>
      <c r="AL53" s="129">
        <f t="shared" ca="1" si="8"/>
        <v>0.14641186912461449</v>
      </c>
      <c r="AM53" s="129">
        <f ca="1">SUMIF('AMD Calculations'!$AU$22:$AU$252,'Charges to party by investment'!AK53,'AMD Calculations'!$AY$22:$AY$252)</f>
        <v>0.34501865620182687</v>
      </c>
      <c r="AN53" s="129">
        <v>0</v>
      </c>
      <c r="AO53" s="129">
        <f ca="1">AV53*'Recovery amounts'!$J$17/'Recovery amounts'!$J$14</f>
        <v>1.3202476292585554E-2</v>
      </c>
      <c r="AP53" s="130">
        <f t="shared" ca="1" si="9"/>
        <v>0.21099975268384938</v>
      </c>
      <c r="AQ53" s="130">
        <f t="shared" ca="1" si="10"/>
        <v>1.339542431231385E-3</v>
      </c>
      <c r="AR53" s="162">
        <f t="shared" ca="1" si="17"/>
        <v>0.2518339770715004</v>
      </c>
      <c r="AS53" s="162">
        <f>SUMIF('AMD Calculations'!$AU$22:$AU$252,'Charges to party by investment'!AK53,'AMD Calculations'!$AW$22:$AW$252)</f>
        <v>11.3736</v>
      </c>
      <c r="AT53" s="445">
        <f t="shared" ca="1" si="11"/>
        <v>0.59685263327332727</v>
      </c>
      <c r="AU53" s="162">
        <f t="shared" ca="1" si="12"/>
        <v>0.75646697869052737</v>
      </c>
      <c r="AV53" s="162">
        <v>1.4486008918814764E-2</v>
      </c>
      <c r="AW53" s="128"/>
      <c r="AX53" s="129"/>
      <c r="AY53" s="129"/>
      <c r="AZ53" s="631">
        <f t="shared" ca="1" si="18"/>
        <v>1.339542431231385E-3</v>
      </c>
      <c r="BA53" s="83">
        <f t="shared" ca="1" si="19"/>
        <v>8.9038388922023013E-4</v>
      </c>
      <c r="BX53" s="70" t="str">
        <f t="shared" si="14"/>
        <v>Daiken MDF</v>
      </c>
      <c r="BY53" s="166">
        <f t="shared" ca="1" si="3"/>
        <v>0.14641186912461449</v>
      </c>
      <c r="BZ53" s="166">
        <f t="shared" ca="1" si="4"/>
        <v>0.34501865620182687</v>
      </c>
      <c r="CA53" s="166">
        <f t="shared" ca="1" si="5"/>
        <v>1.3202476292585554E-2</v>
      </c>
      <c r="CB53" s="166">
        <f t="shared" ca="1" si="6"/>
        <v>0.2518339770715004</v>
      </c>
      <c r="CC53" s="169">
        <f t="shared" ca="1" si="15"/>
        <v>0.75646697869052737</v>
      </c>
    </row>
    <row r="54" spans="1:81" s="116" customFormat="1" x14ac:dyDescent="0.3">
      <c r="A54" s="14"/>
      <c r="B54" s="120"/>
      <c r="C54" s="4"/>
      <c r="F54" s="134">
        <f>SUMIF('AMD Calculations'!$Z$22:$Z$652,'Charges to party by investment'!$C54,'AMD Calculations'!AE$22:AE$652)</f>
        <v>0</v>
      </c>
      <c r="G54" s="134">
        <f>SUMIF('AMD Calculations'!$Z$22:$Z$652,'Charges to party by investment'!$C54,'AMD Calculations'!AF$22:AF$652)</f>
        <v>0</v>
      </c>
      <c r="H54" s="134">
        <f>SUMIF('AMD Calculations'!$Z$22:$Z$652,'Charges to party by investment'!$C54,'AMD Calculations'!AG$22:AG$652)</f>
        <v>0</v>
      </c>
      <c r="I54" s="134">
        <f>SUMIF('AMD Calculations'!$Z$22:$Z$652,'Charges to party by investment'!$C54,'AMD Calculations'!AH$22:AH$652)</f>
        <v>0</v>
      </c>
      <c r="J54" s="134">
        <f>SUMIF('AMD Calculations'!$Z$22:$Z$652,'Charges to party by investment'!$C54,'AMD Calculations'!AI$22:AI$652)</f>
        <v>0</v>
      </c>
      <c r="K54" s="134">
        <f>SUMIF('AMD Calculations'!$Z$22:$Z$652,'Charges to party by investment'!$C54,'AMD Calculations'!AJ$22:AJ$652)</f>
        <v>0</v>
      </c>
      <c r="L54" s="134">
        <f>SUMIF('AMD Calculations'!$Z$22:$Z$652,'Charges to party by investment'!$C54,'AMD Calculations'!AK$22:AK$652)</f>
        <v>0</v>
      </c>
      <c r="M54" s="134">
        <f>SUMIF('AMD Calculations'!$Z$22:$Z$652,'Charges to party by investment'!$C54,'AMD Calculations'!AL$22:AL$652)</f>
        <v>0</v>
      </c>
      <c r="N54" s="134">
        <f>SUMIF('AMD Calculations'!$Z$22:$Z$652,'Charges to party by investment'!$C54,'AMD Calculations'!AM$22:AM$652)</f>
        <v>0</v>
      </c>
      <c r="O54" s="134">
        <f>SUMIF('AMD Calculations'!$Z$22:$Z$652,'Charges to party by investment'!$C54,'AMD Calculations'!AN$22:AN$652)</f>
        <v>0</v>
      </c>
      <c r="P54" s="134">
        <f>SUMIF('AMD Calculations'!$Z$22:$Z$652,'Charges to party by investment'!$C54,'AMD Calculations'!AO$22:AO$652)</f>
        <v>0</v>
      </c>
      <c r="Q54" s="134">
        <f>SUMIF('AMD Calculations'!$Z$22:$Z$652,'Charges to party by investment'!$C54,'AMD Calculations'!AP$22:AP$652)</f>
        <v>0</v>
      </c>
      <c r="R54" s="134">
        <f>SUMIF('AMD Calculations'!$Z$22:$Z$652,'Charges to party by investment'!$C54,'AMD Calculations'!AQ$22:AQ$652)</f>
        <v>0</v>
      </c>
      <c r="V54" s="134">
        <f ca="1">SUMIFS('vSPD Benefits'!$F$3:$F$4996,'vSPD Benefits'!$A$3:$A$4996,'Charges to party by investment'!V$4,'vSPD Benefits'!$D$3:$D$4996,'Charges to party by investment'!$C54)*V$5/V$6</f>
        <v>0</v>
      </c>
      <c r="W54" s="220">
        <f ca="1">SUMIFS('vSPD Benefits'!$F$3:$F$4996,'vSPD Benefits'!$A$3:$A$4996,'Charges to party by investment'!W$4,'vSPD Benefits'!$D$3:$D$4996,'Charges to party by investment'!$C54)*W$5/W$6</f>
        <v>0</v>
      </c>
      <c r="X54" s="220">
        <f ca="1">SUMIFS('vSPD Benefits'!$F$3:$F$4996,'vSPD Benefits'!$A$3:$A$4996,'Charges to party by investment'!X$4,'vSPD Benefits'!$D$3:$D$4996,'Charges to party by investment'!$C54)*X$5/X$6</f>
        <v>0</v>
      </c>
      <c r="Y54" s="220">
        <f ca="1">SUMIFS('vSPD Benefits'!$F$3:$F$4996,'vSPD Benefits'!$A$3:$A$4996,'Charges to party by investment'!Y$4,'vSPD Benefits'!$D$3:$D$4996,'Charges to party by investment'!$C54)*Y$5/Y$6</f>
        <v>0</v>
      </c>
      <c r="Z54" s="220">
        <f ca="1">SUMIFS('vSPD Benefits'!$F$3:$F$4996,'vSPD Benefits'!$A$3:$A$4996,'Charges to party by investment'!Z$4,'vSPD Benefits'!$D$3:$D$4996,'Charges to party by investment'!$C54)*Z$5/Z$6</f>
        <v>0</v>
      </c>
      <c r="AA54" s="220">
        <f ca="1">SUMIFS('vSPD Benefits'!$F$3:$F$4996,'vSPD Benefits'!$A$3:$A$4996,'Charges to party by investment'!AA$4,'vSPD Benefits'!$D$3:$D$4996,'Charges to party by investment'!$C54)*AA$5/AA$6</f>
        <v>0</v>
      </c>
      <c r="AB54" s="134">
        <f>SUMIFS('vSPD Benefits'!$F$3:$F$4996,'vSPD Benefits'!$A$3:$A$4996,'Charges to party by investment'!AB$4,'vSPD Benefits'!$D$3:$D$4996,'Charges to party by investment'!$C54)</f>
        <v>0</v>
      </c>
      <c r="AC54" s="134">
        <f>SUMIFS('vSPD Benefits'!$F$3:$F$4996,'vSPD Benefits'!$A$3:$A$4996,'Charges to party by investment'!AC$4,'vSPD Benefits'!$D$3:$D$4996,'Charges to party by investment'!$C54)</f>
        <v>0</v>
      </c>
      <c r="AD54" s="134">
        <f>SUMIFS('vSPD Benefits'!$F$3:$F$4996,'vSPD Benefits'!$A$3:$A$4996,'Charges to party by investment'!AD$4,'vSPD Benefits'!$D$3:$D$4996,'Charges to party by investment'!$C54)</f>
        <v>0</v>
      </c>
      <c r="AE54" s="134">
        <f>SUMIFS('vSPD Benefits'!$F$3:$F$4996,'vSPD Benefits'!$A$3:$A$4996,'Charges to party by investment'!AE$4,'vSPD Benefits'!$D$3:$D$4996,'Charges to party by investment'!$C54)</f>
        <v>0</v>
      </c>
      <c r="AF54" s="134">
        <f>SUMIFS('vSPD Benefits'!$F$3:$F$4996,'vSPD Benefits'!$A$3:$A$4996,'Charges to party by investment'!AF$4,'vSPD Benefits'!$D$3:$D$4996,'Charges to party by investment'!$C54)</f>
        <v>0</v>
      </c>
      <c r="AG54" s="134">
        <f>SUMIFS('vSPD Benefits'!$F$3:$F$4996,'vSPD Benefits'!$A$3:$A$4996,'Charges to party by investment'!AG$4,'vSPD Benefits'!$D$3:$D$4996,'Charges to party by investment'!$C54)</f>
        <v>0</v>
      </c>
      <c r="AH54" s="134">
        <f>SUMIFS('vSPD Benefits'!$F$3:$F$4996,'vSPD Benefits'!$A$3:$A$4996,'Charges to party by investment'!AH$4,'vSPD Benefits'!$D$3:$D$4996,'Charges to party by investment'!$C54)</f>
        <v>0</v>
      </c>
      <c r="AJ54" s="35" t="s">
        <v>677</v>
      </c>
      <c r="AK54" s="128">
        <f t="shared" si="7"/>
        <v>0</v>
      </c>
      <c r="AL54" s="461">
        <f ca="1">SUM(F54:AH54)</f>
        <v>0</v>
      </c>
      <c r="AM54" s="461">
        <f>SUMIF('AMD Calculations'!$AU$22:$AU$252,'Charges to party by investment'!AK54,'AMD Calculations'!$AY$22:$AY$252)</f>
        <v>0</v>
      </c>
      <c r="AN54" s="462"/>
      <c r="AO54" s="461"/>
      <c r="AP54" s="130"/>
      <c r="AQ54" s="130">
        <f ca="1">IF($AQ$7=1,AZ54,BA54)</f>
        <v>0</v>
      </c>
      <c r="AR54" s="162">
        <f ca="1">AQ54*$BA$2</f>
        <v>0</v>
      </c>
      <c r="AS54" s="162">
        <f>SUMIF('AMD Calculations'!$AU$22:$AU$252,'Charges to party by investment'!AK54,'AMD Calculations'!$AW$22:$AW$252)</f>
        <v>0</v>
      </c>
      <c r="AT54" s="445">
        <f ca="1">AR54+AM54</f>
        <v>0</v>
      </c>
      <c r="AU54" s="162">
        <f ca="1">AR54+AL54+AM54+AO54</f>
        <v>0</v>
      </c>
      <c r="AV54" s="498">
        <v>7.4926839113702614E-3</v>
      </c>
      <c r="AW54" s="128"/>
      <c r="AX54" s="129"/>
      <c r="AY54" s="129"/>
      <c r="AZ54" s="631">
        <f t="shared" ca="1" si="18"/>
        <v>0</v>
      </c>
      <c r="BA54" s="83">
        <f t="shared" ca="1" si="19"/>
        <v>0</v>
      </c>
      <c r="BB54" s="18"/>
      <c r="BD54" s="61"/>
      <c r="BE54" s="61"/>
      <c r="BF54" s="97"/>
      <c r="BG54" s="18"/>
      <c r="BH54" s="18"/>
      <c r="BI54" s="18"/>
      <c r="BX54" s="70">
        <f>C54</f>
        <v>0</v>
      </c>
      <c r="BY54" s="166">
        <f ca="1">AL54</f>
        <v>0</v>
      </c>
      <c r="BZ54" s="166">
        <f>AM54</f>
        <v>0</v>
      </c>
      <c r="CA54" s="166">
        <f>AO54</f>
        <v>0</v>
      </c>
      <c r="CB54" s="166">
        <f ca="1">AR54</f>
        <v>0</v>
      </c>
      <c r="CC54" s="166">
        <f ca="1">AU54</f>
        <v>0</v>
      </c>
    </row>
    <row r="55" spans="1:81" x14ac:dyDescent="0.3">
      <c r="A55" s="31"/>
      <c r="B55" s="31"/>
      <c r="C55" s="41" t="s">
        <v>49</v>
      </c>
      <c r="D55" s="14"/>
      <c r="F55" s="134">
        <f ca="1">SUMIF('AMD Calculations'!$Z$22:$Z$652,'Charges to party by investment'!$C55,'AMD Calculations'!AE$22:AE$652)</f>
        <v>0</v>
      </c>
      <c r="G55" s="134">
        <f ca="1">SUMIF('AMD Calculations'!$Z$22:$Z$652,'Charges to party by investment'!$C55,'AMD Calculations'!AF$22:AF$652)</f>
        <v>0</v>
      </c>
      <c r="H55" s="134">
        <f ca="1">SUMIF('AMD Calculations'!$Z$22:$Z$652,'Charges to party by investment'!$C55,'AMD Calculations'!AG$22:AG$652)</f>
        <v>0</v>
      </c>
      <c r="I55" s="134">
        <f ca="1">SUMIF('AMD Calculations'!$Z$22:$Z$652,'Charges to party by investment'!$C55,'AMD Calculations'!AH$22:AH$652)</f>
        <v>0</v>
      </c>
      <c r="J55" s="134">
        <f ca="1">SUMIF('AMD Calculations'!$Z$22:$Z$652,'Charges to party by investment'!$C55,'AMD Calculations'!AI$22:AI$652)</f>
        <v>0</v>
      </c>
      <c r="K55" s="134">
        <f ca="1">SUMIF('AMD Calculations'!$Z$22:$Z$652,'Charges to party by investment'!$C55,'AMD Calculations'!AJ$22:AJ$652)</f>
        <v>0</v>
      </c>
      <c r="L55" s="134">
        <f ca="1">SUMIF('AMD Calculations'!$Z$22:$Z$652,'Charges to party by investment'!$C55,'AMD Calculations'!AK$22:AK$652)</f>
        <v>1.8773299907443447E-2</v>
      </c>
      <c r="M55" s="134">
        <f ca="1">SUMIF('AMD Calculations'!$Z$22:$Z$652,'Charges to party by investment'!$C55,'AMD Calculations'!AL$22:AL$652)</f>
        <v>0</v>
      </c>
      <c r="N55" s="134">
        <f ca="1">SUMIF('AMD Calculations'!$Z$22:$Z$652,'Charges to party by investment'!$C55,'AMD Calculations'!AM$22:AM$652)</f>
        <v>0</v>
      </c>
      <c r="O55" s="134">
        <f ca="1">SUMIF('AMD Calculations'!$Z$22:$Z$652,'Charges to party by investment'!$C55,'AMD Calculations'!AN$22:AN$652)</f>
        <v>8.658286519354897E-3</v>
      </c>
      <c r="P55" s="134">
        <f ca="1">SUMIF('AMD Calculations'!$Z$22:$Z$652,'Charges to party by investment'!$C55,'AMD Calculations'!AO$22:AO$652)</f>
        <v>0</v>
      </c>
      <c r="Q55" s="134">
        <f ca="1">SUMIF('AMD Calculations'!$Z$22:$Z$652,'Charges to party by investment'!$C55,'AMD Calculations'!AP$22:AP$652)</f>
        <v>0</v>
      </c>
      <c r="R55" s="134">
        <f ca="1">SUMIF('AMD Calculations'!$Z$22:$Z$652,'Charges to party by investment'!$C55,'AMD Calculations'!AQ$22:AQ$652)</f>
        <v>0</v>
      </c>
      <c r="S55" s="14"/>
      <c r="T55" s="14"/>
      <c r="V55" s="134">
        <f ca="1">SUMIFS('vSPD Benefits'!$F$3:$F$4996,'vSPD Benefits'!$A$3:$A$4996,'Charges to party by investment'!V$4,'vSPD Benefits'!$D$3:$D$4996,'Charges to party by investment'!$C55)*V$5/V$6</f>
        <v>3.251354823786852E-2</v>
      </c>
      <c r="W55" s="134">
        <f ca="1">SUMIFS('vSPD Benefits'!$F$3:$F$4996,'vSPD Benefits'!$A$3:$A$4996,'Charges to party by investment'!W$4,'vSPD Benefits'!$D$3:$D$4996,'Charges to party by investment'!$C55)*W$5/W$6</f>
        <v>3.3236218813067736E-2</v>
      </c>
      <c r="X55" s="134">
        <f ca="1">SUMIFS('vSPD Benefits'!$F$3:$F$4996,'vSPD Benefits'!$A$3:$A$4996,'Charges to party by investment'!X$4,'vSPD Benefits'!$D$3:$D$4996,'Charges to party by investment'!$C55)*X$5/X$6</f>
        <v>3.6876460687115781E-2</v>
      </c>
      <c r="Y55" s="134">
        <f ca="1">SUMIFS('vSPD Benefits'!$F$3:$F$4996,'vSPD Benefits'!$A$3:$A$4996,'Charges to party by investment'!Y$4,'vSPD Benefits'!$D$3:$D$4996,'Charges to party by investment'!$C55)*Y$5/Y$6</f>
        <v>1.3961348570900282E-2</v>
      </c>
      <c r="Z55" s="134">
        <f ca="1">SUMIFS('vSPD Benefits'!$F$3:$F$4996,'vSPD Benefits'!$A$3:$A$4996,'Charges to party by investment'!Z$4,'vSPD Benefits'!$D$3:$D$4996,'Charges to party by investment'!$C55)*Z$5/Z$6</f>
        <v>3.1757635222769403E-4</v>
      </c>
      <c r="AA55" s="134">
        <f ca="1">SUMIFS('vSPD Benefits'!$F$3:$F$4996,'vSPD Benefits'!$A$3:$A$4996,'Charges to party by investment'!AA$4,'vSPD Benefits'!$D$3:$D$4996,'Charges to party by investment'!$C55)*AA$5/AA$6</f>
        <v>1.1798538258424153E-2</v>
      </c>
      <c r="AB55" s="134">
        <f>SUMIFS('vSPD Benefits'!$F$3:$F$4996,'vSPD Benefits'!$A$3:$A$4996,'Charges to party by investment'!AB$4,'vSPD Benefits'!$D$3:$D$4996,'Charges to party by investment'!$C55)</f>
        <v>0</v>
      </c>
      <c r="AC55" s="134">
        <f>SUMIFS('vSPD Benefits'!$F$3:$F$4996,'vSPD Benefits'!$A$3:$A$4996,'Charges to party by investment'!AC$4,'vSPD Benefits'!$D$3:$D$4996,'Charges to party by investment'!$C55)</f>
        <v>0</v>
      </c>
      <c r="AD55" s="134">
        <f>SUMIFS('vSPD Benefits'!$F$3:$F$4996,'vSPD Benefits'!$A$3:$A$4996,'Charges to party by investment'!AD$4,'vSPD Benefits'!$D$3:$D$4996,'Charges to party by investment'!$C55)</f>
        <v>0</v>
      </c>
      <c r="AE55" s="134">
        <f>SUMIFS('vSPD Benefits'!$F$3:$F$4996,'vSPD Benefits'!$A$3:$A$4996,'Charges to party by investment'!AE$4,'vSPD Benefits'!$D$3:$D$4996,'Charges to party by investment'!$C55)</f>
        <v>0</v>
      </c>
      <c r="AF55" s="134">
        <f>SUMIFS('vSPD Benefits'!$F$3:$F$4996,'vSPD Benefits'!$A$3:$A$4996,'Charges to party by investment'!AF$4,'vSPD Benefits'!$D$3:$D$4996,'Charges to party by investment'!$C55)</f>
        <v>0</v>
      </c>
      <c r="AG55" s="134">
        <f>SUMIFS('vSPD Benefits'!$F$3:$F$4996,'vSPD Benefits'!$A$3:$A$4996,'Charges to party by investment'!AG$4,'vSPD Benefits'!$D$3:$D$4996,'Charges to party by investment'!$C55)</f>
        <v>0</v>
      </c>
      <c r="AH55" s="134">
        <f>SUMIFS('vSPD Benefits'!$F$3:$F$4996,'vSPD Benefits'!$A$3:$A$4996,'Charges to party by investment'!AH$4,'vSPD Benefits'!$D$3:$D$4996,'Charges to party by investment'!$C55)</f>
        <v>0</v>
      </c>
      <c r="AJ55" s="116" t="str">
        <f>'Charges as $M per year'!A49</f>
        <v>Kiwirail</v>
      </c>
      <c r="AK55" s="128" t="str">
        <f t="shared" si="7"/>
        <v>Kiwirail</v>
      </c>
      <c r="AL55" s="129">
        <f t="shared" ca="1" si="8"/>
        <v>0.15613527734640251</v>
      </c>
      <c r="AM55" s="129">
        <f ca="1">SUMIF('AMD Calculations'!$AU$22:$AU$252,'Charges to party by investment'!AK55,'AMD Calculations'!$AY$22:$AY$252)</f>
        <v>1.1292735817004773</v>
      </c>
      <c r="AN55" s="129">
        <v>1.6783543299999997</v>
      </c>
      <c r="AO55" s="129">
        <f ca="1">AV55*'Recovery amounts'!$J$17/'Recovery amounts'!$J$14</f>
        <v>1.2390593600108316E-2</v>
      </c>
      <c r="AP55" s="130">
        <f t="shared" ca="1" si="9"/>
        <v>7.9415712232234495E-2</v>
      </c>
      <c r="AQ55" s="130">
        <f t="shared" ca="1" si="10"/>
        <v>4.3844292242316771E-3</v>
      </c>
      <c r="AR55" s="162">
        <f t="shared" ca="1" si="17"/>
        <v>0.82427269415555526</v>
      </c>
      <c r="AS55" s="162">
        <f>SUMIF('AMD Calculations'!$AU$22:$AU$252,'Charges to party by investment'!AK55,'AMD Calculations'!$AW$22:$AW$252)</f>
        <v>37.226700000000001</v>
      </c>
      <c r="AT55" s="445">
        <f t="shared" ca="1" si="11"/>
        <v>1.9535462758560325</v>
      </c>
      <c r="AU55" s="162">
        <f t="shared" ca="1" si="12"/>
        <v>2.1220721468025436</v>
      </c>
      <c r="AV55" s="162">
        <v>1.3595195736225562E-2</v>
      </c>
      <c r="AW55" s="128"/>
      <c r="AX55" s="129"/>
      <c r="AY55" s="129"/>
      <c r="AZ55" s="631">
        <f t="shared" ca="1" si="18"/>
        <v>4.3844292242316771E-3</v>
      </c>
      <c r="BA55" s="83">
        <f t="shared" ca="1" si="19"/>
        <v>5.2511812969205755E-3</v>
      </c>
      <c r="BX55" s="70" t="str">
        <f t="shared" si="14"/>
        <v>Kiwirail</v>
      </c>
      <c r="BY55" s="166">
        <f t="shared" ca="1" si="3"/>
        <v>0.15613527734640251</v>
      </c>
      <c r="BZ55" s="166">
        <f t="shared" ca="1" si="4"/>
        <v>1.1292735817004773</v>
      </c>
      <c r="CA55" s="166">
        <f t="shared" ca="1" si="5"/>
        <v>1.2390593600108316E-2</v>
      </c>
      <c r="CB55" s="166">
        <f t="shared" ca="1" si="6"/>
        <v>0.82427269415555526</v>
      </c>
      <c r="CC55" s="169">
        <f t="shared" ca="1" si="15"/>
        <v>2.1220721468025436</v>
      </c>
    </row>
    <row r="56" spans="1:81" x14ac:dyDescent="0.3">
      <c r="A56" s="31"/>
      <c r="B56" s="31"/>
      <c r="C56" s="41" t="s">
        <v>15</v>
      </c>
      <c r="D56" s="14"/>
      <c r="F56" s="134">
        <f ca="1">SUMIF('AMD Calculations'!$Z$22:$Z$652,'Charges to party by investment'!$C56,'AMD Calculations'!AE$22:AE$652)</f>
        <v>0</v>
      </c>
      <c r="G56" s="134">
        <f ca="1">SUMIF('AMD Calculations'!$Z$22:$Z$652,'Charges to party by investment'!$C56,'AMD Calculations'!AF$22:AF$652)</f>
        <v>0</v>
      </c>
      <c r="H56" s="134">
        <f ca="1">SUMIF('AMD Calculations'!$Z$22:$Z$652,'Charges to party by investment'!$C56,'AMD Calculations'!AG$22:AG$652)</f>
        <v>0</v>
      </c>
      <c r="I56" s="134">
        <f ca="1">SUMIF('AMD Calculations'!$Z$22:$Z$652,'Charges to party by investment'!$C56,'AMD Calculations'!AH$22:AH$652)</f>
        <v>0</v>
      </c>
      <c r="J56" s="134">
        <f ca="1">SUMIF('AMD Calculations'!$Z$22:$Z$652,'Charges to party by investment'!$C56,'AMD Calculations'!AI$22:AI$652)</f>
        <v>0</v>
      </c>
      <c r="K56" s="134">
        <f ca="1">SUMIF('AMD Calculations'!$Z$22:$Z$652,'Charges to party by investment'!$C56,'AMD Calculations'!AJ$22:AJ$652)</f>
        <v>0</v>
      </c>
      <c r="L56" s="134">
        <f ca="1">SUMIF('AMD Calculations'!$Z$22:$Z$652,'Charges to party by investment'!$C56,'AMD Calculations'!AK$22:AK$652)</f>
        <v>0</v>
      </c>
      <c r="M56" s="134">
        <f ca="1">SUMIF('AMD Calculations'!$Z$22:$Z$652,'Charges to party by investment'!$C56,'AMD Calculations'!AL$22:AL$652)</f>
        <v>0</v>
      </c>
      <c r="N56" s="134">
        <f ca="1">SUMIF('AMD Calculations'!$Z$22:$Z$652,'Charges to party by investment'!$C56,'AMD Calculations'!AM$22:AM$652)</f>
        <v>0</v>
      </c>
      <c r="O56" s="134">
        <f ca="1">SUMIF('AMD Calculations'!$Z$22:$Z$652,'Charges to party by investment'!$C56,'AMD Calculations'!AN$22:AN$652)</f>
        <v>0</v>
      </c>
      <c r="P56" s="134">
        <f ca="1">SUMIF('AMD Calculations'!$Z$22:$Z$652,'Charges to party by investment'!$C56,'AMD Calculations'!AO$22:AO$652)</f>
        <v>0</v>
      </c>
      <c r="Q56" s="134">
        <f ca="1">SUMIF('AMD Calculations'!$Z$22:$Z$652,'Charges to party by investment'!$C56,'AMD Calculations'!AP$22:AP$652)</f>
        <v>0</v>
      </c>
      <c r="R56" s="134">
        <f ca="1">SUMIF('AMD Calculations'!$Z$22:$Z$652,'Charges to party by investment'!$C56,'AMD Calculations'!AQ$22:AQ$652)</f>
        <v>0</v>
      </c>
      <c r="S56" s="14"/>
      <c r="T56" s="14"/>
      <c r="V56" s="134">
        <f ca="1">SUMIFS('vSPD Benefits'!$F$3:$F$4996,'vSPD Benefits'!$A$3:$A$4996,'Charges to party by investment'!V$4,'vSPD Benefits'!$D$3:$D$4996,'Charges to party by investment'!$C56)*V$5/V$6</f>
        <v>6.6676943347727127E-2</v>
      </c>
      <c r="W56" s="134">
        <f ca="1">SUMIFS('vSPD Benefits'!$F$3:$F$4996,'vSPD Benefits'!$A$3:$A$4996,'Charges to party by investment'!W$4,'vSPD Benefits'!$D$3:$D$4996,'Charges to party by investment'!$C56)*W$5/W$6</f>
        <v>4.7708116864525536E-2</v>
      </c>
      <c r="X56" s="134">
        <f ca="1">SUMIFS('vSPD Benefits'!$F$3:$F$4996,'vSPD Benefits'!$A$3:$A$4996,'Charges to party by investment'!X$4,'vSPD Benefits'!$D$3:$D$4996,'Charges to party by investment'!$C56)*X$5/X$6</f>
        <v>5.3841469216789582E-2</v>
      </c>
      <c r="Y56" s="134">
        <f ca="1">SUMIFS('vSPD Benefits'!$F$3:$F$4996,'vSPD Benefits'!$A$3:$A$4996,'Charges to party by investment'!Y$4,'vSPD Benefits'!$D$3:$D$4996,'Charges to party by investment'!$C56)*Y$5/Y$6</f>
        <v>1.5196941632206301E-2</v>
      </c>
      <c r="Z56" s="134">
        <f ca="1">SUMIFS('vSPD Benefits'!$F$3:$F$4996,'vSPD Benefits'!$A$3:$A$4996,'Charges to party by investment'!Z$4,'vSPD Benefits'!$D$3:$D$4996,'Charges to party by investment'!$C56)*Z$5/Z$6</f>
        <v>4.3495639062025279E-4</v>
      </c>
      <c r="AA56" s="134">
        <f ca="1">SUMIFS('vSPD Benefits'!$F$3:$F$4996,'vSPD Benefits'!$A$3:$A$4996,'Charges to party by investment'!AA$4,'vSPD Benefits'!$D$3:$D$4996,'Charges to party by investment'!$C56)*AA$5/AA$6</f>
        <v>1.3062897358406192E-2</v>
      </c>
      <c r="AB56" s="134">
        <f>SUMIFS('vSPD Benefits'!$F$3:$F$4996,'vSPD Benefits'!$A$3:$A$4996,'Charges to party by investment'!AB$4,'vSPD Benefits'!$D$3:$D$4996,'Charges to party by investment'!$C56)</f>
        <v>0</v>
      </c>
      <c r="AC56" s="134">
        <f>SUMIFS('vSPD Benefits'!$F$3:$F$4996,'vSPD Benefits'!$A$3:$A$4996,'Charges to party by investment'!AC$4,'vSPD Benefits'!$D$3:$D$4996,'Charges to party by investment'!$C56)</f>
        <v>0</v>
      </c>
      <c r="AD56" s="134">
        <f>SUMIFS('vSPD Benefits'!$F$3:$F$4996,'vSPD Benefits'!$A$3:$A$4996,'Charges to party by investment'!AD$4,'vSPD Benefits'!$D$3:$D$4996,'Charges to party by investment'!$C56)</f>
        <v>0</v>
      </c>
      <c r="AE56" s="134">
        <f>SUMIFS('vSPD Benefits'!$F$3:$F$4996,'vSPD Benefits'!$A$3:$A$4996,'Charges to party by investment'!AE$4,'vSPD Benefits'!$D$3:$D$4996,'Charges to party by investment'!$C56)</f>
        <v>0</v>
      </c>
      <c r="AF56" s="134">
        <f>SUMIFS('vSPD Benefits'!$F$3:$F$4996,'vSPD Benefits'!$A$3:$A$4996,'Charges to party by investment'!AF$4,'vSPD Benefits'!$D$3:$D$4996,'Charges to party by investment'!$C56)</f>
        <v>0</v>
      </c>
      <c r="AG56" s="134">
        <f>SUMIFS('vSPD Benefits'!$F$3:$F$4996,'vSPD Benefits'!$A$3:$A$4996,'Charges to party by investment'!AG$4,'vSPD Benefits'!$D$3:$D$4996,'Charges to party by investment'!$C56)</f>
        <v>0</v>
      </c>
      <c r="AH56" s="134">
        <f>SUMIFS('vSPD Benefits'!$F$3:$F$4996,'vSPD Benefits'!$A$3:$A$4996,'Charges to party by investment'!AH$4,'vSPD Benefits'!$D$3:$D$4996,'Charges to party by investment'!$C56)</f>
        <v>0</v>
      </c>
      <c r="AJ56" s="116" t="str">
        <f>'Charges as $M per year'!A50</f>
        <v>Methanex</v>
      </c>
      <c r="AK56" s="128" t="str">
        <f t="shared" si="7"/>
        <v>Methanex</v>
      </c>
      <c r="AL56" s="129">
        <f t="shared" ca="1" si="8"/>
        <v>0.19692132481027499</v>
      </c>
      <c r="AM56" s="129">
        <f ca="1">SUMIF('AMD Calculations'!$AU$22:$AU$252,'Charges to party by investment'!AK56,'AMD Calculations'!$AY$22:$AY$252)</f>
        <v>0.28825875541234608</v>
      </c>
      <c r="AN56" s="129">
        <v>0.47526422000000001</v>
      </c>
      <c r="AO56" s="129">
        <f ca="1">AV56*'Recovery amounts'!$J$17/'Recovery amounts'!$J$14</f>
        <v>4.3582095924028135E-3</v>
      </c>
      <c r="AP56" s="130">
        <f t="shared" ca="1" si="9"/>
        <v>0.2875658480807971</v>
      </c>
      <c r="AQ56" s="130">
        <f t="shared" ca="1" si="10"/>
        <v>1.1191708828142571E-3</v>
      </c>
      <c r="AR56" s="162">
        <f t="shared" ca="1" si="17"/>
        <v>0.21040412596908034</v>
      </c>
      <c r="AS56" s="162">
        <f>SUMIF('AMD Calculations'!$AU$22:$AU$252,'Charges to party by investment'!AK56,'AMD Calculations'!$AW$22:$AW$252)</f>
        <v>9.5024999999999995</v>
      </c>
      <c r="AT56" s="445">
        <f t="shared" ca="1" si="11"/>
        <v>0.49866288138142645</v>
      </c>
      <c r="AU56" s="162">
        <f t="shared" ca="1" si="12"/>
        <v>0.69994241578410432</v>
      </c>
      <c r="AV56" s="162">
        <v>4.7819107284492093E-3</v>
      </c>
      <c r="AW56" s="128"/>
      <c r="AX56" s="129"/>
      <c r="AY56" s="129"/>
      <c r="AZ56" s="631">
        <f t="shared" ca="1" si="18"/>
        <v>1.1191708828142571E-3</v>
      </c>
      <c r="BA56" s="83">
        <f t="shared" ca="1" si="19"/>
        <v>1.7023155605409188E-3</v>
      </c>
      <c r="BX56" s="70" t="str">
        <f t="shared" si="14"/>
        <v>Methanex</v>
      </c>
      <c r="BY56" s="166">
        <f t="shared" ca="1" si="3"/>
        <v>0.19692132481027499</v>
      </c>
      <c r="BZ56" s="166">
        <f t="shared" ca="1" si="4"/>
        <v>0.28825875541234608</v>
      </c>
      <c r="CA56" s="166">
        <f t="shared" ca="1" si="5"/>
        <v>4.3582095924028135E-3</v>
      </c>
      <c r="CB56" s="166">
        <f t="shared" ca="1" si="6"/>
        <v>0.21040412596908034</v>
      </c>
      <c r="CC56" s="169">
        <f t="shared" ca="1" si="15"/>
        <v>0.69994241578410432</v>
      </c>
    </row>
    <row r="57" spans="1:81" x14ac:dyDescent="0.3">
      <c r="A57" s="31"/>
      <c r="B57" s="31"/>
      <c r="C57" s="41" t="s">
        <v>22</v>
      </c>
      <c r="D57" s="14"/>
      <c r="F57" s="134">
        <f ca="1">SUMIF('AMD Calculations'!$Z$22:$Z$652,'Charges to party by investment'!$C57,'AMD Calculations'!AE$22:AE$652)</f>
        <v>0</v>
      </c>
      <c r="G57" s="134">
        <f ca="1">SUMIF('AMD Calculations'!$Z$22:$Z$652,'Charges to party by investment'!$C57,'AMD Calculations'!AF$22:AF$652)</f>
        <v>0</v>
      </c>
      <c r="H57" s="134">
        <f ca="1">SUMIF('AMD Calculations'!$Z$22:$Z$652,'Charges to party by investment'!$C57,'AMD Calculations'!AG$22:AG$652)</f>
        <v>0</v>
      </c>
      <c r="I57" s="134">
        <f ca="1">SUMIF('AMD Calculations'!$Z$22:$Z$652,'Charges to party by investment'!$C57,'AMD Calculations'!AH$22:AH$652)</f>
        <v>0</v>
      </c>
      <c r="J57" s="134">
        <f ca="1">SUMIF('AMD Calculations'!$Z$22:$Z$652,'Charges to party by investment'!$C57,'AMD Calculations'!AI$22:AI$652)</f>
        <v>0</v>
      </c>
      <c r="K57" s="134">
        <f ca="1">SUMIF('AMD Calculations'!$Z$22:$Z$652,'Charges to party by investment'!$C57,'AMD Calculations'!AJ$22:AJ$652)</f>
        <v>0</v>
      </c>
      <c r="L57" s="134">
        <f ca="1">SUMIF('AMD Calculations'!$Z$22:$Z$652,'Charges to party by investment'!$C57,'AMD Calculations'!AK$22:AK$652)</f>
        <v>0</v>
      </c>
      <c r="M57" s="134">
        <f ca="1">SUMIF('AMD Calculations'!$Z$22:$Z$652,'Charges to party by investment'!$C57,'AMD Calculations'!AL$22:AL$652)</f>
        <v>0</v>
      </c>
      <c r="N57" s="134">
        <f ca="1">SUMIF('AMD Calculations'!$Z$22:$Z$652,'Charges to party by investment'!$C57,'AMD Calculations'!AM$22:AM$652)</f>
        <v>0</v>
      </c>
      <c r="O57" s="134">
        <f ca="1">SUMIF('AMD Calculations'!$Z$22:$Z$652,'Charges to party by investment'!$C57,'AMD Calculations'!AN$22:AN$652)</f>
        <v>0</v>
      </c>
      <c r="P57" s="134">
        <f ca="1">SUMIF('AMD Calculations'!$Z$22:$Z$652,'Charges to party by investment'!$C57,'AMD Calculations'!AO$22:AO$652)</f>
        <v>0</v>
      </c>
      <c r="Q57" s="134">
        <f ca="1">SUMIF('AMD Calculations'!$Z$22:$Z$652,'Charges to party by investment'!$C57,'AMD Calculations'!AP$22:AP$652)</f>
        <v>0</v>
      </c>
      <c r="R57" s="134">
        <f ca="1">SUMIF('AMD Calculations'!$Z$22:$Z$652,'Charges to party by investment'!$C57,'AMD Calculations'!AQ$22:AQ$652)</f>
        <v>0</v>
      </c>
      <c r="S57" s="14"/>
      <c r="T57" s="14"/>
      <c r="V57" s="134">
        <f ca="1">SUMIFS('vSPD Benefits'!$F$3:$F$4996,'vSPD Benefits'!$A$3:$A$4996,'Charges to party by investment'!V$4,'vSPD Benefits'!$D$3:$D$4996,'Charges to party by investment'!$C57)*V$5/V$6</f>
        <v>0.73850962901296824</v>
      </c>
      <c r="W57" s="134">
        <f ca="1">SUMIFS('vSPD Benefits'!$F$3:$F$4996,'vSPD Benefits'!$A$3:$A$4996,'Charges to party by investment'!W$4,'vSPD Benefits'!$D$3:$D$4996,'Charges to party by investment'!$C57)*W$5/W$6</f>
        <v>4.0384633983106148E-2</v>
      </c>
      <c r="X57" s="134">
        <f ca="1">SUMIFS('vSPD Benefits'!$F$3:$F$4996,'vSPD Benefits'!$A$3:$A$4996,'Charges to party by investment'!X$4,'vSPD Benefits'!$D$3:$D$4996,'Charges to party by investment'!$C57)*X$5/X$6</f>
        <v>7.0819621476521266E-2</v>
      </c>
      <c r="Y57" s="134">
        <f ca="1">SUMIFS('vSPD Benefits'!$F$3:$F$4996,'vSPD Benefits'!$A$3:$A$4996,'Charges to party by investment'!Y$4,'vSPD Benefits'!$D$3:$D$4996,'Charges to party by investment'!$C57)*Y$5/Y$6</f>
        <v>2.4370299307022378E-2</v>
      </c>
      <c r="Z57" s="134">
        <f ca="1">SUMIFS('vSPD Benefits'!$F$3:$F$4996,'vSPD Benefits'!$A$3:$A$4996,'Charges to party by investment'!Z$4,'vSPD Benefits'!$D$3:$D$4996,'Charges to party by investment'!$C57)*Z$5/Z$6</f>
        <v>0</v>
      </c>
      <c r="AA57" s="134">
        <f ca="1">SUMIFS('vSPD Benefits'!$F$3:$F$4996,'vSPD Benefits'!$A$3:$A$4996,'Charges to party by investment'!AA$4,'vSPD Benefits'!$D$3:$D$4996,'Charges to party by investment'!$C57)*AA$5/AA$6</f>
        <v>1.0768264938054177E-2</v>
      </c>
      <c r="AB57" s="134">
        <f>SUMIFS('vSPD Benefits'!$F$3:$F$4996,'vSPD Benefits'!$A$3:$A$4996,'Charges to party by investment'!AB$4,'vSPD Benefits'!$D$3:$D$4996,'Charges to party by investment'!$C57)</f>
        <v>0</v>
      </c>
      <c r="AC57" s="134">
        <f>SUMIFS('vSPD Benefits'!$F$3:$F$4996,'vSPD Benefits'!$A$3:$A$4996,'Charges to party by investment'!AC$4,'vSPD Benefits'!$D$3:$D$4996,'Charges to party by investment'!$C57)</f>
        <v>0</v>
      </c>
      <c r="AD57" s="134">
        <f>SUMIFS('vSPD Benefits'!$F$3:$F$4996,'vSPD Benefits'!$A$3:$A$4996,'Charges to party by investment'!AD$4,'vSPD Benefits'!$D$3:$D$4996,'Charges to party by investment'!$C57)</f>
        <v>0</v>
      </c>
      <c r="AE57" s="134">
        <f>SUMIFS('vSPD Benefits'!$F$3:$F$4996,'vSPD Benefits'!$A$3:$A$4996,'Charges to party by investment'!AE$4,'vSPD Benefits'!$D$3:$D$4996,'Charges to party by investment'!$C57)</f>
        <v>0</v>
      </c>
      <c r="AF57" s="134">
        <f>SUMIFS('vSPD Benefits'!$F$3:$F$4996,'vSPD Benefits'!$A$3:$A$4996,'Charges to party by investment'!AF$4,'vSPD Benefits'!$D$3:$D$4996,'Charges to party by investment'!$C57)</f>
        <v>0</v>
      </c>
      <c r="AG57" s="134">
        <f>SUMIFS('vSPD Benefits'!$F$3:$F$4996,'vSPD Benefits'!$A$3:$A$4996,'Charges to party by investment'!AG$4,'vSPD Benefits'!$D$3:$D$4996,'Charges to party by investment'!$C57)</f>
        <v>0</v>
      </c>
      <c r="AH57" s="134">
        <f>SUMIFS('vSPD Benefits'!$F$3:$F$4996,'vSPD Benefits'!$A$3:$A$4996,'Charges to party by investment'!AH$4,'vSPD Benefits'!$D$3:$D$4996,'Charges to party by investment'!$C57)</f>
        <v>0</v>
      </c>
      <c r="AJ57" s="116" t="str">
        <f>'Charges as $M per year'!A51</f>
        <v>Norske Skog</v>
      </c>
      <c r="AK57" s="128" t="str">
        <f t="shared" si="7"/>
        <v>Norske Skog</v>
      </c>
      <c r="AL57" s="129">
        <f t="shared" ca="1" si="8"/>
        <v>0.8848524487176721</v>
      </c>
      <c r="AM57" s="129">
        <f ca="1">SUMIF('AMD Calculations'!$AU$22:$AU$252,'Charges to party by investment'!AK57,'AMD Calculations'!$AY$22:$AY$252)</f>
        <v>2.8209164097137482</v>
      </c>
      <c r="AN57" s="129">
        <v>0.57663752999999995</v>
      </c>
      <c r="AO57" s="129">
        <f ca="1">AV57*'Recovery amounts'!$J$17/'Recovery amounts'!$J$14</f>
        <v>2.1346822166888376E-3</v>
      </c>
      <c r="AP57" s="130">
        <f t="shared" ca="1" si="9"/>
        <v>0.1538057694149117</v>
      </c>
      <c r="AQ57" s="130">
        <f t="shared" ca="1" si="10"/>
        <v>1.0952269269630456E-2</v>
      </c>
      <c r="AR57" s="162">
        <f t="shared" ca="1" si="17"/>
        <v>2.0590266226905256</v>
      </c>
      <c r="AS57" s="162">
        <f>SUMIF('AMD Calculations'!$AU$22:$AU$252,'Charges to party by investment'!AK57,'AMD Calculations'!$AW$22:$AW$252)</f>
        <v>92.992000000000004</v>
      </c>
      <c r="AT57" s="445">
        <f t="shared" ca="1" si="11"/>
        <v>4.8799430324042739</v>
      </c>
      <c r="AU57" s="162">
        <f t="shared" ca="1" si="12"/>
        <v>5.7669301633386345</v>
      </c>
      <c r="AV57" s="162">
        <v>2.3422140623085975E-3</v>
      </c>
      <c r="AW57" s="128"/>
      <c r="AX57" s="129"/>
      <c r="AY57" s="129"/>
      <c r="AZ57" s="631">
        <f t="shared" ca="1" si="18"/>
        <v>1.0952269269630456E-2</v>
      </c>
      <c r="BA57" s="83">
        <f t="shared" ca="1" si="19"/>
        <v>7.5597242545930917E-3</v>
      </c>
      <c r="BX57" s="70" t="str">
        <f t="shared" si="14"/>
        <v>Norske Skog</v>
      </c>
      <c r="BY57" s="166">
        <f t="shared" ca="1" si="3"/>
        <v>0.8848524487176721</v>
      </c>
      <c r="BZ57" s="166">
        <f t="shared" ca="1" si="4"/>
        <v>2.8209164097137482</v>
      </c>
      <c r="CA57" s="166">
        <f t="shared" ca="1" si="5"/>
        <v>2.1346822166888376E-3</v>
      </c>
      <c r="CB57" s="166">
        <f t="shared" ca="1" si="6"/>
        <v>2.0590266226905256</v>
      </c>
      <c r="CC57" s="169">
        <f t="shared" ca="1" si="15"/>
        <v>5.7669301633386345</v>
      </c>
    </row>
    <row r="58" spans="1:81" x14ac:dyDescent="0.3">
      <c r="A58" s="31"/>
      <c r="B58" s="31" t="s">
        <v>48</v>
      </c>
      <c r="C58" s="41" t="s">
        <v>24</v>
      </c>
      <c r="D58" s="14"/>
      <c r="F58" s="460">
        <f ca="1">SUMIF('AMD Calculations'!$Z$22:$Z$652,'Charges to party by investment'!$C58,'AMD Calculations'!AE$22:AE$652)+SUMIF('AMD Calculations'!$Z$22:$Z$652,'Charges to party by investment'!$B58,'AMD Calculations'!AE$22:AE$652)</f>
        <v>0</v>
      </c>
      <c r="G58" s="460">
        <f ca="1">SUMIF('AMD Calculations'!$Z$22:$Z$652,'Charges to party by investment'!$C58,'AMD Calculations'!AF$22:AF$652)+SUMIF('AMD Calculations'!$Z$22:$Z$652,'Charges to party by investment'!$B58,'AMD Calculations'!AF$22:AF$652)</f>
        <v>0</v>
      </c>
      <c r="H58" s="460">
        <f ca="1">SUMIF('AMD Calculations'!$Z$22:$Z$652,'Charges to party by investment'!$C58,'AMD Calculations'!AG$22:AG$652)+SUMIF('AMD Calculations'!$Z$22:$Z$652,'Charges to party by investment'!$B58,'AMD Calculations'!AG$22:AG$652)</f>
        <v>0</v>
      </c>
      <c r="I58" s="460">
        <f ca="1">SUMIF('AMD Calculations'!$Z$22:$Z$652,'Charges to party by investment'!$C58,'AMD Calculations'!AH$22:AH$652)+SUMIF('AMD Calculations'!$Z$22:$Z$652,'Charges to party by investment'!$B58,'AMD Calculations'!AH$22:AH$652)</f>
        <v>0</v>
      </c>
      <c r="J58" s="460">
        <f ca="1">SUMIF('AMD Calculations'!$Z$22:$Z$652,'Charges to party by investment'!$C58,'AMD Calculations'!AI$22:AI$652)+SUMIF('AMD Calculations'!$Z$22:$Z$652,'Charges to party by investment'!$B58,'AMD Calculations'!AI$22:AI$652)</f>
        <v>0</v>
      </c>
      <c r="K58" s="460">
        <f ca="1">SUMIF('AMD Calculations'!$Z$22:$Z$652,'Charges to party by investment'!$C58,'AMD Calculations'!AJ$22:AJ$652)+SUMIF('AMD Calculations'!$Z$22:$Z$652,'Charges to party by investment'!$B58,'AMD Calculations'!AJ$22:AJ$652)</f>
        <v>0</v>
      </c>
      <c r="L58" s="460">
        <f ca="1">SUMIF('AMD Calculations'!$Z$22:$Z$652,'Charges to party by investment'!$C58,'AMD Calculations'!AK$22:AK$652)+SUMIF('AMD Calculations'!$Z$22:$Z$652,'Charges to party by investment'!$B58,'AMD Calculations'!AK$22:AK$652)</f>
        <v>0.61491221837913823</v>
      </c>
      <c r="M58" s="460">
        <f ca="1">SUMIF('AMD Calculations'!$Z$22:$Z$652,'Charges to party by investment'!$C58,'AMD Calculations'!AL$22:AL$652)+SUMIF('AMD Calculations'!$Z$22:$Z$652,'Charges to party by investment'!$B58,'AMD Calculations'!AL$22:AL$652)</f>
        <v>4.89389649992013E-2</v>
      </c>
      <c r="N58" s="460">
        <f ca="1">SUMIF('AMD Calculations'!$Z$22:$Z$652,'Charges to party by investment'!$C58,'AMD Calculations'!AM$22:AM$652)+SUMIF('AMD Calculations'!$Z$22:$Z$652,'Charges to party by investment'!$B58,'AMD Calculations'!AM$22:AM$652)</f>
        <v>0</v>
      </c>
      <c r="O58" s="460">
        <f ca="1">SUMIF('AMD Calculations'!$Z$22:$Z$652,'Charges to party by investment'!$C58,'AMD Calculations'!AN$22:AN$652)+SUMIF('AMD Calculations'!$Z$22:$Z$652,'Charges to party by investment'!$B58,'AMD Calculations'!AN$22:AN$652)</f>
        <v>0.28359884502072835</v>
      </c>
      <c r="P58" s="460">
        <f ca="1">SUMIF('AMD Calculations'!$Z$22:$Z$652,'Charges to party by investment'!$C58,'AMD Calculations'!AO$22:AO$652)+SUMIF('AMD Calculations'!$Z$22:$Z$652,'Charges to party by investment'!$B58,'AMD Calculations'!AO$22:AO$652)</f>
        <v>0</v>
      </c>
      <c r="Q58" s="460">
        <f ca="1">SUMIF('AMD Calculations'!$Z$22:$Z$652,'Charges to party by investment'!$C58,'AMD Calculations'!AP$22:AP$652)+SUMIF('AMD Calculations'!$Z$22:$Z$652,'Charges to party by investment'!$B58,'AMD Calculations'!AP$22:AP$652)</f>
        <v>0</v>
      </c>
      <c r="R58" s="460">
        <f ca="1">SUMIF('AMD Calculations'!$Z$22:$Z$652,'Charges to party by investment'!$C58,'AMD Calculations'!AQ$22:AQ$652)+SUMIF('AMD Calculations'!$Z$22:$Z$652,'Charges to party by investment'!$B58,'AMD Calculations'!AQ$22:AQ$652)</f>
        <v>0</v>
      </c>
      <c r="S58" s="14"/>
      <c r="T58" s="14"/>
      <c r="V58" s="329">
        <f ca="1">SUMIFS('vSPD Benefits'!$F$3:$F$4996,'vSPD Benefits'!$A$3:$A$4996,'Charges to party by investment'!V$4,'vSPD Benefits'!$D$3:$D$4996,'Charges to party by investment'!$C58)*V$5/V$6+SUMIFS('vSPD Benefits'!$F$3:$F$4996,'vSPD Benefits'!$A$3:$A$4996,'Charges to party by investment'!V$4,'vSPD Benefits'!$D$3:$D$4996,'Charges to party by investment'!$B58)*V$5/V$6</f>
        <v>3.0957406151412012</v>
      </c>
      <c r="W58" s="329">
        <f ca="1">SUMIFS('vSPD Benefits'!$F$3:$F$4996,'vSPD Benefits'!$A$3:$A$4996,'Charges to party by investment'!W$4,'vSPD Benefits'!$D$3:$D$4996,'Charges to party by investment'!$C58)*W$5/W$6+SUMIFS('vSPD Benefits'!$F$3:$F$4996,'vSPD Benefits'!$A$3:$A$4996,'Charges to party by investment'!W$4,'vSPD Benefits'!$D$3:$D$4996,'Charges to party by investment'!$B58)*W$5/W$6</f>
        <v>0.80508805269867389</v>
      </c>
      <c r="X58" s="329">
        <f ca="1">SUMIFS('vSPD Benefits'!$F$3:$F$4996,'vSPD Benefits'!$A$3:$A$4996,'Charges to party by investment'!X$4,'vSPD Benefits'!$D$3:$D$4996,'Charges to party by investment'!$C58)*X$5/X$6+SUMIFS('vSPD Benefits'!$F$3:$F$4996,'vSPD Benefits'!$A$3:$A$4996,'Charges to party by investment'!X$4,'vSPD Benefits'!$D$3:$D$4996,'Charges to party by investment'!$B58)*X$5/X$6</f>
        <v>0.86359216224499802</v>
      </c>
      <c r="Y58" s="329">
        <f ca="1">SUMIFS('vSPD Benefits'!$F$3:$F$4996,'vSPD Benefits'!$A$3:$A$4996,'Charges to party by investment'!Y$4,'vSPD Benefits'!$D$3:$D$4996,'Charges to party by investment'!$C58)*Y$5/Y$6+SUMIFS('vSPD Benefits'!$F$3:$F$4996,'vSPD Benefits'!$A$3:$A$4996,'Charges to party by investment'!Y$4,'vSPD Benefits'!$D$3:$D$4996,'Charges to party by investment'!$B58)*Y$5/Y$6</f>
        <v>0.26559004258948021</v>
      </c>
      <c r="Z58" s="329">
        <f ca="1">SUMIFS('vSPD Benefits'!$F$3:$F$4996,'vSPD Benefits'!$A$3:$A$4996,'Charges to party by investment'!Z$4,'vSPD Benefits'!$D$3:$D$4996,'Charges to party by investment'!$C58)*Z$5/Z$6+SUMIFS('vSPD Benefits'!$F$3:$F$4996,'vSPD Benefits'!$A$3:$A$4996,'Charges to party by investment'!Z$4,'vSPD Benefits'!$D$3:$D$4996,'Charges to party by investment'!$B58)*Z$5/Z$6</f>
        <v>2.9699633559662339E-3</v>
      </c>
      <c r="AA58" s="329">
        <f ca="1">SUMIFS('vSPD Benefits'!$F$3:$F$4996,'vSPD Benefits'!$A$3:$A$4996,'Charges to party by investment'!AA$4,'vSPD Benefits'!$D$3:$D$4996,'Charges to party by investment'!$C58)*AA$5/AA$6+SUMIFS('vSPD Benefits'!$F$3:$F$4996,'vSPD Benefits'!$A$3:$A$4996,'Charges to party by investment'!AA$4,'vSPD Benefits'!$D$3:$D$4996,'Charges to party by investment'!$B58)*AA$5/AA$6</f>
        <v>0.34536346914884752</v>
      </c>
      <c r="AB58" s="134">
        <f>SUMIFS('vSPD Benefits'!$F$3:$F$4996,'vSPD Benefits'!$A$3:$A$4996,'Charges to party by investment'!AB$4,'vSPD Benefits'!$D$3:$D$4996,'Charges to party by investment'!$C58)</f>
        <v>0</v>
      </c>
      <c r="AC58" s="134">
        <f>SUMIFS('vSPD Benefits'!$F$3:$F$4996,'vSPD Benefits'!$A$3:$A$4996,'Charges to party by investment'!AC$4,'vSPD Benefits'!$D$3:$D$4996,'Charges to party by investment'!$C58)</f>
        <v>0</v>
      </c>
      <c r="AD58" s="134">
        <f>SUMIFS('vSPD Benefits'!$F$3:$F$4996,'vSPD Benefits'!$A$3:$A$4996,'Charges to party by investment'!AD$4,'vSPD Benefits'!$D$3:$D$4996,'Charges to party by investment'!$C58)</f>
        <v>0</v>
      </c>
      <c r="AE58" s="134">
        <f>SUMIFS('vSPD Benefits'!$F$3:$F$4996,'vSPD Benefits'!$A$3:$A$4996,'Charges to party by investment'!AE$4,'vSPD Benefits'!$D$3:$D$4996,'Charges to party by investment'!$C58)</f>
        <v>0</v>
      </c>
      <c r="AF58" s="134">
        <f>SUMIFS('vSPD Benefits'!$F$3:$F$4996,'vSPD Benefits'!$A$3:$A$4996,'Charges to party by investment'!AF$4,'vSPD Benefits'!$D$3:$D$4996,'Charges to party by investment'!$C58)</f>
        <v>0</v>
      </c>
      <c r="AG58" s="134">
        <f>SUMIFS('vSPD Benefits'!$F$3:$F$4996,'vSPD Benefits'!$A$3:$A$4996,'Charges to party by investment'!AG$4,'vSPD Benefits'!$D$3:$D$4996,'Charges to party by investment'!$C58)</f>
        <v>0</v>
      </c>
      <c r="AH58" s="134">
        <f>SUMIFS('vSPD Benefits'!$F$3:$F$4996,'vSPD Benefits'!$A$3:$A$4996,'Charges to party by investment'!AH$4,'vSPD Benefits'!$D$3:$D$4996,'Charges to party by investment'!$C58)</f>
        <v>0</v>
      </c>
      <c r="AI58" s="120" t="str">
        <f>B58</f>
        <v>Pacific Steel</v>
      </c>
      <c r="AJ58" s="116" t="str">
        <f>'Charges as $M per year'!A52</f>
        <v>NZ Steel</v>
      </c>
      <c r="AK58" s="632" t="str">
        <f t="shared" si="7"/>
        <v>NZ Steel</v>
      </c>
      <c r="AL58" s="129">
        <f t="shared" ca="1" si="8"/>
        <v>6.3257943335782345</v>
      </c>
      <c r="AM58" s="332">
        <f ca="1">SUMIF('AMD Calculations'!$AU$22:$AU$252,'Charges to party by investment'!AK58,'AMD Calculations'!$AY$22:$AY$252)+SUMIF('AMD Calculations'!$AU$22:$AU$252,'Charges to party by investment'!AI58,'AMD Calculations'!$AY$22:$AY$252)</f>
        <v>4.6572614421803316</v>
      </c>
      <c r="AN58" s="129">
        <v>2.2510105900000013</v>
      </c>
      <c r="AO58" s="129">
        <f ca="1">AV58*'Recovery amounts'!$J$17/'Recovery amounts'!$J$14</f>
        <v>0.13015220809740016</v>
      </c>
      <c r="AP58" s="130">
        <f t="shared" ca="1" si="9"/>
        <v>0.44485086517694616</v>
      </c>
      <c r="AQ58" s="130">
        <f t="shared" ca="1" si="10"/>
        <v>1.8081918768731772E-2</v>
      </c>
      <c r="AR58" s="162">
        <f t="shared" ca="1" si="17"/>
        <v>3.3994007285215733</v>
      </c>
      <c r="AS58" s="162">
        <f>SUMIF('AMD Calculations'!$AU$22:$AU$252,'Charges to party by investment'!AK58,'AMD Calculations'!$AW$22:$AW$252)+SUMIF('AMD Calculations'!$AU$22:$AU$252,'Charges to party by investment'!AI58,'AMD Calculations'!$AW$22:$AW$252)</f>
        <v>153.52743333333333</v>
      </c>
      <c r="AT58" s="445">
        <f t="shared" ca="1" si="11"/>
        <v>8.0566621707019053</v>
      </c>
      <c r="AU58" s="162">
        <f t="shared" ca="1" si="12"/>
        <v>14.512608712377538</v>
      </c>
      <c r="AV58" s="162">
        <v>0.14280548629814221</v>
      </c>
      <c r="AW58" s="128"/>
      <c r="AX58" s="129"/>
      <c r="AY58" s="129"/>
      <c r="AZ58" s="631">
        <f t="shared" ca="1" si="18"/>
        <v>1.8081918768731772E-2</v>
      </c>
      <c r="BA58" s="83">
        <f t="shared" ca="1" si="19"/>
        <v>2.3580076752813102E-2</v>
      </c>
      <c r="BX58" s="70" t="str">
        <f t="shared" si="14"/>
        <v>NZ Steel</v>
      </c>
      <c r="BY58" s="166">
        <f t="shared" ca="1" si="3"/>
        <v>6.3257943335782345</v>
      </c>
      <c r="BZ58" s="166">
        <f t="shared" ca="1" si="4"/>
        <v>4.6572614421803316</v>
      </c>
      <c r="CA58" s="166">
        <f t="shared" ca="1" si="5"/>
        <v>0.13015220809740016</v>
      </c>
      <c r="CB58" s="166">
        <f t="shared" ca="1" si="6"/>
        <v>3.3994007285215733</v>
      </c>
      <c r="CC58" s="169">
        <f t="shared" ca="1" si="15"/>
        <v>14.512608712377538</v>
      </c>
    </row>
    <row r="59" spans="1:81" x14ac:dyDescent="0.3">
      <c r="A59" s="31"/>
      <c r="B59" s="4" t="s">
        <v>52</v>
      </c>
      <c r="C59" s="41" t="s">
        <v>43</v>
      </c>
      <c r="D59" s="14"/>
      <c r="F59" s="134">
        <f>SUMIF('AMD Calculations'!$Z$22:$Z$652,'Charges to party by investment'!$C59,'AMD Calculations'!AE$22:AE$652)</f>
        <v>0</v>
      </c>
      <c r="G59" s="134">
        <f>SUMIF('AMD Calculations'!$Z$22:$Z$652,'Charges to party by investment'!$C59,'AMD Calculations'!AF$22:AF$652)</f>
        <v>0</v>
      </c>
      <c r="H59" s="134">
        <f>SUMIF('AMD Calculations'!$Z$22:$Z$652,'Charges to party by investment'!$C59,'AMD Calculations'!AG$22:AG$652)</f>
        <v>0</v>
      </c>
      <c r="I59" s="134">
        <f>SUMIF('AMD Calculations'!$Z$22:$Z$652,'Charges to party by investment'!$C59,'AMD Calculations'!AH$22:AH$652)</f>
        <v>0</v>
      </c>
      <c r="J59" s="134">
        <f>SUMIF('AMD Calculations'!$Z$22:$Z$652,'Charges to party by investment'!$C59,'AMD Calculations'!AI$22:AI$652)</f>
        <v>0</v>
      </c>
      <c r="K59" s="134">
        <f>SUMIF('AMD Calculations'!$Z$22:$Z$652,'Charges to party by investment'!$C59,'AMD Calculations'!AJ$22:AJ$652)</f>
        <v>0</v>
      </c>
      <c r="L59" s="134">
        <f>SUMIF('AMD Calculations'!$Z$22:$Z$652,'Charges to party by investment'!$C59,'AMD Calculations'!AK$22:AK$652)</f>
        <v>0</v>
      </c>
      <c r="M59" s="134">
        <f>SUMIF('AMD Calculations'!$Z$22:$Z$652,'Charges to party by investment'!$C59,'AMD Calculations'!AL$22:AL$652)</f>
        <v>0</v>
      </c>
      <c r="N59" s="134">
        <f>SUMIF('AMD Calculations'!$Z$22:$Z$652,'Charges to party by investment'!$C59,'AMD Calculations'!AM$22:AM$652)</f>
        <v>0</v>
      </c>
      <c r="O59" s="134">
        <f>SUMIF('AMD Calculations'!$Z$22:$Z$652,'Charges to party by investment'!$C59,'AMD Calculations'!AN$22:AN$652)</f>
        <v>0</v>
      </c>
      <c r="P59" s="329">
        <f ca="1">SUMIF('AMD Calculations'!$Z$22:$Z$652,'Charges to party by investment'!$B59,'AMD Calculations'!AO$22:AO$652)</f>
        <v>1.414219581372655</v>
      </c>
      <c r="Q59" s="134">
        <f>SUMIF('AMD Calculations'!$Z$22:$Z$652,'Charges to party by investment'!$C59,'AMD Calculations'!AP$22:AP$652)</f>
        <v>0</v>
      </c>
      <c r="R59" s="134">
        <f>SUMIF('AMD Calculations'!$Z$22:$Z$652,'Charges to party by investment'!$C59,'AMD Calculations'!AQ$22:AQ$652)</f>
        <v>0</v>
      </c>
      <c r="S59" s="14"/>
      <c r="T59" s="14"/>
      <c r="V59" s="633">
        <f ca="1">SUMIFS('vSPD Benefits'!$F$3:$F$4996,'vSPD Benefits'!$A$3:$A$4996,'Charges to party by investment'!V$4,'vSPD Benefits'!$D$3:$D$4996,'Charges to party by investment'!$B59)*V$5/V$6</f>
        <v>4.9772416127638452</v>
      </c>
      <c r="W59" s="633">
        <f ca="1">SUMIFS('vSPD Benefits'!$F$3:$F$4996,'vSPD Benefits'!$A$3:$A$4996,'Charges to party by investment'!W$4,'vSPD Benefits'!$D$3:$D$4996,'Charges to party by investment'!$B59)*W$5/W$6</f>
        <v>0</v>
      </c>
      <c r="X59" s="633">
        <f ca="1">SUMIFS('vSPD Benefits'!$F$3:$F$4996,'vSPD Benefits'!$A$3:$A$4996,'Charges to party by investment'!X$4,'vSPD Benefits'!$D$3:$D$4996,'Charges to party by investment'!$B59)*X$5/X$6</f>
        <v>0</v>
      </c>
      <c r="Y59" s="633">
        <f ca="1">SUMIFS('vSPD Benefits'!$F$3:$F$4996,'vSPD Benefits'!$A$3:$A$4996,'Charges to party by investment'!Y$4,'vSPD Benefits'!$D$3:$D$4996,'Charges to party by investment'!$B59)*Y$5/Y$6</f>
        <v>1.3215309127843535</v>
      </c>
      <c r="Z59" s="633">
        <f ca="1">SUMIFS('vSPD Benefits'!$F$3:$F$4996,'vSPD Benefits'!$A$3:$A$4996,'Charges to party by investment'!Z$4,'vSPD Benefits'!$D$3:$D$4996,'Charges to party by investment'!$B59)*Z$5/Z$6</f>
        <v>1.8006424784367387</v>
      </c>
      <c r="AA59" s="633">
        <f ca="1">SUMIFS('vSPD Benefits'!$F$3:$F$4996,'vSPD Benefits'!$A$3:$A$4996,'Charges to party by investment'!AA$4,'vSPD Benefits'!$D$3:$D$4996,'Charges to party by investment'!$B59)*AA$5/AA$6</f>
        <v>0.91293480457803677</v>
      </c>
      <c r="AB59" s="134">
        <f>SUMIFS('vSPD Benefits'!$F$3:$F$4996,'vSPD Benefits'!$A$3:$A$4996,'Charges to party by investment'!AB$4,'vSPD Benefits'!$D$3:$D$4996,'Charges to party by investment'!$B59)</f>
        <v>0</v>
      </c>
      <c r="AC59" s="134">
        <f>SUMIFS('vSPD Benefits'!$F$3:$F$4996,'vSPD Benefits'!$A$3:$A$4996,'Charges to party by investment'!AC$4,'vSPD Benefits'!$D$3:$D$4996,'Charges to party by investment'!$B59)</f>
        <v>0</v>
      </c>
      <c r="AD59" s="134">
        <f>SUMIFS('vSPD Benefits'!$F$3:$F$4996,'vSPD Benefits'!$A$3:$A$4996,'Charges to party by investment'!AD$4,'vSPD Benefits'!$D$3:$D$4996,'Charges to party by investment'!$B59)</f>
        <v>0</v>
      </c>
      <c r="AE59" s="134">
        <f>SUMIFS('vSPD Benefits'!$F$3:$F$4996,'vSPD Benefits'!$A$3:$A$4996,'Charges to party by investment'!AE$4,'vSPD Benefits'!$D$3:$D$4996,'Charges to party by investment'!$B59)</f>
        <v>0</v>
      </c>
      <c r="AF59" s="134">
        <f>SUMIFS('vSPD Benefits'!$F$3:$F$4996,'vSPD Benefits'!$A$3:$A$4996,'Charges to party by investment'!AF$4,'vSPD Benefits'!$D$3:$D$4996,'Charges to party by investment'!$B59)</f>
        <v>0</v>
      </c>
      <c r="AG59" s="134">
        <f>SUMIFS('vSPD Benefits'!$F$3:$F$4996,'vSPD Benefits'!$A$3:$A$4996,'Charges to party by investment'!AG$4,'vSPD Benefits'!$D$3:$D$4996,'Charges to party by investment'!$B59)</f>
        <v>0</v>
      </c>
      <c r="AH59" s="134">
        <f>SUMIFS('vSPD Benefits'!$F$3:$F$4996,'vSPD Benefits'!$A$3:$A$4996,'Charges to party by investment'!AH$4,'vSPD Benefits'!$D$3:$D$4996,'Charges to party by investment'!$B59)</f>
        <v>0</v>
      </c>
      <c r="AI59" s="131" t="str">
        <f>B59</f>
        <v>Pacific Aluminium</v>
      </c>
      <c r="AJ59" s="116" t="str">
        <f>'Charges as $M per year'!A53</f>
        <v>NZ Aluminium Smelter</v>
      </c>
      <c r="AK59" t="s">
        <v>43</v>
      </c>
      <c r="AL59" s="129">
        <f t="shared" ca="1" si="8"/>
        <v>10.426569389935629</v>
      </c>
      <c r="AM59" s="129">
        <f ca="1">SUMIF('AMD Calculations'!$AU$22:$AU$252,'Charges to party by investment'!AI59,'AMD Calculations'!$AY$22:$AY$252)</f>
        <v>17.661487295305836</v>
      </c>
      <c r="AN59" s="129">
        <v>1.25647208</v>
      </c>
      <c r="AO59" s="129">
        <f ca="1">AV59*'Recovery amounts'!$J$17/'Recovery amounts'!$J$14</f>
        <v>0</v>
      </c>
      <c r="AP59" s="130">
        <f t="shared" ca="1" si="9"/>
        <v>0.25443425278907911</v>
      </c>
      <c r="AQ59" s="130">
        <f t="shared" ca="1" si="10"/>
        <v>6.8571108273277559E-2</v>
      </c>
      <c r="AR59" s="162">
        <f t="shared" ca="1" si="17"/>
        <v>12.891368355376182</v>
      </c>
      <c r="AS59" s="162">
        <f>SUMIF('AMD Calculations'!$AU$22:$AU$252,'Charges to party by investment'!AI59,'AMD Calculations'!$AW$22:$AW$252)</f>
        <v>582.21400000000006</v>
      </c>
      <c r="AT59" s="445">
        <f t="shared" ca="1" si="11"/>
        <v>30.552855650682019</v>
      </c>
      <c r="AU59" s="162">
        <f t="shared" ca="1" si="12"/>
        <v>40.979425040617642</v>
      </c>
      <c r="AV59" s="162">
        <v>0</v>
      </c>
      <c r="AW59" s="128"/>
      <c r="AX59" s="129"/>
      <c r="AY59" s="129"/>
      <c r="AZ59" s="631">
        <f t="shared" ca="1" si="18"/>
        <v>6.8571108273277559E-2</v>
      </c>
      <c r="BA59" s="83">
        <f t="shared" ca="1" si="19"/>
        <v>5.1776034396291595E-2</v>
      </c>
      <c r="BX59" s="70" t="str">
        <f t="shared" si="14"/>
        <v>NZAS</v>
      </c>
      <c r="BY59" s="166">
        <f t="shared" ca="1" si="3"/>
        <v>10.426569389935629</v>
      </c>
      <c r="BZ59" s="166">
        <f t="shared" ca="1" si="4"/>
        <v>17.661487295305836</v>
      </c>
      <c r="CA59" s="166">
        <f t="shared" ca="1" si="5"/>
        <v>0</v>
      </c>
      <c r="CB59" s="166">
        <f t="shared" ca="1" si="6"/>
        <v>12.891368355376182</v>
      </c>
      <c r="CC59" s="169">
        <f t="shared" ca="1" si="15"/>
        <v>40.979425040617642</v>
      </c>
    </row>
    <row r="60" spans="1:81" x14ac:dyDescent="0.3">
      <c r="A60" s="31"/>
      <c r="B60" s="31"/>
      <c r="C60" s="41" t="s">
        <v>26</v>
      </c>
      <c r="D60" s="14"/>
      <c r="F60" s="134">
        <f ca="1">SUMIF('AMD Calculations'!$Z$22:$Z$652,'Charges to party by investment'!$C60,'AMD Calculations'!AE$22:AE$652)</f>
        <v>0</v>
      </c>
      <c r="G60" s="134">
        <f ca="1">SUMIF('AMD Calculations'!$Z$22:$Z$652,'Charges to party by investment'!$C60,'AMD Calculations'!AF$22:AF$652)</f>
        <v>0</v>
      </c>
      <c r="H60" s="134">
        <f ca="1">SUMIF('AMD Calculations'!$Z$22:$Z$652,'Charges to party by investment'!$C60,'AMD Calculations'!AG$22:AG$652)</f>
        <v>0</v>
      </c>
      <c r="I60" s="134">
        <f ca="1">SUMIF('AMD Calculations'!$Z$22:$Z$652,'Charges to party by investment'!$C60,'AMD Calculations'!AH$22:AH$652)</f>
        <v>0</v>
      </c>
      <c r="J60" s="134">
        <f ca="1">SUMIF('AMD Calculations'!$Z$22:$Z$652,'Charges to party by investment'!$C60,'AMD Calculations'!AI$22:AI$652)</f>
        <v>0</v>
      </c>
      <c r="K60" s="134">
        <f ca="1">SUMIF('AMD Calculations'!$Z$22:$Z$652,'Charges to party by investment'!$C60,'AMD Calculations'!AJ$22:AJ$652)</f>
        <v>0</v>
      </c>
      <c r="L60" s="134">
        <f ca="1">SUMIF('AMD Calculations'!$Z$22:$Z$652,'Charges to party by investment'!$C60,'AMD Calculations'!AK$22:AK$652)</f>
        <v>0</v>
      </c>
      <c r="M60" s="134">
        <f ca="1">SUMIF('AMD Calculations'!$Z$22:$Z$652,'Charges to party by investment'!$C60,'AMD Calculations'!AL$22:AL$652)</f>
        <v>0</v>
      </c>
      <c r="N60" s="134">
        <f ca="1">SUMIF('AMD Calculations'!$Z$22:$Z$652,'Charges to party by investment'!$C60,'AMD Calculations'!AM$22:AM$652)</f>
        <v>0</v>
      </c>
      <c r="O60" s="134">
        <f ca="1">SUMIF('AMD Calculations'!$Z$22:$Z$652,'Charges to party by investment'!$C60,'AMD Calculations'!AN$22:AN$652)</f>
        <v>0</v>
      </c>
      <c r="P60" s="134">
        <f ca="1">SUMIF('AMD Calculations'!$Z$22:$Z$652,'Charges to party by investment'!$C60,'AMD Calculations'!AO$22:AO$652)</f>
        <v>0</v>
      </c>
      <c r="Q60" s="134">
        <f ca="1">SUMIF('AMD Calculations'!$Z$22:$Z$652,'Charges to party by investment'!$C60,'AMD Calculations'!AP$22:AP$652)</f>
        <v>0</v>
      </c>
      <c r="R60" s="134">
        <f ca="1">SUMIF('AMD Calculations'!$Z$22:$Z$652,'Charges to party by investment'!$C60,'AMD Calculations'!AQ$22:AQ$652)</f>
        <v>0</v>
      </c>
      <c r="S60" s="14"/>
      <c r="T60" s="14"/>
      <c r="V60" s="134">
        <f ca="1">SUMIFS('vSPD Benefits'!$F$3:$F$4996,'vSPD Benefits'!$A$3:$A$4996,'Charges to party by investment'!V$4,'vSPD Benefits'!$D$3:$D$4996,'Charges to party by investment'!$C60)*V$5/V$6</f>
        <v>0.38724342058422134</v>
      </c>
      <c r="W60" s="134">
        <f ca="1">SUMIFS('vSPD Benefits'!$F$3:$F$4996,'vSPD Benefits'!$A$3:$A$4996,'Charges to party by investment'!W$4,'vSPD Benefits'!$D$3:$D$4996,'Charges to party by investment'!$C60)*W$5/W$6</f>
        <v>0.45703353048108858</v>
      </c>
      <c r="X60" s="134">
        <f ca="1">SUMIFS('vSPD Benefits'!$F$3:$F$4996,'vSPD Benefits'!$A$3:$A$4996,'Charges to party by investment'!X$4,'vSPD Benefits'!$D$3:$D$4996,'Charges to party by investment'!$C60)*X$5/X$6</f>
        <v>0.50947490007430152</v>
      </c>
      <c r="Y60" s="134">
        <f ca="1">SUMIFS('vSPD Benefits'!$F$3:$F$4996,'vSPD Benefits'!$A$3:$A$4996,'Charges to party by investment'!Y$4,'vSPD Benefits'!$D$3:$D$4996,'Charges to party by investment'!$C60)*Y$5/Y$6</f>
        <v>0.13630647021809247</v>
      </c>
      <c r="Z60" s="134">
        <f ca="1">SUMIFS('vSPD Benefits'!$F$3:$F$4996,'vSPD Benefits'!$A$3:$A$4996,'Charges to party by investment'!Z$4,'vSPD Benefits'!$D$3:$D$4996,'Charges to party by investment'!$C60)*Z$5/Z$6</f>
        <v>2.7283996359942337E-3</v>
      </c>
      <c r="AA60" s="134">
        <f ca="1">SUMIFS('vSPD Benefits'!$F$3:$F$4996,'vSPD Benefits'!$A$3:$A$4996,'Charges to party by investment'!AA$4,'vSPD Benefits'!$D$3:$D$4996,'Charges to party by investment'!$C60)*AA$5/AA$6</f>
        <v>0</v>
      </c>
      <c r="AB60" s="134">
        <f>SUMIFS('vSPD Benefits'!$F$3:$F$4996,'vSPD Benefits'!$A$3:$A$4996,'Charges to party by investment'!AB$4,'vSPD Benefits'!$D$3:$D$4996,'Charges to party by investment'!$C60)</f>
        <v>0</v>
      </c>
      <c r="AC60" s="134">
        <f>SUMIFS('vSPD Benefits'!$F$3:$F$4996,'vSPD Benefits'!$A$3:$A$4996,'Charges to party by investment'!AC$4,'vSPD Benefits'!$D$3:$D$4996,'Charges to party by investment'!$C60)</f>
        <v>0</v>
      </c>
      <c r="AD60" s="134">
        <f>SUMIFS('vSPD Benefits'!$F$3:$F$4996,'vSPD Benefits'!$A$3:$A$4996,'Charges to party by investment'!AD$4,'vSPD Benefits'!$D$3:$D$4996,'Charges to party by investment'!$C60)</f>
        <v>0</v>
      </c>
      <c r="AE60" s="134">
        <f>SUMIFS('vSPD Benefits'!$F$3:$F$4996,'vSPD Benefits'!$A$3:$A$4996,'Charges to party by investment'!AE$4,'vSPD Benefits'!$D$3:$D$4996,'Charges to party by investment'!$C60)</f>
        <v>0</v>
      </c>
      <c r="AF60" s="134">
        <f>SUMIFS('vSPD Benefits'!$F$3:$F$4996,'vSPD Benefits'!$A$3:$A$4996,'Charges to party by investment'!AF$4,'vSPD Benefits'!$D$3:$D$4996,'Charges to party by investment'!$C60)</f>
        <v>0</v>
      </c>
      <c r="AG60" s="134">
        <f>SUMIFS('vSPD Benefits'!$F$3:$F$4996,'vSPD Benefits'!$A$3:$A$4996,'Charges to party by investment'!AG$4,'vSPD Benefits'!$D$3:$D$4996,'Charges to party by investment'!$C60)</f>
        <v>0</v>
      </c>
      <c r="AH60" s="134">
        <f>SUMIFS('vSPD Benefits'!$F$3:$F$4996,'vSPD Benefits'!$A$3:$A$4996,'Charges to party by investment'!AH$4,'vSPD Benefits'!$D$3:$D$4996,'Charges to party by investment'!$C60)</f>
        <v>0</v>
      </c>
      <c r="AJ60" s="116" t="str">
        <f>'Charges as $M per year'!A54</f>
        <v>Pan Pac</v>
      </c>
      <c r="AK60" s="128" t="str">
        <f t="shared" si="7"/>
        <v>PanPac</v>
      </c>
      <c r="AL60" s="129">
        <f t="shared" ca="1" si="8"/>
        <v>1.492786720993698</v>
      </c>
      <c r="AM60" s="129">
        <f ca="1">SUMIF('AMD Calculations'!$AU$22:$AU$252,'Charges to party by investment'!AK60,'AMD Calculations'!$AY$22:$AY$252)</f>
        <v>2.5827347449022651</v>
      </c>
      <c r="AN60" s="129">
        <v>0.99038674000000038</v>
      </c>
      <c r="AO60" s="129">
        <f ca="1">AV60*'Recovery amounts'!$J$17/'Recovery amounts'!$J$14</f>
        <v>1.865014351253853E-2</v>
      </c>
      <c r="AP60" s="130">
        <f t="shared" ca="1" si="9"/>
        <v>0.25277628093419846</v>
      </c>
      <c r="AQ60" s="130">
        <f t="shared" ca="1" si="10"/>
        <v>1.0027523779433908E-2</v>
      </c>
      <c r="AR60" s="162">
        <f t="shared" ca="1" si="17"/>
        <v>1.8851744705335747</v>
      </c>
      <c r="AS60" s="162">
        <f>SUMIF('AMD Calculations'!$AU$22:$AU$252,'Charges to party by investment'!AK60,'AMD Calculations'!$AW$22:$AW$252)</f>
        <v>85.140299999999996</v>
      </c>
      <c r="AT60" s="445">
        <f t="shared" ca="1" si="11"/>
        <v>4.4679092154358395</v>
      </c>
      <c r="AU60" s="162">
        <f t="shared" ca="1" si="12"/>
        <v>5.9793460799420766</v>
      </c>
      <c r="AV60" s="162">
        <v>2.0463293345319801E-2</v>
      </c>
      <c r="AW60" s="128"/>
      <c r="AX60" s="129"/>
      <c r="AY60" s="129"/>
      <c r="AZ60" s="631">
        <f t="shared" ca="1" si="18"/>
        <v>1.0027523779433908E-2</v>
      </c>
      <c r="BA60" s="83">
        <f t="shared" ca="1" si="19"/>
        <v>8.9712896770301909E-3</v>
      </c>
      <c r="BX60" s="70" t="str">
        <f t="shared" si="14"/>
        <v>PanPac</v>
      </c>
      <c r="BY60" s="166">
        <f t="shared" ca="1" si="3"/>
        <v>1.492786720993698</v>
      </c>
      <c r="BZ60" s="166">
        <f t="shared" ca="1" si="4"/>
        <v>2.5827347449022651</v>
      </c>
      <c r="CA60" s="166">
        <f t="shared" ca="1" si="5"/>
        <v>1.865014351253853E-2</v>
      </c>
      <c r="CB60" s="166">
        <f t="shared" ca="1" si="6"/>
        <v>1.8851744705335747</v>
      </c>
      <c r="CC60" s="169">
        <f t="shared" ca="1" si="15"/>
        <v>5.9793460799420766</v>
      </c>
    </row>
    <row r="61" spans="1:81" x14ac:dyDescent="0.3">
      <c r="A61" s="31"/>
      <c r="B61" s="31"/>
      <c r="C61" s="41" t="s">
        <v>30</v>
      </c>
      <c r="D61" s="14"/>
      <c r="F61" s="134">
        <f ca="1">SUMIF('AMD Calculations'!$Z$22:$Z$652,'Charges to party by investment'!$C61,'AMD Calculations'!AE$22:AE$652)</f>
        <v>0</v>
      </c>
      <c r="G61" s="134">
        <f ca="1">SUMIF('AMD Calculations'!$Z$22:$Z$652,'Charges to party by investment'!$C61,'AMD Calculations'!AF$22:AF$652)</f>
        <v>0</v>
      </c>
      <c r="H61" s="134">
        <f ca="1">SUMIF('AMD Calculations'!$Z$22:$Z$652,'Charges to party by investment'!$C61,'AMD Calculations'!AG$22:AG$652)</f>
        <v>0</v>
      </c>
      <c r="I61" s="134">
        <f ca="1">SUMIF('AMD Calculations'!$Z$22:$Z$652,'Charges to party by investment'!$C61,'AMD Calculations'!AH$22:AH$652)</f>
        <v>0</v>
      </c>
      <c r="J61" s="134">
        <f ca="1">SUMIF('AMD Calculations'!$Z$22:$Z$652,'Charges to party by investment'!$C61,'AMD Calculations'!AI$22:AI$652)</f>
        <v>0</v>
      </c>
      <c r="K61" s="134">
        <f ca="1">SUMIF('AMD Calculations'!$Z$22:$Z$652,'Charges to party by investment'!$C61,'AMD Calculations'!AJ$22:AJ$652)</f>
        <v>0</v>
      </c>
      <c r="L61" s="134">
        <f ca="1">SUMIF('AMD Calculations'!$Z$22:$Z$652,'Charges to party by investment'!$C61,'AMD Calculations'!AK$22:AK$652)</f>
        <v>0</v>
      </c>
      <c r="M61" s="134">
        <f ca="1">SUMIF('AMD Calculations'!$Z$22:$Z$652,'Charges to party by investment'!$C61,'AMD Calculations'!AL$22:AL$652)</f>
        <v>0</v>
      </c>
      <c r="N61" s="134">
        <f ca="1">SUMIF('AMD Calculations'!$Z$22:$Z$652,'Charges to party by investment'!$C61,'AMD Calculations'!AM$22:AM$652)</f>
        <v>0</v>
      </c>
      <c r="O61" s="134">
        <f ca="1">SUMIF('AMD Calculations'!$Z$22:$Z$652,'Charges to party by investment'!$C61,'AMD Calculations'!AN$22:AN$652)</f>
        <v>0</v>
      </c>
      <c r="P61" s="134">
        <f ca="1">SUMIF('AMD Calculations'!$Z$22:$Z$652,'Charges to party by investment'!$C61,'AMD Calculations'!AO$22:AO$652)</f>
        <v>2.2148448829592111E-2</v>
      </c>
      <c r="Q61" s="134">
        <f ca="1">SUMIF('AMD Calculations'!$Z$22:$Z$652,'Charges to party by investment'!$C61,'AMD Calculations'!AP$22:AP$652)</f>
        <v>0</v>
      </c>
      <c r="R61" s="134">
        <f ca="1">SUMIF('AMD Calculations'!$Z$22:$Z$652,'Charges to party by investment'!$C61,'AMD Calculations'!AQ$22:AQ$652)</f>
        <v>0</v>
      </c>
      <c r="S61" s="14"/>
      <c r="T61" s="14"/>
      <c r="V61" s="134">
        <f ca="1">SUMIFS('vSPD Benefits'!$F$3:$F$4996,'vSPD Benefits'!$A$3:$A$4996,'Charges to party by investment'!V$4,'vSPD Benefits'!$D$3:$D$4996,'Charges to party by investment'!$C61)*V$5/V$6</f>
        <v>5.2799843053281226E-2</v>
      </c>
      <c r="W61" s="134">
        <f ca="1">SUMIFS('vSPD Benefits'!$F$3:$F$4996,'vSPD Benefits'!$A$3:$A$4996,'Charges to party by investment'!W$4,'vSPD Benefits'!$D$3:$D$4996,'Charges to party by investment'!$C61)*W$5/W$6</f>
        <v>0</v>
      </c>
      <c r="X61" s="134">
        <f ca="1">SUMIFS('vSPD Benefits'!$F$3:$F$4996,'vSPD Benefits'!$A$3:$A$4996,'Charges to party by investment'!X$4,'vSPD Benefits'!$D$3:$D$4996,'Charges to party by investment'!$C61)*X$5/X$6</f>
        <v>0</v>
      </c>
      <c r="Y61" s="134">
        <f ca="1">SUMIFS('vSPD Benefits'!$F$3:$F$4996,'vSPD Benefits'!$A$3:$A$4996,'Charges to party by investment'!Y$4,'vSPD Benefits'!$D$3:$D$4996,'Charges to party by investment'!$C61)*Y$5/Y$6</f>
        <v>1.5090545503904011E-2</v>
      </c>
      <c r="Z61" s="134">
        <f ca="1">SUMIFS('vSPD Benefits'!$F$3:$F$4996,'vSPD Benefits'!$A$3:$A$4996,'Charges to party by investment'!Z$4,'vSPD Benefits'!$D$3:$D$4996,'Charges to party by investment'!$C61)*Z$5/Z$6</f>
        <v>2.0367965642963566E-2</v>
      </c>
      <c r="AA61" s="134">
        <f ca="1">SUMIFS('vSPD Benefits'!$F$3:$F$4996,'vSPD Benefits'!$A$3:$A$4996,'Charges to party by investment'!AA$4,'vSPD Benefits'!$D$3:$D$4996,'Charges to party by investment'!$C61)*AA$5/AA$6</f>
        <v>1.0547783914941719E-2</v>
      </c>
      <c r="AB61" s="134">
        <f>SUMIFS('vSPD Benefits'!$F$3:$F$4996,'vSPD Benefits'!$A$3:$A$4996,'Charges to party by investment'!AB$4,'vSPD Benefits'!$D$3:$D$4996,'Charges to party by investment'!$C61)</f>
        <v>0</v>
      </c>
      <c r="AC61" s="134">
        <f>SUMIFS('vSPD Benefits'!$F$3:$F$4996,'vSPD Benefits'!$A$3:$A$4996,'Charges to party by investment'!AC$4,'vSPD Benefits'!$D$3:$D$4996,'Charges to party by investment'!$C61)</f>
        <v>0</v>
      </c>
      <c r="AD61" s="134">
        <f>SUMIFS('vSPD Benefits'!$F$3:$F$4996,'vSPD Benefits'!$A$3:$A$4996,'Charges to party by investment'!AD$4,'vSPD Benefits'!$D$3:$D$4996,'Charges to party by investment'!$C61)</f>
        <v>0</v>
      </c>
      <c r="AE61" s="134">
        <f>SUMIFS('vSPD Benefits'!$F$3:$F$4996,'vSPD Benefits'!$A$3:$A$4996,'Charges to party by investment'!AE$4,'vSPD Benefits'!$D$3:$D$4996,'Charges to party by investment'!$C61)</f>
        <v>0</v>
      </c>
      <c r="AF61" s="134">
        <f>SUMIFS('vSPD Benefits'!$F$3:$F$4996,'vSPD Benefits'!$A$3:$A$4996,'Charges to party by investment'!AF$4,'vSPD Benefits'!$D$3:$D$4996,'Charges to party by investment'!$C61)</f>
        <v>0</v>
      </c>
      <c r="AG61" s="134">
        <f>SUMIFS('vSPD Benefits'!$F$3:$F$4996,'vSPD Benefits'!$A$3:$A$4996,'Charges to party by investment'!AG$4,'vSPD Benefits'!$D$3:$D$4996,'Charges to party by investment'!$C61)</f>
        <v>0</v>
      </c>
      <c r="AH61" s="134">
        <f>SUMIFS('vSPD Benefits'!$F$3:$F$4996,'vSPD Benefits'!$A$3:$A$4996,'Charges to party by investment'!AH$4,'vSPD Benefits'!$D$3:$D$4996,'Charges to party by investment'!$C61)</f>
        <v>0</v>
      </c>
      <c r="AJ61" s="116" t="str">
        <f>'Charges as $M per year'!A55</f>
        <v>Rayonier</v>
      </c>
      <c r="AK61" s="128" t="str">
        <f t="shared" si="7"/>
        <v>Rayonier</v>
      </c>
      <c r="AL61" s="129">
        <f t="shared" ca="1" si="8"/>
        <v>0.12095458694468263</v>
      </c>
      <c r="AM61" s="129">
        <f ca="1">SUMIF('AMD Calculations'!$AU$22:$AU$252,'Charges to party by investment'!AK61,'AMD Calculations'!$AY$22:$AY$252)</f>
        <v>0.27660099801113963</v>
      </c>
      <c r="AN61" s="129">
        <v>0</v>
      </c>
      <c r="AO61" s="129">
        <f ca="1">AV61*'Recovery amounts'!$J$17/'Recovery amounts'!$J$14</f>
        <v>1.1581355110576404E-2</v>
      </c>
      <c r="AP61" s="130">
        <f t="shared" ca="1" si="9"/>
        <v>0.21690510926884635</v>
      </c>
      <c r="AQ61" s="130">
        <f t="shared" ca="1" si="10"/>
        <v>1.073909386338012E-3</v>
      </c>
      <c r="AR61" s="162">
        <f t="shared" ca="1" si="17"/>
        <v>0.20189496463154624</v>
      </c>
      <c r="AS61" s="162">
        <f>SUMIF('AMD Calculations'!$AU$22:$AU$252,'Charges to party by investment'!AK61,'AMD Calculations'!$AW$22:$AW$252)</f>
        <v>9.1181999999999999</v>
      </c>
      <c r="AT61" s="445">
        <f t="shared" ca="1" si="11"/>
        <v>0.4784959626426859</v>
      </c>
      <c r="AU61" s="162">
        <f t="shared" ca="1" si="12"/>
        <v>0.61103190469794499</v>
      </c>
      <c r="AV61" s="162">
        <v>1.2707283823564841E-2</v>
      </c>
      <c r="AW61" s="128"/>
      <c r="AX61" s="129"/>
      <c r="AY61" s="129"/>
      <c r="AZ61" s="631">
        <f t="shared" ca="1" si="18"/>
        <v>1.073909386338012E-3</v>
      </c>
      <c r="BA61" s="83">
        <f t="shared" ca="1" si="19"/>
        <v>7.2188885536860793E-4</v>
      </c>
      <c r="BX61" s="70" t="str">
        <f t="shared" si="14"/>
        <v>Rayonier</v>
      </c>
      <c r="BY61" s="166">
        <f t="shared" ca="1" si="3"/>
        <v>0.12095458694468263</v>
      </c>
      <c r="BZ61" s="166">
        <f t="shared" ca="1" si="4"/>
        <v>0.27660099801113963</v>
      </c>
      <c r="CA61" s="166">
        <f t="shared" ca="1" si="5"/>
        <v>1.1581355110576404E-2</v>
      </c>
      <c r="CB61" s="166">
        <f t="shared" ca="1" si="6"/>
        <v>0.20189496463154624</v>
      </c>
      <c r="CC61" s="169">
        <f t="shared" ca="1" si="15"/>
        <v>0.61103190469794499</v>
      </c>
    </row>
    <row r="62" spans="1:81" s="116" customFormat="1" x14ac:dyDescent="0.3">
      <c r="A62" s="14"/>
      <c r="B62" s="120"/>
      <c r="C62" s="41"/>
      <c r="F62" s="134">
        <f>SUMIF('AMD Calculations'!$Z$22:$Z$652,'Charges to party by investment'!$C62,'AMD Calculations'!AE$22:AE$652)</f>
        <v>0</v>
      </c>
      <c r="G62" s="134">
        <f>SUMIF('AMD Calculations'!$Z$22:$Z$652,'Charges to party by investment'!$C62,'AMD Calculations'!AF$22:AF$652)</f>
        <v>0</v>
      </c>
      <c r="H62" s="134">
        <f>SUMIF('AMD Calculations'!$Z$22:$Z$652,'Charges to party by investment'!$C62,'AMD Calculations'!AG$22:AG$652)</f>
        <v>0</v>
      </c>
      <c r="I62" s="134">
        <f>SUMIF('AMD Calculations'!$Z$22:$Z$652,'Charges to party by investment'!$C62,'AMD Calculations'!AH$22:AH$652)</f>
        <v>0</v>
      </c>
      <c r="J62" s="134">
        <f>SUMIF('AMD Calculations'!$Z$22:$Z$652,'Charges to party by investment'!$C62,'AMD Calculations'!AI$22:AI$652)</f>
        <v>0</v>
      </c>
      <c r="K62" s="134">
        <f>SUMIF('AMD Calculations'!$Z$22:$Z$652,'Charges to party by investment'!$C62,'AMD Calculations'!AJ$22:AJ$652)</f>
        <v>0</v>
      </c>
      <c r="L62" s="134">
        <f>SUMIF('AMD Calculations'!$Z$22:$Z$652,'Charges to party by investment'!$C62,'AMD Calculations'!AK$22:AK$652)</f>
        <v>0</v>
      </c>
      <c r="M62" s="134">
        <f>SUMIF('AMD Calculations'!$Z$22:$Z$652,'Charges to party by investment'!$C62,'AMD Calculations'!AL$22:AL$652)</f>
        <v>0</v>
      </c>
      <c r="N62" s="134">
        <f>SUMIF('AMD Calculations'!$Z$22:$Z$652,'Charges to party by investment'!$C62,'AMD Calculations'!AM$22:AM$652)</f>
        <v>0</v>
      </c>
      <c r="O62" s="134">
        <f>SUMIF('AMD Calculations'!$Z$22:$Z$652,'Charges to party by investment'!$C62,'AMD Calculations'!AN$22:AN$652)</f>
        <v>0</v>
      </c>
      <c r="P62" s="134">
        <f>SUMIF('AMD Calculations'!$Z$22:$Z$652,'Charges to party by investment'!$C62,'AMD Calculations'!AO$22:AO$652)</f>
        <v>0</v>
      </c>
      <c r="Q62" s="134">
        <f>SUMIF('AMD Calculations'!$Z$22:$Z$652,'Charges to party by investment'!$C62,'AMD Calculations'!AP$22:AP$652)</f>
        <v>0</v>
      </c>
      <c r="R62" s="134">
        <f>SUMIF('AMD Calculations'!$Z$22:$Z$652,'Charges to party by investment'!$C62,'AMD Calculations'!AQ$22:AQ$652)</f>
        <v>0</v>
      </c>
      <c r="V62" s="134">
        <f ca="1">SUMIFS('vSPD Benefits'!$F$3:$F$4996,'vSPD Benefits'!$A$3:$A$4996,'Charges to party by investment'!V$4,'vSPD Benefits'!$D$3:$D$4996,'Charges to party by investment'!$C62)*V$5/V$6</f>
        <v>0</v>
      </c>
      <c r="W62" s="134">
        <f ca="1">SUMIFS('vSPD Benefits'!$F$3:$F$4996,'vSPD Benefits'!$A$3:$A$4996,'Charges to party by investment'!W$4,'vSPD Benefits'!$D$3:$D$4996,'Charges to party by investment'!$C62)*W$5/W$6</f>
        <v>0</v>
      </c>
      <c r="X62" s="134">
        <f ca="1">SUMIFS('vSPD Benefits'!$F$3:$F$4996,'vSPD Benefits'!$A$3:$A$4996,'Charges to party by investment'!X$4,'vSPD Benefits'!$D$3:$D$4996,'Charges to party by investment'!$C62)*X$5/X$6</f>
        <v>0</v>
      </c>
      <c r="Y62" s="134">
        <f ca="1">SUMIFS('vSPD Benefits'!$F$3:$F$4996,'vSPD Benefits'!$A$3:$A$4996,'Charges to party by investment'!Y$4,'vSPD Benefits'!$D$3:$D$4996,'Charges to party by investment'!$C62)*Y$5/Y$6</f>
        <v>0</v>
      </c>
      <c r="Z62" s="134">
        <f ca="1">SUMIFS('vSPD Benefits'!$F$3:$F$4996,'vSPD Benefits'!$A$3:$A$4996,'Charges to party by investment'!Z$4,'vSPD Benefits'!$D$3:$D$4996,'Charges to party by investment'!$C62)*Z$5/Z$6</f>
        <v>0</v>
      </c>
      <c r="AA62" s="134">
        <f ca="1">SUMIFS('vSPD Benefits'!$F$3:$F$4996,'vSPD Benefits'!$A$3:$A$4996,'Charges to party by investment'!AA$4,'vSPD Benefits'!$D$3:$D$4996,'Charges to party by investment'!$C62)*AA$5/AA$6</f>
        <v>0</v>
      </c>
      <c r="AB62" s="134"/>
      <c r="AC62" s="134"/>
      <c r="AD62" s="134"/>
      <c r="AE62" s="134"/>
      <c r="AF62" s="134"/>
      <c r="AG62" s="134"/>
      <c r="AH62" s="134"/>
      <c r="AJ62" s="116" t="str">
        <f>'Charges as $M per year'!A56</f>
        <v>Refining NZ</v>
      </c>
      <c r="AK62" s="128">
        <f t="shared" si="7"/>
        <v>0</v>
      </c>
      <c r="AL62" s="129">
        <f t="shared" ca="1" si="8"/>
        <v>0</v>
      </c>
      <c r="AM62" s="129">
        <f>SUMIF('AMD Calculations'!$AU$22:$AU$252,'Charges to party by investment'!AK62,'AMD Calculations'!$AY$22:$AY$252)</f>
        <v>0</v>
      </c>
      <c r="AN62" s="129"/>
      <c r="AO62" s="129"/>
      <c r="AP62" s="130"/>
      <c r="AQ62" s="130">
        <f t="shared" ca="1" si="10"/>
        <v>0</v>
      </c>
      <c r="AR62" s="162">
        <f t="shared" ca="1" si="17"/>
        <v>0</v>
      </c>
      <c r="AS62" s="162">
        <f>SUMIF('AMD Calculations'!$AU$22:$AU$252,'Charges to party by investment'!AK62,'AMD Calculations'!$AW$22:$AW$252)</f>
        <v>0</v>
      </c>
      <c r="AT62" s="445">
        <f t="shared" ca="1" si="11"/>
        <v>0</v>
      </c>
      <c r="AU62" s="162">
        <f t="shared" ca="1" si="12"/>
        <v>0</v>
      </c>
      <c r="AV62" s="162">
        <v>2.3883131924631828E-2</v>
      </c>
      <c r="AW62" s="128"/>
      <c r="AX62" s="129"/>
      <c r="AY62" s="129"/>
      <c r="AZ62" s="631">
        <f t="shared" ca="1" si="18"/>
        <v>0</v>
      </c>
      <c r="BA62" s="83">
        <f t="shared" ca="1" si="19"/>
        <v>0</v>
      </c>
      <c r="BX62" s="70">
        <f t="shared" si="14"/>
        <v>0</v>
      </c>
      <c r="BY62" s="166">
        <f t="shared" ca="1" si="3"/>
        <v>0</v>
      </c>
      <c r="BZ62" s="166">
        <f t="shared" si="4"/>
        <v>0</v>
      </c>
      <c r="CA62" s="166">
        <f t="shared" si="5"/>
        <v>0</v>
      </c>
      <c r="CB62" s="166">
        <f t="shared" ca="1" si="6"/>
        <v>0</v>
      </c>
      <c r="CC62" s="169">
        <f t="shared" ca="1" si="15"/>
        <v>0</v>
      </c>
    </row>
    <row r="63" spans="1:81" x14ac:dyDescent="0.3">
      <c r="B63" s="120"/>
      <c r="C63" s="41" t="s">
        <v>42</v>
      </c>
      <c r="D63" s="14"/>
      <c r="F63" s="134">
        <f ca="1">SUMIF('AMD Calculations'!$Z$22:$Z$652,'Charges to party by investment'!$C63,'AMD Calculations'!AE$22:AE$652)</f>
        <v>0</v>
      </c>
      <c r="G63" s="134">
        <f ca="1">SUMIF('AMD Calculations'!$Z$22:$Z$652,'Charges to party by investment'!$C63,'AMD Calculations'!AF$22:AF$652)</f>
        <v>0</v>
      </c>
      <c r="H63" s="134">
        <f ca="1">SUMIF('AMD Calculations'!$Z$22:$Z$652,'Charges to party by investment'!$C63,'AMD Calculations'!AG$22:AG$652)</f>
        <v>0</v>
      </c>
      <c r="I63" s="134">
        <f ca="1">SUMIF('AMD Calculations'!$Z$22:$Z$652,'Charges to party by investment'!$C63,'AMD Calculations'!AH$22:AH$652)</f>
        <v>0</v>
      </c>
      <c r="J63" s="134">
        <f ca="1">SUMIF('AMD Calculations'!$Z$22:$Z$652,'Charges to party by investment'!$C63,'AMD Calculations'!AI$22:AI$652)</f>
        <v>0</v>
      </c>
      <c r="K63" s="134">
        <f ca="1">SUMIF('AMD Calculations'!$Z$22:$Z$652,'Charges to party by investment'!$C63,'AMD Calculations'!AJ$22:AJ$652)</f>
        <v>0</v>
      </c>
      <c r="L63" s="134">
        <f ca="1">SUMIF('AMD Calculations'!$Z$22:$Z$652,'Charges to party by investment'!$C63,'AMD Calculations'!AK$22:AK$652)</f>
        <v>0</v>
      </c>
      <c r="M63" s="134">
        <f ca="1">SUMIF('AMD Calculations'!$Z$22:$Z$652,'Charges to party by investment'!$C63,'AMD Calculations'!AL$22:AL$652)</f>
        <v>0</v>
      </c>
      <c r="N63" s="134">
        <f ca="1">SUMIF('AMD Calculations'!$Z$22:$Z$652,'Charges to party by investment'!$C63,'AMD Calculations'!AM$22:AM$652)</f>
        <v>0</v>
      </c>
      <c r="O63" s="134">
        <f ca="1">SUMIF('AMD Calculations'!$Z$22:$Z$652,'Charges to party by investment'!$C63,'AMD Calculations'!AN$22:AN$652)</f>
        <v>0</v>
      </c>
      <c r="P63" s="134">
        <f ca="1">SUMIF('AMD Calculations'!$Z$22:$Z$652,'Charges to party by investment'!$C63,'AMD Calculations'!AO$22:AO$652)</f>
        <v>0</v>
      </c>
      <c r="Q63" s="134">
        <f ca="1">SUMIF('AMD Calculations'!$Z$22:$Z$652,'Charges to party by investment'!$C63,'AMD Calculations'!AP$22:AP$652)</f>
        <v>0</v>
      </c>
      <c r="R63" s="134">
        <f ca="1">SUMIF('AMD Calculations'!$Z$22:$Z$652,'Charges to party by investment'!$C63,'AMD Calculations'!AQ$22:AQ$652)</f>
        <v>0</v>
      </c>
      <c r="S63" s="14"/>
      <c r="T63" s="14"/>
      <c r="V63" s="134">
        <f ca="1">SUMIFS('vSPD Benefits'!$F$3:$F$4996,'vSPD Benefits'!$A$3:$A$4996,'Charges to party by investment'!V$4,'vSPD Benefits'!$D$3:$D$4996,'Charges to party by investment'!$C63)*V$5/V$6</f>
        <v>0.22545656162034761</v>
      </c>
      <c r="W63" s="134">
        <f ca="1">SUMIFS('vSPD Benefits'!$F$3:$F$4996,'vSPD Benefits'!$A$3:$A$4996,'Charges to party by investment'!W$4,'vSPD Benefits'!$D$3:$D$4996,'Charges to party by investment'!$C63)*W$5/W$6</f>
        <v>5.2301549615426858E-2</v>
      </c>
      <c r="X63" s="134">
        <f ca="1">SUMIFS('vSPD Benefits'!$F$3:$F$4996,'vSPD Benefits'!$A$3:$A$4996,'Charges to party by investment'!X$4,'vSPD Benefits'!$D$3:$D$4996,'Charges to party by investment'!$C63)*X$5/X$6</f>
        <v>0.34326840886609244</v>
      </c>
      <c r="Y63" s="134">
        <f ca="1">SUMIFS('vSPD Benefits'!$F$3:$F$4996,'vSPD Benefits'!$A$3:$A$4996,'Charges to party by investment'!Y$4,'vSPD Benefits'!$D$3:$D$4996,'Charges to party by investment'!$C63)*Y$5/Y$6</f>
        <v>7.0541461208723621E-2</v>
      </c>
      <c r="Z63" s="134">
        <f ca="1">SUMIFS('vSPD Benefits'!$F$3:$F$4996,'vSPD Benefits'!$A$3:$A$4996,'Charges to party by investment'!Z$4,'vSPD Benefits'!$D$3:$D$4996,'Charges to party by investment'!$C63)*Z$5/Z$6</f>
        <v>0</v>
      </c>
      <c r="AA63" s="134">
        <f ca="1">SUMIFS('vSPD Benefits'!$F$3:$F$4996,'vSPD Benefits'!$A$3:$A$4996,'Charges to party by investment'!AA$4,'vSPD Benefits'!$D$3:$D$4996,'Charges to party by investment'!$C63)*AA$5/AA$6</f>
        <v>0</v>
      </c>
      <c r="AB63" s="134">
        <f>SUMIFS('vSPD Benefits'!$F$3:$F$4996,'vSPD Benefits'!$A$3:$A$4996,'Charges to party by investment'!AB$4,'vSPD Benefits'!$D$3:$D$4996,'Charges to party by investment'!$C63)</f>
        <v>0</v>
      </c>
      <c r="AC63" s="134">
        <f>SUMIFS('vSPD Benefits'!$F$3:$F$4996,'vSPD Benefits'!$A$3:$A$4996,'Charges to party by investment'!AC$4,'vSPD Benefits'!$D$3:$D$4996,'Charges to party by investment'!$C63)</f>
        <v>0</v>
      </c>
      <c r="AD63" s="134">
        <f>SUMIFS('vSPD Benefits'!$F$3:$F$4996,'vSPD Benefits'!$A$3:$A$4996,'Charges to party by investment'!AD$4,'vSPD Benefits'!$D$3:$D$4996,'Charges to party by investment'!$C63)</f>
        <v>0</v>
      </c>
      <c r="AE63" s="134">
        <f>SUMIFS('vSPD Benefits'!$F$3:$F$4996,'vSPD Benefits'!$A$3:$A$4996,'Charges to party by investment'!AE$4,'vSPD Benefits'!$D$3:$D$4996,'Charges to party by investment'!$C63)</f>
        <v>0</v>
      </c>
      <c r="AF63" s="134">
        <f>SUMIFS('vSPD Benefits'!$F$3:$F$4996,'vSPD Benefits'!$A$3:$A$4996,'Charges to party by investment'!AF$4,'vSPD Benefits'!$D$3:$D$4996,'Charges to party by investment'!$C63)</f>
        <v>0</v>
      </c>
      <c r="AG63" s="134">
        <f>SUMIFS('vSPD Benefits'!$F$3:$F$4996,'vSPD Benefits'!$A$3:$A$4996,'Charges to party by investment'!AG$4,'vSPD Benefits'!$D$3:$D$4996,'Charges to party by investment'!$C63)</f>
        <v>0</v>
      </c>
      <c r="AH63" s="134">
        <f>SUMIFS('vSPD Benefits'!$F$3:$F$4996,'vSPD Benefits'!$A$3:$A$4996,'Charges to party by investment'!AH$4,'vSPD Benefits'!$D$3:$D$4996,'Charges to party by investment'!$C63)</f>
        <v>0</v>
      </c>
      <c r="AJ63" s="116" t="str">
        <f>'Charges as $M per year'!A57</f>
        <v>Winstones</v>
      </c>
      <c r="AK63" s="128" t="str">
        <f t="shared" si="7"/>
        <v>Winstones</v>
      </c>
      <c r="AL63" s="129">
        <f t="shared" ca="1" si="8"/>
        <v>0.69156798131059061</v>
      </c>
      <c r="AM63" s="129">
        <f ca="1">SUMIF('AMD Calculations'!$AU$22:$AU$252,'Charges to party by investment'!AK63,'AMD Calculations'!$AY$22:$AY$252)</f>
        <v>1.1827208956874293</v>
      </c>
      <c r="AN63" s="129">
        <v>1.0748414700000002</v>
      </c>
      <c r="AO63" s="129">
        <f ca="1">AV63*'Recovery amounts'!$J$17/'Recovery amounts'!$J$14</f>
        <v>2.2360762958084902E-2</v>
      </c>
      <c r="AP63" s="130">
        <f t="shared" ca="1" si="9"/>
        <v>0.25867599423223231</v>
      </c>
      <c r="AQ63" s="130">
        <f t="shared" ca="1" si="10"/>
        <v>4.5919395823932592E-3</v>
      </c>
      <c r="AR63" s="162">
        <f t="shared" ca="1" si="17"/>
        <v>0.86328464148993278</v>
      </c>
      <c r="AS63" s="162">
        <f>SUMIF('AMD Calculations'!$AU$22:$AU$252,'Charges to party by investment'!AK63,'AMD Calculations'!$AW$22:$AW$252)</f>
        <v>38.988599999999998</v>
      </c>
      <c r="AT63" s="445">
        <f t="shared" ca="1" si="11"/>
        <v>2.0460055371773622</v>
      </c>
      <c r="AU63" s="162">
        <f t="shared" ca="1" si="12"/>
        <v>2.7599342814460379</v>
      </c>
      <c r="AV63" s="162">
        <v>2.453465580727697E-2</v>
      </c>
      <c r="AW63" s="128"/>
      <c r="AX63" s="129"/>
      <c r="AY63" s="129"/>
      <c r="AZ63" s="631">
        <f t="shared" ca="1" si="18"/>
        <v>4.5919395823932592E-3</v>
      </c>
      <c r="BA63" s="83">
        <f t="shared" ca="1" si="19"/>
        <v>5.242954390175773E-3</v>
      </c>
      <c r="BX63" s="70" t="str">
        <f t="shared" si="14"/>
        <v>Winstones</v>
      </c>
      <c r="BY63" s="166">
        <f t="shared" ca="1" si="3"/>
        <v>0.69156798131059061</v>
      </c>
      <c r="BZ63" s="166">
        <f t="shared" ca="1" si="4"/>
        <v>1.1827208956874293</v>
      </c>
      <c r="CA63" s="166">
        <f t="shared" ca="1" si="5"/>
        <v>2.2360762958084902E-2</v>
      </c>
      <c r="CB63" s="166">
        <f t="shared" ca="1" si="6"/>
        <v>0.86328464148993278</v>
      </c>
      <c r="CC63" s="169">
        <f t="shared" ca="1" si="15"/>
        <v>2.7599342814460379</v>
      </c>
    </row>
    <row r="64" spans="1:81" x14ac:dyDescent="0.3">
      <c r="B64" s="120"/>
      <c r="C64" s="269"/>
      <c r="D64" s="14"/>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K64" s="128"/>
      <c r="AL64" s="132"/>
      <c r="AM64" s="128"/>
      <c r="AN64" s="128"/>
      <c r="AO64" s="128"/>
      <c r="AP64" s="128"/>
      <c r="AQ64" s="128"/>
      <c r="AR64" s="128"/>
      <c r="AS64" s="128"/>
      <c r="AT64" s="128"/>
      <c r="AU64" s="129"/>
      <c r="AV64" s="128"/>
      <c r="AW64" s="128"/>
      <c r="AX64" s="129"/>
      <c r="AZ64" s="18"/>
      <c r="BA64" s="18"/>
    </row>
    <row r="65" spans="1:69" x14ac:dyDescent="0.3">
      <c r="B65" s="120"/>
      <c r="D65" s="14"/>
      <c r="F65" s="17"/>
      <c r="G65" s="17"/>
      <c r="H65" s="17"/>
      <c r="I65" s="17"/>
      <c r="J65" s="17"/>
      <c r="K65" s="17"/>
      <c r="L65" s="17"/>
      <c r="M65" s="17"/>
      <c r="N65" s="17"/>
      <c r="O65" s="17"/>
      <c r="P65" s="17"/>
      <c r="Q65" s="17"/>
      <c r="R65" s="17"/>
      <c r="S65" s="17"/>
      <c r="T65" s="17"/>
      <c r="U65" s="17"/>
      <c r="V65" s="118"/>
      <c r="W65" s="118"/>
      <c r="X65" s="118"/>
      <c r="Y65" s="118"/>
      <c r="Z65" s="118"/>
      <c r="AA65" s="118"/>
      <c r="AB65" s="17"/>
      <c r="AC65" s="17"/>
      <c r="AD65" s="17"/>
      <c r="AE65" s="17"/>
      <c r="AF65" s="17"/>
      <c r="AG65" s="17"/>
      <c r="AH65" s="17"/>
      <c r="AI65" s="17"/>
      <c r="AK65" s="128"/>
      <c r="AL65" s="326">
        <f ca="1">SUM(AL9:AL63)</f>
        <v>263.98968931696481</v>
      </c>
      <c r="AM65" s="326">
        <f ca="1">SUM(AM9:AM63)</f>
        <v>262.58777884579376</v>
      </c>
      <c r="AN65" s="326">
        <f>SUM(AN9:AN63)</f>
        <v>125.16771326999994</v>
      </c>
      <c r="AO65" s="129">
        <f ca="1">SUM(AO9:AO63)</f>
        <v>5.0209695607686946</v>
      </c>
      <c r="AP65" s="128"/>
      <c r="AQ65" s="130">
        <f ca="1">SUM(AQ9:AQ63)</f>
        <v>0.99999999999999978</v>
      </c>
      <c r="AR65" s="129">
        <f ca="1">SUM(AR9:AR63)</f>
        <v>188.00000000000006</v>
      </c>
      <c r="AS65" s="128"/>
      <c r="AT65" s="133">
        <f ca="1">SUM(AT9:AT63)</f>
        <v>450.58777884579359</v>
      </c>
      <c r="AU65" s="326">
        <f ca="1">SUM(AU9:AU63)</f>
        <v>719.59843772352724</v>
      </c>
      <c r="AV65" s="128"/>
      <c r="AW65" s="128"/>
      <c r="AX65" s="133"/>
      <c r="AY65" s="133"/>
      <c r="AZ65" s="18"/>
      <c r="BA65" s="18"/>
    </row>
    <row r="66" spans="1:69" x14ac:dyDescent="0.3">
      <c r="A66"/>
      <c r="B66" s="120"/>
      <c r="D66" s="14"/>
      <c r="S66" s="14"/>
      <c r="V66" s="100">
        <f t="shared" ref="V66:AA66" ca="1" si="20">SUM(V9:V63)</f>
        <v>77.662558224317664</v>
      </c>
      <c r="W66" s="100">
        <f t="shared" ca="1" si="20"/>
        <v>66.362582820657025</v>
      </c>
      <c r="X66" s="100">
        <f t="shared" ca="1" si="20"/>
        <v>40.96116255720424</v>
      </c>
      <c r="Y66" s="100">
        <f t="shared" ca="1" si="20"/>
        <v>20.368602947992702</v>
      </c>
      <c r="Z66" s="100">
        <f t="shared" ca="1" si="20"/>
        <v>3.7905679193297042</v>
      </c>
      <c r="AA66" s="100">
        <f t="shared" ca="1" si="20"/>
        <v>13.489380728709355</v>
      </c>
      <c r="AU66" s="444">
        <f ca="1">'Recovery amounts'!D17+'Recovery amounts'!E17</f>
        <v>720.41404171943327</v>
      </c>
      <c r="AV66" s="431" t="s">
        <v>746</v>
      </c>
      <c r="AW66" s="128"/>
      <c r="AX66" s="128"/>
      <c r="AZ66" s="18"/>
      <c r="BA66" s="18"/>
      <c r="BB66" s="22"/>
      <c r="BC66" s="22"/>
      <c r="BD66" s="22"/>
      <c r="BE66" s="22"/>
      <c r="BF66" s="22"/>
      <c r="BG66" s="22"/>
      <c r="BH66" s="22"/>
      <c r="BI66" s="22"/>
      <c r="BJ66" s="22"/>
      <c r="BK66" s="22"/>
      <c r="BL66" s="22"/>
      <c r="BM66" s="22"/>
      <c r="BN66" s="22"/>
    </row>
    <row r="67" spans="1:69" x14ac:dyDescent="0.3">
      <c r="A67"/>
      <c r="B67" s="120"/>
      <c r="D67" s="14"/>
      <c r="S67" s="14"/>
      <c r="U67" t="s">
        <v>802</v>
      </c>
      <c r="V67" s="100">
        <f t="shared" ref="V67:AA67" ca="1" si="21">V66-V5</f>
        <v>-0.10677826857332207</v>
      </c>
      <c r="W67" s="100">
        <f t="shared" ca="1" si="21"/>
        <v>-0.10596183671412973</v>
      </c>
      <c r="X67" s="100">
        <f t="shared" ca="1" si="21"/>
        <v>-0.11490436589028974</v>
      </c>
      <c r="Y67" s="100">
        <f t="shared" ca="1" si="21"/>
        <v>-3.467379188453279E-2</v>
      </c>
      <c r="Z67" s="100">
        <f t="shared" ca="1" si="21"/>
        <v>-8.3533638840860291E-4</v>
      </c>
      <c r="AA67" s="100">
        <f t="shared" ca="1" si="21"/>
        <v>-3.5721270054297705E-2</v>
      </c>
      <c r="AL67" s="100"/>
      <c r="AM67" s="100"/>
      <c r="AN67" s="100"/>
      <c r="AO67" s="100"/>
      <c r="AP67" s="100"/>
      <c r="AQ67" s="100"/>
      <c r="AR67" s="100"/>
      <c r="AS67" s="100"/>
      <c r="AT67" s="100"/>
      <c r="AU67" s="100"/>
      <c r="AX67" s="24"/>
      <c r="AY67" s="24"/>
      <c r="AZ67" s="18"/>
      <c r="BA67" s="18"/>
      <c r="BB67" s="22"/>
      <c r="BC67" s="22"/>
      <c r="BD67" s="22"/>
      <c r="BE67" s="22"/>
      <c r="BF67" s="22"/>
      <c r="BG67" s="22"/>
      <c r="BH67" s="22"/>
      <c r="BI67" s="22"/>
      <c r="BJ67" s="22"/>
      <c r="BK67" s="22"/>
      <c r="BL67" s="22"/>
      <c r="BM67" s="22"/>
      <c r="BN67" s="22"/>
    </row>
    <row r="68" spans="1:69" x14ac:dyDescent="0.3">
      <c r="B68" s="120"/>
      <c r="D68" s="14"/>
      <c r="S68" s="14"/>
      <c r="AO68" s="116"/>
      <c r="AP68" s="116"/>
      <c r="AW68" s="116"/>
      <c r="AX68" s="116"/>
      <c r="AY68" s="116"/>
      <c r="AZ68" s="116"/>
      <c r="BB68" s="22"/>
      <c r="BC68" s="22"/>
      <c r="BD68" s="22"/>
      <c r="BE68" s="22"/>
      <c r="BF68" s="22"/>
      <c r="BG68" s="22"/>
      <c r="BH68" s="22"/>
      <c r="BI68" s="22"/>
      <c r="BJ68" s="22"/>
      <c r="BK68" s="22"/>
      <c r="BL68" s="22"/>
      <c r="BM68" s="22"/>
      <c r="BN68" s="22"/>
    </row>
    <row r="69" spans="1:69" x14ac:dyDescent="0.3">
      <c r="B69" s="120"/>
      <c r="D69" s="14"/>
      <c r="S69" s="14"/>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628"/>
      <c r="BC69" s="628"/>
      <c r="BD69" s="628"/>
      <c r="BE69" s="628"/>
      <c r="BF69" s="628"/>
      <c r="BG69" s="628"/>
      <c r="BH69" s="22"/>
      <c r="BI69" s="22"/>
      <c r="BJ69" s="22"/>
      <c r="BK69" s="22"/>
      <c r="BL69" s="22"/>
      <c r="BM69" s="22"/>
      <c r="BN69" s="22"/>
    </row>
    <row r="70" spans="1:69" x14ac:dyDescent="0.3">
      <c r="A70"/>
      <c r="V70" s="79"/>
      <c r="W70" s="79"/>
      <c r="X70" s="79"/>
      <c r="Y70" s="79"/>
      <c r="Z70" s="79"/>
      <c r="AA70" s="62"/>
      <c r="AB70" s="172"/>
      <c r="AC70" s="172"/>
      <c r="AD70" s="172"/>
      <c r="AE70" s="172"/>
      <c r="AF70" s="172"/>
      <c r="AG70" s="172"/>
      <c r="AH70" s="172"/>
      <c r="AI70" s="171"/>
      <c r="AJ70" s="18"/>
      <c r="AK70" s="18"/>
      <c r="AL70" s="222"/>
      <c r="AM70" s="18"/>
      <c r="AN70" s="18"/>
      <c r="AO70" s="18"/>
      <c r="AP70" s="18"/>
      <c r="AQ70" s="18"/>
      <c r="AR70" s="18"/>
      <c r="AS70" s="18"/>
      <c r="AT70" s="18"/>
      <c r="AU70" s="18"/>
      <c r="AV70" s="18"/>
      <c r="AW70" s="18"/>
      <c r="AX70" s="18"/>
      <c r="AY70" s="18"/>
      <c r="AZ70" s="171"/>
      <c r="BA70" s="171"/>
      <c r="BB70" s="172"/>
      <c r="BC70" s="172"/>
      <c r="BD70" s="172"/>
      <c r="BE70" s="172"/>
      <c r="BF70" s="172"/>
      <c r="BG70" s="172"/>
      <c r="BH70" s="22"/>
      <c r="BI70" s="628"/>
      <c r="BJ70" s="628"/>
      <c r="BK70" s="629"/>
      <c r="BL70" s="628"/>
      <c r="BM70" s="628"/>
      <c r="BN70" s="22"/>
      <c r="BO70" s="116"/>
      <c r="BP70" s="62"/>
      <c r="BQ70" s="116"/>
    </row>
    <row r="71" spans="1:69" x14ac:dyDescent="0.3">
      <c r="A71"/>
      <c r="AA71" s="18"/>
      <c r="AB71" s="172"/>
      <c r="AC71" s="172"/>
      <c r="AD71" s="172"/>
      <c r="AE71" s="172"/>
      <c r="AF71" s="172"/>
      <c r="AG71" s="172"/>
      <c r="AH71" s="172"/>
      <c r="AI71" s="171"/>
      <c r="AJ71" s="18"/>
      <c r="AK71" s="18"/>
      <c r="AL71" s="224"/>
      <c r="AM71" s="18"/>
      <c r="AN71" s="18"/>
      <c r="AO71" s="18"/>
      <c r="AP71" s="18"/>
      <c r="AQ71" s="18"/>
      <c r="AR71" s="18"/>
      <c r="AS71" s="18"/>
      <c r="AT71" s="18"/>
      <c r="AU71" s="18"/>
      <c r="AV71" s="18"/>
      <c r="AW71" s="18"/>
      <c r="AX71" s="18"/>
      <c r="AY71" s="18"/>
      <c r="AZ71" s="171"/>
      <c r="BA71" s="171"/>
      <c r="BB71" s="172"/>
      <c r="BC71" s="172"/>
      <c r="BD71" s="172"/>
      <c r="BE71" s="172"/>
      <c r="BF71" s="172"/>
      <c r="BG71" s="172"/>
      <c r="BH71" s="22"/>
      <c r="BI71" s="628"/>
      <c r="BJ71" s="628"/>
      <c r="BK71" s="629"/>
      <c r="BL71" s="628"/>
      <c r="BM71" s="628"/>
      <c r="BN71" s="22"/>
      <c r="BO71" s="116"/>
      <c r="BP71" s="62"/>
      <c r="BQ71" s="116"/>
    </row>
    <row r="72" spans="1:69" x14ac:dyDescent="0.3">
      <c r="A72"/>
      <c r="AA72" s="18"/>
      <c r="AB72" s="172"/>
      <c r="AC72" s="172"/>
      <c r="AD72" s="172"/>
      <c r="AE72" s="172"/>
      <c r="AF72" s="172"/>
      <c r="AG72" s="172"/>
      <c r="AH72" s="172"/>
      <c r="AI72" s="171"/>
      <c r="AJ72" s="18"/>
      <c r="AK72" s="18"/>
      <c r="AL72" s="18"/>
      <c r="AM72" s="18"/>
      <c r="AN72" s="18"/>
      <c r="AO72" s="18"/>
      <c r="AP72" s="18"/>
      <c r="AQ72" s="18"/>
      <c r="AR72" s="18"/>
      <c r="AS72" s="18"/>
      <c r="AT72" s="18"/>
      <c r="AU72" s="18"/>
      <c r="AV72" s="18"/>
      <c r="AW72" s="18"/>
      <c r="AX72" s="18"/>
      <c r="AY72" s="18"/>
      <c r="AZ72" s="171"/>
      <c r="BA72" s="171"/>
      <c r="BB72" s="172"/>
      <c r="BC72" s="172"/>
      <c r="BD72" s="172"/>
      <c r="BE72" s="172"/>
      <c r="BF72" s="172"/>
      <c r="BG72" s="172"/>
      <c r="BH72" s="22"/>
      <c r="BI72" s="628"/>
      <c r="BJ72" s="628"/>
      <c r="BK72" s="629"/>
      <c r="BL72" s="628"/>
      <c r="BM72" s="628"/>
      <c r="BN72" s="22"/>
      <c r="BO72" s="116"/>
      <c r="BP72" s="62"/>
      <c r="BQ72" s="116"/>
    </row>
    <row r="73" spans="1:69" x14ac:dyDescent="0.3">
      <c r="A73"/>
      <c r="AA73" s="18"/>
      <c r="AB73" s="172"/>
      <c r="AC73" s="172"/>
      <c r="AD73" s="172"/>
      <c r="AE73" s="172"/>
      <c r="AF73" s="172"/>
      <c r="AG73" s="172"/>
      <c r="AH73" s="172"/>
      <c r="AI73" s="171"/>
      <c r="AJ73" s="18"/>
      <c r="AK73" s="18"/>
      <c r="AL73" s="18"/>
      <c r="AM73" s="18"/>
      <c r="AN73" s="18"/>
      <c r="AO73" s="18"/>
      <c r="AP73" s="18"/>
      <c r="AQ73" s="18"/>
      <c r="AR73" s="18"/>
      <c r="AS73" s="18"/>
      <c r="AT73" s="18"/>
      <c r="AU73" s="18"/>
      <c r="AV73" s="18"/>
      <c r="AW73" s="18"/>
      <c r="AX73" s="18"/>
      <c r="AY73" s="18"/>
      <c r="AZ73" s="171"/>
      <c r="BA73" s="171"/>
      <c r="BB73" s="172"/>
      <c r="BC73" s="172"/>
      <c r="BD73" s="172"/>
      <c r="BE73" s="172"/>
      <c r="BF73" s="172"/>
      <c r="BG73" s="172"/>
      <c r="BH73" s="22"/>
      <c r="BI73" s="628"/>
      <c r="BJ73" s="628"/>
      <c r="BK73" s="629"/>
      <c r="BL73" s="628"/>
      <c r="BM73" s="628"/>
      <c r="BN73" s="22"/>
      <c r="BO73" s="116"/>
      <c r="BP73" s="62"/>
      <c r="BQ73" s="116"/>
    </row>
    <row r="74" spans="1:69" x14ac:dyDescent="0.3">
      <c r="A74"/>
      <c r="AA74" s="18"/>
      <c r="AB74" s="172"/>
      <c r="AC74" s="172"/>
      <c r="AD74" s="172"/>
      <c r="AE74" s="172"/>
      <c r="AF74" s="172"/>
      <c r="AG74" s="172"/>
      <c r="AH74" s="172"/>
      <c r="AI74" s="171"/>
      <c r="AJ74" s="18"/>
      <c r="AK74" s="18"/>
      <c r="AL74" s="18"/>
      <c r="AM74" s="18"/>
      <c r="AN74" s="18"/>
      <c r="AO74" s="18"/>
      <c r="AP74" s="18"/>
      <c r="AQ74" s="18"/>
      <c r="AR74" s="18"/>
      <c r="AS74" s="18"/>
      <c r="AT74" s="18"/>
      <c r="AU74" s="18"/>
      <c r="AV74" s="18"/>
      <c r="AW74" s="18"/>
      <c r="AX74" s="18"/>
      <c r="AY74" s="18"/>
      <c r="AZ74" s="171"/>
      <c r="BA74" s="171"/>
      <c r="BB74" s="172"/>
      <c r="BC74" s="172"/>
      <c r="BD74" s="172"/>
      <c r="BE74" s="172"/>
      <c r="BF74" s="172"/>
      <c r="BG74" s="172"/>
      <c r="BH74" s="22"/>
      <c r="BI74" s="628"/>
      <c r="BJ74" s="628"/>
      <c r="BK74" s="629"/>
      <c r="BL74" s="628"/>
      <c r="BM74" s="628"/>
      <c r="BN74" s="22"/>
      <c r="BO74" s="116"/>
      <c r="BP74" s="62"/>
      <c r="BQ74" s="116"/>
    </row>
    <row r="75" spans="1:69" x14ac:dyDescent="0.3">
      <c r="A75"/>
      <c r="AA75" s="18"/>
      <c r="AB75" s="172"/>
      <c r="AC75" s="172"/>
      <c r="AD75" s="172"/>
      <c r="AE75" s="172"/>
      <c r="AF75" s="172"/>
      <c r="AG75" s="172"/>
      <c r="AH75" s="172"/>
      <c r="AI75" s="171"/>
      <c r="AJ75" s="18"/>
      <c r="AK75" s="18"/>
      <c r="AL75" s="18"/>
      <c r="AM75" s="18"/>
      <c r="AN75" s="18"/>
      <c r="AO75" s="18"/>
      <c r="AP75" s="18"/>
      <c r="AQ75" s="18"/>
      <c r="AR75" s="18"/>
      <c r="AS75" s="18"/>
      <c r="AT75" s="18"/>
      <c r="AU75" s="18"/>
      <c r="AV75" s="18"/>
      <c r="AW75" s="18"/>
      <c r="AX75" s="18"/>
      <c r="AY75" s="18"/>
      <c r="AZ75" s="171"/>
      <c r="BA75" s="171"/>
      <c r="BB75" s="172"/>
      <c r="BC75" s="172"/>
      <c r="BD75" s="172"/>
      <c r="BE75" s="172"/>
      <c r="BF75" s="172"/>
      <c r="BG75" s="172"/>
      <c r="BH75" s="22"/>
      <c r="BI75" s="628"/>
      <c r="BJ75" s="628"/>
      <c r="BK75" s="629"/>
      <c r="BL75" s="628"/>
      <c r="BM75" s="628"/>
      <c r="BN75" s="22"/>
      <c r="BO75" s="116"/>
      <c r="BP75" s="62"/>
      <c r="BQ75" s="116"/>
    </row>
    <row r="76" spans="1:69" x14ac:dyDescent="0.3">
      <c r="A76"/>
      <c r="AA76" s="18"/>
      <c r="AB76" s="172"/>
      <c r="AC76" s="172"/>
      <c r="AD76" s="172"/>
      <c r="AE76" s="172"/>
      <c r="AF76" s="172"/>
      <c r="AG76" s="172"/>
      <c r="AH76" s="172"/>
      <c r="AI76" s="171"/>
      <c r="AJ76" s="18"/>
      <c r="AK76" s="18"/>
      <c r="AL76" s="18"/>
      <c r="AM76" s="18"/>
      <c r="AN76" s="18"/>
      <c r="AO76" s="18"/>
      <c r="AP76" s="18"/>
      <c r="AQ76" s="18"/>
      <c r="AR76" s="18"/>
      <c r="AS76" s="18"/>
      <c r="AT76" s="18"/>
      <c r="AU76" s="18"/>
      <c r="AV76" s="18"/>
      <c r="AW76" s="18"/>
      <c r="AX76" s="18"/>
      <c r="AY76" s="18"/>
      <c r="AZ76" s="171"/>
      <c r="BA76" s="171"/>
      <c r="BB76" s="172"/>
      <c r="BC76" s="172"/>
      <c r="BD76" s="172"/>
      <c r="BE76" s="172"/>
      <c r="BF76" s="172"/>
      <c r="BG76" s="172"/>
      <c r="BH76" s="22"/>
      <c r="BI76" s="628"/>
      <c r="BJ76" s="628"/>
      <c r="BK76" s="629"/>
      <c r="BL76" s="628"/>
      <c r="BM76" s="628"/>
      <c r="BN76" s="22"/>
      <c r="BO76" s="116"/>
      <c r="BP76" s="62"/>
      <c r="BQ76" s="116"/>
    </row>
    <row r="77" spans="1:69" x14ac:dyDescent="0.3">
      <c r="A77"/>
      <c r="AA77" s="18"/>
      <c r="AB77" s="172"/>
      <c r="AC77" s="172"/>
      <c r="AD77" s="172"/>
      <c r="AE77" s="172"/>
      <c r="AF77" s="172"/>
      <c r="AG77" s="172"/>
      <c r="AH77" s="172"/>
      <c r="AI77" s="171"/>
      <c r="AJ77" s="18"/>
      <c r="AK77" s="18"/>
      <c r="AL77" s="18"/>
      <c r="AM77" s="18"/>
      <c r="AN77" s="18"/>
      <c r="AO77" s="18"/>
      <c r="AP77" s="18"/>
      <c r="AQ77" s="18"/>
      <c r="AR77" s="18"/>
      <c r="AS77" s="18"/>
      <c r="AT77" s="18"/>
      <c r="AU77" s="18"/>
      <c r="AV77" s="18"/>
      <c r="AW77" s="18"/>
      <c r="AX77" s="18"/>
      <c r="AY77" s="18"/>
      <c r="AZ77" s="171"/>
      <c r="BA77" s="171"/>
      <c r="BB77" s="172"/>
      <c r="BC77" s="172"/>
      <c r="BD77" s="172"/>
      <c r="BE77" s="172"/>
      <c r="BF77" s="172"/>
      <c r="BG77" s="172"/>
      <c r="BH77" s="22"/>
      <c r="BI77" s="628"/>
      <c r="BJ77" s="628"/>
      <c r="BK77" s="629"/>
      <c r="BL77" s="628"/>
      <c r="BM77" s="628"/>
      <c r="BN77" s="22"/>
      <c r="BO77" s="116"/>
      <c r="BP77" s="62"/>
      <c r="BQ77" s="116"/>
    </row>
    <row r="78" spans="1:69" x14ac:dyDescent="0.3">
      <c r="A78"/>
      <c r="AA78" s="18"/>
      <c r="AB78" s="172"/>
      <c r="AC78" s="172"/>
      <c r="AD78" s="172"/>
      <c r="AE78" s="172"/>
      <c r="AF78" s="172"/>
      <c r="AG78" s="172"/>
      <c r="AH78" s="172"/>
      <c r="AI78" s="171"/>
      <c r="AJ78" s="18"/>
      <c r="AK78" s="18"/>
      <c r="AL78" s="18"/>
      <c r="AM78" s="18"/>
      <c r="AN78" s="18"/>
      <c r="AO78" s="18"/>
      <c r="AP78" s="18"/>
      <c r="AQ78" s="18"/>
      <c r="AR78" s="18"/>
      <c r="AS78" s="18"/>
      <c r="AT78" s="18"/>
      <c r="AU78" s="18"/>
      <c r="AV78" s="18"/>
      <c r="AW78" s="18"/>
      <c r="AX78" s="18"/>
      <c r="AY78" s="18"/>
      <c r="AZ78" s="171"/>
      <c r="BA78" s="171"/>
      <c r="BB78" s="172"/>
      <c r="BC78" s="172"/>
      <c r="BD78" s="172"/>
      <c r="BE78" s="172"/>
      <c r="BF78" s="172"/>
      <c r="BG78" s="172"/>
      <c r="BH78" s="22"/>
      <c r="BI78" s="628"/>
      <c r="BJ78" s="628"/>
      <c r="BK78" s="629"/>
      <c r="BL78" s="628"/>
      <c r="BM78" s="628"/>
      <c r="BN78" s="22"/>
      <c r="BO78" s="116"/>
      <c r="BP78" s="62"/>
      <c r="BQ78" s="116"/>
    </row>
    <row r="79" spans="1:69" x14ac:dyDescent="0.3">
      <c r="A79"/>
      <c r="AA79" s="18"/>
      <c r="AB79" s="172"/>
      <c r="AC79" s="172"/>
      <c r="AD79" s="172"/>
      <c r="AE79" s="172"/>
      <c r="AF79" s="172"/>
      <c r="AG79" s="172"/>
      <c r="AH79" s="172"/>
      <c r="AI79" s="171"/>
      <c r="AJ79" s="18"/>
      <c r="AK79" s="18"/>
      <c r="AL79" s="18"/>
      <c r="AM79" s="18"/>
      <c r="AN79" s="18"/>
      <c r="AO79" s="18"/>
      <c r="AP79" s="18"/>
      <c r="AQ79" s="18"/>
      <c r="AR79" s="18"/>
      <c r="AS79" s="18"/>
      <c r="AT79" s="18"/>
      <c r="AU79" s="18"/>
      <c r="AV79" s="18"/>
      <c r="AW79" s="18"/>
      <c r="AX79" s="18"/>
      <c r="AY79" s="18"/>
      <c r="AZ79" s="171"/>
      <c r="BA79" s="171"/>
      <c r="BB79" s="172"/>
      <c r="BC79" s="172"/>
      <c r="BD79" s="172"/>
      <c r="BE79" s="172"/>
      <c r="BF79" s="172"/>
      <c r="BG79" s="172"/>
      <c r="BH79" s="22"/>
      <c r="BI79" s="628"/>
      <c r="BJ79" s="628"/>
      <c r="BK79" s="629"/>
      <c r="BL79" s="628"/>
      <c r="BM79" s="628"/>
      <c r="BN79" s="22"/>
      <c r="BO79" s="116"/>
      <c r="BP79" s="62"/>
      <c r="BQ79" s="116"/>
    </row>
    <row r="80" spans="1:69" x14ac:dyDescent="0.3">
      <c r="A80"/>
      <c r="AA80" s="18"/>
      <c r="AB80" s="172"/>
      <c r="AC80" s="172"/>
      <c r="AD80" s="172"/>
      <c r="AE80" s="172"/>
      <c r="AF80" s="172"/>
      <c r="AG80" s="172"/>
      <c r="AH80" s="172"/>
      <c r="AI80" s="171"/>
      <c r="AJ80" s="18"/>
      <c r="AK80" s="18"/>
      <c r="AL80" s="18"/>
      <c r="AM80" s="18"/>
      <c r="AN80" s="18"/>
      <c r="AO80" s="18"/>
      <c r="AP80" s="18"/>
      <c r="AQ80" s="18"/>
      <c r="AR80" s="18"/>
      <c r="AS80" s="18"/>
      <c r="AT80" s="18"/>
      <c r="AU80" s="18"/>
      <c r="AV80" s="18"/>
      <c r="AW80" s="18"/>
      <c r="AX80" s="18"/>
      <c r="AY80" s="18"/>
      <c r="AZ80" s="171"/>
      <c r="BA80" s="171"/>
      <c r="BB80" s="172"/>
      <c r="BC80" s="172"/>
      <c r="BD80" s="172"/>
      <c r="BE80" s="172"/>
      <c r="BF80" s="172"/>
      <c r="BG80" s="172"/>
      <c r="BH80" s="22"/>
      <c r="BI80" s="628"/>
      <c r="BJ80" s="628"/>
      <c r="BK80" s="629"/>
      <c r="BL80" s="628"/>
      <c r="BM80" s="628"/>
      <c r="BN80" s="22"/>
      <c r="BO80" s="116"/>
      <c r="BP80" s="62"/>
      <c r="BQ80" s="116"/>
    </row>
    <row r="81" spans="1:69" x14ac:dyDescent="0.3">
      <c r="A81"/>
      <c r="AA81" s="18"/>
      <c r="AB81" s="172"/>
      <c r="AC81" s="172"/>
      <c r="AD81" s="172"/>
      <c r="AE81" s="172"/>
      <c r="AF81" s="172"/>
      <c r="AG81" s="172"/>
      <c r="AH81" s="172"/>
      <c r="AI81" s="171"/>
      <c r="AJ81" s="18"/>
      <c r="AK81" s="18"/>
      <c r="AL81" s="18"/>
      <c r="AM81" s="18"/>
      <c r="AN81" s="18"/>
      <c r="AO81" s="18"/>
      <c r="AP81" s="18"/>
      <c r="AQ81" s="18"/>
      <c r="AR81" s="18"/>
      <c r="AS81" s="18"/>
      <c r="AT81" s="18"/>
      <c r="AU81" s="18"/>
      <c r="AV81" s="18"/>
      <c r="AW81" s="18"/>
      <c r="AX81" s="18"/>
      <c r="AY81" s="18"/>
      <c r="AZ81" s="171"/>
      <c r="BA81" s="171"/>
      <c r="BB81" s="172"/>
      <c r="BC81" s="172"/>
      <c r="BD81" s="172"/>
      <c r="BE81" s="172"/>
      <c r="BF81" s="172"/>
      <c r="BG81" s="172"/>
      <c r="BH81" s="22"/>
      <c r="BI81" s="628"/>
      <c r="BJ81" s="628"/>
      <c r="BK81" s="629"/>
      <c r="BL81" s="628"/>
      <c r="BM81" s="628"/>
      <c r="BN81" s="22"/>
      <c r="BO81" s="116"/>
      <c r="BP81" s="62"/>
      <c r="BQ81" s="116"/>
    </row>
    <row r="82" spans="1:69" x14ac:dyDescent="0.3">
      <c r="A82"/>
      <c r="AA82" s="18"/>
      <c r="AB82" s="172"/>
      <c r="AC82" s="172"/>
      <c r="AD82" s="172"/>
      <c r="AE82" s="172"/>
      <c r="AF82" s="172"/>
      <c r="AG82" s="172"/>
      <c r="AH82" s="172"/>
      <c r="AI82" s="171"/>
      <c r="AJ82" s="18"/>
      <c r="AK82" s="18"/>
      <c r="AL82" s="18"/>
      <c r="AM82" s="18"/>
      <c r="AN82" s="18"/>
      <c r="AO82" s="18"/>
      <c r="AP82" s="18"/>
      <c r="AQ82" s="18"/>
      <c r="AR82" s="18"/>
      <c r="AS82" s="18"/>
      <c r="AT82" s="18"/>
      <c r="AU82" s="18"/>
      <c r="AV82" s="18"/>
      <c r="AW82" s="18"/>
      <c r="AX82" s="18"/>
      <c r="AY82" s="18"/>
      <c r="AZ82" s="171"/>
      <c r="BA82" s="171"/>
      <c r="BB82" s="172"/>
      <c r="BC82" s="172"/>
      <c r="BD82" s="172"/>
      <c r="BE82" s="172"/>
      <c r="BF82" s="172"/>
      <c r="BG82" s="172"/>
      <c r="BH82" s="22"/>
      <c r="BI82" s="628"/>
      <c r="BJ82" s="628"/>
      <c r="BK82" s="629"/>
      <c r="BL82" s="628"/>
      <c r="BM82" s="628"/>
      <c r="BN82" s="22"/>
      <c r="BO82" s="116"/>
      <c r="BP82" s="62"/>
      <c r="BQ82" s="116"/>
    </row>
    <row r="83" spans="1:69" x14ac:dyDescent="0.3">
      <c r="A83"/>
      <c r="AA83" s="18"/>
      <c r="AB83" s="172"/>
      <c r="AC83" s="172"/>
      <c r="AD83" s="172"/>
      <c r="AE83" s="172"/>
      <c r="AF83" s="172"/>
      <c r="AG83" s="172"/>
      <c r="AH83" s="172"/>
      <c r="AI83" s="171"/>
      <c r="AJ83" s="18"/>
      <c r="AK83" s="18"/>
      <c r="AL83" s="18"/>
      <c r="AM83" s="18"/>
      <c r="AN83" s="18"/>
      <c r="AO83" s="18"/>
      <c r="AP83" s="18"/>
      <c r="AQ83" s="18"/>
      <c r="AR83" s="18"/>
      <c r="AS83" s="18"/>
      <c r="AT83" s="18"/>
      <c r="AU83" s="18"/>
      <c r="AV83" s="18"/>
      <c r="AW83" s="18"/>
      <c r="AX83" s="18"/>
      <c r="AY83" s="18"/>
      <c r="AZ83" s="171"/>
      <c r="BA83" s="171"/>
      <c r="BB83" s="172"/>
      <c r="BC83" s="172"/>
      <c r="BD83" s="172"/>
      <c r="BE83" s="172"/>
      <c r="BF83" s="172"/>
      <c r="BG83" s="172"/>
      <c r="BH83" s="628"/>
      <c r="BI83" s="628"/>
      <c r="BJ83" s="628"/>
      <c r="BK83" s="629"/>
      <c r="BL83" s="628"/>
      <c r="BM83" s="628"/>
      <c r="BN83" s="22"/>
      <c r="BO83" s="116"/>
      <c r="BP83" s="62"/>
      <c r="BQ83" s="116"/>
    </row>
    <row r="84" spans="1:69" x14ac:dyDescent="0.3">
      <c r="A84"/>
      <c r="AA84" s="18"/>
      <c r="AB84" s="172"/>
      <c r="AC84" s="172"/>
      <c r="AD84" s="172"/>
      <c r="AE84" s="172"/>
      <c r="AF84" s="172"/>
      <c r="AG84" s="172"/>
      <c r="AH84" s="172"/>
      <c r="AI84" s="171"/>
      <c r="AJ84" s="18"/>
      <c r="AK84" s="18"/>
      <c r="AL84" s="18"/>
      <c r="AM84" s="18"/>
      <c r="AN84" s="18"/>
      <c r="AO84" s="18"/>
      <c r="AP84" s="18"/>
      <c r="AQ84" s="18"/>
      <c r="AR84" s="18"/>
      <c r="AS84" s="18"/>
      <c r="AT84" s="18"/>
      <c r="AU84" s="18"/>
      <c r="AV84" s="18"/>
      <c r="AW84" s="18"/>
      <c r="AX84" s="18"/>
      <c r="AY84" s="18"/>
      <c r="AZ84" s="171"/>
      <c r="BA84" s="171"/>
      <c r="BB84" s="172"/>
      <c r="BC84" s="172"/>
      <c r="BD84" s="172"/>
      <c r="BE84" s="172"/>
      <c r="BF84" s="172"/>
      <c r="BG84" s="172"/>
      <c r="BH84" s="22"/>
      <c r="BI84" s="628"/>
      <c r="BJ84" s="628"/>
      <c r="BK84" s="629"/>
      <c r="BL84" s="628"/>
      <c r="BM84" s="628"/>
      <c r="BN84" s="22"/>
      <c r="BO84" s="116"/>
      <c r="BP84" s="62"/>
      <c r="BQ84" s="116"/>
    </row>
    <row r="85" spans="1:69" x14ac:dyDescent="0.3">
      <c r="A85"/>
      <c r="AA85" s="18"/>
      <c r="AB85" s="172"/>
      <c r="AC85" s="172"/>
      <c r="AD85" s="172"/>
      <c r="AE85" s="172"/>
      <c r="AF85" s="172"/>
      <c r="AG85" s="172"/>
      <c r="AH85" s="172"/>
      <c r="AI85" s="171"/>
      <c r="AJ85" s="18"/>
      <c r="AK85" s="18"/>
      <c r="AL85" s="18"/>
      <c r="AM85" s="18"/>
      <c r="AN85" s="18"/>
      <c r="AO85" s="18"/>
      <c r="AP85" s="18"/>
      <c r="AQ85" s="18"/>
      <c r="AR85" s="18"/>
      <c r="AS85" s="18"/>
      <c r="AT85" s="18"/>
      <c r="AU85" s="18"/>
      <c r="AV85" s="18"/>
      <c r="AW85" s="18"/>
      <c r="AX85" s="18"/>
      <c r="AY85" s="18"/>
      <c r="AZ85" s="171"/>
      <c r="BA85" s="171"/>
      <c r="BB85" s="172"/>
      <c r="BC85" s="172"/>
      <c r="BD85" s="172"/>
      <c r="BE85" s="172"/>
      <c r="BF85" s="172"/>
      <c r="BG85" s="172"/>
      <c r="BH85" s="22"/>
      <c r="BI85" s="628"/>
      <c r="BJ85" s="628"/>
      <c r="BK85" s="629"/>
      <c r="BL85" s="628"/>
      <c r="BM85" s="628"/>
      <c r="BN85" s="22"/>
      <c r="BO85" s="116"/>
      <c r="BP85" s="62"/>
      <c r="BQ85" s="116"/>
    </row>
    <row r="86" spans="1:69" x14ac:dyDescent="0.3">
      <c r="A86"/>
      <c r="AA86" s="18"/>
      <c r="AB86" s="172"/>
      <c r="AC86" s="172"/>
      <c r="AD86" s="172"/>
      <c r="AE86" s="172"/>
      <c r="AF86" s="172"/>
      <c r="AG86" s="172"/>
      <c r="AH86" s="172"/>
      <c r="AI86" s="171"/>
      <c r="AJ86" s="18"/>
      <c r="AK86" s="18"/>
      <c r="AL86" s="18"/>
      <c r="AM86" s="18"/>
      <c r="AN86" s="18"/>
      <c r="AO86" s="18"/>
      <c r="AP86" s="18"/>
      <c r="AQ86" s="18"/>
      <c r="AR86" s="18"/>
      <c r="AS86" s="18"/>
      <c r="AT86" s="18"/>
      <c r="AU86" s="18"/>
      <c r="AV86" s="18"/>
      <c r="AW86" s="18"/>
      <c r="AX86" s="18"/>
      <c r="AY86" s="18"/>
      <c r="AZ86" s="171"/>
      <c r="BA86" s="171"/>
      <c r="BB86" s="172"/>
      <c r="BC86" s="172"/>
      <c r="BD86" s="172"/>
      <c r="BE86" s="172"/>
      <c r="BF86" s="172"/>
      <c r="BG86" s="172"/>
      <c r="BH86" s="22"/>
      <c r="BI86" s="628"/>
      <c r="BJ86" s="628"/>
      <c r="BK86" s="629"/>
      <c r="BL86" s="628"/>
      <c r="BM86" s="628"/>
      <c r="BN86" s="22"/>
      <c r="BO86" s="116"/>
      <c r="BP86" s="62"/>
      <c r="BQ86" s="116"/>
    </row>
    <row r="87" spans="1:69" x14ac:dyDescent="0.3">
      <c r="A87"/>
      <c r="AA87" s="18"/>
      <c r="AB87" s="172"/>
      <c r="AC87" s="172"/>
      <c r="AD87" s="172"/>
      <c r="AE87" s="172"/>
      <c r="AF87" s="172"/>
      <c r="AG87" s="172"/>
      <c r="AH87" s="172"/>
      <c r="AI87" s="171"/>
      <c r="AJ87" s="18"/>
      <c r="AK87" s="18"/>
      <c r="AL87" s="18"/>
      <c r="AM87" s="18"/>
      <c r="AN87" s="18"/>
      <c r="AO87" s="18"/>
      <c r="AP87" s="18"/>
      <c r="AQ87" s="18"/>
      <c r="AR87" s="18"/>
      <c r="AS87" s="18"/>
      <c r="AT87" s="18"/>
      <c r="AU87" s="18"/>
      <c r="AV87" s="18"/>
      <c r="AW87" s="18"/>
      <c r="AX87" s="18"/>
      <c r="AY87" s="18"/>
      <c r="AZ87" s="171"/>
      <c r="BA87" s="171"/>
      <c r="BB87" s="172"/>
      <c r="BC87" s="172"/>
      <c r="BD87" s="172"/>
      <c r="BE87" s="172"/>
      <c r="BF87" s="172"/>
      <c r="BG87" s="172"/>
      <c r="BH87" s="22"/>
      <c r="BI87" s="628"/>
      <c r="BJ87" s="628"/>
      <c r="BK87" s="629"/>
      <c r="BL87" s="628"/>
      <c r="BM87" s="628"/>
      <c r="BN87" s="22"/>
      <c r="BO87" s="116"/>
      <c r="BP87" s="62"/>
      <c r="BQ87" s="116"/>
    </row>
    <row r="88" spans="1:69" x14ac:dyDescent="0.3">
      <c r="A88"/>
      <c r="AA88" s="18"/>
      <c r="AB88" s="172"/>
      <c r="AC88" s="172"/>
      <c r="AD88" s="172"/>
      <c r="AE88" s="172"/>
      <c r="AF88" s="172"/>
      <c r="AG88" s="172"/>
      <c r="AH88" s="172"/>
      <c r="AI88" s="171"/>
      <c r="AJ88" s="18"/>
      <c r="AK88" s="18"/>
      <c r="AL88" s="18"/>
      <c r="AM88" s="18"/>
      <c r="AN88" s="18"/>
      <c r="AO88" s="18"/>
      <c r="AP88" s="18"/>
      <c r="AQ88" s="18"/>
      <c r="AR88" s="18"/>
      <c r="AS88" s="18"/>
      <c r="AT88" s="18"/>
      <c r="AU88" s="18"/>
      <c r="AV88" s="18"/>
      <c r="AW88" s="18"/>
      <c r="AX88" s="18"/>
      <c r="AY88" s="18"/>
      <c r="AZ88" s="171"/>
      <c r="BA88" s="171"/>
      <c r="BB88" s="22"/>
      <c r="BC88" s="628"/>
      <c r="BD88" s="628"/>
      <c r="BE88" s="628"/>
      <c r="BF88" s="628"/>
      <c r="BG88" s="628"/>
      <c r="BH88" s="628"/>
      <c r="BI88" s="22"/>
      <c r="BJ88" s="628"/>
      <c r="BK88" s="22"/>
      <c r="BL88" s="22"/>
      <c r="BM88" s="22"/>
      <c r="BN88" s="22"/>
    </row>
    <row r="89" spans="1:69" x14ac:dyDescent="0.3">
      <c r="A89"/>
      <c r="AA89" s="18"/>
      <c r="AB89" s="172"/>
      <c r="AC89" s="172"/>
      <c r="AD89" s="172"/>
      <c r="AE89" s="172"/>
      <c r="AF89" s="172"/>
      <c r="AG89" s="172"/>
      <c r="AH89" s="172"/>
      <c r="AI89" s="171"/>
      <c r="AJ89" s="18"/>
      <c r="AK89" s="18"/>
      <c r="AL89" s="18"/>
      <c r="AM89" s="18"/>
      <c r="AN89" s="18"/>
      <c r="AO89" s="18"/>
      <c r="AP89" s="18"/>
      <c r="AQ89" s="18"/>
      <c r="AR89" s="18"/>
      <c r="AS89" s="18"/>
      <c r="AT89" s="18"/>
      <c r="AU89" s="18"/>
      <c r="AV89" s="18"/>
      <c r="AW89" s="18"/>
      <c r="AX89" s="18"/>
      <c r="AY89" s="18"/>
      <c r="AZ89" s="171"/>
      <c r="BA89" s="171"/>
      <c r="BB89" s="22"/>
      <c r="BC89" s="29"/>
      <c r="BD89" s="29"/>
      <c r="BE89" s="29"/>
      <c r="BF89" s="29"/>
      <c r="BG89" s="29"/>
      <c r="BH89" s="29"/>
      <c r="BI89" s="22"/>
      <c r="BJ89" s="22"/>
      <c r="BK89" s="22"/>
      <c r="BL89" s="22"/>
      <c r="BM89" s="22"/>
      <c r="BN89" s="22"/>
    </row>
    <row r="90" spans="1:69" x14ac:dyDescent="0.3">
      <c r="A90"/>
      <c r="V90" s="17"/>
      <c r="W90" s="17"/>
      <c r="X90" s="17"/>
      <c r="Y90" s="17"/>
      <c r="Z90" s="17"/>
      <c r="AA90" s="22"/>
      <c r="AB90" s="22"/>
      <c r="AC90" s="22"/>
      <c r="AD90" s="22"/>
      <c r="AE90" s="22"/>
      <c r="AF90" s="22"/>
      <c r="AG90" s="22"/>
      <c r="AH90" s="22"/>
      <c r="AI90" s="22"/>
      <c r="AJ90" s="22"/>
      <c r="AK90" s="22"/>
      <c r="AL90" s="173"/>
      <c r="AM90" s="22"/>
      <c r="AN90" s="22"/>
      <c r="AO90" s="22"/>
      <c r="AP90" s="22"/>
      <c r="AQ90" s="22"/>
      <c r="AR90" s="22"/>
      <c r="AS90" s="22"/>
      <c r="AT90" s="22"/>
      <c r="AU90" s="22"/>
      <c r="AV90" s="22"/>
      <c r="AW90" s="22"/>
      <c r="AX90" s="22"/>
      <c r="AY90" s="22"/>
      <c r="AZ90" s="22"/>
      <c r="BA90" s="18"/>
      <c r="BB90" s="22"/>
      <c r="BC90" s="399"/>
      <c r="BD90" s="399"/>
      <c r="BE90" s="399"/>
      <c r="BF90" s="399"/>
      <c r="BG90" s="399"/>
      <c r="BH90" s="399"/>
      <c r="BI90" s="22"/>
      <c r="BJ90" s="22"/>
      <c r="BK90" s="22"/>
      <c r="BL90" s="22"/>
      <c r="BM90" s="22"/>
      <c r="BN90" s="22"/>
    </row>
    <row r="91" spans="1:69" x14ac:dyDescent="0.3">
      <c r="A91"/>
      <c r="V91" s="17"/>
      <c r="W91" s="17"/>
      <c r="X91" s="17"/>
      <c r="Y91" s="17"/>
      <c r="Z91" s="17"/>
      <c r="AA91" s="22"/>
      <c r="AB91" s="22"/>
      <c r="AC91" s="22"/>
      <c r="AD91" s="22"/>
      <c r="AE91" s="22"/>
      <c r="AF91" s="22"/>
      <c r="AG91" s="22"/>
      <c r="AH91" s="22"/>
      <c r="AI91" s="22"/>
      <c r="AJ91" s="22"/>
      <c r="AK91" s="22"/>
      <c r="AL91" s="25"/>
      <c r="AM91" s="22"/>
      <c r="AN91" s="22"/>
      <c r="AO91" s="22"/>
      <c r="AP91" s="22"/>
      <c r="AQ91" s="22"/>
      <c r="AR91" s="22"/>
      <c r="AS91" s="22"/>
      <c r="AT91" s="22"/>
      <c r="AU91" s="22"/>
      <c r="AV91" s="22"/>
      <c r="AW91" s="22"/>
      <c r="AX91" s="22"/>
      <c r="AY91" s="22"/>
      <c r="AZ91" s="22"/>
      <c r="BA91" s="18"/>
      <c r="BB91" s="22"/>
      <c r="BC91" s="22"/>
      <c r="BD91" s="22"/>
      <c r="BE91" s="22"/>
      <c r="BF91" s="22"/>
      <c r="BG91" s="22"/>
      <c r="BH91" s="22"/>
      <c r="BI91" s="22"/>
      <c r="BJ91" s="22"/>
      <c r="BK91" s="22"/>
      <c r="BL91" s="22"/>
      <c r="BM91" s="22"/>
      <c r="BN91" s="22"/>
    </row>
    <row r="92" spans="1:69" x14ac:dyDescent="0.3">
      <c r="A92"/>
      <c r="AA92" s="18"/>
      <c r="AB92" s="22"/>
      <c r="AC92" s="22"/>
      <c r="AD92" s="22"/>
      <c r="AE92" s="22"/>
      <c r="AF92" s="22"/>
      <c r="AG92" s="22"/>
      <c r="AH92" s="22"/>
      <c r="AI92" s="18"/>
      <c r="AJ92" s="18"/>
      <c r="AK92" s="18"/>
      <c r="AL92" s="18"/>
      <c r="AM92" s="18"/>
      <c r="AN92" s="18"/>
      <c r="AO92" s="18"/>
      <c r="AP92" s="18"/>
      <c r="AQ92" s="18"/>
      <c r="AR92" s="18"/>
      <c r="AS92" s="18"/>
      <c r="AT92" s="18"/>
      <c r="AU92" s="18"/>
      <c r="AV92" s="18"/>
      <c r="AW92" s="18"/>
      <c r="AX92" s="18"/>
      <c r="AY92" s="18"/>
      <c r="AZ92" s="18"/>
      <c r="BA92" s="18"/>
      <c r="BB92" s="22"/>
      <c r="BC92" s="22"/>
      <c r="BD92" s="22"/>
      <c r="BE92" s="22"/>
      <c r="BF92" s="22"/>
      <c r="BG92" s="22"/>
      <c r="BH92" s="22"/>
      <c r="BI92" s="22"/>
      <c r="BJ92" s="22"/>
      <c r="BK92" s="22"/>
      <c r="BL92" s="22"/>
      <c r="BM92" s="22"/>
      <c r="BN92" s="22"/>
    </row>
    <row r="93" spans="1:69" x14ac:dyDescent="0.3">
      <c r="A93"/>
      <c r="AA93" s="18"/>
      <c r="AB93" s="22"/>
      <c r="AC93" s="22"/>
      <c r="AD93" s="22"/>
      <c r="AE93" s="22"/>
      <c r="AF93" s="22"/>
      <c r="AG93" s="22"/>
      <c r="AH93" s="22"/>
      <c r="AI93" s="18"/>
      <c r="AJ93" s="18"/>
      <c r="AK93" s="18"/>
      <c r="AL93" s="18"/>
      <c r="AM93" s="18"/>
      <c r="AN93" s="18"/>
      <c r="AO93" s="18"/>
      <c r="AP93" s="18"/>
      <c r="AQ93" s="18"/>
      <c r="AR93" s="18"/>
      <c r="AS93" s="18"/>
      <c r="AT93" s="18"/>
      <c r="AU93" s="18"/>
      <c r="AV93" s="18"/>
      <c r="AW93" s="18"/>
      <c r="AX93" s="18"/>
      <c r="AY93" s="18"/>
      <c r="AZ93" s="18"/>
      <c r="BA93" s="18"/>
    </row>
    <row r="94" spans="1:69" x14ac:dyDescent="0.3">
      <c r="A94"/>
      <c r="AA94" s="18"/>
      <c r="AB94" s="22"/>
      <c r="AC94" s="22"/>
      <c r="AD94" s="22"/>
      <c r="AE94" s="22"/>
      <c r="AF94" s="22"/>
      <c r="AG94" s="22"/>
      <c r="AH94" s="22"/>
      <c r="AI94" s="18"/>
      <c r="AJ94" s="18"/>
      <c r="AK94" s="18"/>
      <c r="AL94" s="18"/>
      <c r="AM94" s="18"/>
      <c r="AN94" s="18"/>
      <c r="AO94" s="18"/>
    </row>
    <row r="95" spans="1:69" x14ac:dyDescent="0.3">
      <c r="A95"/>
      <c r="AA95" s="18"/>
      <c r="AB95" s="22"/>
      <c r="AC95" s="22"/>
      <c r="AD95" s="22"/>
      <c r="AE95" s="22"/>
      <c r="AF95" s="22"/>
      <c r="AG95" s="22"/>
      <c r="AH95" s="22"/>
      <c r="AI95" s="18"/>
      <c r="AJ95" s="18"/>
      <c r="AK95" s="18"/>
      <c r="AL95" s="18"/>
      <c r="AM95" s="18"/>
      <c r="AN95" s="18"/>
      <c r="AO95" s="18"/>
    </row>
    <row r="96" spans="1:69" x14ac:dyDescent="0.3">
      <c r="A96"/>
      <c r="AA96" s="18"/>
      <c r="AB96" s="22"/>
      <c r="AC96" s="22"/>
      <c r="AD96" s="22"/>
      <c r="AE96" s="22"/>
      <c r="AF96" s="22"/>
      <c r="AG96" s="22"/>
      <c r="AH96" s="22"/>
      <c r="AI96" s="18"/>
      <c r="AJ96" s="18"/>
      <c r="AK96" s="18"/>
      <c r="AL96" s="18"/>
      <c r="AM96" s="18"/>
      <c r="AN96" s="18"/>
      <c r="AO96" s="18"/>
    </row>
    <row r="97" spans="1:41" x14ac:dyDescent="0.3">
      <c r="A97"/>
      <c r="AA97" s="18"/>
      <c r="AB97" s="22"/>
      <c r="AC97" s="22"/>
      <c r="AD97" s="22"/>
      <c r="AE97" s="22"/>
      <c r="AF97" s="22"/>
      <c r="AG97" s="22"/>
      <c r="AH97" s="22"/>
      <c r="AI97" s="18"/>
      <c r="AJ97" s="18"/>
      <c r="AK97" s="18"/>
      <c r="AL97" s="18"/>
      <c r="AM97" s="18"/>
      <c r="AN97" s="18"/>
      <c r="AO97" s="18"/>
    </row>
    <row r="98" spans="1:41" x14ac:dyDescent="0.3">
      <c r="A98"/>
      <c r="AA98" s="18"/>
      <c r="AB98" s="22"/>
      <c r="AC98" s="22"/>
      <c r="AD98" s="22"/>
      <c r="AE98" s="22"/>
      <c r="AF98" s="22"/>
      <c r="AG98" s="22"/>
      <c r="AH98" s="22"/>
      <c r="AI98" s="18"/>
      <c r="AJ98" s="18"/>
      <c r="AK98" s="18"/>
      <c r="AL98" s="18"/>
      <c r="AM98" s="18"/>
      <c r="AN98" s="18"/>
      <c r="AO98" s="18"/>
    </row>
    <row r="99" spans="1:41" x14ac:dyDescent="0.3">
      <c r="A99"/>
      <c r="AB99" s="17"/>
      <c r="AC99" s="17"/>
      <c r="AD99" s="17"/>
      <c r="AE99" s="17"/>
      <c r="AF99" s="17"/>
      <c r="AG99" s="17"/>
      <c r="AH99" s="17"/>
    </row>
    <row r="100" spans="1:41" x14ac:dyDescent="0.3">
      <c r="A100"/>
      <c r="AB100" s="17"/>
      <c r="AC100" s="17"/>
      <c r="AD100" s="17"/>
      <c r="AE100" s="17"/>
      <c r="AF100" s="17"/>
      <c r="AG100" s="17"/>
      <c r="AH100" s="17"/>
    </row>
    <row r="101" spans="1:41" x14ac:dyDescent="0.3">
      <c r="A101"/>
      <c r="AB101" s="17"/>
      <c r="AC101" s="17"/>
      <c r="AD101" s="17"/>
      <c r="AE101" s="17"/>
      <c r="AF101" s="17"/>
      <c r="AG101" s="17"/>
      <c r="AH101" s="17"/>
    </row>
    <row r="102" spans="1:41" x14ac:dyDescent="0.3">
      <c r="A102"/>
      <c r="AB102" s="17"/>
      <c r="AC102" s="17"/>
      <c r="AD102" s="17"/>
      <c r="AE102" s="17"/>
      <c r="AF102" s="17"/>
      <c r="AG102" s="17"/>
      <c r="AH102" s="17"/>
    </row>
    <row r="103" spans="1:41" x14ac:dyDescent="0.3">
      <c r="A103"/>
      <c r="AB103" s="17"/>
      <c r="AC103" s="17"/>
      <c r="AD103" s="17"/>
      <c r="AE103" s="17"/>
      <c r="AF103" s="17"/>
      <c r="AG103" s="17"/>
      <c r="AH103" s="17"/>
    </row>
    <row r="104" spans="1:41" x14ac:dyDescent="0.3">
      <c r="A104"/>
      <c r="AB104" s="17"/>
      <c r="AC104" s="17"/>
      <c r="AD104" s="17"/>
      <c r="AE104" s="17"/>
      <c r="AF104" s="17"/>
      <c r="AG104" s="17"/>
      <c r="AH104" s="17"/>
    </row>
    <row r="105" spans="1:41" x14ac:dyDescent="0.3">
      <c r="A105"/>
      <c r="AB105" s="17"/>
      <c r="AC105" s="17"/>
      <c r="AD105" s="17"/>
      <c r="AE105" s="17"/>
      <c r="AF105" s="17"/>
      <c r="AG105" s="17"/>
      <c r="AH105" s="17"/>
    </row>
    <row r="106" spans="1:41" x14ac:dyDescent="0.3">
      <c r="A106"/>
      <c r="AB106" s="17"/>
      <c r="AC106" s="17"/>
      <c r="AD106" s="17"/>
      <c r="AE106" s="17"/>
      <c r="AF106" s="17"/>
      <c r="AG106" s="17"/>
      <c r="AH106" s="17"/>
    </row>
    <row r="107" spans="1:41" x14ac:dyDescent="0.3">
      <c r="A107"/>
      <c r="AB107" s="17"/>
      <c r="AC107" s="17"/>
      <c r="AD107" s="17"/>
      <c r="AE107" s="17"/>
      <c r="AF107" s="17"/>
      <c r="AG107" s="17"/>
      <c r="AH107" s="17"/>
    </row>
    <row r="108" spans="1:41" x14ac:dyDescent="0.3">
      <c r="A108"/>
      <c r="AB108" s="17"/>
      <c r="AC108" s="17"/>
      <c r="AD108" s="17"/>
      <c r="AE108" s="17"/>
      <c r="AF108" s="17"/>
      <c r="AG108" s="17"/>
      <c r="AH108" s="17"/>
    </row>
    <row r="109" spans="1:41" x14ac:dyDescent="0.3">
      <c r="A109"/>
      <c r="AB109" s="17"/>
      <c r="AC109" s="17"/>
      <c r="AD109" s="17"/>
      <c r="AE109" s="17"/>
      <c r="AF109" s="17"/>
      <c r="AG109" s="17"/>
      <c r="AH109" s="17"/>
    </row>
    <row r="110" spans="1:41" x14ac:dyDescent="0.3">
      <c r="A110"/>
      <c r="AB110" s="17"/>
      <c r="AC110" s="17"/>
      <c r="AD110" s="17"/>
      <c r="AE110" s="17"/>
      <c r="AF110" s="17"/>
      <c r="AG110" s="17"/>
      <c r="AH110" s="17"/>
    </row>
    <row r="111" spans="1:41" x14ac:dyDescent="0.3">
      <c r="A111"/>
      <c r="AB111" s="17"/>
      <c r="AC111" s="17"/>
      <c r="AD111" s="17"/>
      <c r="AE111" s="17"/>
      <c r="AF111" s="17"/>
      <c r="AG111" s="17"/>
      <c r="AH111" s="17"/>
    </row>
    <row r="112" spans="1:41" x14ac:dyDescent="0.3">
      <c r="A112"/>
      <c r="AB112" s="17"/>
      <c r="AC112" s="17"/>
      <c r="AD112" s="17"/>
      <c r="AE112" s="17"/>
      <c r="AF112" s="17"/>
      <c r="AG112" s="17"/>
      <c r="AH112" s="17"/>
    </row>
    <row r="113" spans="1:34" x14ac:dyDescent="0.3">
      <c r="A113"/>
      <c r="AB113" s="17"/>
      <c r="AC113" s="17"/>
      <c r="AD113" s="17"/>
      <c r="AE113" s="17"/>
      <c r="AF113" s="17"/>
      <c r="AG113" s="17"/>
      <c r="AH113" s="17"/>
    </row>
    <row r="114" spans="1:34" x14ac:dyDescent="0.3">
      <c r="A114"/>
      <c r="AB114" s="17"/>
      <c r="AC114" s="17"/>
      <c r="AD114" s="17"/>
      <c r="AE114" s="17"/>
      <c r="AF114" s="17"/>
      <c r="AG114" s="17"/>
      <c r="AH114" s="17"/>
    </row>
    <row r="115" spans="1:34" x14ac:dyDescent="0.3">
      <c r="A115"/>
      <c r="AB115" s="17"/>
      <c r="AC115" s="17"/>
      <c r="AD115" s="17"/>
      <c r="AE115" s="17"/>
      <c r="AF115" s="17"/>
      <c r="AG115" s="17"/>
      <c r="AH115" s="17"/>
    </row>
    <row r="116" spans="1:34" x14ac:dyDescent="0.3">
      <c r="A116"/>
      <c r="AB116" s="17"/>
      <c r="AC116" s="17"/>
      <c r="AD116" s="17"/>
      <c r="AE116" s="17"/>
      <c r="AF116" s="17"/>
      <c r="AG116" s="17"/>
      <c r="AH116" s="17"/>
    </row>
    <row r="117" spans="1:34" x14ac:dyDescent="0.3">
      <c r="A117"/>
      <c r="AB117" s="17"/>
      <c r="AC117" s="17"/>
      <c r="AD117" s="17"/>
      <c r="AE117" s="17"/>
      <c r="AF117" s="17"/>
      <c r="AG117" s="17"/>
      <c r="AH117" s="17"/>
    </row>
    <row r="118" spans="1:34" x14ac:dyDescent="0.3">
      <c r="A118"/>
    </row>
    <row r="119" spans="1:34" x14ac:dyDescent="0.3">
      <c r="A119"/>
    </row>
    <row r="120" spans="1:34" x14ac:dyDescent="0.3">
      <c r="A120"/>
    </row>
    <row r="121" spans="1:34" x14ac:dyDescent="0.3">
      <c r="A121"/>
    </row>
    <row r="122" spans="1:34" x14ac:dyDescent="0.3">
      <c r="A122"/>
    </row>
    <row r="123" spans="1:34" x14ac:dyDescent="0.3">
      <c r="A123"/>
    </row>
    <row r="124" spans="1:34" x14ac:dyDescent="0.3">
      <c r="A124"/>
    </row>
    <row r="125" spans="1:34" x14ac:dyDescent="0.3">
      <c r="A125"/>
    </row>
    <row r="126" spans="1:34" x14ac:dyDescent="0.3">
      <c r="A126"/>
    </row>
    <row r="127" spans="1:34" x14ac:dyDescent="0.3">
      <c r="A127"/>
    </row>
    <row r="128" spans="1:34"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 x14ac:dyDescent="0.3">
      <c r="A337"/>
    </row>
    <row r="338" spans="1:1" x14ac:dyDescent="0.3">
      <c r="A338"/>
    </row>
    <row r="339" spans="1:1" x14ac:dyDescent="0.3">
      <c r="A339"/>
    </row>
    <row r="340" spans="1:1" x14ac:dyDescent="0.3">
      <c r="A340"/>
    </row>
    <row r="341" spans="1:1" x14ac:dyDescent="0.3">
      <c r="A341"/>
    </row>
    <row r="342" spans="1:1" x14ac:dyDescent="0.3">
      <c r="A342"/>
    </row>
    <row r="343" spans="1:1" x14ac:dyDescent="0.3">
      <c r="A343"/>
    </row>
    <row r="344" spans="1:1" x14ac:dyDescent="0.3">
      <c r="A344"/>
    </row>
    <row r="345" spans="1:1" x14ac:dyDescent="0.3">
      <c r="A345"/>
    </row>
    <row r="346" spans="1:1" x14ac:dyDescent="0.3">
      <c r="A346"/>
    </row>
    <row r="347" spans="1:1" x14ac:dyDescent="0.3">
      <c r="A347"/>
    </row>
    <row r="348" spans="1:1" x14ac:dyDescent="0.3">
      <c r="A348"/>
    </row>
    <row r="349" spans="1:1" x14ac:dyDescent="0.3">
      <c r="A349"/>
    </row>
    <row r="350" spans="1:1" x14ac:dyDescent="0.3">
      <c r="A350"/>
    </row>
    <row r="351" spans="1:1" x14ac:dyDescent="0.3">
      <c r="A351"/>
    </row>
    <row r="352" spans="1:1" x14ac:dyDescent="0.3">
      <c r="A352"/>
    </row>
    <row r="353" spans="1:1" x14ac:dyDescent="0.3">
      <c r="A353"/>
    </row>
    <row r="354" spans="1:1" x14ac:dyDescent="0.3">
      <c r="A354"/>
    </row>
    <row r="355" spans="1:1" x14ac:dyDescent="0.3">
      <c r="A355"/>
    </row>
    <row r="356" spans="1:1" x14ac:dyDescent="0.3">
      <c r="A356"/>
    </row>
    <row r="357" spans="1:1" x14ac:dyDescent="0.3">
      <c r="A357"/>
    </row>
    <row r="358" spans="1:1" x14ac:dyDescent="0.3">
      <c r="A358"/>
    </row>
    <row r="359" spans="1:1" x14ac:dyDescent="0.3">
      <c r="A359"/>
    </row>
    <row r="360" spans="1:1" x14ac:dyDescent="0.3">
      <c r="A360"/>
    </row>
    <row r="361" spans="1:1" x14ac:dyDescent="0.3">
      <c r="A361"/>
    </row>
    <row r="362" spans="1:1" x14ac:dyDescent="0.3">
      <c r="A362"/>
    </row>
    <row r="363" spans="1:1" x14ac:dyDescent="0.3">
      <c r="A363"/>
    </row>
    <row r="364" spans="1:1" x14ac:dyDescent="0.3">
      <c r="A364"/>
    </row>
    <row r="365" spans="1:1" x14ac:dyDescent="0.3">
      <c r="A365"/>
    </row>
    <row r="366" spans="1:1" x14ac:dyDescent="0.3">
      <c r="A366"/>
    </row>
    <row r="367" spans="1:1" x14ac:dyDescent="0.3">
      <c r="A367"/>
    </row>
    <row r="368" spans="1:1" x14ac:dyDescent="0.3">
      <c r="A368"/>
    </row>
    <row r="369" spans="1:1" x14ac:dyDescent="0.3">
      <c r="A369"/>
    </row>
    <row r="370" spans="1:1" x14ac:dyDescent="0.3">
      <c r="A370"/>
    </row>
    <row r="371" spans="1:1" x14ac:dyDescent="0.3">
      <c r="A371"/>
    </row>
    <row r="372" spans="1:1" x14ac:dyDescent="0.3">
      <c r="A372"/>
    </row>
    <row r="373" spans="1:1" x14ac:dyDescent="0.3">
      <c r="A373"/>
    </row>
    <row r="374" spans="1:1" x14ac:dyDescent="0.3">
      <c r="A374"/>
    </row>
    <row r="375" spans="1:1" x14ac:dyDescent="0.3">
      <c r="A375"/>
    </row>
    <row r="376" spans="1:1" x14ac:dyDescent="0.3">
      <c r="A376"/>
    </row>
    <row r="377" spans="1:1" x14ac:dyDescent="0.3">
      <c r="A377"/>
    </row>
    <row r="378" spans="1:1" x14ac:dyDescent="0.3">
      <c r="A378"/>
    </row>
    <row r="379" spans="1:1" x14ac:dyDescent="0.3">
      <c r="A379"/>
    </row>
    <row r="380" spans="1:1" x14ac:dyDescent="0.3">
      <c r="A380"/>
    </row>
    <row r="381" spans="1:1" x14ac:dyDescent="0.3">
      <c r="A381"/>
    </row>
    <row r="382" spans="1:1" x14ac:dyDescent="0.3">
      <c r="A382"/>
    </row>
    <row r="383" spans="1:1" x14ac:dyDescent="0.3">
      <c r="A383"/>
    </row>
    <row r="384" spans="1:1" x14ac:dyDescent="0.3">
      <c r="A384"/>
    </row>
    <row r="385" spans="1:1" x14ac:dyDescent="0.3">
      <c r="A385"/>
    </row>
    <row r="386" spans="1:1" x14ac:dyDescent="0.3">
      <c r="A386"/>
    </row>
    <row r="387" spans="1:1" x14ac:dyDescent="0.3">
      <c r="A387"/>
    </row>
    <row r="388" spans="1:1" x14ac:dyDescent="0.3">
      <c r="A388"/>
    </row>
    <row r="389" spans="1:1" x14ac:dyDescent="0.3">
      <c r="A389"/>
    </row>
    <row r="390" spans="1:1" x14ac:dyDescent="0.3">
      <c r="A390"/>
    </row>
    <row r="391" spans="1:1" x14ac:dyDescent="0.3">
      <c r="A391"/>
    </row>
    <row r="392" spans="1:1" x14ac:dyDescent="0.3">
      <c r="A392"/>
    </row>
    <row r="393" spans="1:1" x14ac:dyDescent="0.3">
      <c r="A393"/>
    </row>
    <row r="394" spans="1:1" x14ac:dyDescent="0.3">
      <c r="A394"/>
    </row>
    <row r="395" spans="1:1" x14ac:dyDescent="0.3">
      <c r="A395"/>
    </row>
    <row r="396" spans="1:1" x14ac:dyDescent="0.3">
      <c r="A396"/>
    </row>
    <row r="397" spans="1:1" x14ac:dyDescent="0.3">
      <c r="A397"/>
    </row>
    <row r="398" spans="1:1" x14ac:dyDescent="0.3">
      <c r="A398"/>
    </row>
    <row r="399" spans="1:1" x14ac:dyDescent="0.3">
      <c r="A399"/>
    </row>
    <row r="400" spans="1:1" x14ac:dyDescent="0.3">
      <c r="A400"/>
    </row>
    <row r="401" spans="1:1" x14ac:dyDescent="0.3">
      <c r="A401"/>
    </row>
    <row r="402" spans="1:1" x14ac:dyDescent="0.3">
      <c r="A402"/>
    </row>
    <row r="403" spans="1:1" x14ac:dyDescent="0.3">
      <c r="A403"/>
    </row>
    <row r="404" spans="1:1" x14ac:dyDescent="0.3">
      <c r="A404"/>
    </row>
    <row r="405" spans="1:1" x14ac:dyDescent="0.3">
      <c r="A405"/>
    </row>
    <row r="406" spans="1:1" x14ac:dyDescent="0.3">
      <c r="A406"/>
    </row>
    <row r="407" spans="1:1" x14ac:dyDescent="0.3">
      <c r="A407"/>
    </row>
    <row r="408" spans="1:1" x14ac:dyDescent="0.3">
      <c r="A408"/>
    </row>
    <row r="409" spans="1:1" x14ac:dyDescent="0.3">
      <c r="A409"/>
    </row>
    <row r="410" spans="1:1" x14ac:dyDescent="0.3">
      <c r="A410"/>
    </row>
    <row r="411" spans="1:1" x14ac:dyDescent="0.3">
      <c r="A411"/>
    </row>
    <row r="412" spans="1:1" x14ac:dyDescent="0.3">
      <c r="A412"/>
    </row>
    <row r="413" spans="1:1" x14ac:dyDescent="0.3">
      <c r="A413"/>
    </row>
    <row r="414" spans="1:1" x14ac:dyDescent="0.3">
      <c r="A414"/>
    </row>
    <row r="415" spans="1:1" x14ac:dyDescent="0.3">
      <c r="A415"/>
    </row>
    <row r="416" spans="1:1" x14ac:dyDescent="0.3">
      <c r="A416"/>
    </row>
    <row r="417" spans="1:1" x14ac:dyDescent="0.3">
      <c r="A417"/>
    </row>
    <row r="418" spans="1:1" x14ac:dyDescent="0.3">
      <c r="A418"/>
    </row>
    <row r="419" spans="1:1" x14ac:dyDescent="0.3">
      <c r="A419"/>
    </row>
    <row r="420" spans="1:1" x14ac:dyDescent="0.3">
      <c r="A420"/>
    </row>
    <row r="421" spans="1:1" x14ac:dyDescent="0.3">
      <c r="A421"/>
    </row>
    <row r="422" spans="1:1" x14ac:dyDescent="0.3">
      <c r="A422"/>
    </row>
    <row r="423" spans="1:1" x14ac:dyDescent="0.3">
      <c r="A423"/>
    </row>
    <row r="424" spans="1:1" x14ac:dyDescent="0.3">
      <c r="A424"/>
    </row>
    <row r="425" spans="1:1" x14ac:dyDescent="0.3">
      <c r="A425"/>
    </row>
    <row r="426" spans="1:1" x14ac:dyDescent="0.3">
      <c r="A426"/>
    </row>
    <row r="427" spans="1:1" x14ac:dyDescent="0.3">
      <c r="A427"/>
    </row>
    <row r="428" spans="1:1" x14ac:dyDescent="0.3">
      <c r="A428"/>
    </row>
    <row r="429" spans="1:1" x14ac:dyDescent="0.3">
      <c r="A429"/>
    </row>
    <row r="430" spans="1:1" x14ac:dyDescent="0.3">
      <c r="A430"/>
    </row>
    <row r="431" spans="1:1" x14ac:dyDescent="0.3">
      <c r="A431"/>
    </row>
    <row r="432" spans="1:1" x14ac:dyDescent="0.3">
      <c r="A432"/>
    </row>
    <row r="433" spans="1:1" x14ac:dyDescent="0.3">
      <c r="A433"/>
    </row>
    <row r="434" spans="1:1" x14ac:dyDescent="0.3">
      <c r="A434"/>
    </row>
    <row r="435" spans="1:1" x14ac:dyDescent="0.3">
      <c r="A435"/>
    </row>
    <row r="436" spans="1:1" x14ac:dyDescent="0.3">
      <c r="A436"/>
    </row>
    <row r="437" spans="1:1" x14ac:dyDescent="0.3">
      <c r="A437"/>
    </row>
    <row r="438" spans="1:1" x14ac:dyDescent="0.3">
      <c r="A438"/>
    </row>
    <row r="439" spans="1:1" x14ac:dyDescent="0.3">
      <c r="A439"/>
    </row>
    <row r="440" spans="1:1" x14ac:dyDescent="0.3">
      <c r="A440"/>
    </row>
    <row r="441" spans="1:1" x14ac:dyDescent="0.3">
      <c r="A441"/>
    </row>
    <row r="442" spans="1:1" x14ac:dyDescent="0.3">
      <c r="A442"/>
    </row>
    <row r="443" spans="1:1" x14ac:dyDescent="0.3">
      <c r="A443"/>
    </row>
    <row r="444" spans="1:1" x14ac:dyDescent="0.3">
      <c r="A444"/>
    </row>
    <row r="445" spans="1:1" x14ac:dyDescent="0.3">
      <c r="A445"/>
    </row>
    <row r="446" spans="1:1" x14ac:dyDescent="0.3">
      <c r="A446"/>
    </row>
    <row r="447" spans="1:1" x14ac:dyDescent="0.3">
      <c r="A447"/>
    </row>
    <row r="448" spans="1:1" x14ac:dyDescent="0.3">
      <c r="A448"/>
    </row>
    <row r="449" spans="1:1" x14ac:dyDescent="0.3">
      <c r="A449"/>
    </row>
    <row r="450" spans="1:1" x14ac:dyDescent="0.3">
      <c r="A450"/>
    </row>
    <row r="451" spans="1:1" x14ac:dyDescent="0.3">
      <c r="A451"/>
    </row>
    <row r="452" spans="1:1" x14ac:dyDescent="0.3">
      <c r="A452"/>
    </row>
    <row r="453" spans="1:1" x14ac:dyDescent="0.3">
      <c r="A453"/>
    </row>
    <row r="454" spans="1:1" x14ac:dyDescent="0.3">
      <c r="A454"/>
    </row>
    <row r="455" spans="1:1" x14ac:dyDescent="0.3">
      <c r="A455"/>
    </row>
    <row r="456" spans="1:1" x14ac:dyDescent="0.3">
      <c r="A456"/>
    </row>
    <row r="457" spans="1:1" x14ac:dyDescent="0.3">
      <c r="A457"/>
    </row>
    <row r="458" spans="1:1" x14ac:dyDescent="0.3">
      <c r="A458"/>
    </row>
    <row r="459" spans="1:1" x14ac:dyDescent="0.3">
      <c r="A459"/>
    </row>
    <row r="460" spans="1:1" x14ac:dyDescent="0.3">
      <c r="A460"/>
    </row>
    <row r="461" spans="1:1" x14ac:dyDescent="0.3">
      <c r="A461"/>
    </row>
    <row r="462" spans="1:1" x14ac:dyDescent="0.3">
      <c r="A462"/>
    </row>
    <row r="463" spans="1:1" x14ac:dyDescent="0.3">
      <c r="A463"/>
    </row>
    <row r="464" spans="1:1" x14ac:dyDescent="0.3">
      <c r="A464"/>
    </row>
    <row r="465" spans="1:1" x14ac:dyDescent="0.3">
      <c r="A465"/>
    </row>
    <row r="466" spans="1:1" x14ac:dyDescent="0.3">
      <c r="A466"/>
    </row>
    <row r="467" spans="1:1" x14ac:dyDescent="0.3">
      <c r="A467"/>
    </row>
    <row r="468" spans="1:1" x14ac:dyDescent="0.3">
      <c r="A468"/>
    </row>
    <row r="469" spans="1:1" x14ac:dyDescent="0.3">
      <c r="A469"/>
    </row>
    <row r="470" spans="1:1" x14ac:dyDescent="0.3">
      <c r="A470"/>
    </row>
    <row r="471" spans="1:1" x14ac:dyDescent="0.3">
      <c r="A471"/>
    </row>
    <row r="472" spans="1:1" x14ac:dyDescent="0.3">
      <c r="A472"/>
    </row>
    <row r="473" spans="1:1" x14ac:dyDescent="0.3">
      <c r="A473"/>
    </row>
    <row r="474" spans="1:1" x14ac:dyDescent="0.3">
      <c r="A474"/>
    </row>
    <row r="475" spans="1:1" x14ac:dyDescent="0.3">
      <c r="A475"/>
    </row>
    <row r="476" spans="1:1" x14ac:dyDescent="0.3">
      <c r="A476"/>
    </row>
    <row r="477" spans="1:1" x14ac:dyDescent="0.3">
      <c r="A477"/>
    </row>
    <row r="478" spans="1:1" x14ac:dyDescent="0.3">
      <c r="A478"/>
    </row>
    <row r="479" spans="1:1" x14ac:dyDescent="0.3">
      <c r="A479"/>
    </row>
    <row r="480" spans="1:1" x14ac:dyDescent="0.3">
      <c r="A480"/>
    </row>
    <row r="481" spans="1:1" x14ac:dyDescent="0.3">
      <c r="A481"/>
    </row>
    <row r="482" spans="1:1" x14ac:dyDescent="0.3">
      <c r="A482"/>
    </row>
    <row r="483" spans="1:1" x14ac:dyDescent="0.3">
      <c r="A483"/>
    </row>
    <row r="484" spans="1:1" x14ac:dyDescent="0.3">
      <c r="A484"/>
    </row>
    <row r="485" spans="1:1" x14ac:dyDescent="0.3">
      <c r="A485"/>
    </row>
    <row r="486" spans="1:1" x14ac:dyDescent="0.3">
      <c r="A486"/>
    </row>
    <row r="487" spans="1:1" x14ac:dyDescent="0.3">
      <c r="A487"/>
    </row>
    <row r="488" spans="1:1" x14ac:dyDescent="0.3">
      <c r="A488"/>
    </row>
    <row r="489" spans="1:1" x14ac:dyDescent="0.3">
      <c r="A489"/>
    </row>
    <row r="490" spans="1:1" x14ac:dyDescent="0.3">
      <c r="A490"/>
    </row>
    <row r="491" spans="1:1" x14ac:dyDescent="0.3">
      <c r="A491"/>
    </row>
    <row r="492" spans="1:1" x14ac:dyDescent="0.3">
      <c r="A492"/>
    </row>
    <row r="493" spans="1:1" x14ac:dyDescent="0.3">
      <c r="A493"/>
    </row>
    <row r="494" spans="1:1" x14ac:dyDescent="0.3">
      <c r="A494"/>
    </row>
    <row r="495" spans="1:1" x14ac:dyDescent="0.3">
      <c r="A495"/>
    </row>
    <row r="496" spans="1:1" x14ac:dyDescent="0.3">
      <c r="A496"/>
    </row>
    <row r="497" spans="1:1" x14ac:dyDescent="0.3">
      <c r="A497"/>
    </row>
    <row r="498" spans="1:1" x14ac:dyDescent="0.3">
      <c r="A498"/>
    </row>
    <row r="499" spans="1:1" x14ac:dyDescent="0.3">
      <c r="A499"/>
    </row>
    <row r="500" spans="1:1" x14ac:dyDescent="0.3">
      <c r="A500"/>
    </row>
    <row r="501" spans="1:1" x14ac:dyDescent="0.3">
      <c r="A501"/>
    </row>
    <row r="502" spans="1:1" x14ac:dyDescent="0.3">
      <c r="A502"/>
    </row>
    <row r="503" spans="1:1" x14ac:dyDescent="0.3">
      <c r="A503"/>
    </row>
    <row r="504" spans="1:1" x14ac:dyDescent="0.3">
      <c r="A504"/>
    </row>
    <row r="505" spans="1:1" x14ac:dyDescent="0.3">
      <c r="A505"/>
    </row>
    <row r="506" spans="1:1" x14ac:dyDescent="0.3">
      <c r="A506"/>
    </row>
    <row r="507" spans="1:1" x14ac:dyDescent="0.3">
      <c r="A507"/>
    </row>
    <row r="508" spans="1:1" x14ac:dyDescent="0.3">
      <c r="A508"/>
    </row>
    <row r="509" spans="1:1" x14ac:dyDescent="0.3">
      <c r="A509"/>
    </row>
    <row r="510" spans="1:1" x14ac:dyDescent="0.3">
      <c r="A510"/>
    </row>
    <row r="511" spans="1:1" x14ac:dyDescent="0.3">
      <c r="A511"/>
    </row>
    <row r="512" spans="1:1" x14ac:dyDescent="0.3">
      <c r="A512"/>
    </row>
    <row r="513" spans="1:1" x14ac:dyDescent="0.3">
      <c r="A513"/>
    </row>
    <row r="514" spans="1:1" x14ac:dyDescent="0.3">
      <c r="A514"/>
    </row>
    <row r="515" spans="1:1" x14ac:dyDescent="0.3">
      <c r="A515"/>
    </row>
    <row r="516" spans="1:1" x14ac:dyDescent="0.3">
      <c r="A516"/>
    </row>
    <row r="517" spans="1:1" x14ac:dyDescent="0.3">
      <c r="A517"/>
    </row>
    <row r="518" spans="1:1" x14ac:dyDescent="0.3">
      <c r="A518"/>
    </row>
    <row r="519" spans="1:1" x14ac:dyDescent="0.3">
      <c r="A519"/>
    </row>
    <row r="520" spans="1:1" x14ac:dyDescent="0.3">
      <c r="A520"/>
    </row>
    <row r="521" spans="1:1" x14ac:dyDescent="0.3">
      <c r="A521"/>
    </row>
    <row r="522" spans="1:1" x14ac:dyDescent="0.3">
      <c r="A522"/>
    </row>
    <row r="523" spans="1:1" x14ac:dyDescent="0.3">
      <c r="A523"/>
    </row>
    <row r="524" spans="1:1" x14ac:dyDescent="0.3">
      <c r="A524"/>
    </row>
    <row r="525" spans="1:1" x14ac:dyDescent="0.3">
      <c r="A525"/>
    </row>
    <row r="526" spans="1:1" x14ac:dyDescent="0.3">
      <c r="A526"/>
    </row>
    <row r="527" spans="1:1" x14ac:dyDescent="0.3">
      <c r="A527"/>
    </row>
    <row r="528" spans="1:1" x14ac:dyDescent="0.3">
      <c r="A528"/>
    </row>
    <row r="529" spans="1:1" x14ac:dyDescent="0.3">
      <c r="A529"/>
    </row>
    <row r="530" spans="1:1" x14ac:dyDescent="0.3">
      <c r="A530"/>
    </row>
    <row r="531" spans="1:1" x14ac:dyDescent="0.3">
      <c r="A531"/>
    </row>
    <row r="532" spans="1:1" x14ac:dyDescent="0.3">
      <c r="A532"/>
    </row>
    <row r="533" spans="1:1" x14ac:dyDescent="0.3">
      <c r="A533"/>
    </row>
    <row r="534" spans="1:1" x14ac:dyDescent="0.3">
      <c r="A534"/>
    </row>
    <row r="535" spans="1:1" x14ac:dyDescent="0.3">
      <c r="A535"/>
    </row>
    <row r="536" spans="1:1" x14ac:dyDescent="0.3">
      <c r="A536"/>
    </row>
    <row r="537" spans="1:1" x14ac:dyDescent="0.3">
      <c r="A537"/>
    </row>
    <row r="538" spans="1:1" x14ac:dyDescent="0.3">
      <c r="A538"/>
    </row>
    <row r="539" spans="1:1" x14ac:dyDescent="0.3">
      <c r="A539"/>
    </row>
    <row r="540" spans="1:1" x14ac:dyDescent="0.3">
      <c r="A540"/>
    </row>
    <row r="541" spans="1:1" x14ac:dyDescent="0.3">
      <c r="A541"/>
    </row>
    <row r="542" spans="1:1" x14ac:dyDescent="0.3">
      <c r="A542"/>
    </row>
    <row r="543" spans="1:1" x14ac:dyDescent="0.3">
      <c r="A543"/>
    </row>
    <row r="544" spans="1:1" x14ac:dyDescent="0.3">
      <c r="A544"/>
    </row>
    <row r="545" spans="1:1" x14ac:dyDescent="0.3">
      <c r="A545"/>
    </row>
    <row r="546" spans="1:1" x14ac:dyDescent="0.3">
      <c r="A546"/>
    </row>
    <row r="547" spans="1:1" x14ac:dyDescent="0.3">
      <c r="A547"/>
    </row>
    <row r="548" spans="1:1" x14ac:dyDescent="0.3">
      <c r="A548"/>
    </row>
    <row r="549" spans="1:1" x14ac:dyDescent="0.3">
      <c r="A549"/>
    </row>
    <row r="550" spans="1:1" x14ac:dyDescent="0.3">
      <c r="A550"/>
    </row>
    <row r="551" spans="1:1" x14ac:dyDescent="0.3">
      <c r="A551"/>
    </row>
    <row r="552" spans="1:1" x14ac:dyDescent="0.3">
      <c r="A552"/>
    </row>
    <row r="553" spans="1:1" x14ac:dyDescent="0.3">
      <c r="A553"/>
    </row>
    <row r="554" spans="1:1" x14ac:dyDescent="0.3">
      <c r="A554"/>
    </row>
    <row r="555" spans="1:1" x14ac:dyDescent="0.3">
      <c r="A555"/>
    </row>
    <row r="556" spans="1:1" x14ac:dyDescent="0.3">
      <c r="A556"/>
    </row>
    <row r="557" spans="1:1" x14ac:dyDescent="0.3">
      <c r="A557"/>
    </row>
    <row r="558" spans="1:1" x14ac:dyDescent="0.3">
      <c r="A558"/>
    </row>
    <row r="559" spans="1:1" x14ac:dyDescent="0.3">
      <c r="A559"/>
    </row>
    <row r="560" spans="1:1" x14ac:dyDescent="0.3">
      <c r="A560"/>
    </row>
    <row r="561" spans="1:1" x14ac:dyDescent="0.3">
      <c r="A561"/>
    </row>
    <row r="562" spans="1:1" x14ac:dyDescent="0.3">
      <c r="A562"/>
    </row>
    <row r="563" spans="1:1" x14ac:dyDescent="0.3">
      <c r="A563"/>
    </row>
    <row r="564" spans="1:1" x14ac:dyDescent="0.3">
      <c r="A564"/>
    </row>
    <row r="565" spans="1:1" x14ac:dyDescent="0.3">
      <c r="A565"/>
    </row>
    <row r="566" spans="1:1" x14ac:dyDescent="0.3">
      <c r="A566"/>
    </row>
    <row r="567" spans="1:1" x14ac:dyDescent="0.3">
      <c r="A567"/>
    </row>
    <row r="568" spans="1:1" x14ac:dyDescent="0.3">
      <c r="A568"/>
    </row>
    <row r="569" spans="1:1" x14ac:dyDescent="0.3">
      <c r="A569"/>
    </row>
    <row r="570" spans="1:1" x14ac:dyDescent="0.3">
      <c r="A570"/>
    </row>
    <row r="571" spans="1:1" x14ac:dyDescent="0.3">
      <c r="A571"/>
    </row>
    <row r="572" spans="1:1" x14ac:dyDescent="0.3">
      <c r="A572"/>
    </row>
    <row r="573" spans="1:1" x14ac:dyDescent="0.3">
      <c r="A573"/>
    </row>
    <row r="574" spans="1:1" x14ac:dyDescent="0.3">
      <c r="A574"/>
    </row>
    <row r="575" spans="1:1" x14ac:dyDescent="0.3">
      <c r="A575"/>
    </row>
    <row r="576" spans="1:1" x14ac:dyDescent="0.3">
      <c r="A576"/>
    </row>
    <row r="577" spans="1:1" x14ac:dyDescent="0.3">
      <c r="A577"/>
    </row>
    <row r="578" spans="1:1" x14ac:dyDescent="0.3">
      <c r="A578"/>
    </row>
    <row r="579" spans="1:1" x14ac:dyDescent="0.3">
      <c r="A579"/>
    </row>
    <row r="580" spans="1:1" x14ac:dyDescent="0.3">
      <c r="A580"/>
    </row>
    <row r="581" spans="1:1" x14ac:dyDescent="0.3">
      <c r="A581"/>
    </row>
    <row r="582" spans="1:1" x14ac:dyDescent="0.3">
      <c r="A582"/>
    </row>
    <row r="583" spans="1:1" x14ac:dyDescent="0.3">
      <c r="A583"/>
    </row>
    <row r="584" spans="1:1" x14ac:dyDescent="0.3">
      <c r="A584"/>
    </row>
    <row r="585" spans="1:1" x14ac:dyDescent="0.3">
      <c r="A585"/>
    </row>
    <row r="586" spans="1:1" x14ac:dyDescent="0.3">
      <c r="A586"/>
    </row>
    <row r="587" spans="1:1" x14ac:dyDescent="0.3">
      <c r="A587"/>
    </row>
    <row r="588" spans="1:1" x14ac:dyDescent="0.3">
      <c r="A588"/>
    </row>
    <row r="589" spans="1:1" x14ac:dyDescent="0.3">
      <c r="A589"/>
    </row>
    <row r="590" spans="1:1" x14ac:dyDescent="0.3">
      <c r="A590"/>
    </row>
    <row r="591" spans="1:1" x14ac:dyDescent="0.3">
      <c r="A591"/>
    </row>
    <row r="592" spans="1:1" x14ac:dyDescent="0.3">
      <c r="A592"/>
    </row>
    <row r="593" spans="1:1" x14ac:dyDescent="0.3">
      <c r="A593"/>
    </row>
    <row r="594" spans="1:1" x14ac:dyDescent="0.3">
      <c r="A594"/>
    </row>
    <row r="595" spans="1:1" x14ac:dyDescent="0.3">
      <c r="A595"/>
    </row>
    <row r="596" spans="1:1" x14ac:dyDescent="0.3">
      <c r="A596"/>
    </row>
    <row r="597" spans="1:1" x14ac:dyDescent="0.3">
      <c r="A597"/>
    </row>
    <row r="598" spans="1:1" x14ac:dyDescent="0.3">
      <c r="A598"/>
    </row>
    <row r="599" spans="1:1" x14ac:dyDescent="0.3">
      <c r="A599"/>
    </row>
    <row r="600" spans="1:1" x14ac:dyDescent="0.3">
      <c r="A600"/>
    </row>
    <row r="601" spans="1:1" x14ac:dyDescent="0.3">
      <c r="A601"/>
    </row>
    <row r="602" spans="1:1" x14ac:dyDescent="0.3">
      <c r="A602"/>
    </row>
    <row r="603" spans="1:1" x14ac:dyDescent="0.3">
      <c r="A603"/>
    </row>
    <row r="604" spans="1:1" x14ac:dyDescent="0.3">
      <c r="A604"/>
    </row>
    <row r="605" spans="1:1" x14ac:dyDescent="0.3">
      <c r="A605"/>
    </row>
    <row r="606" spans="1:1" x14ac:dyDescent="0.3">
      <c r="A606"/>
    </row>
    <row r="607" spans="1:1" x14ac:dyDescent="0.3">
      <c r="A607"/>
    </row>
    <row r="608" spans="1:1" x14ac:dyDescent="0.3">
      <c r="A608"/>
    </row>
    <row r="609" spans="1:1" x14ac:dyDescent="0.3">
      <c r="A609"/>
    </row>
    <row r="610" spans="1:1" x14ac:dyDescent="0.3">
      <c r="A610"/>
    </row>
    <row r="611" spans="1:1" x14ac:dyDescent="0.3">
      <c r="A611"/>
    </row>
    <row r="612" spans="1:1" x14ac:dyDescent="0.3">
      <c r="A612"/>
    </row>
    <row r="613" spans="1:1" x14ac:dyDescent="0.3">
      <c r="A613"/>
    </row>
    <row r="614" spans="1:1" x14ac:dyDescent="0.3">
      <c r="A614"/>
    </row>
    <row r="615" spans="1:1" x14ac:dyDescent="0.3">
      <c r="A615"/>
    </row>
    <row r="616" spans="1:1" x14ac:dyDescent="0.3">
      <c r="A616"/>
    </row>
    <row r="617" spans="1:1" x14ac:dyDescent="0.3">
      <c r="A617"/>
    </row>
    <row r="618" spans="1:1" x14ac:dyDescent="0.3">
      <c r="A618"/>
    </row>
    <row r="619" spans="1:1" x14ac:dyDescent="0.3">
      <c r="A619"/>
    </row>
    <row r="620" spans="1:1" x14ac:dyDescent="0.3">
      <c r="A620"/>
    </row>
    <row r="621" spans="1:1" x14ac:dyDescent="0.3">
      <c r="A621"/>
    </row>
    <row r="622" spans="1:1" x14ac:dyDescent="0.3">
      <c r="A622"/>
    </row>
    <row r="623" spans="1:1" x14ac:dyDescent="0.3">
      <c r="A623"/>
    </row>
    <row r="624" spans="1:1" x14ac:dyDescent="0.3">
      <c r="A624"/>
    </row>
    <row r="625" spans="1:1" x14ac:dyDescent="0.3">
      <c r="A625"/>
    </row>
    <row r="626" spans="1:1" x14ac:dyDescent="0.3">
      <c r="A626"/>
    </row>
    <row r="627" spans="1:1" x14ac:dyDescent="0.3">
      <c r="A627"/>
    </row>
    <row r="628" spans="1:1" x14ac:dyDescent="0.3">
      <c r="A628"/>
    </row>
    <row r="629" spans="1:1" x14ac:dyDescent="0.3">
      <c r="A629"/>
    </row>
    <row r="630" spans="1:1" x14ac:dyDescent="0.3">
      <c r="A630"/>
    </row>
    <row r="631" spans="1:1" x14ac:dyDescent="0.3">
      <c r="A631"/>
    </row>
    <row r="632" spans="1:1" x14ac:dyDescent="0.3">
      <c r="A632"/>
    </row>
    <row r="633" spans="1:1" x14ac:dyDescent="0.3">
      <c r="A633"/>
    </row>
    <row r="634" spans="1:1" x14ac:dyDescent="0.3">
      <c r="A634"/>
    </row>
    <row r="635" spans="1:1" x14ac:dyDescent="0.3">
      <c r="A635"/>
    </row>
    <row r="636" spans="1:1" x14ac:dyDescent="0.3">
      <c r="A636"/>
    </row>
    <row r="637" spans="1:1" x14ac:dyDescent="0.3">
      <c r="A637"/>
    </row>
    <row r="638" spans="1:1" x14ac:dyDescent="0.3">
      <c r="A638"/>
    </row>
    <row r="639" spans="1:1" x14ac:dyDescent="0.3">
      <c r="A639"/>
    </row>
    <row r="640" spans="1:1" x14ac:dyDescent="0.3">
      <c r="A640"/>
    </row>
    <row r="641" spans="1:1" x14ac:dyDescent="0.3">
      <c r="A641"/>
    </row>
    <row r="642" spans="1:1" x14ac:dyDescent="0.3">
      <c r="A642"/>
    </row>
    <row r="643" spans="1:1" x14ac:dyDescent="0.3">
      <c r="A643"/>
    </row>
    <row r="644" spans="1:1" x14ac:dyDescent="0.3">
      <c r="A644"/>
    </row>
    <row r="645" spans="1:1" x14ac:dyDescent="0.3">
      <c r="A645"/>
    </row>
    <row r="646" spans="1:1" x14ac:dyDescent="0.3">
      <c r="A646"/>
    </row>
    <row r="647" spans="1:1" x14ac:dyDescent="0.3">
      <c r="A647"/>
    </row>
    <row r="648" spans="1:1" x14ac:dyDescent="0.3">
      <c r="A648"/>
    </row>
    <row r="649" spans="1:1" x14ac:dyDescent="0.3">
      <c r="A649"/>
    </row>
    <row r="650" spans="1:1" x14ac:dyDescent="0.3">
      <c r="A650"/>
    </row>
    <row r="651" spans="1:1" x14ac:dyDescent="0.3">
      <c r="A651"/>
    </row>
    <row r="652" spans="1:1" x14ac:dyDescent="0.3">
      <c r="A652"/>
    </row>
    <row r="653" spans="1:1" x14ac:dyDescent="0.3">
      <c r="A653"/>
    </row>
    <row r="654" spans="1:1" x14ac:dyDescent="0.3">
      <c r="A654"/>
    </row>
    <row r="655" spans="1:1" x14ac:dyDescent="0.3">
      <c r="A655"/>
    </row>
    <row r="656" spans="1:1" x14ac:dyDescent="0.3">
      <c r="A656"/>
    </row>
    <row r="657" spans="1:1" x14ac:dyDescent="0.3">
      <c r="A657"/>
    </row>
    <row r="658" spans="1:1" x14ac:dyDescent="0.3">
      <c r="A658"/>
    </row>
    <row r="659" spans="1:1" x14ac:dyDescent="0.3">
      <c r="A659"/>
    </row>
    <row r="660" spans="1:1" x14ac:dyDescent="0.3">
      <c r="A660"/>
    </row>
    <row r="661" spans="1:1" x14ac:dyDescent="0.3">
      <c r="A661"/>
    </row>
    <row r="662" spans="1:1" x14ac:dyDescent="0.3">
      <c r="A662"/>
    </row>
    <row r="663" spans="1:1" x14ac:dyDescent="0.3">
      <c r="A663"/>
    </row>
    <row r="664" spans="1:1" x14ac:dyDescent="0.3">
      <c r="A664"/>
    </row>
    <row r="665" spans="1:1" x14ac:dyDescent="0.3">
      <c r="A665"/>
    </row>
    <row r="666" spans="1:1" x14ac:dyDescent="0.3">
      <c r="A666"/>
    </row>
    <row r="667" spans="1:1" x14ac:dyDescent="0.3">
      <c r="A667"/>
    </row>
    <row r="668" spans="1:1" x14ac:dyDescent="0.3">
      <c r="A668"/>
    </row>
    <row r="669" spans="1:1" x14ac:dyDescent="0.3">
      <c r="A669"/>
    </row>
    <row r="670" spans="1:1" x14ac:dyDescent="0.3">
      <c r="A670"/>
    </row>
    <row r="671" spans="1:1" x14ac:dyDescent="0.3">
      <c r="A671"/>
    </row>
    <row r="672" spans="1:1" x14ac:dyDescent="0.3">
      <c r="A672"/>
    </row>
    <row r="673" spans="1:1" x14ac:dyDescent="0.3">
      <c r="A673"/>
    </row>
    <row r="674" spans="1:1" x14ac:dyDescent="0.3">
      <c r="A674"/>
    </row>
    <row r="675" spans="1:1" x14ac:dyDescent="0.3">
      <c r="A675"/>
    </row>
    <row r="676" spans="1:1" x14ac:dyDescent="0.3">
      <c r="A676"/>
    </row>
    <row r="677" spans="1:1" x14ac:dyDescent="0.3">
      <c r="A677"/>
    </row>
    <row r="678" spans="1:1" x14ac:dyDescent="0.3">
      <c r="A678"/>
    </row>
    <row r="679" spans="1:1" x14ac:dyDescent="0.3">
      <c r="A679"/>
    </row>
    <row r="680" spans="1:1" x14ac:dyDescent="0.3">
      <c r="A680"/>
    </row>
    <row r="681" spans="1:1" x14ac:dyDescent="0.3">
      <c r="A681"/>
    </row>
    <row r="682" spans="1:1" x14ac:dyDescent="0.3">
      <c r="A682"/>
    </row>
    <row r="683" spans="1:1" x14ac:dyDescent="0.3">
      <c r="A683"/>
    </row>
    <row r="684" spans="1:1" x14ac:dyDescent="0.3">
      <c r="A684"/>
    </row>
    <row r="685" spans="1:1" x14ac:dyDescent="0.3">
      <c r="A685"/>
    </row>
    <row r="686" spans="1:1" x14ac:dyDescent="0.3">
      <c r="A686"/>
    </row>
    <row r="687" spans="1:1" x14ac:dyDescent="0.3">
      <c r="A687"/>
    </row>
    <row r="688" spans="1:1" x14ac:dyDescent="0.3">
      <c r="A688"/>
    </row>
    <row r="689" spans="1:1" x14ac:dyDescent="0.3">
      <c r="A689"/>
    </row>
    <row r="690" spans="1:1" x14ac:dyDescent="0.3">
      <c r="A690"/>
    </row>
    <row r="691" spans="1:1" x14ac:dyDescent="0.3">
      <c r="A691"/>
    </row>
    <row r="692" spans="1:1" x14ac:dyDescent="0.3">
      <c r="A692"/>
    </row>
    <row r="693" spans="1:1" x14ac:dyDescent="0.3">
      <c r="A693"/>
    </row>
    <row r="694" spans="1:1" x14ac:dyDescent="0.3">
      <c r="A694"/>
    </row>
    <row r="695" spans="1:1" x14ac:dyDescent="0.3">
      <c r="A695"/>
    </row>
    <row r="696" spans="1:1" x14ac:dyDescent="0.3">
      <c r="A696"/>
    </row>
    <row r="697" spans="1:1" x14ac:dyDescent="0.3">
      <c r="A697"/>
    </row>
    <row r="698" spans="1:1" x14ac:dyDescent="0.3">
      <c r="A698"/>
    </row>
    <row r="699" spans="1:1" x14ac:dyDescent="0.3">
      <c r="A699"/>
    </row>
    <row r="700" spans="1:1" x14ac:dyDescent="0.3">
      <c r="A700"/>
    </row>
    <row r="701" spans="1:1" x14ac:dyDescent="0.3">
      <c r="A701"/>
    </row>
    <row r="702" spans="1:1" x14ac:dyDescent="0.3">
      <c r="A702"/>
    </row>
    <row r="703" spans="1:1" x14ac:dyDescent="0.3">
      <c r="A703"/>
    </row>
    <row r="704" spans="1:1" x14ac:dyDescent="0.3">
      <c r="A704"/>
    </row>
    <row r="705" spans="1:1" x14ac:dyDescent="0.3">
      <c r="A705"/>
    </row>
    <row r="706" spans="1:1" x14ac:dyDescent="0.3">
      <c r="A706"/>
    </row>
    <row r="707" spans="1:1" x14ac:dyDescent="0.3">
      <c r="A707"/>
    </row>
    <row r="708" spans="1:1" x14ac:dyDescent="0.3">
      <c r="A708"/>
    </row>
    <row r="709" spans="1:1" x14ac:dyDescent="0.3">
      <c r="A709"/>
    </row>
    <row r="710" spans="1:1" x14ac:dyDescent="0.3">
      <c r="A710"/>
    </row>
    <row r="711" spans="1:1" x14ac:dyDescent="0.3">
      <c r="A711"/>
    </row>
    <row r="712" spans="1:1" x14ac:dyDescent="0.3">
      <c r="A712"/>
    </row>
    <row r="713" spans="1:1" x14ac:dyDescent="0.3">
      <c r="A713"/>
    </row>
    <row r="714" spans="1:1" x14ac:dyDescent="0.3">
      <c r="A714"/>
    </row>
    <row r="715" spans="1:1" x14ac:dyDescent="0.3">
      <c r="A715"/>
    </row>
    <row r="716" spans="1:1" x14ac:dyDescent="0.3">
      <c r="A716"/>
    </row>
    <row r="717" spans="1:1" x14ac:dyDescent="0.3">
      <c r="A717"/>
    </row>
    <row r="718" spans="1:1" x14ac:dyDescent="0.3">
      <c r="A718"/>
    </row>
    <row r="719" spans="1:1" x14ac:dyDescent="0.3">
      <c r="A719"/>
    </row>
    <row r="720" spans="1:1" x14ac:dyDescent="0.3">
      <c r="A720"/>
    </row>
    <row r="721" spans="1:1" x14ac:dyDescent="0.3">
      <c r="A721"/>
    </row>
    <row r="722" spans="1:1" x14ac:dyDescent="0.3">
      <c r="A722"/>
    </row>
    <row r="723" spans="1:1" x14ac:dyDescent="0.3">
      <c r="A723"/>
    </row>
    <row r="724" spans="1:1" x14ac:dyDescent="0.3">
      <c r="A724"/>
    </row>
    <row r="725" spans="1:1" x14ac:dyDescent="0.3">
      <c r="A725"/>
    </row>
    <row r="726" spans="1:1" x14ac:dyDescent="0.3">
      <c r="A726"/>
    </row>
    <row r="727" spans="1:1" x14ac:dyDescent="0.3">
      <c r="A727"/>
    </row>
    <row r="728" spans="1:1" x14ac:dyDescent="0.3">
      <c r="A728"/>
    </row>
    <row r="729" spans="1:1" x14ac:dyDescent="0.3">
      <c r="A729"/>
    </row>
    <row r="730" spans="1:1" x14ac:dyDescent="0.3">
      <c r="A730"/>
    </row>
    <row r="731" spans="1:1" x14ac:dyDescent="0.3">
      <c r="A731"/>
    </row>
    <row r="732" spans="1:1" x14ac:dyDescent="0.3">
      <c r="A732"/>
    </row>
    <row r="733" spans="1:1" x14ac:dyDescent="0.3">
      <c r="A733"/>
    </row>
    <row r="734" spans="1:1" x14ac:dyDescent="0.3">
      <c r="A734"/>
    </row>
    <row r="735" spans="1:1" x14ac:dyDescent="0.3">
      <c r="A735"/>
    </row>
    <row r="736" spans="1:1" x14ac:dyDescent="0.3">
      <c r="A736"/>
    </row>
    <row r="737" spans="1:1" x14ac:dyDescent="0.3">
      <c r="A737"/>
    </row>
    <row r="738" spans="1:1" x14ac:dyDescent="0.3">
      <c r="A738"/>
    </row>
    <row r="739" spans="1:1" x14ac:dyDescent="0.3">
      <c r="A739"/>
    </row>
    <row r="740" spans="1:1" x14ac:dyDescent="0.3">
      <c r="A740"/>
    </row>
    <row r="741" spans="1:1" x14ac:dyDescent="0.3">
      <c r="A741"/>
    </row>
    <row r="742" spans="1:1" x14ac:dyDescent="0.3">
      <c r="A742"/>
    </row>
    <row r="743" spans="1:1" x14ac:dyDescent="0.3">
      <c r="A743"/>
    </row>
    <row r="744" spans="1:1" x14ac:dyDescent="0.3">
      <c r="A744"/>
    </row>
    <row r="745" spans="1:1" x14ac:dyDescent="0.3">
      <c r="A745"/>
    </row>
    <row r="746" spans="1:1" x14ac:dyDescent="0.3">
      <c r="A746"/>
    </row>
    <row r="747" spans="1:1" x14ac:dyDescent="0.3">
      <c r="A747"/>
    </row>
    <row r="748" spans="1:1" x14ac:dyDescent="0.3">
      <c r="A748"/>
    </row>
    <row r="749" spans="1:1" x14ac:dyDescent="0.3">
      <c r="A749"/>
    </row>
    <row r="750" spans="1:1" x14ac:dyDescent="0.3">
      <c r="A750"/>
    </row>
    <row r="751" spans="1:1" x14ac:dyDescent="0.3">
      <c r="A751"/>
    </row>
    <row r="752" spans="1:1" x14ac:dyDescent="0.3">
      <c r="A752"/>
    </row>
    <row r="753" spans="1:1" x14ac:dyDescent="0.3">
      <c r="A753"/>
    </row>
    <row r="754" spans="1:1" x14ac:dyDescent="0.3">
      <c r="A754"/>
    </row>
    <row r="755" spans="1:1" x14ac:dyDescent="0.3">
      <c r="A755"/>
    </row>
    <row r="756" spans="1:1" x14ac:dyDescent="0.3">
      <c r="A756"/>
    </row>
    <row r="757" spans="1:1" x14ac:dyDescent="0.3">
      <c r="A757"/>
    </row>
    <row r="758" spans="1:1" x14ac:dyDescent="0.3">
      <c r="A758"/>
    </row>
    <row r="759" spans="1:1" x14ac:dyDescent="0.3">
      <c r="A759"/>
    </row>
    <row r="760" spans="1:1" x14ac:dyDescent="0.3">
      <c r="A760"/>
    </row>
    <row r="761" spans="1:1" x14ac:dyDescent="0.3">
      <c r="A761"/>
    </row>
    <row r="762" spans="1:1" x14ac:dyDescent="0.3">
      <c r="A762"/>
    </row>
    <row r="763" spans="1:1" x14ac:dyDescent="0.3">
      <c r="A763"/>
    </row>
    <row r="764" spans="1:1" x14ac:dyDescent="0.3">
      <c r="A764"/>
    </row>
    <row r="765" spans="1:1" x14ac:dyDescent="0.3">
      <c r="A765"/>
    </row>
    <row r="766" spans="1:1" x14ac:dyDescent="0.3">
      <c r="A766"/>
    </row>
    <row r="767" spans="1:1" x14ac:dyDescent="0.3">
      <c r="A767"/>
    </row>
    <row r="768" spans="1:1" x14ac:dyDescent="0.3">
      <c r="A768"/>
    </row>
    <row r="769" spans="1:1" x14ac:dyDescent="0.3">
      <c r="A769"/>
    </row>
    <row r="770" spans="1:1" x14ac:dyDescent="0.3">
      <c r="A770"/>
    </row>
    <row r="771" spans="1:1" x14ac:dyDescent="0.3">
      <c r="A771"/>
    </row>
    <row r="772" spans="1:1" x14ac:dyDescent="0.3">
      <c r="A772"/>
    </row>
    <row r="773" spans="1:1" x14ac:dyDescent="0.3">
      <c r="A773"/>
    </row>
    <row r="774" spans="1:1" x14ac:dyDescent="0.3">
      <c r="A774"/>
    </row>
    <row r="775" spans="1:1" x14ac:dyDescent="0.3">
      <c r="A775"/>
    </row>
    <row r="776" spans="1:1" x14ac:dyDescent="0.3">
      <c r="A776"/>
    </row>
    <row r="777" spans="1:1" x14ac:dyDescent="0.3">
      <c r="A777"/>
    </row>
    <row r="778" spans="1:1" x14ac:dyDescent="0.3">
      <c r="A778"/>
    </row>
    <row r="779" spans="1:1" x14ac:dyDescent="0.3">
      <c r="A779"/>
    </row>
    <row r="780" spans="1:1" x14ac:dyDescent="0.3">
      <c r="A780"/>
    </row>
    <row r="781" spans="1:1" x14ac:dyDescent="0.3">
      <c r="A781"/>
    </row>
    <row r="782" spans="1:1" x14ac:dyDescent="0.3">
      <c r="A782"/>
    </row>
    <row r="783" spans="1:1" x14ac:dyDescent="0.3">
      <c r="A783"/>
    </row>
    <row r="784" spans="1:1" x14ac:dyDescent="0.3">
      <c r="A784"/>
    </row>
    <row r="785" spans="1:1" x14ac:dyDescent="0.3">
      <c r="A785"/>
    </row>
    <row r="786" spans="1:1" x14ac:dyDescent="0.3">
      <c r="A786"/>
    </row>
    <row r="787" spans="1:1" x14ac:dyDescent="0.3">
      <c r="A787"/>
    </row>
    <row r="788" spans="1:1" x14ac:dyDescent="0.3">
      <c r="A788"/>
    </row>
    <row r="789" spans="1:1" x14ac:dyDescent="0.3">
      <c r="A789"/>
    </row>
    <row r="790" spans="1:1" x14ac:dyDescent="0.3">
      <c r="A790"/>
    </row>
    <row r="791" spans="1:1" x14ac:dyDescent="0.3">
      <c r="A791"/>
    </row>
    <row r="792" spans="1:1" x14ac:dyDescent="0.3">
      <c r="A792"/>
    </row>
    <row r="793" spans="1:1" x14ac:dyDescent="0.3">
      <c r="A793"/>
    </row>
    <row r="794" spans="1:1" x14ac:dyDescent="0.3">
      <c r="A794"/>
    </row>
    <row r="795" spans="1:1" x14ac:dyDescent="0.3">
      <c r="A795"/>
    </row>
    <row r="796" spans="1:1" x14ac:dyDescent="0.3">
      <c r="A796"/>
    </row>
    <row r="797" spans="1:1" x14ac:dyDescent="0.3">
      <c r="A797"/>
    </row>
    <row r="798" spans="1:1" x14ac:dyDescent="0.3">
      <c r="A798"/>
    </row>
    <row r="799" spans="1:1" x14ac:dyDescent="0.3">
      <c r="A799"/>
    </row>
    <row r="800" spans="1:1" x14ac:dyDescent="0.3">
      <c r="A800"/>
    </row>
    <row r="801" spans="1:1" x14ac:dyDescent="0.3">
      <c r="A801"/>
    </row>
    <row r="802" spans="1:1" x14ac:dyDescent="0.3">
      <c r="A802"/>
    </row>
    <row r="803" spans="1:1" x14ac:dyDescent="0.3">
      <c r="A803"/>
    </row>
    <row r="804" spans="1:1" x14ac:dyDescent="0.3">
      <c r="A804"/>
    </row>
    <row r="805" spans="1:1" x14ac:dyDescent="0.3">
      <c r="A805"/>
    </row>
    <row r="806" spans="1:1" x14ac:dyDescent="0.3">
      <c r="A806"/>
    </row>
    <row r="807" spans="1:1" x14ac:dyDescent="0.3">
      <c r="A807"/>
    </row>
    <row r="808" spans="1:1" x14ac:dyDescent="0.3">
      <c r="A808"/>
    </row>
    <row r="809" spans="1:1" x14ac:dyDescent="0.3">
      <c r="A809"/>
    </row>
    <row r="810" spans="1:1" x14ac:dyDescent="0.3">
      <c r="A810"/>
    </row>
    <row r="811" spans="1:1" x14ac:dyDescent="0.3">
      <c r="A811"/>
    </row>
    <row r="812" spans="1:1" x14ac:dyDescent="0.3">
      <c r="A812"/>
    </row>
    <row r="813" spans="1:1" x14ac:dyDescent="0.3">
      <c r="A813"/>
    </row>
    <row r="814" spans="1:1" x14ac:dyDescent="0.3">
      <c r="A814"/>
    </row>
    <row r="815" spans="1:1" x14ac:dyDescent="0.3">
      <c r="A815"/>
    </row>
    <row r="816" spans="1:1" x14ac:dyDescent="0.3">
      <c r="A816"/>
    </row>
    <row r="817" spans="1:1" x14ac:dyDescent="0.3">
      <c r="A817"/>
    </row>
    <row r="818" spans="1:1" x14ac:dyDescent="0.3">
      <c r="A818"/>
    </row>
    <row r="819" spans="1:1" x14ac:dyDescent="0.3">
      <c r="A819"/>
    </row>
    <row r="820" spans="1:1" x14ac:dyDescent="0.3">
      <c r="A820"/>
    </row>
    <row r="821" spans="1:1" x14ac:dyDescent="0.3">
      <c r="A821"/>
    </row>
    <row r="822" spans="1:1" x14ac:dyDescent="0.3">
      <c r="A822"/>
    </row>
    <row r="823" spans="1:1" x14ac:dyDescent="0.3">
      <c r="A823"/>
    </row>
    <row r="824" spans="1:1" x14ac:dyDescent="0.3">
      <c r="A824"/>
    </row>
    <row r="825" spans="1:1" x14ac:dyDescent="0.3">
      <c r="A825"/>
    </row>
    <row r="826" spans="1:1" x14ac:dyDescent="0.3">
      <c r="A826"/>
    </row>
    <row r="827" spans="1:1" x14ac:dyDescent="0.3">
      <c r="A827"/>
    </row>
    <row r="828" spans="1:1" x14ac:dyDescent="0.3">
      <c r="A828"/>
    </row>
    <row r="829" spans="1:1" x14ac:dyDescent="0.3">
      <c r="A829"/>
    </row>
    <row r="830" spans="1:1" x14ac:dyDescent="0.3">
      <c r="A830"/>
    </row>
    <row r="831" spans="1:1" x14ac:dyDescent="0.3">
      <c r="A831"/>
    </row>
    <row r="832" spans="1:1" x14ac:dyDescent="0.3">
      <c r="A832"/>
    </row>
    <row r="833" spans="1:1" x14ac:dyDescent="0.3">
      <c r="A833"/>
    </row>
    <row r="834" spans="1:1" x14ac:dyDescent="0.3">
      <c r="A834"/>
    </row>
    <row r="835" spans="1:1" x14ac:dyDescent="0.3">
      <c r="A835"/>
    </row>
    <row r="836" spans="1:1" x14ac:dyDescent="0.3">
      <c r="A836"/>
    </row>
    <row r="837" spans="1:1" x14ac:dyDescent="0.3">
      <c r="A837"/>
    </row>
    <row r="838" spans="1:1" x14ac:dyDescent="0.3">
      <c r="A838"/>
    </row>
    <row r="839" spans="1:1" x14ac:dyDescent="0.3">
      <c r="A839"/>
    </row>
    <row r="840" spans="1:1" x14ac:dyDescent="0.3">
      <c r="A840"/>
    </row>
    <row r="841" spans="1:1" x14ac:dyDescent="0.3">
      <c r="A841"/>
    </row>
    <row r="842" spans="1:1" x14ac:dyDescent="0.3">
      <c r="A842"/>
    </row>
    <row r="843" spans="1:1" x14ac:dyDescent="0.3">
      <c r="A843"/>
    </row>
    <row r="844" spans="1:1" x14ac:dyDescent="0.3">
      <c r="A844"/>
    </row>
    <row r="845" spans="1:1" x14ac:dyDescent="0.3">
      <c r="A845"/>
    </row>
    <row r="846" spans="1:1" x14ac:dyDescent="0.3">
      <c r="A846"/>
    </row>
    <row r="847" spans="1:1" x14ac:dyDescent="0.3">
      <c r="A847"/>
    </row>
    <row r="848" spans="1:1" x14ac:dyDescent="0.3">
      <c r="A848"/>
    </row>
    <row r="849" spans="1:1" x14ac:dyDescent="0.3">
      <c r="A849"/>
    </row>
    <row r="850" spans="1:1" x14ac:dyDescent="0.3">
      <c r="A850"/>
    </row>
    <row r="851" spans="1:1" x14ac:dyDescent="0.3">
      <c r="A851"/>
    </row>
    <row r="852" spans="1:1" x14ac:dyDescent="0.3">
      <c r="A852"/>
    </row>
    <row r="853" spans="1:1" x14ac:dyDescent="0.3">
      <c r="A853"/>
    </row>
    <row r="854" spans="1:1" x14ac:dyDescent="0.3">
      <c r="A854"/>
    </row>
    <row r="855" spans="1:1" x14ac:dyDescent="0.3">
      <c r="A855"/>
    </row>
    <row r="856" spans="1:1" x14ac:dyDescent="0.3">
      <c r="A856"/>
    </row>
    <row r="857" spans="1:1" x14ac:dyDescent="0.3">
      <c r="A857"/>
    </row>
    <row r="858" spans="1:1" x14ac:dyDescent="0.3">
      <c r="A858"/>
    </row>
    <row r="859" spans="1:1" x14ac:dyDescent="0.3">
      <c r="A859"/>
    </row>
    <row r="860" spans="1:1" x14ac:dyDescent="0.3">
      <c r="A860"/>
    </row>
    <row r="861" spans="1:1" x14ac:dyDescent="0.3">
      <c r="A861"/>
    </row>
    <row r="862" spans="1:1" x14ac:dyDescent="0.3">
      <c r="A862"/>
    </row>
    <row r="863" spans="1:1" x14ac:dyDescent="0.3">
      <c r="A863"/>
    </row>
    <row r="864" spans="1:1" x14ac:dyDescent="0.3">
      <c r="A864"/>
    </row>
    <row r="865" spans="1:1" x14ac:dyDescent="0.3">
      <c r="A865"/>
    </row>
    <row r="866" spans="1:1" x14ac:dyDescent="0.3">
      <c r="A866"/>
    </row>
    <row r="867" spans="1:1" x14ac:dyDescent="0.3">
      <c r="A867"/>
    </row>
    <row r="868" spans="1:1" x14ac:dyDescent="0.3">
      <c r="A868"/>
    </row>
    <row r="869" spans="1:1" x14ac:dyDescent="0.3">
      <c r="A869"/>
    </row>
    <row r="870" spans="1:1" x14ac:dyDescent="0.3">
      <c r="A870"/>
    </row>
    <row r="871" spans="1:1" x14ac:dyDescent="0.3">
      <c r="A871"/>
    </row>
    <row r="872" spans="1:1" x14ac:dyDescent="0.3">
      <c r="A872"/>
    </row>
    <row r="873" spans="1:1" x14ac:dyDescent="0.3">
      <c r="A873"/>
    </row>
    <row r="874" spans="1:1" x14ac:dyDescent="0.3">
      <c r="A874"/>
    </row>
    <row r="875" spans="1:1" x14ac:dyDescent="0.3">
      <c r="A875"/>
    </row>
    <row r="876" spans="1:1" x14ac:dyDescent="0.3">
      <c r="A876"/>
    </row>
    <row r="877" spans="1:1" x14ac:dyDescent="0.3">
      <c r="A877"/>
    </row>
    <row r="878" spans="1:1" x14ac:dyDescent="0.3">
      <c r="A878"/>
    </row>
    <row r="879" spans="1:1" x14ac:dyDescent="0.3">
      <c r="A879"/>
    </row>
    <row r="880" spans="1:1" x14ac:dyDescent="0.3">
      <c r="A880"/>
    </row>
    <row r="881" spans="1:1" x14ac:dyDescent="0.3">
      <c r="A881"/>
    </row>
    <row r="882" spans="1:1" x14ac:dyDescent="0.3">
      <c r="A882"/>
    </row>
    <row r="883" spans="1:1" x14ac:dyDescent="0.3">
      <c r="A883"/>
    </row>
    <row r="884" spans="1:1" x14ac:dyDescent="0.3">
      <c r="A884"/>
    </row>
    <row r="885" spans="1:1" x14ac:dyDescent="0.3">
      <c r="A885"/>
    </row>
    <row r="886" spans="1:1" x14ac:dyDescent="0.3">
      <c r="A886"/>
    </row>
    <row r="887" spans="1:1" x14ac:dyDescent="0.3">
      <c r="A887"/>
    </row>
    <row r="888" spans="1:1" x14ac:dyDescent="0.3">
      <c r="A888"/>
    </row>
    <row r="889" spans="1:1" x14ac:dyDescent="0.3">
      <c r="A889"/>
    </row>
    <row r="890" spans="1:1" x14ac:dyDescent="0.3">
      <c r="A890"/>
    </row>
    <row r="891" spans="1:1" x14ac:dyDescent="0.3">
      <c r="A891"/>
    </row>
    <row r="892" spans="1:1" x14ac:dyDescent="0.3">
      <c r="A892"/>
    </row>
    <row r="893" spans="1:1" x14ac:dyDescent="0.3">
      <c r="A893"/>
    </row>
    <row r="894" spans="1:1" x14ac:dyDescent="0.3">
      <c r="A894"/>
    </row>
    <row r="895" spans="1:1" x14ac:dyDescent="0.3">
      <c r="A895"/>
    </row>
    <row r="896" spans="1:1" x14ac:dyDescent="0.3">
      <c r="A896"/>
    </row>
    <row r="897" spans="1:1" x14ac:dyDescent="0.3">
      <c r="A897"/>
    </row>
    <row r="898" spans="1:1" x14ac:dyDescent="0.3">
      <c r="A898"/>
    </row>
    <row r="899" spans="1:1" x14ac:dyDescent="0.3">
      <c r="A899"/>
    </row>
    <row r="900" spans="1:1" x14ac:dyDescent="0.3">
      <c r="A900"/>
    </row>
    <row r="901" spans="1:1" x14ac:dyDescent="0.3">
      <c r="A901"/>
    </row>
    <row r="902" spans="1:1" x14ac:dyDescent="0.3">
      <c r="A902"/>
    </row>
    <row r="903" spans="1:1" x14ac:dyDescent="0.3">
      <c r="A903"/>
    </row>
    <row r="904" spans="1:1" x14ac:dyDescent="0.3">
      <c r="A904"/>
    </row>
    <row r="905" spans="1:1" x14ac:dyDescent="0.3">
      <c r="A905"/>
    </row>
    <row r="906" spans="1:1" x14ac:dyDescent="0.3">
      <c r="A906"/>
    </row>
    <row r="907" spans="1:1" x14ac:dyDescent="0.3">
      <c r="A907"/>
    </row>
    <row r="908" spans="1:1" x14ac:dyDescent="0.3">
      <c r="A908"/>
    </row>
    <row r="909" spans="1:1" x14ac:dyDescent="0.3">
      <c r="A909"/>
    </row>
    <row r="910" spans="1:1" x14ac:dyDescent="0.3">
      <c r="A910"/>
    </row>
    <row r="911" spans="1:1" x14ac:dyDescent="0.3">
      <c r="A911"/>
    </row>
    <row r="912" spans="1:1" x14ac:dyDescent="0.3">
      <c r="A912"/>
    </row>
    <row r="913" spans="1:1" x14ac:dyDescent="0.3">
      <c r="A913"/>
    </row>
    <row r="914" spans="1:1" x14ac:dyDescent="0.3">
      <c r="A914"/>
    </row>
    <row r="915" spans="1:1" x14ac:dyDescent="0.3">
      <c r="A915"/>
    </row>
    <row r="916" spans="1:1" x14ac:dyDescent="0.3">
      <c r="A916"/>
    </row>
    <row r="917" spans="1:1" x14ac:dyDescent="0.3">
      <c r="A917"/>
    </row>
    <row r="918" spans="1:1" x14ac:dyDescent="0.3">
      <c r="A918"/>
    </row>
    <row r="919" spans="1:1" x14ac:dyDescent="0.3">
      <c r="A919"/>
    </row>
    <row r="920" spans="1:1" x14ac:dyDescent="0.3">
      <c r="A920"/>
    </row>
    <row r="921" spans="1:1" x14ac:dyDescent="0.3">
      <c r="A921"/>
    </row>
    <row r="922" spans="1:1" x14ac:dyDescent="0.3">
      <c r="A922"/>
    </row>
    <row r="923" spans="1:1" x14ac:dyDescent="0.3">
      <c r="A923"/>
    </row>
    <row r="924" spans="1:1" x14ac:dyDescent="0.3">
      <c r="A924"/>
    </row>
    <row r="925" spans="1:1" x14ac:dyDescent="0.3">
      <c r="A925"/>
    </row>
    <row r="926" spans="1:1" x14ac:dyDescent="0.3">
      <c r="A926"/>
    </row>
    <row r="927" spans="1:1" x14ac:dyDescent="0.3">
      <c r="A927"/>
    </row>
    <row r="928" spans="1:1" x14ac:dyDescent="0.3">
      <c r="A928"/>
    </row>
    <row r="929" spans="1:1" x14ac:dyDescent="0.3">
      <c r="A929"/>
    </row>
    <row r="930" spans="1:1" x14ac:dyDescent="0.3">
      <c r="A930"/>
    </row>
    <row r="931" spans="1:1" x14ac:dyDescent="0.3">
      <c r="A931"/>
    </row>
    <row r="932" spans="1:1" x14ac:dyDescent="0.3">
      <c r="A932"/>
    </row>
    <row r="933" spans="1:1" x14ac:dyDescent="0.3">
      <c r="A933"/>
    </row>
    <row r="934" spans="1:1" x14ac:dyDescent="0.3">
      <c r="A934"/>
    </row>
    <row r="935" spans="1:1" x14ac:dyDescent="0.3">
      <c r="A935"/>
    </row>
    <row r="936" spans="1:1" x14ac:dyDescent="0.3">
      <c r="A936"/>
    </row>
    <row r="937" spans="1:1" x14ac:dyDescent="0.3">
      <c r="A937"/>
    </row>
    <row r="938" spans="1:1" x14ac:dyDescent="0.3">
      <c r="A938"/>
    </row>
    <row r="939" spans="1:1" x14ac:dyDescent="0.3">
      <c r="A939"/>
    </row>
    <row r="940" spans="1:1" x14ac:dyDescent="0.3">
      <c r="A940"/>
    </row>
    <row r="941" spans="1:1" x14ac:dyDescent="0.3">
      <c r="A941"/>
    </row>
    <row r="942" spans="1:1" x14ac:dyDescent="0.3">
      <c r="A942"/>
    </row>
    <row r="943" spans="1:1" x14ac:dyDescent="0.3">
      <c r="A943"/>
    </row>
    <row r="944" spans="1:1" x14ac:dyDescent="0.3">
      <c r="A944"/>
    </row>
    <row r="945" spans="1:1" x14ac:dyDescent="0.3">
      <c r="A945"/>
    </row>
    <row r="946" spans="1:1" x14ac:dyDescent="0.3">
      <c r="A946"/>
    </row>
    <row r="947" spans="1:1" x14ac:dyDescent="0.3">
      <c r="A947"/>
    </row>
    <row r="948" spans="1:1" x14ac:dyDescent="0.3">
      <c r="A948"/>
    </row>
    <row r="949" spans="1:1" x14ac:dyDescent="0.3">
      <c r="A949"/>
    </row>
    <row r="950" spans="1:1" x14ac:dyDescent="0.3">
      <c r="A950"/>
    </row>
    <row r="951" spans="1:1" x14ac:dyDescent="0.3">
      <c r="A951"/>
    </row>
    <row r="952" spans="1:1" x14ac:dyDescent="0.3">
      <c r="A952"/>
    </row>
    <row r="953" spans="1:1" x14ac:dyDescent="0.3">
      <c r="A953"/>
    </row>
    <row r="954" spans="1:1" x14ac:dyDescent="0.3">
      <c r="A954"/>
    </row>
    <row r="955" spans="1:1" x14ac:dyDescent="0.3">
      <c r="A955"/>
    </row>
    <row r="956" spans="1:1" x14ac:dyDescent="0.3">
      <c r="A956"/>
    </row>
    <row r="957" spans="1:1" x14ac:dyDescent="0.3">
      <c r="A957"/>
    </row>
    <row r="958" spans="1:1" x14ac:dyDescent="0.3">
      <c r="A958"/>
    </row>
    <row r="959" spans="1:1" x14ac:dyDescent="0.3">
      <c r="A959"/>
    </row>
    <row r="960" spans="1:1" x14ac:dyDescent="0.3">
      <c r="A960"/>
    </row>
    <row r="961" spans="1:1" x14ac:dyDescent="0.3">
      <c r="A961"/>
    </row>
    <row r="962" spans="1:1" x14ac:dyDescent="0.3">
      <c r="A962"/>
    </row>
    <row r="963" spans="1:1" x14ac:dyDescent="0.3">
      <c r="A963"/>
    </row>
    <row r="964" spans="1:1" x14ac:dyDescent="0.3">
      <c r="A964"/>
    </row>
    <row r="965" spans="1:1" x14ac:dyDescent="0.3">
      <c r="A965"/>
    </row>
    <row r="966" spans="1:1" x14ac:dyDescent="0.3">
      <c r="A966"/>
    </row>
    <row r="967" spans="1:1" x14ac:dyDescent="0.3">
      <c r="A967"/>
    </row>
    <row r="968" spans="1:1" x14ac:dyDescent="0.3">
      <c r="A968"/>
    </row>
    <row r="969" spans="1:1" x14ac:dyDescent="0.3">
      <c r="A969"/>
    </row>
    <row r="970" spans="1:1" x14ac:dyDescent="0.3">
      <c r="A970"/>
    </row>
    <row r="971" spans="1:1" x14ac:dyDescent="0.3">
      <c r="A971"/>
    </row>
    <row r="972" spans="1:1" x14ac:dyDescent="0.3">
      <c r="A972"/>
    </row>
    <row r="973" spans="1:1" x14ac:dyDescent="0.3">
      <c r="A973"/>
    </row>
    <row r="974" spans="1:1" x14ac:dyDescent="0.3">
      <c r="A974"/>
    </row>
    <row r="975" spans="1:1" x14ac:dyDescent="0.3">
      <c r="A975"/>
    </row>
    <row r="976" spans="1:1" x14ac:dyDescent="0.3">
      <c r="A976"/>
    </row>
    <row r="977" spans="1:1" x14ac:dyDescent="0.3">
      <c r="A977"/>
    </row>
    <row r="978" spans="1:1" x14ac:dyDescent="0.3">
      <c r="A978"/>
    </row>
    <row r="979" spans="1:1" x14ac:dyDescent="0.3">
      <c r="A979"/>
    </row>
    <row r="980" spans="1:1" x14ac:dyDescent="0.3">
      <c r="A980"/>
    </row>
    <row r="981" spans="1:1" x14ac:dyDescent="0.3">
      <c r="A981"/>
    </row>
    <row r="982" spans="1:1" x14ac:dyDescent="0.3">
      <c r="A982"/>
    </row>
    <row r="983" spans="1:1" x14ac:dyDescent="0.3">
      <c r="A983"/>
    </row>
    <row r="984" spans="1:1" x14ac:dyDescent="0.3">
      <c r="A984"/>
    </row>
    <row r="985" spans="1:1" x14ac:dyDescent="0.3">
      <c r="A985"/>
    </row>
    <row r="986" spans="1:1" x14ac:dyDescent="0.3">
      <c r="A986"/>
    </row>
    <row r="987" spans="1:1" x14ac:dyDescent="0.3">
      <c r="A987"/>
    </row>
    <row r="988" spans="1:1" x14ac:dyDescent="0.3">
      <c r="A988"/>
    </row>
    <row r="989" spans="1:1" x14ac:dyDescent="0.3">
      <c r="A989"/>
    </row>
    <row r="990" spans="1:1" x14ac:dyDescent="0.3">
      <c r="A990"/>
    </row>
    <row r="991" spans="1:1" x14ac:dyDescent="0.3">
      <c r="A991"/>
    </row>
    <row r="992" spans="1:1" x14ac:dyDescent="0.3">
      <c r="A992"/>
    </row>
    <row r="993" spans="1:1" x14ac:dyDescent="0.3">
      <c r="A993"/>
    </row>
    <row r="994" spans="1:1" x14ac:dyDescent="0.3">
      <c r="A994"/>
    </row>
    <row r="995" spans="1:1" x14ac:dyDescent="0.3">
      <c r="A995"/>
    </row>
    <row r="996" spans="1:1" x14ac:dyDescent="0.3">
      <c r="A996"/>
    </row>
    <row r="997" spans="1:1" x14ac:dyDescent="0.3">
      <c r="A997"/>
    </row>
    <row r="998" spans="1:1" x14ac:dyDescent="0.3">
      <c r="A998"/>
    </row>
    <row r="999" spans="1:1" x14ac:dyDescent="0.3">
      <c r="A999"/>
    </row>
    <row r="1000" spans="1:1" x14ac:dyDescent="0.3">
      <c r="A1000"/>
    </row>
    <row r="1001" spans="1:1" x14ac:dyDescent="0.3">
      <c r="A1001"/>
    </row>
    <row r="1002" spans="1:1" x14ac:dyDescent="0.3">
      <c r="A1002"/>
    </row>
    <row r="1003" spans="1:1" x14ac:dyDescent="0.3">
      <c r="A1003"/>
    </row>
    <row r="1004" spans="1:1" x14ac:dyDescent="0.3">
      <c r="A1004"/>
    </row>
    <row r="1005" spans="1:1" x14ac:dyDescent="0.3">
      <c r="A1005"/>
    </row>
    <row r="1006" spans="1:1" x14ac:dyDescent="0.3">
      <c r="A1006"/>
    </row>
    <row r="1007" spans="1:1" x14ac:dyDescent="0.3">
      <c r="A1007"/>
    </row>
    <row r="1008" spans="1:1" x14ac:dyDescent="0.3">
      <c r="A1008"/>
    </row>
    <row r="1009" spans="1:1" x14ac:dyDescent="0.3">
      <c r="A1009"/>
    </row>
    <row r="1010" spans="1:1" x14ac:dyDescent="0.3">
      <c r="A1010"/>
    </row>
    <row r="1011" spans="1:1" x14ac:dyDescent="0.3">
      <c r="A1011"/>
    </row>
    <row r="1012" spans="1:1" x14ac:dyDescent="0.3">
      <c r="A1012"/>
    </row>
    <row r="1013" spans="1:1" x14ac:dyDescent="0.3">
      <c r="A1013"/>
    </row>
    <row r="1014" spans="1:1" x14ac:dyDescent="0.3">
      <c r="A1014"/>
    </row>
    <row r="1015" spans="1:1" x14ac:dyDescent="0.3">
      <c r="A1015"/>
    </row>
    <row r="1016" spans="1:1" x14ac:dyDescent="0.3">
      <c r="A1016"/>
    </row>
    <row r="1017" spans="1:1" x14ac:dyDescent="0.3">
      <c r="A1017"/>
    </row>
    <row r="1018" spans="1:1" x14ac:dyDescent="0.3">
      <c r="A1018"/>
    </row>
    <row r="1019" spans="1:1" x14ac:dyDescent="0.3">
      <c r="A1019"/>
    </row>
    <row r="1020" spans="1:1" x14ac:dyDescent="0.3">
      <c r="A1020"/>
    </row>
    <row r="1021" spans="1:1" x14ac:dyDescent="0.3">
      <c r="A1021"/>
    </row>
    <row r="1022" spans="1:1" x14ac:dyDescent="0.3">
      <c r="A1022"/>
    </row>
    <row r="1023" spans="1:1" x14ac:dyDescent="0.3">
      <c r="A1023"/>
    </row>
    <row r="1024" spans="1:1" x14ac:dyDescent="0.3">
      <c r="A1024"/>
    </row>
    <row r="1025" spans="1:1" x14ac:dyDescent="0.3">
      <c r="A1025"/>
    </row>
    <row r="1026" spans="1:1" x14ac:dyDescent="0.3">
      <c r="A1026"/>
    </row>
    <row r="1027" spans="1:1" x14ac:dyDescent="0.3">
      <c r="A1027"/>
    </row>
    <row r="1028" spans="1:1" x14ac:dyDescent="0.3">
      <c r="A1028"/>
    </row>
    <row r="1029" spans="1:1" x14ac:dyDescent="0.3">
      <c r="A1029"/>
    </row>
    <row r="1030" spans="1:1" x14ac:dyDescent="0.3">
      <c r="A1030"/>
    </row>
    <row r="1031" spans="1:1" x14ac:dyDescent="0.3">
      <c r="A1031"/>
    </row>
    <row r="1032" spans="1:1" x14ac:dyDescent="0.3">
      <c r="A1032"/>
    </row>
    <row r="1033" spans="1:1" x14ac:dyDescent="0.3">
      <c r="A1033"/>
    </row>
    <row r="1034" spans="1:1" x14ac:dyDescent="0.3">
      <c r="A1034"/>
    </row>
    <row r="1035" spans="1:1" x14ac:dyDescent="0.3">
      <c r="A1035"/>
    </row>
    <row r="1036" spans="1:1" x14ac:dyDescent="0.3">
      <c r="A1036"/>
    </row>
    <row r="1037" spans="1:1" x14ac:dyDescent="0.3">
      <c r="A1037"/>
    </row>
    <row r="1038" spans="1:1" x14ac:dyDescent="0.3">
      <c r="A1038"/>
    </row>
    <row r="1039" spans="1:1" x14ac:dyDescent="0.3">
      <c r="A1039"/>
    </row>
    <row r="1040" spans="1:1" x14ac:dyDescent="0.3">
      <c r="A1040"/>
    </row>
    <row r="1041" spans="1:1" x14ac:dyDescent="0.3">
      <c r="A1041"/>
    </row>
    <row r="1042" spans="1:1" x14ac:dyDescent="0.3">
      <c r="A1042"/>
    </row>
    <row r="1043" spans="1:1" x14ac:dyDescent="0.3">
      <c r="A1043"/>
    </row>
    <row r="1044" spans="1:1" x14ac:dyDescent="0.3">
      <c r="A1044"/>
    </row>
    <row r="1045" spans="1:1" x14ac:dyDescent="0.3">
      <c r="A1045"/>
    </row>
    <row r="1046" spans="1:1" x14ac:dyDescent="0.3">
      <c r="A1046"/>
    </row>
    <row r="1047" spans="1:1" x14ac:dyDescent="0.3">
      <c r="A1047"/>
    </row>
    <row r="1048" spans="1:1" x14ac:dyDescent="0.3">
      <c r="A1048"/>
    </row>
    <row r="1049" spans="1:1" x14ac:dyDescent="0.3">
      <c r="A1049"/>
    </row>
    <row r="1050" spans="1:1" x14ac:dyDescent="0.3">
      <c r="A1050"/>
    </row>
    <row r="1051" spans="1:1" x14ac:dyDescent="0.3">
      <c r="A1051"/>
    </row>
    <row r="1052" spans="1:1" x14ac:dyDescent="0.3">
      <c r="A1052"/>
    </row>
    <row r="1053" spans="1:1" x14ac:dyDescent="0.3">
      <c r="A1053"/>
    </row>
    <row r="1054" spans="1:1" x14ac:dyDescent="0.3">
      <c r="A1054"/>
    </row>
    <row r="1055" spans="1:1" x14ac:dyDescent="0.3">
      <c r="A1055"/>
    </row>
    <row r="1056" spans="1:1" x14ac:dyDescent="0.3">
      <c r="A1056"/>
    </row>
    <row r="1057" spans="1:1" x14ac:dyDescent="0.3">
      <c r="A1057"/>
    </row>
    <row r="1058" spans="1:1" x14ac:dyDescent="0.3">
      <c r="A1058"/>
    </row>
    <row r="1059" spans="1:1" x14ac:dyDescent="0.3">
      <c r="A1059"/>
    </row>
    <row r="1060" spans="1:1" x14ac:dyDescent="0.3">
      <c r="A1060"/>
    </row>
    <row r="1061" spans="1:1" x14ac:dyDescent="0.3">
      <c r="A1061"/>
    </row>
    <row r="1062" spans="1:1" x14ac:dyDescent="0.3">
      <c r="A1062"/>
    </row>
    <row r="1063" spans="1:1" x14ac:dyDescent="0.3">
      <c r="A1063"/>
    </row>
    <row r="1064" spans="1:1" x14ac:dyDescent="0.3">
      <c r="A1064"/>
    </row>
    <row r="1065" spans="1:1" x14ac:dyDescent="0.3">
      <c r="A1065"/>
    </row>
    <row r="1066" spans="1:1" x14ac:dyDescent="0.3">
      <c r="A1066"/>
    </row>
    <row r="1067" spans="1:1" x14ac:dyDescent="0.3">
      <c r="A1067"/>
    </row>
    <row r="1068" spans="1:1" x14ac:dyDescent="0.3">
      <c r="A1068"/>
    </row>
    <row r="1069" spans="1:1" x14ac:dyDescent="0.3">
      <c r="A1069"/>
    </row>
    <row r="1070" spans="1:1" x14ac:dyDescent="0.3">
      <c r="A1070"/>
    </row>
    <row r="1071" spans="1:1" x14ac:dyDescent="0.3">
      <c r="A1071"/>
    </row>
    <row r="1072" spans="1:1" x14ac:dyDescent="0.3">
      <c r="A1072"/>
    </row>
    <row r="1073" spans="1:1" x14ac:dyDescent="0.3">
      <c r="A1073"/>
    </row>
    <row r="1074" spans="1:1" x14ac:dyDescent="0.3">
      <c r="A1074"/>
    </row>
    <row r="1075" spans="1:1" x14ac:dyDescent="0.3">
      <c r="A1075"/>
    </row>
    <row r="1076" spans="1:1" x14ac:dyDescent="0.3">
      <c r="A1076"/>
    </row>
    <row r="1077" spans="1:1" x14ac:dyDescent="0.3">
      <c r="A1077"/>
    </row>
    <row r="1078" spans="1:1" x14ac:dyDescent="0.3">
      <c r="A1078"/>
    </row>
    <row r="1079" spans="1:1" x14ac:dyDescent="0.3">
      <c r="A1079"/>
    </row>
    <row r="1080" spans="1:1" x14ac:dyDescent="0.3">
      <c r="A1080"/>
    </row>
    <row r="1081" spans="1:1" x14ac:dyDescent="0.3">
      <c r="A1081"/>
    </row>
    <row r="1082" spans="1:1" x14ac:dyDescent="0.3">
      <c r="A1082"/>
    </row>
    <row r="1083" spans="1:1" x14ac:dyDescent="0.3">
      <c r="A1083"/>
    </row>
    <row r="1084" spans="1:1" x14ac:dyDescent="0.3">
      <c r="A1084"/>
    </row>
    <row r="1085" spans="1:1" x14ac:dyDescent="0.3">
      <c r="A1085"/>
    </row>
    <row r="1086" spans="1:1" x14ac:dyDescent="0.3">
      <c r="A1086"/>
    </row>
    <row r="1087" spans="1:1" x14ac:dyDescent="0.3">
      <c r="A1087"/>
    </row>
    <row r="1088" spans="1:1" x14ac:dyDescent="0.3">
      <c r="A1088"/>
    </row>
    <row r="1089" spans="1:1" x14ac:dyDescent="0.3">
      <c r="A1089"/>
    </row>
    <row r="1090" spans="1:1" x14ac:dyDescent="0.3">
      <c r="A1090"/>
    </row>
    <row r="1091" spans="1:1" x14ac:dyDescent="0.3">
      <c r="A1091"/>
    </row>
    <row r="1092" spans="1:1" x14ac:dyDescent="0.3">
      <c r="A1092"/>
    </row>
    <row r="1093" spans="1:1" x14ac:dyDescent="0.3">
      <c r="A1093"/>
    </row>
    <row r="1094" spans="1:1" x14ac:dyDescent="0.3">
      <c r="A1094"/>
    </row>
    <row r="1095" spans="1:1" x14ac:dyDescent="0.3">
      <c r="A1095"/>
    </row>
    <row r="1096" spans="1:1" x14ac:dyDescent="0.3">
      <c r="A1096"/>
    </row>
    <row r="1097" spans="1:1" x14ac:dyDescent="0.3">
      <c r="A1097"/>
    </row>
    <row r="1098" spans="1:1" x14ac:dyDescent="0.3">
      <c r="A1098"/>
    </row>
    <row r="1099" spans="1:1" x14ac:dyDescent="0.3">
      <c r="A1099"/>
    </row>
    <row r="1100" spans="1:1" x14ac:dyDescent="0.3">
      <c r="A1100"/>
    </row>
    <row r="1101" spans="1:1" x14ac:dyDescent="0.3">
      <c r="A1101"/>
    </row>
    <row r="1102" spans="1:1" x14ac:dyDescent="0.3">
      <c r="A1102"/>
    </row>
    <row r="1103" spans="1:1" x14ac:dyDescent="0.3">
      <c r="A1103"/>
    </row>
    <row r="1104" spans="1:1" x14ac:dyDescent="0.3">
      <c r="A1104"/>
    </row>
    <row r="1105" spans="1:1" x14ac:dyDescent="0.3">
      <c r="A1105"/>
    </row>
    <row r="1106" spans="1:1" x14ac:dyDescent="0.3">
      <c r="A1106"/>
    </row>
    <row r="1107" spans="1:1" x14ac:dyDescent="0.3">
      <c r="A1107"/>
    </row>
    <row r="1108" spans="1:1" x14ac:dyDescent="0.3">
      <c r="A1108"/>
    </row>
    <row r="1109" spans="1:1" x14ac:dyDescent="0.3">
      <c r="A1109"/>
    </row>
    <row r="1110" spans="1:1" x14ac:dyDescent="0.3">
      <c r="A1110"/>
    </row>
    <row r="1111" spans="1:1" x14ac:dyDescent="0.3">
      <c r="A1111"/>
    </row>
    <row r="1112" spans="1:1" x14ac:dyDescent="0.3">
      <c r="A1112"/>
    </row>
    <row r="1113" spans="1:1" x14ac:dyDescent="0.3">
      <c r="A1113"/>
    </row>
    <row r="1114" spans="1:1" x14ac:dyDescent="0.3">
      <c r="A1114"/>
    </row>
    <row r="1115" spans="1:1" x14ac:dyDescent="0.3">
      <c r="A1115"/>
    </row>
    <row r="1116" spans="1:1" x14ac:dyDescent="0.3">
      <c r="A1116"/>
    </row>
    <row r="1117" spans="1:1" x14ac:dyDescent="0.3">
      <c r="A1117"/>
    </row>
    <row r="1118" spans="1:1" x14ac:dyDescent="0.3">
      <c r="A1118"/>
    </row>
    <row r="1119" spans="1:1" x14ac:dyDescent="0.3">
      <c r="A1119"/>
    </row>
    <row r="1120" spans="1:1" x14ac:dyDescent="0.3">
      <c r="A1120"/>
    </row>
    <row r="1121" spans="1:1" x14ac:dyDescent="0.3">
      <c r="A1121"/>
    </row>
    <row r="1122" spans="1:1" x14ac:dyDescent="0.3">
      <c r="A1122"/>
    </row>
    <row r="1123" spans="1:1" x14ac:dyDescent="0.3">
      <c r="A1123"/>
    </row>
    <row r="1124" spans="1:1" x14ac:dyDescent="0.3">
      <c r="A1124"/>
    </row>
    <row r="1125" spans="1:1" x14ac:dyDescent="0.3">
      <c r="A1125"/>
    </row>
    <row r="1126" spans="1:1" x14ac:dyDescent="0.3">
      <c r="A1126"/>
    </row>
    <row r="1127" spans="1:1" x14ac:dyDescent="0.3">
      <c r="A1127"/>
    </row>
    <row r="1128" spans="1:1" x14ac:dyDescent="0.3">
      <c r="A1128"/>
    </row>
    <row r="1129" spans="1:1" x14ac:dyDescent="0.3">
      <c r="A1129"/>
    </row>
    <row r="1130" spans="1:1" x14ac:dyDescent="0.3">
      <c r="A1130"/>
    </row>
    <row r="1131" spans="1:1" x14ac:dyDescent="0.3">
      <c r="A1131"/>
    </row>
    <row r="1132" spans="1:1" x14ac:dyDescent="0.3">
      <c r="A1132"/>
    </row>
    <row r="1133" spans="1:1" x14ac:dyDescent="0.3">
      <c r="A1133"/>
    </row>
    <row r="1134" spans="1:1" x14ac:dyDescent="0.3">
      <c r="A1134"/>
    </row>
    <row r="1135" spans="1:1" x14ac:dyDescent="0.3">
      <c r="A1135"/>
    </row>
    <row r="1136" spans="1:1" x14ac:dyDescent="0.3">
      <c r="A1136"/>
    </row>
    <row r="1137" spans="1:1" x14ac:dyDescent="0.3">
      <c r="A1137"/>
    </row>
    <row r="1138" spans="1:1" x14ac:dyDescent="0.3">
      <c r="A1138"/>
    </row>
    <row r="1139" spans="1:1" x14ac:dyDescent="0.3">
      <c r="A1139"/>
    </row>
    <row r="1140" spans="1:1" x14ac:dyDescent="0.3">
      <c r="A1140"/>
    </row>
    <row r="1141" spans="1:1" x14ac:dyDescent="0.3">
      <c r="A1141"/>
    </row>
    <row r="1142" spans="1:1" x14ac:dyDescent="0.3">
      <c r="A1142"/>
    </row>
    <row r="1143" spans="1:1" x14ac:dyDescent="0.3">
      <c r="A1143"/>
    </row>
    <row r="1144" spans="1:1" x14ac:dyDescent="0.3">
      <c r="A1144"/>
    </row>
    <row r="1145" spans="1:1" x14ac:dyDescent="0.3">
      <c r="A1145"/>
    </row>
    <row r="1146" spans="1:1" x14ac:dyDescent="0.3">
      <c r="A1146"/>
    </row>
    <row r="1147" spans="1:1" x14ac:dyDescent="0.3">
      <c r="A1147"/>
    </row>
    <row r="1148" spans="1:1" x14ac:dyDescent="0.3">
      <c r="A1148"/>
    </row>
    <row r="1149" spans="1:1" x14ac:dyDescent="0.3">
      <c r="A1149"/>
    </row>
    <row r="1150" spans="1:1" x14ac:dyDescent="0.3">
      <c r="A1150"/>
    </row>
    <row r="1151" spans="1:1" x14ac:dyDescent="0.3">
      <c r="A1151"/>
    </row>
    <row r="1152" spans="1:1" x14ac:dyDescent="0.3">
      <c r="A1152"/>
    </row>
    <row r="1153" spans="1:1" x14ac:dyDescent="0.3">
      <c r="A1153"/>
    </row>
    <row r="1154" spans="1:1" x14ac:dyDescent="0.3">
      <c r="A1154"/>
    </row>
    <row r="1155" spans="1:1" x14ac:dyDescent="0.3">
      <c r="A1155"/>
    </row>
    <row r="1156" spans="1:1" x14ac:dyDescent="0.3">
      <c r="A1156"/>
    </row>
    <row r="1157" spans="1:1" x14ac:dyDescent="0.3">
      <c r="A1157"/>
    </row>
    <row r="1158" spans="1:1" x14ac:dyDescent="0.3">
      <c r="A1158"/>
    </row>
    <row r="1159" spans="1:1" x14ac:dyDescent="0.3">
      <c r="A1159"/>
    </row>
    <row r="1160" spans="1:1" x14ac:dyDescent="0.3">
      <c r="A1160"/>
    </row>
    <row r="1161" spans="1:1" x14ac:dyDescent="0.3">
      <c r="A1161"/>
    </row>
    <row r="1162" spans="1:1" x14ac:dyDescent="0.3">
      <c r="A1162"/>
    </row>
    <row r="1163" spans="1:1" x14ac:dyDescent="0.3">
      <c r="A1163"/>
    </row>
    <row r="1164" spans="1:1" x14ac:dyDescent="0.3">
      <c r="A1164"/>
    </row>
    <row r="1165" spans="1:1" x14ac:dyDescent="0.3">
      <c r="A1165"/>
    </row>
    <row r="1166" spans="1:1" x14ac:dyDescent="0.3">
      <c r="A1166"/>
    </row>
    <row r="1167" spans="1:1" x14ac:dyDescent="0.3">
      <c r="A1167"/>
    </row>
    <row r="1168" spans="1:1" x14ac:dyDescent="0.3">
      <c r="A1168"/>
    </row>
    <row r="1169" spans="1:1" x14ac:dyDescent="0.3">
      <c r="A1169"/>
    </row>
    <row r="1170" spans="1:1" x14ac:dyDescent="0.3">
      <c r="A1170"/>
    </row>
    <row r="1171" spans="1:1" x14ac:dyDescent="0.3">
      <c r="A1171"/>
    </row>
    <row r="1172" spans="1:1" x14ac:dyDescent="0.3">
      <c r="A1172"/>
    </row>
    <row r="1173" spans="1:1" x14ac:dyDescent="0.3">
      <c r="A1173"/>
    </row>
    <row r="1174" spans="1:1" x14ac:dyDescent="0.3">
      <c r="A1174"/>
    </row>
    <row r="1175" spans="1:1" x14ac:dyDescent="0.3">
      <c r="A1175"/>
    </row>
    <row r="1176" spans="1:1" x14ac:dyDescent="0.3">
      <c r="A1176"/>
    </row>
    <row r="1177" spans="1:1" x14ac:dyDescent="0.3">
      <c r="A1177"/>
    </row>
    <row r="1178" spans="1:1" x14ac:dyDescent="0.3">
      <c r="A1178"/>
    </row>
    <row r="1179" spans="1:1" x14ac:dyDescent="0.3">
      <c r="A1179"/>
    </row>
    <row r="1180" spans="1:1" x14ac:dyDescent="0.3">
      <c r="A1180"/>
    </row>
    <row r="1181" spans="1:1" x14ac:dyDescent="0.3">
      <c r="A1181"/>
    </row>
    <row r="1182" spans="1:1" x14ac:dyDescent="0.3">
      <c r="A1182"/>
    </row>
    <row r="1183" spans="1:1" x14ac:dyDescent="0.3">
      <c r="A1183"/>
    </row>
    <row r="1184" spans="1:1" x14ac:dyDescent="0.3">
      <c r="A1184"/>
    </row>
    <row r="1185" spans="1:1" x14ac:dyDescent="0.3">
      <c r="A1185"/>
    </row>
    <row r="1186" spans="1:1" x14ac:dyDescent="0.3">
      <c r="A1186"/>
    </row>
    <row r="1187" spans="1:1" x14ac:dyDescent="0.3">
      <c r="A1187"/>
    </row>
    <row r="1188" spans="1:1" x14ac:dyDescent="0.3">
      <c r="A1188"/>
    </row>
    <row r="1189" spans="1:1" x14ac:dyDescent="0.3">
      <c r="A1189"/>
    </row>
    <row r="1190" spans="1:1" x14ac:dyDescent="0.3">
      <c r="A1190"/>
    </row>
    <row r="1191" spans="1:1" x14ac:dyDescent="0.3">
      <c r="A1191"/>
    </row>
    <row r="1192" spans="1:1" x14ac:dyDescent="0.3">
      <c r="A1192"/>
    </row>
    <row r="1193" spans="1:1" x14ac:dyDescent="0.3">
      <c r="A1193"/>
    </row>
    <row r="1194" spans="1:1" x14ac:dyDescent="0.3">
      <c r="A1194"/>
    </row>
    <row r="1195" spans="1:1" x14ac:dyDescent="0.3">
      <c r="A1195"/>
    </row>
    <row r="1196" spans="1:1" x14ac:dyDescent="0.3">
      <c r="A1196"/>
    </row>
    <row r="1197" spans="1:1" x14ac:dyDescent="0.3">
      <c r="A1197"/>
    </row>
    <row r="1198" spans="1:1" x14ac:dyDescent="0.3">
      <c r="A1198"/>
    </row>
    <row r="1199" spans="1:1" x14ac:dyDescent="0.3">
      <c r="A1199"/>
    </row>
    <row r="1200" spans="1:1" x14ac:dyDescent="0.3">
      <c r="A1200"/>
    </row>
    <row r="1201" spans="1:1" x14ac:dyDescent="0.3">
      <c r="A1201"/>
    </row>
    <row r="1202" spans="1:1" x14ac:dyDescent="0.3">
      <c r="A1202"/>
    </row>
    <row r="1203" spans="1:1" x14ac:dyDescent="0.3">
      <c r="A1203"/>
    </row>
    <row r="1204" spans="1:1" x14ac:dyDescent="0.3">
      <c r="A1204"/>
    </row>
    <row r="1205" spans="1:1" x14ac:dyDescent="0.3">
      <c r="A1205"/>
    </row>
    <row r="1206" spans="1:1" x14ac:dyDescent="0.3">
      <c r="A1206"/>
    </row>
    <row r="1207" spans="1:1" x14ac:dyDescent="0.3">
      <c r="A1207"/>
    </row>
    <row r="1208" spans="1:1" x14ac:dyDescent="0.3">
      <c r="A1208"/>
    </row>
    <row r="1209" spans="1:1" x14ac:dyDescent="0.3">
      <c r="A1209"/>
    </row>
    <row r="1210" spans="1:1" x14ac:dyDescent="0.3">
      <c r="A1210"/>
    </row>
    <row r="1211" spans="1:1" x14ac:dyDescent="0.3">
      <c r="A1211"/>
    </row>
    <row r="1212" spans="1:1" x14ac:dyDescent="0.3">
      <c r="A1212"/>
    </row>
    <row r="1213" spans="1:1" x14ac:dyDescent="0.3">
      <c r="A1213"/>
    </row>
    <row r="1214" spans="1:1" x14ac:dyDescent="0.3">
      <c r="A1214"/>
    </row>
    <row r="1215" spans="1:1" x14ac:dyDescent="0.3">
      <c r="A1215"/>
    </row>
    <row r="1216" spans="1:1" x14ac:dyDescent="0.3">
      <c r="A1216"/>
    </row>
    <row r="1217" spans="1:1" x14ac:dyDescent="0.3">
      <c r="A1217"/>
    </row>
    <row r="1218" spans="1:1" x14ac:dyDescent="0.3">
      <c r="A1218"/>
    </row>
    <row r="1219" spans="1:1" x14ac:dyDescent="0.3">
      <c r="A1219"/>
    </row>
    <row r="1220" spans="1:1" x14ac:dyDescent="0.3">
      <c r="A1220"/>
    </row>
    <row r="1221" spans="1:1" x14ac:dyDescent="0.3">
      <c r="A1221"/>
    </row>
    <row r="1222" spans="1:1" x14ac:dyDescent="0.3">
      <c r="A1222"/>
    </row>
    <row r="1223" spans="1:1" x14ac:dyDescent="0.3">
      <c r="A1223"/>
    </row>
    <row r="1224" spans="1:1" x14ac:dyDescent="0.3">
      <c r="A1224"/>
    </row>
    <row r="1225" spans="1:1" x14ac:dyDescent="0.3">
      <c r="A1225"/>
    </row>
    <row r="1226" spans="1:1" x14ac:dyDescent="0.3">
      <c r="A1226"/>
    </row>
    <row r="1227" spans="1:1" x14ac:dyDescent="0.3">
      <c r="A1227"/>
    </row>
    <row r="1228" spans="1:1" x14ac:dyDescent="0.3">
      <c r="A1228"/>
    </row>
    <row r="1229" spans="1:1" x14ac:dyDescent="0.3">
      <c r="A1229"/>
    </row>
    <row r="1230" spans="1:1" x14ac:dyDescent="0.3">
      <c r="A1230"/>
    </row>
    <row r="1231" spans="1:1" x14ac:dyDescent="0.3">
      <c r="A1231"/>
    </row>
    <row r="1232" spans="1:1" x14ac:dyDescent="0.3">
      <c r="A1232"/>
    </row>
    <row r="1233" spans="1:1" x14ac:dyDescent="0.3">
      <c r="A1233"/>
    </row>
    <row r="1234" spans="1:1" x14ac:dyDescent="0.3">
      <c r="A1234"/>
    </row>
    <row r="1235" spans="1:1" x14ac:dyDescent="0.3">
      <c r="A1235"/>
    </row>
    <row r="1236" spans="1:1" x14ac:dyDescent="0.3">
      <c r="A1236"/>
    </row>
    <row r="1237" spans="1:1" x14ac:dyDescent="0.3">
      <c r="A1237"/>
    </row>
    <row r="1238" spans="1:1" x14ac:dyDescent="0.3">
      <c r="A1238"/>
    </row>
    <row r="1239" spans="1:1" x14ac:dyDescent="0.3">
      <c r="A1239"/>
    </row>
    <row r="1240" spans="1:1" x14ac:dyDescent="0.3">
      <c r="A1240"/>
    </row>
    <row r="1241" spans="1:1" x14ac:dyDescent="0.3">
      <c r="A1241"/>
    </row>
    <row r="1242" spans="1:1" x14ac:dyDescent="0.3">
      <c r="A1242"/>
    </row>
    <row r="1243" spans="1:1" x14ac:dyDescent="0.3">
      <c r="A1243"/>
    </row>
    <row r="1244" spans="1:1" x14ac:dyDescent="0.3">
      <c r="A1244"/>
    </row>
    <row r="1245" spans="1:1" x14ac:dyDescent="0.3">
      <c r="A1245"/>
    </row>
    <row r="1246" spans="1:1" x14ac:dyDescent="0.3">
      <c r="A1246"/>
    </row>
    <row r="1247" spans="1:1" x14ac:dyDescent="0.3">
      <c r="A1247"/>
    </row>
    <row r="1248" spans="1:1" x14ac:dyDescent="0.3">
      <c r="A1248"/>
    </row>
    <row r="1249" spans="1:1" x14ac:dyDescent="0.3">
      <c r="A1249"/>
    </row>
    <row r="1250" spans="1:1" x14ac:dyDescent="0.3">
      <c r="A1250"/>
    </row>
    <row r="1251" spans="1:1" x14ac:dyDescent="0.3">
      <c r="A1251"/>
    </row>
    <row r="1252" spans="1:1" x14ac:dyDescent="0.3">
      <c r="A1252"/>
    </row>
    <row r="1253" spans="1:1" x14ac:dyDescent="0.3">
      <c r="A1253"/>
    </row>
    <row r="1254" spans="1:1" x14ac:dyDescent="0.3">
      <c r="A1254"/>
    </row>
    <row r="1255" spans="1:1" x14ac:dyDescent="0.3">
      <c r="A1255"/>
    </row>
    <row r="1256" spans="1:1" x14ac:dyDescent="0.3">
      <c r="A1256"/>
    </row>
    <row r="1257" spans="1:1" x14ac:dyDescent="0.3">
      <c r="A1257"/>
    </row>
    <row r="1258" spans="1:1" x14ac:dyDescent="0.3">
      <c r="A1258"/>
    </row>
    <row r="1259" spans="1:1" x14ac:dyDescent="0.3">
      <c r="A1259"/>
    </row>
    <row r="1260" spans="1:1" x14ac:dyDescent="0.3">
      <c r="A1260"/>
    </row>
    <row r="1261" spans="1:1" x14ac:dyDescent="0.3">
      <c r="A1261"/>
    </row>
    <row r="1262" spans="1:1" x14ac:dyDescent="0.3">
      <c r="A1262"/>
    </row>
    <row r="1263" spans="1:1" x14ac:dyDescent="0.3">
      <c r="A1263"/>
    </row>
    <row r="1264" spans="1:1" x14ac:dyDescent="0.3">
      <c r="A1264"/>
    </row>
    <row r="1265" spans="1:1" x14ac:dyDescent="0.3">
      <c r="A1265"/>
    </row>
    <row r="1266" spans="1:1" x14ac:dyDescent="0.3">
      <c r="A1266"/>
    </row>
    <row r="1267" spans="1:1" x14ac:dyDescent="0.3">
      <c r="A1267"/>
    </row>
    <row r="1268" spans="1:1" x14ac:dyDescent="0.3">
      <c r="A1268"/>
    </row>
    <row r="1269" spans="1:1" x14ac:dyDescent="0.3">
      <c r="A1269"/>
    </row>
    <row r="1270" spans="1:1" x14ac:dyDescent="0.3">
      <c r="A1270"/>
    </row>
    <row r="1271" spans="1:1" x14ac:dyDescent="0.3">
      <c r="A1271"/>
    </row>
    <row r="1272" spans="1:1" x14ac:dyDescent="0.3">
      <c r="A1272"/>
    </row>
    <row r="1273" spans="1:1" x14ac:dyDescent="0.3">
      <c r="A1273"/>
    </row>
    <row r="1274" spans="1:1" x14ac:dyDescent="0.3">
      <c r="A1274"/>
    </row>
    <row r="1275" spans="1:1" x14ac:dyDescent="0.3">
      <c r="A1275"/>
    </row>
    <row r="1276" spans="1:1" x14ac:dyDescent="0.3">
      <c r="A1276"/>
    </row>
    <row r="1277" spans="1:1" x14ac:dyDescent="0.3">
      <c r="A1277"/>
    </row>
    <row r="1278" spans="1:1" x14ac:dyDescent="0.3">
      <c r="A1278"/>
    </row>
    <row r="1279" spans="1:1" x14ac:dyDescent="0.3">
      <c r="A1279"/>
    </row>
    <row r="1280" spans="1:1" x14ac:dyDescent="0.3">
      <c r="A1280"/>
    </row>
    <row r="1281" spans="1:1" x14ac:dyDescent="0.3">
      <c r="A1281"/>
    </row>
    <row r="1282" spans="1:1" x14ac:dyDescent="0.3">
      <c r="A1282"/>
    </row>
    <row r="1283" spans="1:1" x14ac:dyDescent="0.3">
      <c r="A1283"/>
    </row>
    <row r="1284" spans="1:1" x14ac:dyDescent="0.3">
      <c r="A1284"/>
    </row>
    <row r="1285" spans="1:1" x14ac:dyDescent="0.3">
      <c r="A1285"/>
    </row>
    <row r="1286" spans="1:1" x14ac:dyDescent="0.3">
      <c r="A1286"/>
    </row>
    <row r="1287" spans="1:1" x14ac:dyDescent="0.3">
      <c r="A1287"/>
    </row>
    <row r="1288" spans="1:1" x14ac:dyDescent="0.3">
      <c r="A1288"/>
    </row>
    <row r="1289" spans="1:1" x14ac:dyDescent="0.3">
      <c r="A1289"/>
    </row>
    <row r="1290" spans="1:1" x14ac:dyDescent="0.3">
      <c r="A1290"/>
    </row>
    <row r="1291" spans="1:1" x14ac:dyDescent="0.3">
      <c r="A1291"/>
    </row>
    <row r="1292" spans="1:1" x14ac:dyDescent="0.3">
      <c r="A1292"/>
    </row>
    <row r="1293" spans="1:1" x14ac:dyDescent="0.3">
      <c r="A1293"/>
    </row>
    <row r="1294" spans="1:1" x14ac:dyDescent="0.3">
      <c r="A1294"/>
    </row>
    <row r="1295" spans="1:1" x14ac:dyDescent="0.3">
      <c r="A1295"/>
    </row>
    <row r="1296" spans="1:1" x14ac:dyDescent="0.3">
      <c r="A1296"/>
    </row>
    <row r="1297" spans="1:1" x14ac:dyDescent="0.3">
      <c r="A1297"/>
    </row>
    <row r="1298" spans="1:1" x14ac:dyDescent="0.3">
      <c r="A1298"/>
    </row>
    <row r="1299" spans="1:1" x14ac:dyDescent="0.3">
      <c r="A1299"/>
    </row>
    <row r="1300" spans="1:1" x14ac:dyDescent="0.3">
      <c r="A1300"/>
    </row>
    <row r="1301" spans="1:1" x14ac:dyDescent="0.3">
      <c r="A1301"/>
    </row>
    <row r="1302" spans="1:1" x14ac:dyDescent="0.3">
      <c r="A1302"/>
    </row>
    <row r="1303" spans="1:1" x14ac:dyDescent="0.3">
      <c r="A1303"/>
    </row>
    <row r="1304" spans="1:1" x14ac:dyDescent="0.3">
      <c r="A1304"/>
    </row>
    <row r="1305" spans="1:1" x14ac:dyDescent="0.3">
      <c r="A1305"/>
    </row>
    <row r="1306" spans="1:1" x14ac:dyDescent="0.3">
      <c r="A1306"/>
    </row>
    <row r="1307" spans="1:1" x14ac:dyDescent="0.3">
      <c r="A1307"/>
    </row>
    <row r="1308" spans="1:1" x14ac:dyDescent="0.3">
      <c r="A1308"/>
    </row>
    <row r="1309" spans="1:1" x14ac:dyDescent="0.3">
      <c r="A1309"/>
    </row>
    <row r="1310" spans="1:1" x14ac:dyDescent="0.3">
      <c r="A1310"/>
    </row>
    <row r="1311" spans="1:1" x14ac:dyDescent="0.3">
      <c r="A1311"/>
    </row>
    <row r="1312" spans="1:1" x14ac:dyDescent="0.3">
      <c r="A1312"/>
    </row>
    <row r="1313" spans="1:1" x14ac:dyDescent="0.3">
      <c r="A1313"/>
    </row>
    <row r="1314" spans="1:1" x14ac:dyDescent="0.3">
      <c r="A1314"/>
    </row>
    <row r="1315" spans="1:1" x14ac:dyDescent="0.3">
      <c r="A1315"/>
    </row>
    <row r="1316" spans="1:1" x14ac:dyDescent="0.3">
      <c r="A1316"/>
    </row>
    <row r="1317" spans="1:1" x14ac:dyDescent="0.3">
      <c r="A1317"/>
    </row>
    <row r="1318" spans="1:1" x14ac:dyDescent="0.3">
      <c r="A1318"/>
    </row>
    <row r="1319" spans="1:1" x14ac:dyDescent="0.3">
      <c r="A1319"/>
    </row>
    <row r="1320" spans="1:1" x14ac:dyDescent="0.3">
      <c r="A1320"/>
    </row>
    <row r="1321" spans="1:1" x14ac:dyDescent="0.3">
      <c r="A1321"/>
    </row>
    <row r="1322" spans="1:1" x14ac:dyDescent="0.3">
      <c r="A1322"/>
    </row>
    <row r="1323" spans="1:1" x14ac:dyDescent="0.3">
      <c r="A1323"/>
    </row>
    <row r="1324" spans="1:1" x14ac:dyDescent="0.3">
      <c r="A1324"/>
    </row>
    <row r="1325" spans="1:1" x14ac:dyDescent="0.3">
      <c r="A1325"/>
    </row>
    <row r="1326" spans="1:1" x14ac:dyDescent="0.3">
      <c r="A1326"/>
    </row>
    <row r="1327" spans="1:1" x14ac:dyDescent="0.3">
      <c r="A1327"/>
    </row>
    <row r="1328" spans="1:1" x14ac:dyDescent="0.3">
      <c r="A1328"/>
    </row>
    <row r="1329" spans="1:1" x14ac:dyDescent="0.3">
      <c r="A1329"/>
    </row>
    <row r="1330" spans="1:1" x14ac:dyDescent="0.3">
      <c r="A1330"/>
    </row>
    <row r="1331" spans="1:1" x14ac:dyDescent="0.3">
      <c r="A1331"/>
    </row>
    <row r="1332" spans="1:1" x14ac:dyDescent="0.3">
      <c r="A1332"/>
    </row>
    <row r="1333" spans="1:1" x14ac:dyDescent="0.3">
      <c r="A1333"/>
    </row>
    <row r="1334" spans="1:1" x14ac:dyDescent="0.3">
      <c r="A1334"/>
    </row>
    <row r="1335" spans="1:1" x14ac:dyDescent="0.3">
      <c r="A1335"/>
    </row>
    <row r="1336" spans="1:1" x14ac:dyDescent="0.3">
      <c r="A1336"/>
    </row>
    <row r="1337" spans="1:1" x14ac:dyDescent="0.3">
      <c r="A1337"/>
    </row>
    <row r="1338" spans="1:1" x14ac:dyDescent="0.3">
      <c r="A1338"/>
    </row>
    <row r="1339" spans="1:1" x14ac:dyDescent="0.3">
      <c r="A1339"/>
    </row>
    <row r="1340" spans="1:1" x14ac:dyDescent="0.3">
      <c r="A1340"/>
    </row>
    <row r="1341" spans="1:1" x14ac:dyDescent="0.3">
      <c r="A1341"/>
    </row>
    <row r="1342" spans="1:1" x14ac:dyDescent="0.3">
      <c r="A1342"/>
    </row>
    <row r="1343" spans="1:1" x14ac:dyDescent="0.3">
      <c r="A1343"/>
    </row>
    <row r="1344" spans="1:1" x14ac:dyDescent="0.3">
      <c r="A1344"/>
    </row>
    <row r="1345" spans="1:1" x14ac:dyDescent="0.3">
      <c r="A1345"/>
    </row>
    <row r="1346" spans="1:1" x14ac:dyDescent="0.3">
      <c r="A1346"/>
    </row>
    <row r="1347" spans="1:1" x14ac:dyDescent="0.3">
      <c r="A1347"/>
    </row>
    <row r="1348" spans="1:1" x14ac:dyDescent="0.3">
      <c r="A1348"/>
    </row>
    <row r="1349" spans="1:1" x14ac:dyDescent="0.3">
      <c r="A1349"/>
    </row>
    <row r="1350" spans="1:1" x14ac:dyDescent="0.3">
      <c r="A1350"/>
    </row>
    <row r="1351" spans="1:1" x14ac:dyDescent="0.3">
      <c r="A1351"/>
    </row>
    <row r="1352" spans="1:1" x14ac:dyDescent="0.3">
      <c r="A1352"/>
    </row>
    <row r="1353" spans="1:1" x14ac:dyDescent="0.3">
      <c r="A1353"/>
    </row>
    <row r="1354" spans="1:1" x14ac:dyDescent="0.3">
      <c r="A1354"/>
    </row>
    <row r="1355" spans="1:1" x14ac:dyDescent="0.3">
      <c r="A1355"/>
    </row>
    <row r="1356" spans="1:1" x14ac:dyDescent="0.3">
      <c r="A1356"/>
    </row>
    <row r="1357" spans="1:1" x14ac:dyDescent="0.3">
      <c r="A1357"/>
    </row>
    <row r="1358" spans="1:1" x14ac:dyDescent="0.3">
      <c r="A1358"/>
    </row>
    <row r="1359" spans="1:1" x14ac:dyDescent="0.3">
      <c r="A1359"/>
    </row>
    <row r="1360" spans="1:1" x14ac:dyDescent="0.3">
      <c r="A1360"/>
    </row>
    <row r="1361" spans="1:1" x14ac:dyDescent="0.3">
      <c r="A1361"/>
    </row>
    <row r="1362" spans="1:1" x14ac:dyDescent="0.3">
      <c r="A1362"/>
    </row>
    <row r="1363" spans="1:1" x14ac:dyDescent="0.3">
      <c r="A1363"/>
    </row>
    <row r="1364" spans="1:1" x14ac:dyDescent="0.3">
      <c r="A1364"/>
    </row>
    <row r="1365" spans="1:1" x14ac:dyDescent="0.3">
      <c r="A1365"/>
    </row>
    <row r="1366" spans="1:1" x14ac:dyDescent="0.3">
      <c r="A1366"/>
    </row>
    <row r="1367" spans="1:1" x14ac:dyDescent="0.3">
      <c r="A1367"/>
    </row>
    <row r="1368" spans="1:1" x14ac:dyDescent="0.3">
      <c r="A1368"/>
    </row>
    <row r="1369" spans="1:1" x14ac:dyDescent="0.3">
      <c r="A1369"/>
    </row>
    <row r="1370" spans="1:1" x14ac:dyDescent="0.3">
      <c r="A1370"/>
    </row>
    <row r="1371" spans="1:1" x14ac:dyDescent="0.3">
      <c r="A1371"/>
    </row>
    <row r="1372" spans="1:1" x14ac:dyDescent="0.3">
      <c r="A1372"/>
    </row>
    <row r="1373" spans="1:1" x14ac:dyDescent="0.3">
      <c r="A1373"/>
    </row>
    <row r="1374" spans="1:1" x14ac:dyDescent="0.3">
      <c r="A1374"/>
    </row>
    <row r="1375" spans="1:1" x14ac:dyDescent="0.3">
      <c r="A1375"/>
    </row>
    <row r="1376" spans="1:1" x14ac:dyDescent="0.3">
      <c r="A1376"/>
    </row>
    <row r="1377" spans="1:1" x14ac:dyDescent="0.3">
      <c r="A1377"/>
    </row>
    <row r="1378" spans="1:1" x14ac:dyDescent="0.3">
      <c r="A1378"/>
    </row>
    <row r="1379" spans="1:1" x14ac:dyDescent="0.3">
      <c r="A1379"/>
    </row>
    <row r="1380" spans="1:1" x14ac:dyDescent="0.3">
      <c r="A1380"/>
    </row>
    <row r="1381" spans="1:1" x14ac:dyDescent="0.3">
      <c r="A1381"/>
    </row>
    <row r="1382" spans="1:1" x14ac:dyDescent="0.3">
      <c r="A1382"/>
    </row>
    <row r="1383" spans="1:1" x14ac:dyDescent="0.3">
      <c r="A1383"/>
    </row>
    <row r="1384" spans="1:1" x14ac:dyDescent="0.3">
      <c r="A1384"/>
    </row>
    <row r="1385" spans="1:1" x14ac:dyDescent="0.3">
      <c r="A1385"/>
    </row>
    <row r="1386" spans="1:1" x14ac:dyDescent="0.3">
      <c r="A1386"/>
    </row>
    <row r="1387" spans="1:1" x14ac:dyDescent="0.3">
      <c r="A1387"/>
    </row>
    <row r="1388" spans="1:1" x14ac:dyDescent="0.3">
      <c r="A1388"/>
    </row>
    <row r="1389" spans="1:1" x14ac:dyDescent="0.3">
      <c r="A1389"/>
    </row>
    <row r="1390" spans="1:1" x14ac:dyDescent="0.3">
      <c r="A1390"/>
    </row>
    <row r="1391" spans="1:1" x14ac:dyDescent="0.3">
      <c r="A1391"/>
    </row>
    <row r="1392" spans="1:1" x14ac:dyDescent="0.3">
      <c r="A1392"/>
    </row>
    <row r="1393" spans="1:1" x14ac:dyDescent="0.3">
      <c r="A1393"/>
    </row>
    <row r="1394" spans="1:1" x14ac:dyDescent="0.3">
      <c r="A1394"/>
    </row>
    <row r="1395" spans="1:1" x14ac:dyDescent="0.3">
      <c r="A1395"/>
    </row>
    <row r="1396" spans="1:1" x14ac:dyDescent="0.3">
      <c r="A1396"/>
    </row>
    <row r="1397" spans="1:1" x14ac:dyDescent="0.3">
      <c r="A1397"/>
    </row>
    <row r="1398" spans="1:1" x14ac:dyDescent="0.3">
      <c r="A1398"/>
    </row>
    <row r="1399" spans="1:1" x14ac:dyDescent="0.3">
      <c r="A1399"/>
    </row>
    <row r="1400" spans="1:1" x14ac:dyDescent="0.3">
      <c r="A1400"/>
    </row>
    <row r="1401" spans="1:1" x14ac:dyDescent="0.3">
      <c r="A1401"/>
    </row>
    <row r="1402" spans="1:1" x14ac:dyDescent="0.3">
      <c r="A1402"/>
    </row>
    <row r="1403" spans="1:1" x14ac:dyDescent="0.3">
      <c r="A1403"/>
    </row>
    <row r="1404" spans="1:1" x14ac:dyDescent="0.3">
      <c r="A1404"/>
    </row>
    <row r="1405" spans="1:1" x14ac:dyDescent="0.3">
      <c r="A1405"/>
    </row>
    <row r="1406" spans="1:1" x14ac:dyDescent="0.3">
      <c r="A1406"/>
    </row>
    <row r="1407" spans="1:1" x14ac:dyDescent="0.3">
      <c r="A1407"/>
    </row>
    <row r="1408" spans="1:1" x14ac:dyDescent="0.3">
      <c r="A1408"/>
    </row>
    <row r="1409" spans="1:1" x14ac:dyDescent="0.3">
      <c r="A1409"/>
    </row>
    <row r="1410" spans="1:1" x14ac:dyDescent="0.3">
      <c r="A1410"/>
    </row>
    <row r="1411" spans="1:1" x14ac:dyDescent="0.3">
      <c r="A1411"/>
    </row>
    <row r="1412" spans="1:1" x14ac:dyDescent="0.3">
      <c r="A1412"/>
    </row>
    <row r="1413" spans="1:1" x14ac:dyDescent="0.3">
      <c r="A1413"/>
    </row>
    <row r="1414" spans="1:1" x14ac:dyDescent="0.3">
      <c r="A1414"/>
    </row>
    <row r="1415" spans="1:1" x14ac:dyDescent="0.3">
      <c r="A1415"/>
    </row>
    <row r="1416" spans="1:1" x14ac:dyDescent="0.3">
      <c r="A1416"/>
    </row>
    <row r="1417" spans="1:1" x14ac:dyDescent="0.3">
      <c r="A1417"/>
    </row>
    <row r="1418" spans="1:1" x14ac:dyDescent="0.3">
      <c r="A1418"/>
    </row>
    <row r="1419" spans="1:1" x14ac:dyDescent="0.3">
      <c r="A1419"/>
    </row>
    <row r="1420" spans="1:1" x14ac:dyDescent="0.3">
      <c r="A1420"/>
    </row>
    <row r="1421" spans="1:1" x14ac:dyDescent="0.3">
      <c r="A1421"/>
    </row>
    <row r="1422" spans="1:1" x14ac:dyDescent="0.3">
      <c r="A1422"/>
    </row>
    <row r="1423" spans="1:1" x14ac:dyDescent="0.3">
      <c r="A1423"/>
    </row>
    <row r="1424" spans="1:1" x14ac:dyDescent="0.3">
      <c r="A1424"/>
    </row>
    <row r="1425" spans="1:1" x14ac:dyDescent="0.3">
      <c r="A1425"/>
    </row>
    <row r="1426" spans="1:1" x14ac:dyDescent="0.3">
      <c r="A1426"/>
    </row>
    <row r="1427" spans="1:1" x14ac:dyDescent="0.3">
      <c r="A1427"/>
    </row>
    <row r="1428" spans="1:1" x14ac:dyDescent="0.3">
      <c r="A1428"/>
    </row>
    <row r="1429" spans="1:1" x14ac:dyDescent="0.3">
      <c r="A1429"/>
    </row>
    <row r="1430" spans="1:1" x14ac:dyDescent="0.3">
      <c r="A1430"/>
    </row>
    <row r="1431" spans="1:1" x14ac:dyDescent="0.3">
      <c r="A1431"/>
    </row>
    <row r="1432" spans="1:1" x14ac:dyDescent="0.3">
      <c r="A1432"/>
    </row>
    <row r="1433" spans="1:1" x14ac:dyDescent="0.3">
      <c r="A1433"/>
    </row>
    <row r="1434" spans="1:1" x14ac:dyDescent="0.3">
      <c r="A1434"/>
    </row>
    <row r="1435" spans="1:1" x14ac:dyDescent="0.3">
      <c r="A1435"/>
    </row>
    <row r="1436" spans="1:1" x14ac:dyDescent="0.3">
      <c r="A1436"/>
    </row>
    <row r="1437" spans="1:1" x14ac:dyDescent="0.3">
      <c r="A1437"/>
    </row>
    <row r="1438" spans="1:1" x14ac:dyDescent="0.3">
      <c r="A1438"/>
    </row>
    <row r="1439" spans="1:1" x14ac:dyDescent="0.3">
      <c r="A1439"/>
    </row>
    <row r="1440" spans="1:1" x14ac:dyDescent="0.3">
      <c r="A1440"/>
    </row>
    <row r="1441" spans="1:1" x14ac:dyDescent="0.3">
      <c r="A1441"/>
    </row>
    <row r="1442" spans="1:1" x14ac:dyDescent="0.3">
      <c r="A1442"/>
    </row>
    <row r="1443" spans="1:1" x14ac:dyDescent="0.3">
      <c r="A1443"/>
    </row>
    <row r="1444" spans="1:1" x14ac:dyDescent="0.3">
      <c r="A1444"/>
    </row>
    <row r="1445" spans="1:1" x14ac:dyDescent="0.3">
      <c r="A1445"/>
    </row>
    <row r="1446" spans="1:1" x14ac:dyDescent="0.3">
      <c r="A1446"/>
    </row>
    <row r="1447" spans="1:1" x14ac:dyDescent="0.3">
      <c r="A1447"/>
    </row>
    <row r="1448" spans="1:1" x14ac:dyDescent="0.3">
      <c r="A1448"/>
    </row>
    <row r="1449" spans="1:1" x14ac:dyDescent="0.3">
      <c r="A1449"/>
    </row>
    <row r="1450" spans="1:1" x14ac:dyDescent="0.3">
      <c r="A1450"/>
    </row>
    <row r="1451" spans="1:1" x14ac:dyDescent="0.3">
      <c r="A1451"/>
    </row>
    <row r="1452" spans="1:1" x14ac:dyDescent="0.3">
      <c r="A1452"/>
    </row>
    <row r="1453" spans="1:1" x14ac:dyDescent="0.3">
      <c r="A1453"/>
    </row>
    <row r="1454" spans="1:1" x14ac:dyDescent="0.3">
      <c r="A1454"/>
    </row>
    <row r="1455" spans="1:1" x14ac:dyDescent="0.3">
      <c r="A1455"/>
    </row>
    <row r="1456" spans="1:1" x14ac:dyDescent="0.3">
      <c r="A1456"/>
    </row>
    <row r="1457" spans="1:1" x14ac:dyDescent="0.3">
      <c r="A1457"/>
    </row>
    <row r="1458" spans="1:1" x14ac:dyDescent="0.3">
      <c r="A1458"/>
    </row>
    <row r="1459" spans="1:1" x14ac:dyDescent="0.3">
      <c r="A1459"/>
    </row>
    <row r="1460" spans="1:1" x14ac:dyDescent="0.3">
      <c r="A1460"/>
    </row>
    <row r="1461" spans="1:1" x14ac:dyDescent="0.3">
      <c r="A1461"/>
    </row>
    <row r="1462" spans="1:1" x14ac:dyDescent="0.3">
      <c r="A1462"/>
    </row>
    <row r="1463" spans="1:1" x14ac:dyDescent="0.3">
      <c r="A1463"/>
    </row>
    <row r="1464" spans="1:1" x14ac:dyDescent="0.3">
      <c r="A1464"/>
    </row>
    <row r="1465" spans="1:1" x14ac:dyDescent="0.3">
      <c r="A1465"/>
    </row>
    <row r="1466" spans="1:1" x14ac:dyDescent="0.3">
      <c r="A1466"/>
    </row>
    <row r="1467" spans="1:1" x14ac:dyDescent="0.3">
      <c r="A1467"/>
    </row>
    <row r="1468" spans="1:1" x14ac:dyDescent="0.3">
      <c r="A1468"/>
    </row>
    <row r="1469" spans="1:1" x14ac:dyDescent="0.3">
      <c r="A1469"/>
    </row>
    <row r="1470" spans="1:1" x14ac:dyDescent="0.3">
      <c r="A1470"/>
    </row>
    <row r="1471" spans="1:1" x14ac:dyDescent="0.3">
      <c r="A1471"/>
    </row>
    <row r="1472" spans="1:1" x14ac:dyDescent="0.3">
      <c r="A1472"/>
    </row>
    <row r="1473" spans="1:1" x14ac:dyDescent="0.3">
      <c r="A1473"/>
    </row>
    <row r="1474" spans="1:1" x14ac:dyDescent="0.3">
      <c r="A1474"/>
    </row>
    <row r="1475" spans="1:1" x14ac:dyDescent="0.3">
      <c r="A1475"/>
    </row>
    <row r="1476" spans="1:1" x14ac:dyDescent="0.3">
      <c r="A1476"/>
    </row>
    <row r="1477" spans="1:1" x14ac:dyDescent="0.3">
      <c r="A1477"/>
    </row>
    <row r="1478" spans="1:1" x14ac:dyDescent="0.3">
      <c r="A1478"/>
    </row>
    <row r="1479" spans="1:1" x14ac:dyDescent="0.3">
      <c r="A1479"/>
    </row>
    <row r="1480" spans="1:1" x14ac:dyDescent="0.3">
      <c r="A1480"/>
    </row>
    <row r="1481" spans="1:1" x14ac:dyDescent="0.3">
      <c r="A1481"/>
    </row>
    <row r="1482" spans="1:1" x14ac:dyDescent="0.3">
      <c r="A1482"/>
    </row>
    <row r="1483" spans="1:1" x14ac:dyDescent="0.3">
      <c r="A1483"/>
    </row>
    <row r="1484" spans="1:1" x14ac:dyDescent="0.3">
      <c r="A1484"/>
    </row>
    <row r="1485" spans="1:1" x14ac:dyDescent="0.3">
      <c r="A1485"/>
    </row>
    <row r="1486" spans="1:1" x14ac:dyDescent="0.3">
      <c r="A1486"/>
    </row>
    <row r="1487" spans="1:1" x14ac:dyDescent="0.3">
      <c r="A1487"/>
    </row>
    <row r="1488" spans="1:1" x14ac:dyDescent="0.3">
      <c r="A1488"/>
    </row>
    <row r="1489" spans="1:1" x14ac:dyDescent="0.3">
      <c r="A1489"/>
    </row>
    <row r="1490" spans="1:1" x14ac:dyDescent="0.3">
      <c r="A1490"/>
    </row>
    <row r="1491" spans="1:1" x14ac:dyDescent="0.3">
      <c r="A1491"/>
    </row>
    <row r="1492" spans="1:1" x14ac:dyDescent="0.3">
      <c r="A1492"/>
    </row>
    <row r="1493" spans="1:1" x14ac:dyDescent="0.3">
      <c r="A1493"/>
    </row>
    <row r="1494" spans="1:1" x14ac:dyDescent="0.3">
      <c r="A1494"/>
    </row>
    <row r="1495" spans="1:1" x14ac:dyDescent="0.3">
      <c r="A1495"/>
    </row>
    <row r="1496" spans="1:1" x14ac:dyDescent="0.3">
      <c r="A1496"/>
    </row>
    <row r="1497" spans="1:1" x14ac:dyDescent="0.3">
      <c r="A1497"/>
    </row>
    <row r="1498" spans="1:1" x14ac:dyDescent="0.3">
      <c r="A1498"/>
    </row>
    <row r="1499" spans="1:1" x14ac:dyDescent="0.3">
      <c r="A1499"/>
    </row>
    <row r="1500" spans="1:1" x14ac:dyDescent="0.3">
      <c r="A1500"/>
    </row>
    <row r="1501" spans="1:1" x14ac:dyDescent="0.3">
      <c r="A1501"/>
    </row>
    <row r="1502" spans="1:1" x14ac:dyDescent="0.3">
      <c r="A1502"/>
    </row>
    <row r="1503" spans="1:1" x14ac:dyDescent="0.3">
      <c r="A1503"/>
    </row>
    <row r="1504" spans="1:1" x14ac:dyDescent="0.3">
      <c r="A1504"/>
    </row>
    <row r="1505" spans="1:1" x14ac:dyDescent="0.3">
      <c r="A1505"/>
    </row>
    <row r="1506" spans="1:1" x14ac:dyDescent="0.3">
      <c r="A1506"/>
    </row>
    <row r="1507" spans="1:1" x14ac:dyDescent="0.3">
      <c r="A1507"/>
    </row>
    <row r="1508" spans="1:1" x14ac:dyDescent="0.3">
      <c r="A1508"/>
    </row>
    <row r="1509" spans="1:1" x14ac:dyDescent="0.3">
      <c r="A1509"/>
    </row>
    <row r="1510" spans="1:1" x14ac:dyDescent="0.3">
      <c r="A1510"/>
    </row>
    <row r="1511" spans="1:1" x14ac:dyDescent="0.3">
      <c r="A1511"/>
    </row>
    <row r="1512" spans="1:1" x14ac:dyDescent="0.3">
      <c r="A1512"/>
    </row>
    <row r="1513" spans="1:1" x14ac:dyDescent="0.3">
      <c r="A1513"/>
    </row>
    <row r="1514" spans="1:1" x14ac:dyDescent="0.3">
      <c r="A1514"/>
    </row>
    <row r="1515" spans="1:1" x14ac:dyDescent="0.3">
      <c r="A1515"/>
    </row>
    <row r="1516" spans="1:1" x14ac:dyDescent="0.3">
      <c r="A1516"/>
    </row>
    <row r="1517" spans="1:1" x14ac:dyDescent="0.3">
      <c r="A1517"/>
    </row>
    <row r="1518" spans="1:1" x14ac:dyDescent="0.3">
      <c r="A1518"/>
    </row>
    <row r="1519" spans="1:1" x14ac:dyDescent="0.3">
      <c r="A1519"/>
    </row>
    <row r="1520" spans="1:1" x14ac:dyDescent="0.3">
      <c r="A1520"/>
    </row>
    <row r="1521" spans="1:1" x14ac:dyDescent="0.3">
      <c r="A1521"/>
    </row>
    <row r="1522" spans="1:1" x14ac:dyDescent="0.3">
      <c r="A1522"/>
    </row>
    <row r="1523" spans="1:1" x14ac:dyDescent="0.3">
      <c r="A1523"/>
    </row>
    <row r="1524" spans="1:1" x14ac:dyDescent="0.3">
      <c r="A1524"/>
    </row>
    <row r="1525" spans="1:1" x14ac:dyDescent="0.3">
      <c r="A1525"/>
    </row>
    <row r="1526" spans="1:1" x14ac:dyDescent="0.3">
      <c r="A1526"/>
    </row>
    <row r="1527" spans="1:1" x14ac:dyDescent="0.3">
      <c r="A1527"/>
    </row>
    <row r="1528" spans="1:1" x14ac:dyDescent="0.3">
      <c r="A1528"/>
    </row>
    <row r="1529" spans="1:1" x14ac:dyDescent="0.3">
      <c r="A1529"/>
    </row>
    <row r="1530" spans="1:1" x14ac:dyDescent="0.3">
      <c r="A1530"/>
    </row>
    <row r="1531" spans="1:1" x14ac:dyDescent="0.3">
      <c r="A1531"/>
    </row>
    <row r="1532" spans="1:1" x14ac:dyDescent="0.3">
      <c r="A1532"/>
    </row>
    <row r="1533" spans="1:1" x14ac:dyDescent="0.3">
      <c r="A1533"/>
    </row>
    <row r="1534" spans="1:1" x14ac:dyDescent="0.3">
      <c r="A1534"/>
    </row>
    <row r="1535" spans="1:1" x14ac:dyDescent="0.3">
      <c r="A1535"/>
    </row>
    <row r="1536" spans="1:1" x14ac:dyDescent="0.3">
      <c r="A1536"/>
    </row>
    <row r="1537" spans="1:1" x14ac:dyDescent="0.3">
      <c r="A1537"/>
    </row>
    <row r="1538" spans="1:1" x14ac:dyDescent="0.3">
      <c r="A1538"/>
    </row>
    <row r="1539" spans="1:1" x14ac:dyDescent="0.3">
      <c r="A1539"/>
    </row>
    <row r="1540" spans="1:1" x14ac:dyDescent="0.3">
      <c r="A1540"/>
    </row>
    <row r="1541" spans="1:1" x14ac:dyDescent="0.3">
      <c r="A1541"/>
    </row>
    <row r="1542" spans="1:1" x14ac:dyDescent="0.3">
      <c r="A1542"/>
    </row>
    <row r="1543" spans="1:1" x14ac:dyDescent="0.3">
      <c r="A1543"/>
    </row>
    <row r="1544" spans="1:1" x14ac:dyDescent="0.3">
      <c r="A1544"/>
    </row>
    <row r="1545" spans="1:1" x14ac:dyDescent="0.3">
      <c r="A1545"/>
    </row>
    <row r="1546" spans="1:1" x14ac:dyDescent="0.3">
      <c r="A1546"/>
    </row>
    <row r="1547" spans="1:1" x14ac:dyDescent="0.3">
      <c r="A1547"/>
    </row>
    <row r="1548" spans="1:1" x14ac:dyDescent="0.3">
      <c r="A1548"/>
    </row>
    <row r="1549" spans="1:1" x14ac:dyDescent="0.3">
      <c r="A1549"/>
    </row>
    <row r="1550" spans="1:1" x14ac:dyDescent="0.3">
      <c r="A1550"/>
    </row>
    <row r="1551" spans="1:1" x14ac:dyDescent="0.3">
      <c r="A1551"/>
    </row>
    <row r="1552" spans="1:1" x14ac:dyDescent="0.3">
      <c r="A1552"/>
    </row>
    <row r="1553" spans="1:1" x14ac:dyDescent="0.3">
      <c r="A1553"/>
    </row>
    <row r="1554" spans="1:1" x14ac:dyDescent="0.3">
      <c r="A1554"/>
    </row>
    <row r="1555" spans="1:1" x14ac:dyDescent="0.3">
      <c r="A1555"/>
    </row>
    <row r="1556" spans="1:1" x14ac:dyDescent="0.3">
      <c r="A1556"/>
    </row>
    <row r="1557" spans="1:1" x14ac:dyDescent="0.3">
      <c r="A1557"/>
    </row>
    <row r="1558" spans="1:1" x14ac:dyDescent="0.3">
      <c r="A1558"/>
    </row>
    <row r="1559" spans="1:1" x14ac:dyDescent="0.3">
      <c r="A1559"/>
    </row>
    <row r="1560" spans="1:1" x14ac:dyDescent="0.3">
      <c r="A1560"/>
    </row>
    <row r="1561" spans="1:1" x14ac:dyDescent="0.3">
      <c r="A1561"/>
    </row>
    <row r="1562" spans="1:1" x14ac:dyDescent="0.3">
      <c r="A1562"/>
    </row>
    <row r="1563" spans="1:1" x14ac:dyDescent="0.3">
      <c r="A1563"/>
    </row>
    <row r="1564" spans="1:1" x14ac:dyDescent="0.3">
      <c r="A1564"/>
    </row>
    <row r="1565" spans="1:1" x14ac:dyDescent="0.3">
      <c r="A1565"/>
    </row>
    <row r="1566" spans="1:1" x14ac:dyDescent="0.3">
      <c r="A1566"/>
    </row>
    <row r="1567" spans="1:1" x14ac:dyDescent="0.3">
      <c r="A1567"/>
    </row>
    <row r="1568" spans="1:1" x14ac:dyDescent="0.3">
      <c r="A1568"/>
    </row>
    <row r="1569" spans="1:1" x14ac:dyDescent="0.3">
      <c r="A1569"/>
    </row>
    <row r="1570" spans="1:1" x14ac:dyDescent="0.3">
      <c r="A1570"/>
    </row>
    <row r="1571" spans="1:1" x14ac:dyDescent="0.3">
      <c r="A1571"/>
    </row>
    <row r="1572" spans="1:1" x14ac:dyDescent="0.3">
      <c r="A1572"/>
    </row>
    <row r="1573" spans="1:1" x14ac:dyDescent="0.3">
      <c r="A1573"/>
    </row>
    <row r="1574" spans="1:1" x14ac:dyDescent="0.3">
      <c r="A1574"/>
    </row>
    <row r="1575" spans="1:1" x14ac:dyDescent="0.3">
      <c r="A1575"/>
    </row>
    <row r="1576" spans="1:1" x14ac:dyDescent="0.3">
      <c r="A1576"/>
    </row>
    <row r="1577" spans="1:1" x14ac:dyDescent="0.3">
      <c r="A1577"/>
    </row>
    <row r="1578" spans="1:1" x14ac:dyDescent="0.3">
      <c r="A1578"/>
    </row>
    <row r="1579" spans="1:1" x14ac:dyDescent="0.3">
      <c r="A1579"/>
    </row>
    <row r="1580" spans="1:1" x14ac:dyDescent="0.3">
      <c r="A1580"/>
    </row>
    <row r="1581" spans="1:1" x14ac:dyDescent="0.3">
      <c r="A1581"/>
    </row>
    <row r="1582" spans="1:1" x14ac:dyDescent="0.3">
      <c r="A1582"/>
    </row>
    <row r="1583" spans="1:1" x14ac:dyDescent="0.3">
      <c r="A1583"/>
    </row>
    <row r="1584" spans="1:1" x14ac:dyDescent="0.3">
      <c r="A1584"/>
    </row>
    <row r="1585" spans="1:1" x14ac:dyDescent="0.3">
      <c r="A1585"/>
    </row>
    <row r="1586" spans="1:1" x14ac:dyDescent="0.3">
      <c r="A1586"/>
    </row>
    <row r="1587" spans="1:1" x14ac:dyDescent="0.3">
      <c r="A1587"/>
    </row>
    <row r="1588" spans="1:1" x14ac:dyDescent="0.3">
      <c r="A1588"/>
    </row>
    <row r="1589" spans="1:1" x14ac:dyDescent="0.3">
      <c r="A1589"/>
    </row>
    <row r="1590" spans="1:1" x14ac:dyDescent="0.3">
      <c r="A1590"/>
    </row>
    <row r="1591" spans="1:1" x14ac:dyDescent="0.3">
      <c r="A1591"/>
    </row>
    <row r="1592" spans="1:1" x14ac:dyDescent="0.3">
      <c r="A1592"/>
    </row>
    <row r="1593" spans="1:1" x14ac:dyDescent="0.3">
      <c r="A1593"/>
    </row>
    <row r="1594" spans="1:1" x14ac:dyDescent="0.3">
      <c r="A1594"/>
    </row>
    <row r="1595" spans="1:1" x14ac:dyDescent="0.3">
      <c r="A1595"/>
    </row>
    <row r="1596" spans="1:1" x14ac:dyDescent="0.3">
      <c r="A1596"/>
    </row>
    <row r="1597" spans="1:1" x14ac:dyDescent="0.3">
      <c r="A1597"/>
    </row>
    <row r="1598" spans="1:1" x14ac:dyDescent="0.3">
      <c r="A1598"/>
    </row>
    <row r="1599" spans="1:1" x14ac:dyDescent="0.3">
      <c r="A1599"/>
    </row>
    <row r="1600" spans="1:1" x14ac:dyDescent="0.3">
      <c r="A1600"/>
    </row>
    <row r="1601" spans="1:1" x14ac:dyDescent="0.3">
      <c r="A1601"/>
    </row>
    <row r="1602" spans="1:1" x14ac:dyDescent="0.3">
      <c r="A1602"/>
    </row>
    <row r="1603" spans="1:1" x14ac:dyDescent="0.3">
      <c r="A1603"/>
    </row>
    <row r="1604" spans="1:1" x14ac:dyDescent="0.3">
      <c r="A1604"/>
    </row>
    <row r="1605" spans="1:1" x14ac:dyDescent="0.3">
      <c r="A1605"/>
    </row>
    <row r="1606" spans="1:1" x14ac:dyDescent="0.3">
      <c r="A1606"/>
    </row>
    <row r="1607" spans="1:1" x14ac:dyDescent="0.3">
      <c r="A1607"/>
    </row>
    <row r="1608" spans="1:1" x14ac:dyDescent="0.3">
      <c r="A1608"/>
    </row>
    <row r="1609" spans="1:1" x14ac:dyDescent="0.3">
      <c r="A1609"/>
    </row>
    <row r="1610" spans="1:1" x14ac:dyDescent="0.3">
      <c r="A1610"/>
    </row>
    <row r="1611" spans="1:1" x14ac:dyDescent="0.3">
      <c r="A1611"/>
    </row>
    <row r="1612" spans="1:1" x14ac:dyDescent="0.3">
      <c r="A1612"/>
    </row>
    <row r="1613" spans="1:1" x14ac:dyDescent="0.3">
      <c r="A1613"/>
    </row>
    <row r="1614" spans="1:1" x14ac:dyDescent="0.3">
      <c r="A1614"/>
    </row>
    <row r="1615" spans="1:1" x14ac:dyDescent="0.3">
      <c r="A1615"/>
    </row>
    <row r="1616" spans="1:1" x14ac:dyDescent="0.3">
      <c r="A1616"/>
    </row>
    <row r="1617" spans="1:1" x14ac:dyDescent="0.3">
      <c r="A1617"/>
    </row>
    <row r="1618" spans="1:1" x14ac:dyDescent="0.3">
      <c r="A1618"/>
    </row>
    <row r="1619" spans="1:1" x14ac:dyDescent="0.3">
      <c r="A1619"/>
    </row>
    <row r="1620" spans="1:1" x14ac:dyDescent="0.3">
      <c r="A1620"/>
    </row>
    <row r="1621" spans="1:1" x14ac:dyDescent="0.3">
      <c r="A1621"/>
    </row>
    <row r="1622" spans="1:1" x14ac:dyDescent="0.3">
      <c r="A1622"/>
    </row>
    <row r="1623" spans="1:1" x14ac:dyDescent="0.3">
      <c r="A1623"/>
    </row>
    <row r="1624" spans="1:1" x14ac:dyDescent="0.3">
      <c r="A1624"/>
    </row>
    <row r="1625" spans="1:1" x14ac:dyDescent="0.3">
      <c r="A1625"/>
    </row>
    <row r="1626" spans="1:1" x14ac:dyDescent="0.3">
      <c r="A1626"/>
    </row>
    <row r="1627" spans="1:1" x14ac:dyDescent="0.3">
      <c r="A1627"/>
    </row>
    <row r="1628" spans="1:1" x14ac:dyDescent="0.3">
      <c r="A1628"/>
    </row>
    <row r="1629" spans="1:1" x14ac:dyDescent="0.3">
      <c r="A1629"/>
    </row>
    <row r="1630" spans="1:1" x14ac:dyDescent="0.3">
      <c r="A1630"/>
    </row>
    <row r="1631" spans="1:1" x14ac:dyDescent="0.3">
      <c r="A1631"/>
    </row>
    <row r="1632" spans="1:1" x14ac:dyDescent="0.3">
      <c r="A1632"/>
    </row>
    <row r="1633" spans="1:1" x14ac:dyDescent="0.3">
      <c r="A1633"/>
    </row>
    <row r="1634" spans="1:1" x14ac:dyDescent="0.3">
      <c r="A1634"/>
    </row>
    <row r="1635" spans="1:1" x14ac:dyDescent="0.3">
      <c r="A1635"/>
    </row>
    <row r="1636" spans="1:1" x14ac:dyDescent="0.3">
      <c r="A1636"/>
    </row>
    <row r="1637" spans="1:1" x14ac:dyDescent="0.3">
      <c r="A1637"/>
    </row>
    <row r="1638" spans="1:1" x14ac:dyDescent="0.3">
      <c r="A1638"/>
    </row>
    <row r="1639" spans="1:1" x14ac:dyDescent="0.3">
      <c r="A1639"/>
    </row>
    <row r="1640" spans="1:1" x14ac:dyDescent="0.3">
      <c r="A1640"/>
    </row>
    <row r="1641" spans="1:1" x14ac:dyDescent="0.3">
      <c r="A1641"/>
    </row>
    <row r="1642" spans="1:1" x14ac:dyDescent="0.3">
      <c r="A1642"/>
    </row>
    <row r="1643" spans="1:1" x14ac:dyDescent="0.3">
      <c r="A1643"/>
    </row>
    <row r="1644" spans="1:1" x14ac:dyDescent="0.3">
      <c r="A1644"/>
    </row>
    <row r="1645" spans="1:1" x14ac:dyDescent="0.3">
      <c r="A1645"/>
    </row>
    <row r="1646" spans="1:1" x14ac:dyDescent="0.3">
      <c r="A1646"/>
    </row>
    <row r="1647" spans="1:1" x14ac:dyDescent="0.3">
      <c r="A1647"/>
    </row>
    <row r="1648" spans="1:1" x14ac:dyDescent="0.3">
      <c r="A1648"/>
    </row>
    <row r="1649" spans="1:1" x14ac:dyDescent="0.3">
      <c r="A1649"/>
    </row>
    <row r="1650" spans="1:1" x14ac:dyDescent="0.3">
      <c r="A1650"/>
    </row>
    <row r="1651" spans="1:1" x14ac:dyDescent="0.3">
      <c r="A1651"/>
    </row>
    <row r="1652" spans="1:1" x14ac:dyDescent="0.3">
      <c r="A1652"/>
    </row>
    <row r="1653" spans="1:1" x14ac:dyDescent="0.3">
      <c r="A1653"/>
    </row>
    <row r="1654" spans="1:1" x14ac:dyDescent="0.3">
      <c r="A1654"/>
    </row>
    <row r="1655" spans="1:1" x14ac:dyDescent="0.3">
      <c r="A1655"/>
    </row>
    <row r="1656" spans="1:1" x14ac:dyDescent="0.3">
      <c r="A1656"/>
    </row>
    <row r="1657" spans="1:1" x14ac:dyDescent="0.3">
      <c r="A1657"/>
    </row>
    <row r="1658" spans="1:1" x14ac:dyDescent="0.3">
      <c r="A1658"/>
    </row>
    <row r="1659" spans="1:1" x14ac:dyDescent="0.3">
      <c r="A1659"/>
    </row>
    <row r="1660" spans="1:1" x14ac:dyDescent="0.3">
      <c r="A1660"/>
    </row>
    <row r="1661" spans="1:1" x14ac:dyDescent="0.3">
      <c r="A1661"/>
    </row>
    <row r="1662" spans="1:1" x14ac:dyDescent="0.3">
      <c r="A1662"/>
    </row>
    <row r="1663" spans="1:1" x14ac:dyDescent="0.3">
      <c r="A1663"/>
    </row>
    <row r="1664" spans="1:1" x14ac:dyDescent="0.3">
      <c r="A1664"/>
    </row>
    <row r="1665" spans="1:1" x14ac:dyDescent="0.3">
      <c r="A1665"/>
    </row>
    <row r="1666" spans="1:1" x14ac:dyDescent="0.3">
      <c r="A1666"/>
    </row>
    <row r="1667" spans="1:1" x14ac:dyDescent="0.3">
      <c r="A1667"/>
    </row>
    <row r="1668" spans="1:1" x14ac:dyDescent="0.3">
      <c r="A1668"/>
    </row>
    <row r="1669" spans="1:1" x14ac:dyDescent="0.3">
      <c r="A1669"/>
    </row>
    <row r="1670" spans="1:1" x14ac:dyDescent="0.3">
      <c r="A1670"/>
    </row>
    <row r="1671" spans="1:1" x14ac:dyDescent="0.3">
      <c r="A1671"/>
    </row>
    <row r="1672" spans="1:1" x14ac:dyDescent="0.3">
      <c r="A1672"/>
    </row>
    <row r="1673" spans="1:1" x14ac:dyDescent="0.3">
      <c r="A1673"/>
    </row>
    <row r="1674" spans="1:1" x14ac:dyDescent="0.3">
      <c r="A1674"/>
    </row>
    <row r="1675" spans="1:1" x14ac:dyDescent="0.3">
      <c r="A1675"/>
    </row>
    <row r="1676" spans="1:1" x14ac:dyDescent="0.3">
      <c r="A1676"/>
    </row>
    <row r="1677" spans="1:1" x14ac:dyDescent="0.3">
      <c r="A1677"/>
    </row>
    <row r="1678" spans="1:1" x14ac:dyDescent="0.3">
      <c r="A1678"/>
    </row>
    <row r="1679" spans="1:1" x14ac:dyDescent="0.3">
      <c r="A1679"/>
    </row>
    <row r="1680" spans="1:1" x14ac:dyDescent="0.3">
      <c r="A1680"/>
    </row>
    <row r="1681" spans="1:1" x14ac:dyDescent="0.3">
      <c r="A1681"/>
    </row>
    <row r="1682" spans="1:1" x14ac:dyDescent="0.3">
      <c r="A1682"/>
    </row>
    <row r="1683" spans="1:1" x14ac:dyDescent="0.3">
      <c r="A1683"/>
    </row>
    <row r="1684" spans="1:1" x14ac:dyDescent="0.3">
      <c r="A1684"/>
    </row>
    <row r="1685" spans="1:1" x14ac:dyDescent="0.3">
      <c r="A1685"/>
    </row>
    <row r="1686" spans="1:1" x14ac:dyDescent="0.3">
      <c r="A1686"/>
    </row>
    <row r="1687" spans="1:1" x14ac:dyDescent="0.3">
      <c r="A1687"/>
    </row>
    <row r="1688" spans="1:1" x14ac:dyDescent="0.3">
      <c r="A1688"/>
    </row>
    <row r="1689" spans="1:1" x14ac:dyDescent="0.3">
      <c r="A1689"/>
    </row>
    <row r="1690" spans="1:1" x14ac:dyDescent="0.3">
      <c r="A1690"/>
    </row>
    <row r="1691" spans="1:1" x14ac:dyDescent="0.3">
      <c r="A1691"/>
    </row>
    <row r="1692" spans="1:1" x14ac:dyDescent="0.3">
      <c r="A1692"/>
    </row>
    <row r="1693" spans="1:1" x14ac:dyDescent="0.3">
      <c r="A1693"/>
    </row>
    <row r="1694" spans="1:1" x14ac:dyDescent="0.3">
      <c r="A1694"/>
    </row>
    <row r="1695" spans="1:1" x14ac:dyDescent="0.3">
      <c r="A1695"/>
    </row>
    <row r="1696" spans="1:1" x14ac:dyDescent="0.3">
      <c r="A1696"/>
    </row>
    <row r="1697" spans="1:1" x14ac:dyDescent="0.3">
      <c r="A1697"/>
    </row>
    <row r="1698" spans="1:1" x14ac:dyDescent="0.3">
      <c r="A1698"/>
    </row>
    <row r="1699" spans="1:1" x14ac:dyDescent="0.3">
      <c r="A1699"/>
    </row>
    <row r="1700" spans="1:1" x14ac:dyDescent="0.3">
      <c r="A1700"/>
    </row>
    <row r="1701" spans="1:1" x14ac:dyDescent="0.3">
      <c r="A1701"/>
    </row>
    <row r="1702" spans="1:1" x14ac:dyDescent="0.3">
      <c r="A1702"/>
    </row>
    <row r="1703" spans="1:1" x14ac:dyDescent="0.3">
      <c r="A1703"/>
    </row>
    <row r="1704" spans="1:1" x14ac:dyDescent="0.3">
      <c r="A1704"/>
    </row>
    <row r="1705" spans="1:1" x14ac:dyDescent="0.3">
      <c r="A1705"/>
    </row>
    <row r="1706" spans="1:1" x14ac:dyDescent="0.3">
      <c r="A1706"/>
    </row>
    <row r="1707" spans="1:1" x14ac:dyDescent="0.3">
      <c r="A1707"/>
    </row>
    <row r="1708" spans="1:1" x14ac:dyDescent="0.3">
      <c r="A1708"/>
    </row>
    <row r="1709" spans="1:1" x14ac:dyDescent="0.3">
      <c r="A1709"/>
    </row>
    <row r="1710" spans="1:1" x14ac:dyDescent="0.3">
      <c r="A1710"/>
    </row>
    <row r="1711" spans="1:1" x14ac:dyDescent="0.3">
      <c r="A1711"/>
    </row>
    <row r="1712" spans="1:1" x14ac:dyDescent="0.3">
      <c r="A1712"/>
    </row>
    <row r="1713" spans="1:1" x14ac:dyDescent="0.3">
      <c r="A1713"/>
    </row>
    <row r="1714" spans="1:1" x14ac:dyDescent="0.3">
      <c r="A1714"/>
    </row>
    <row r="1715" spans="1:1" x14ac:dyDescent="0.3">
      <c r="A1715"/>
    </row>
    <row r="1716" spans="1:1" x14ac:dyDescent="0.3">
      <c r="A1716"/>
    </row>
    <row r="1717" spans="1:1" x14ac:dyDescent="0.3">
      <c r="A1717"/>
    </row>
    <row r="1718" spans="1:1" x14ac:dyDescent="0.3">
      <c r="A1718"/>
    </row>
    <row r="1719" spans="1:1" x14ac:dyDescent="0.3">
      <c r="A1719"/>
    </row>
    <row r="1720" spans="1:1" x14ac:dyDescent="0.3">
      <c r="A1720"/>
    </row>
    <row r="1721" spans="1:1" x14ac:dyDescent="0.3">
      <c r="A1721"/>
    </row>
    <row r="1722" spans="1:1" x14ac:dyDescent="0.3">
      <c r="A1722"/>
    </row>
    <row r="1723" spans="1:1" x14ac:dyDescent="0.3">
      <c r="A1723"/>
    </row>
    <row r="1724" spans="1:1" x14ac:dyDescent="0.3">
      <c r="A1724"/>
    </row>
    <row r="1725" spans="1:1" x14ac:dyDescent="0.3">
      <c r="A1725"/>
    </row>
    <row r="1726" spans="1:1" x14ac:dyDescent="0.3">
      <c r="A1726"/>
    </row>
    <row r="1727" spans="1:1" x14ac:dyDescent="0.3">
      <c r="A1727"/>
    </row>
    <row r="1728" spans="1:1" x14ac:dyDescent="0.3">
      <c r="A1728"/>
    </row>
    <row r="1729" spans="1:1" x14ac:dyDescent="0.3">
      <c r="A1729"/>
    </row>
    <row r="1730" spans="1:1" x14ac:dyDescent="0.3">
      <c r="A1730"/>
    </row>
    <row r="1731" spans="1:1" x14ac:dyDescent="0.3">
      <c r="A1731"/>
    </row>
    <row r="1732" spans="1:1" x14ac:dyDescent="0.3">
      <c r="A1732"/>
    </row>
    <row r="1733" spans="1:1" x14ac:dyDescent="0.3">
      <c r="A1733"/>
    </row>
    <row r="1734" spans="1:1" x14ac:dyDescent="0.3">
      <c r="A1734"/>
    </row>
    <row r="1735" spans="1:1" x14ac:dyDescent="0.3">
      <c r="A1735"/>
    </row>
    <row r="1736" spans="1:1" x14ac:dyDescent="0.3">
      <c r="A1736"/>
    </row>
    <row r="1737" spans="1:1" x14ac:dyDescent="0.3">
      <c r="A1737"/>
    </row>
    <row r="1738" spans="1:1" x14ac:dyDescent="0.3">
      <c r="A1738"/>
    </row>
    <row r="1739" spans="1:1" x14ac:dyDescent="0.3">
      <c r="A1739"/>
    </row>
    <row r="1740" spans="1:1" x14ac:dyDescent="0.3">
      <c r="A1740"/>
    </row>
    <row r="1741" spans="1:1" x14ac:dyDescent="0.3">
      <c r="A1741"/>
    </row>
    <row r="1742" spans="1:1" x14ac:dyDescent="0.3">
      <c r="A1742"/>
    </row>
    <row r="1743" spans="1:1" x14ac:dyDescent="0.3">
      <c r="A1743"/>
    </row>
    <row r="1744" spans="1:1" x14ac:dyDescent="0.3">
      <c r="A1744"/>
    </row>
    <row r="1745" spans="1:1" x14ac:dyDescent="0.3">
      <c r="A1745"/>
    </row>
    <row r="1746" spans="1:1" x14ac:dyDescent="0.3">
      <c r="A1746"/>
    </row>
    <row r="1747" spans="1:1" x14ac:dyDescent="0.3">
      <c r="A1747"/>
    </row>
    <row r="1748" spans="1:1" x14ac:dyDescent="0.3">
      <c r="A1748"/>
    </row>
    <row r="1749" spans="1:1" x14ac:dyDescent="0.3">
      <c r="A1749"/>
    </row>
    <row r="1750" spans="1:1" x14ac:dyDescent="0.3">
      <c r="A1750"/>
    </row>
    <row r="1751" spans="1:1" x14ac:dyDescent="0.3">
      <c r="A1751"/>
    </row>
    <row r="1752" spans="1:1" x14ac:dyDescent="0.3">
      <c r="A1752"/>
    </row>
    <row r="1753" spans="1:1" x14ac:dyDescent="0.3">
      <c r="A1753"/>
    </row>
    <row r="1754" spans="1:1" x14ac:dyDescent="0.3">
      <c r="A1754"/>
    </row>
    <row r="1755" spans="1:1" x14ac:dyDescent="0.3">
      <c r="A1755"/>
    </row>
    <row r="1756" spans="1:1" x14ac:dyDescent="0.3">
      <c r="A1756"/>
    </row>
    <row r="1757" spans="1:1" x14ac:dyDescent="0.3">
      <c r="A1757"/>
    </row>
    <row r="1758" spans="1:1" x14ac:dyDescent="0.3">
      <c r="A1758"/>
    </row>
    <row r="1759" spans="1:1" x14ac:dyDescent="0.3">
      <c r="A1759"/>
    </row>
    <row r="1760" spans="1:1" x14ac:dyDescent="0.3">
      <c r="A1760"/>
    </row>
    <row r="1761" spans="1:1" x14ac:dyDescent="0.3">
      <c r="A1761"/>
    </row>
    <row r="1762" spans="1:1" x14ac:dyDescent="0.3">
      <c r="A1762"/>
    </row>
    <row r="1763" spans="1:1" x14ac:dyDescent="0.3">
      <c r="A1763"/>
    </row>
    <row r="1764" spans="1:1" x14ac:dyDescent="0.3">
      <c r="A1764"/>
    </row>
    <row r="1765" spans="1:1" x14ac:dyDescent="0.3">
      <c r="A1765"/>
    </row>
    <row r="1766" spans="1:1" x14ac:dyDescent="0.3">
      <c r="A1766"/>
    </row>
    <row r="1767" spans="1:1" x14ac:dyDescent="0.3">
      <c r="A1767"/>
    </row>
    <row r="1768" spans="1:1" x14ac:dyDescent="0.3">
      <c r="A1768"/>
    </row>
    <row r="1769" spans="1:1" x14ac:dyDescent="0.3">
      <c r="A1769"/>
    </row>
    <row r="1770" spans="1:1" x14ac:dyDescent="0.3">
      <c r="A1770"/>
    </row>
    <row r="1771" spans="1:1" x14ac:dyDescent="0.3">
      <c r="A1771"/>
    </row>
    <row r="1772" spans="1:1" x14ac:dyDescent="0.3">
      <c r="A1772"/>
    </row>
    <row r="1773" spans="1:1" x14ac:dyDescent="0.3">
      <c r="A1773"/>
    </row>
    <row r="1774" spans="1:1" x14ac:dyDescent="0.3">
      <c r="A1774"/>
    </row>
    <row r="1775" spans="1:1" x14ac:dyDescent="0.3">
      <c r="A1775"/>
    </row>
    <row r="1776" spans="1:1" x14ac:dyDescent="0.3">
      <c r="A1776"/>
    </row>
    <row r="1777" spans="1:1" x14ac:dyDescent="0.3">
      <c r="A1777"/>
    </row>
    <row r="1778" spans="1:1" x14ac:dyDescent="0.3">
      <c r="A1778"/>
    </row>
    <row r="1779" spans="1:1" x14ac:dyDescent="0.3">
      <c r="A1779"/>
    </row>
    <row r="1780" spans="1:1" x14ac:dyDescent="0.3">
      <c r="A1780"/>
    </row>
    <row r="1781" spans="1:1" x14ac:dyDescent="0.3">
      <c r="A1781"/>
    </row>
    <row r="1782" spans="1:1" x14ac:dyDescent="0.3">
      <c r="A1782"/>
    </row>
    <row r="1783" spans="1:1" x14ac:dyDescent="0.3">
      <c r="A1783"/>
    </row>
    <row r="1784" spans="1:1" x14ac:dyDescent="0.3">
      <c r="A1784"/>
    </row>
    <row r="1785" spans="1:1" x14ac:dyDescent="0.3">
      <c r="A1785"/>
    </row>
    <row r="1786" spans="1:1" x14ac:dyDescent="0.3">
      <c r="A1786"/>
    </row>
    <row r="1787" spans="1:1" x14ac:dyDescent="0.3">
      <c r="A1787"/>
    </row>
    <row r="1788" spans="1:1" x14ac:dyDescent="0.3">
      <c r="A1788"/>
    </row>
    <row r="1789" spans="1:1" x14ac:dyDescent="0.3">
      <c r="A1789"/>
    </row>
    <row r="1790" spans="1:1" x14ac:dyDescent="0.3">
      <c r="A1790"/>
    </row>
    <row r="1791" spans="1:1" x14ac:dyDescent="0.3">
      <c r="A1791"/>
    </row>
    <row r="1792" spans="1:1" x14ac:dyDescent="0.3">
      <c r="A1792"/>
    </row>
    <row r="1793" spans="1:1" x14ac:dyDescent="0.3">
      <c r="A1793"/>
    </row>
    <row r="1794" spans="1:1" x14ac:dyDescent="0.3">
      <c r="A1794"/>
    </row>
    <row r="1795" spans="1:1" x14ac:dyDescent="0.3">
      <c r="A1795"/>
    </row>
    <row r="1796" spans="1:1" x14ac:dyDescent="0.3">
      <c r="A1796"/>
    </row>
    <row r="1797" spans="1:1" x14ac:dyDescent="0.3">
      <c r="A1797"/>
    </row>
    <row r="1798" spans="1:1" x14ac:dyDescent="0.3">
      <c r="A1798"/>
    </row>
    <row r="1799" spans="1:1" x14ac:dyDescent="0.3">
      <c r="A1799"/>
    </row>
    <row r="1800" spans="1:1" x14ac:dyDescent="0.3">
      <c r="A1800"/>
    </row>
    <row r="1801" spans="1:1" x14ac:dyDescent="0.3">
      <c r="A1801"/>
    </row>
    <row r="1802" spans="1:1" x14ac:dyDescent="0.3">
      <c r="A1802"/>
    </row>
    <row r="1803" spans="1:1" x14ac:dyDescent="0.3">
      <c r="A1803"/>
    </row>
    <row r="1804" spans="1:1" x14ac:dyDescent="0.3">
      <c r="A1804"/>
    </row>
    <row r="1805" spans="1:1" x14ac:dyDescent="0.3">
      <c r="A1805"/>
    </row>
    <row r="1806" spans="1:1" x14ac:dyDescent="0.3">
      <c r="A1806"/>
    </row>
    <row r="1807" spans="1:1" x14ac:dyDescent="0.3">
      <c r="A1807"/>
    </row>
    <row r="1808" spans="1:1" x14ac:dyDescent="0.3">
      <c r="A1808"/>
    </row>
    <row r="1809" spans="1:1" x14ac:dyDescent="0.3">
      <c r="A1809"/>
    </row>
    <row r="1810" spans="1:1" x14ac:dyDescent="0.3">
      <c r="A1810"/>
    </row>
    <row r="1811" spans="1:1" x14ac:dyDescent="0.3">
      <c r="A1811"/>
    </row>
    <row r="1812" spans="1:1" x14ac:dyDescent="0.3">
      <c r="A1812"/>
    </row>
    <row r="1813" spans="1:1" x14ac:dyDescent="0.3">
      <c r="A1813"/>
    </row>
    <row r="1814" spans="1:1" x14ac:dyDescent="0.3">
      <c r="A1814"/>
    </row>
    <row r="1815" spans="1:1" x14ac:dyDescent="0.3">
      <c r="A1815"/>
    </row>
    <row r="1816" spans="1:1" x14ac:dyDescent="0.3">
      <c r="A1816"/>
    </row>
    <row r="1817" spans="1:1" x14ac:dyDescent="0.3">
      <c r="A1817"/>
    </row>
    <row r="1818" spans="1:1" x14ac:dyDescent="0.3">
      <c r="A1818"/>
    </row>
    <row r="1819" spans="1:1" x14ac:dyDescent="0.3">
      <c r="A1819"/>
    </row>
    <row r="1820" spans="1:1" x14ac:dyDescent="0.3">
      <c r="A1820"/>
    </row>
    <row r="1821" spans="1:1" x14ac:dyDescent="0.3">
      <c r="A1821"/>
    </row>
    <row r="1822" spans="1:1" x14ac:dyDescent="0.3">
      <c r="A1822"/>
    </row>
    <row r="1823" spans="1:1" x14ac:dyDescent="0.3">
      <c r="A1823"/>
    </row>
    <row r="1824" spans="1:1" x14ac:dyDescent="0.3">
      <c r="A1824"/>
    </row>
    <row r="1825" spans="1:1" x14ac:dyDescent="0.3">
      <c r="A1825"/>
    </row>
    <row r="1826" spans="1:1" x14ac:dyDescent="0.3">
      <c r="A1826"/>
    </row>
    <row r="1827" spans="1:1" x14ac:dyDescent="0.3">
      <c r="A1827"/>
    </row>
    <row r="1828" spans="1:1" x14ac:dyDescent="0.3">
      <c r="A1828"/>
    </row>
    <row r="1829" spans="1:1" x14ac:dyDescent="0.3">
      <c r="A1829"/>
    </row>
    <row r="1830" spans="1:1" x14ac:dyDescent="0.3">
      <c r="A1830"/>
    </row>
    <row r="1831" spans="1:1" x14ac:dyDescent="0.3">
      <c r="A1831"/>
    </row>
    <row r="1832" spans="1:1" x14ac:dyDescent="0.3">
      <c r="A1832"/>
    </row>
    <row r="1833" spans="1:1" x14ac:dyDescent="0.3">
      <c r="A1833"/>
    </row>
    <row r="1834" spans="1:1" x14ac:dyDescent="0.3">
      <c r="A1834"/>
    </row>
    <row r="1835" spans="1:1" x14ac:dyDescent="0.3">
      <c r="A1835"/>
    </row>
    <row r="1836" spans="1:1" x14ac:dyDescent="0.3">
      <c r="A1836"/>
    </row>
    <row r="1837" spans="1:1" x14ac:dyDescent="0.3">
      <c r="A1837"/>
    </row>
    <row r="1838" spans="1:1" x14ac:dyDescent="0.3">
      <c r="A1838"/>
    </row>
    <row r="1839" spans="1:1" x14ac:dyDescent="0.3">
      <c r="A1839"/>
    </row>
    <row r="1840" spans="1:1" x14ac:dyDescent="0.3">
      <c r="A1840"/>
    </row>
    <row r="1841" spans="1:1" x14ac:dyDescent="0.3">
      <c r="A1841"/>
    </row>
    <row r="1842" spans="1:1" x14ac:dyDescent="0.3">
      <c r="A1842"/>
    </row>
    <row r="1843" spans="1:1" x14ac:dyDescent="0.3">
      <c r="A1843"/>
    </row>
    <row r="1844" spans="1:1" x14ac:dyDescent="0.3">
      <c r="A1844"/>
    </row>
    <row r="1845" spans="1:1" x14ac:dyDescent="0.3">
      <c r="A1845"/>
    </row>
    <row r="1846" spans="1:1" x14ac:dyDescent="0.3">
      <c r="A1846"/>
    </row>
    <row r="1847" spans="1:1" x14ac:dyDescent="0.3">
      <c r="A1847"/>
    </row>
    <row r="1848" spans="1:1" x14ac:dyDescent="0.3">
      <c r="A1848"/>
    </row>
    <row r="1849" spans="1:1" x14ac:dyDescent="0.3">
      <c r="A1849"/>
    </row>
    <row r="1850" spans="1:1" x14ac:dyDescent="0.3">
      <c r="A1850"/>
    </row>
    <row r="1851" spans="1:1" x14ac:dyDescent="0.3">
      <c r="A1851"/>
    </row>
    <row r="1852" spans="1:1" x14ac:dyDescent="0.3">
      <c r="A1852"/>
    </row>
    <row r="1853" spans="1:1" x14ac:dyDescent="0.3">
      <c r="A1853"/>
    </row>
    <row r="1854" spans="1:1" x14ac:dyDescent="0.3">
      <c r="A1854"/>
    </row>
    <row r="1855" spans="1:1" x14ac:dyDescent="0.3">
      <c r="A1855"/>
    </row>
    <row r="1856" spans="1:1" x14ac:dyDescent="0.3">
      <c r="A1856"/>
    </row>
    <row r="1857" spans="1:1" x14ac:dyDescent="0.3">
      <c r="A1857"/>
    </row>
    <row r="1858" spans="1:1" x14ac:dyDescent="0.3">
      <c r="A1858"/>
    </row>
    <row r="1859" spans="1:1" x14ac:dyDescent="0.3">
      <c r="A1859"/>
    </row>
    <row r="1860" spans="1:1" x14ac:dyDescent="0.3">
      <c r="A1860"/>
    </row>
    <row r="1861" spans="1:1" x14ac:dyDescent="0.3">
      <c r="A1861"/>
    </row>
    <row r="1862" spans="1:1" x14ac:dyDescent="0.3">
      <c r="A1862"/>
    </row>
    <row r="1863" spans="1:1" x14ac:dyDescent="0.3">
      <c r="A1863"/>
    </row>
    <row r="1864" spans="1:1" x14ac:dyDescent="0.3">
      <c r="A1864"/>
    </row>
    <row r="1865" spans="1:1" x14ac:dyDescent="0.3">
      <c r="A1865"/>
    </row>
    <row r="1866" spans="1:1" x14ac:dyDescent="0.3">
      <c r="A1866"/>
    </row>
    <row r="1867" spans="1:1" x14ac:dyDescent="0.3">
      <c r="A1867"/>
    </row>
    <row r="1868" spans="1:1" x14ac:dyDescent="0.3">
      <c r="A1868"/>
    </row>
    <row r="1869" spans="1:1" x14ac:dyDescent="0.3">
      <c r="A1869"/>
    </row>
    <row r="1870" spans="1:1" x14ac:dyDescent="0.3">
      <c r="A1870"/>
    </row>
    <row r="1871" spans="1:1" x14ac:dyDescent="0.3">
      <c r="A1871"/>
    </row>
    <row r="1872" spans="1:1" x14ac:dyDescent="0.3">
      <c r="A1872"/>
    </row>
    <row r="1873" spans="1:1" x14ac:dyDescent="0.3">
      <c r="A1873"/>
    </row>
    <row r="1874" spans="1:1" x14ac:dyDescent="0.3">
      <c r="A1874"/>
    </row>
    <row r="1875" spans="1:1" x14ac:dyDescent="0.3">
      <c r="A1875"/>
    </row>
    <row r="1876" spans="1:1" x14ac:dyDescent="0.3">
      <c r="A1876"/>
    </row>
    <row r="1877" spans="1:1" x14ac:dyDescent="0.3">
      <c r="A1877"/>
    </row>
    <row r="1878" spans="1:1" x14ac:dyDescent="0.3">
      <c r="A1878"/>
    </row>
    <row r="1879" spans="1:1" x14ac:dyDescent="0.3">
      <c r="A1879"/>
    </row>
    <row r="1880" spans="1:1" x14ac:dyDescent="0.3">
      <c r="A1880"/>
    </row>
    <row r="1881" spans="1:1" x14ac:dyDescent="0.3">
      <c r="A1881"/>
    </row>
    <row r="1882" spans="1:1" x14ac:dyDescent="0.3">
      <c r="A1882"/>
    </row>
    <row r="1883" spans="1:1" x14ac:dyDescent="0.3">
      <c r="A1883"/>
    </row>
    <row r="1884" spans="1:1" x14ac:dyDescent="0.3">
      <c r="A1884"/>
    </row>
    <row r="1885" spans="1:1" x14ac:dyDescent="0.3">
      <c r="A1885"/>
    </row>
    <row r="1886" spans="1:1" x14ac:dyDescent="0.3">
      <c r="A1886"/>
    </row>
    <row r="1887" spans="1:1" x14ac:dyDescent="0.3">
      <c r="A1887"/>
    </row>
    <row r="1888" spans="1:1" x14ac:dyDescent="0.3">
      <c r="A1888"/>
    </row>
    <row r="1889" spans="1:1" x14ac:dyDescent="0.3">
      <c r="A1889"/>
    </row>
    <row r="1890" spans="1:1" x14ac:dyDescent="0.3">
      <c r="A1890"/>
    </row>
    <row r="1891" spans="1:1" x14ac:dyDescent="0.3">
      <c r="A1891"/>
    </row>
    <row r="1892" spans="1:1" x14ac:dyDescent="0.3">
      <c r="A1892"/>
    </row>
    <row r="1893" spans="1:1" x14ac:dyDescent="0.3">
      <c r="A1893"/>
    </row>
    <row r="1894" spans="1:1" x14ac:dyDescent="0.3">
      <c r="A1894"/>
    </row>
    <row r="1895" spans="1:1" x14ac:dyDescent="0.3">
      <c r="A1895"/>
    </row>
    <row r="1896" spans="1:1" x14ac:dyDescent="0.3">
      <c r="A1896"/>
    </row>
    <row r="1897" spans="1:1" x14ac:dyDescent="0.3">
      <c r="A1897"/>
    </row>
    <row r="1898" spans="1:1" x14ac:dyDescent="0.3">
      <c r="A1898"/>
    </row>
    <row r="1899" spans="1:1" x14ac:dyDescent="0.3">
      <c r="A1899"/>
    </row>
    <row r="1900" spans="1:1" x14ac:dyDescent="0.3">
      <c r="A1900"/>
    </row>
    <row r="1901" spans="1:1" x14ac:dyDescent="0.3">
      <c r="A1901"/>
    </row>
    <row r="1902" spans="1:1" x14ac:dyDescent="0.3">
      <c r="A1902"/>
    </row>
    <row r="1903" spans="1:1" x14ac:dyDescent="0.3">
      <c r="A1903"/>
    </row>
    <row r="1904" spans="1:1" x14ac:dyDescent="0.3">
      <c r="A1904"/>
    </row>
    <row r="1905" spans="1:1" x14ac:dyDescent="0.3">
      <c r="A1905"/>
    </row>
    <row r="1906" spans="1:1" x14ac:dyDescent="0.3">
      <c r="A1906"/>
    </row>
    <row r="1907" spans="1:1" x14ac:dyDescent="0.3">
      <c r="A1907"/>
    </row>
    <row r="1908" spans="1:1" x14ac:dyDescent="0.3">
      <c r="A1908"/>
    </row>
    <row r="1909" spans="1:1" x14ac:dyDescent="0.3">
      <c r="A1909"/>
    </row>
    <row r="1910" spans="1:1" x14ac:dyDescent="0.3">
      <c r="A1910"/>
    </row>
    <row r="1911" spans="1:1" x14ac:dyDescent="0.3">
      <c r="A1911"/>
    </row>
    <row r="1912" spans="1:1" x14ac:dyDescent="0.3">
      <c r="A1912"/>
    </row>
    <row r="1913" spans="1:1" x14ac:dyDescent="0.3">
      <c r="A1913"/>
    </row>
    <row r="1914" spans="1:1" x14ac:dyDescent="0.3">
      <c r="A1914"/>
    </row>
    <row r="1915" spans="1:1" x14ac:dyDescent="0.3">
      <c r="A1915"/>
    </row>
    <row r="1916" spans="1:1" x14ac:dyDescent="0.3">
      <c r="A1916"/>
    </row>
    <row r="1917" spans="1:1" x14ac:dyDescent="0.3">
      <c r="A1917"/>
    </row>
    <row r="1918" spans="1:1" x14ac:dyDescent="0.3">
      <c r="A1918"/>
    </row>
    <row r="1919" spans="1:1" x14ac:dyDescent="0.3">
      <c r="A1919"/>
    </row>
    <row r="1920" spans="1:1" x14ac:dyDescent="0.3">
      <c r="A1920"/>
    </row>
    <row r="1921" spans="1:1" x14ac:dyDescent="0.3">
      <c r="A1921"/>
    </row>
    <row r="1922" spans="1:1" x14ac:dyDescent="0.3">
      <c r="A1922"/>
    </row>
    <row r="1923" spans="1:1" x14ac:dyDescent="0.3">
      <c r="A1923"/>
    </row>
    <row r="1924" spans="1:1" x14ac:dyDescent="0.3">
      <c r="A1924"/>
    </row>
    <row r="1925" spans="1:1" x14ac:dyDescent="0.3">
      <c r="A1925"/>
    </row>
    <row r="1926" spans="1:1" x14ac:dyDescent="0.3">
      <c r="A1926"/>
    </row>
    <row r="1927" spans="1:1" x14ac:dyDescent="0.3">
      <c r="A1927"/>
    </row>
    <row r="1928" spans="1:1" x14ac:dyDescent="0.3">
      <c r="A1928"/>
    </row>
    <row r="1929" spans="1:1" x14ac:dyDescent="0.3">
      <c r="A1929"/>
    </row>
    <row r="1930" spans="1:1" x14ac:dyDescent="0.3">
      <c r="A1930"/>
    </row>
    <row r="1931" spans="1:1" x14ac:dyDescent="0.3">
      <c r="A1931"/>
    </row>
    <row r="1932" spans="1:1" x14ac:dyDescent="0.3">
      <c r="A1932"/>
    </row>
    <row r="1933" spans="1:1" x14ac:dyDescent="0.3">
      <c r="A1933"/>
    </row>
    <row r="1934" spans="1:1" x14ac:dyDescent="0.3">
      <c r="A1934"/>
    </row>
    <row r="1935" spans="1:1" x14ac:dyDescent="0.3">
      <c r="A1935"/>
    </row>
    <row r="1936" spans="1:1" x14ac:dyDescent="0.3">
      <c r="A1936"/>
    </row>
    <row r="1937" spans="1:1" x14ac:dyDescent="0.3">
      <c r="A1937"/>
    </row>
    <row r="1938" spans="1:1" x14ac:dyDescent="0.3">
      <c r="A1938"/>
    </row>
    <row r="1939" spans="1:1" x14ac:dyDescent="0.3">
      <c r="A1939"/>
    </row>
    <row r="1940" spans="1:1" x14ac:dyDescent="0.3">
      <c r="A1940"/>
    </row>
    <row r="1941" spans="1:1" x14ac:dyDescent="0.3">
      <c r="A1941"/>
    </row>
    <row r="1942" spans="1:1" x14ac:dyDescent="0.3">
      <c r="A1942"/>
    </row>
    <row r="1943" spans="1:1" x14ac:dyDescent="0.3">
      <c r="A1943"/>
    </row>
    <row r="1944" spans="1:1" x14ac:dyDescent="0.3">
      <c r="A1944"/>
    </row>
    <row r="1945" spans="1:1" x14ac:dyDescent="0.3">
      <c r="A1945"/>
    </row>
    <row r="1946" spans="1:1" x14ac:dyDescent="0.3">
      <c r="A1946"/>
    </row>
    <row r="1947" spans="1:1" x14ac:dyDescent="0.3">
      <c r="A1947"/>
    </row>
    <row r="1948" spans="1:1" x14ac:dyDescent="0.3">
      <c r="A1948"/>
    </row>
    <row r="1949" spans="1:1" x14ac:dyDescent="0.3">
      <c r="A1949"/>
    </row>
    <row r="1950" spans="1:1" x14ac:dyDescent="0.3">
      <c r="A1950"/>
    </row>
    <row r="1951" spans="1:1" x14ac:dyDescent="0.3">
      <c r="A1951"/>
    </row>
  </sheetData>
  <sortState ref="A41:A51">
    <sortCondition ref="A55:A65"/>
  </sortState>
  <mergeCells count="4">
    <mergeCell ref="F3:R3"/>
    <mergeCell ref="U3:AH3"/>
    <mergeCell ref="AZ7:BA7"/>
    <mergeCell ref="BX6:CC6"/>
  </mergeCells>
  <pageMargins left="0.7" right="0.7" top="0.75" bottom="0.75" header="0.3" footer="0.3"/>
  <pageSetup paperSize="9" scale="5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H94"/>
  <sheetViews>
    <sheetView zoomScale="85" zoomScaleNormal="85" workbookViewId="0">
      <pane xSplit="51540" topLeftCell="I1"/>
      <selection activeCell="D7" sqref="D7"/>
      <selection pane="topRight" activeCell="AW117" sqref="AW117"/>
    </sheetView>
  </sheetViews>
  <sheetFormatPr defaultColWidth="9.109375" defaultRowHeight="14.4" x14ac:dyDescent="0.3"/>
  <cols>
    <col min="1" max="1" width="23.88671875" style="535" customWidth="1"/>
    <col min="2" max="2" width="20.33203125" style="646" bestFit="1" customWidth="1"/>
    <col min="3" max="3" width="22.5546875" style="5" customWidth="1"/>
    <col min="4" max="4" width="13" style="5" customWidth="1"/>
    <col min="5" max="5" width="15.44140625" style="5" customWidth="1"/>
    <col min="6" max="9" width="13" style="5" customWidth="1"/>
    <col min="10" max="10" width="15.6640625" style="5" customWidth="1"/>
    <col min="11" max="11" width="14.6640625" style="5" customWidth="1"/>
    <col min="12" max="12" width="21.88671875" style="36" customWidth="1"/>
    <col min="13" max="13" width="31.33203125" style="36" bestFit="1" customWidth="1"/>
    <col min="14" max="14" width="18.6640625" style="5" customWidth="1"/>
    <col min="15" max="15" width="0.109375" style="5" hidden="1" customWidth="1"/>
    <col min="16" max="16" width="22.88671875" style="646" customWidth="1"/>
    <col min="17" max="17" width="9.109375" style="646"/>
    <col min="18" max="16384" width="9.109375" style="535"/>
  </cols>
  <sheetData>
    <row r="1" spans="1:34" s="532" customFormat="1" x14ac:dyDescent="0.3">
      <c r="B1" s="39"/>
      <c r="C1" s="45"/>
      <c r="D1" s="553"/>
      <c r="E1" s="552"/>
      <c r="F1" s="553"/>
      <c r="G1" s="553"/>
      <c r="H1" s="553"/>
      <c r="I1" s="553"/>
      <c r="J1" s="161"/>
      <c r="K1" s="161"/>
      <c r="L1" s="555"/>
      <c r="M1" s="555"/>
      <c r="N1" s="554"/>
      <c r="O1" s="554"/>
      <c r="P1" s="554"/>
      <c r="Q1" s="39"/>
    </row>
    <row r="2" spans="1:34" ht="51.75" customHeight="1" x14ac:dyDescent="0.3">
      <c r="B2" s="645"/>
      <c r="C2" s="115" t="s">
        <v>599</v>
      </c>
      <c r="D2" s="398" t="s">
        <v>695</v>
      </c>
      <c r="E2" s="398" t="s">
        <v>740</v>
      </c>
      <c r="F2" s="251" t="s">
        <v>53</v>
      </c>
      <c r="G2" s="251" t="s">
        <v>54</v>
      </c>
      <c r="H2" s="251" t="s">
        <v>640</v>
      </c>
      <c r="I2" s="89"/>
      <c r="J2" s="198"/>
      <c r="K2" s="198"/>
      <c r="L2" s="252"/>
      <c r="M2" s="252"/>
      <c r="N2" s="43"/>
      <c r="O2" s="33"/>
      <c r="P2" s="40"/>
    </row>
    <row r="3" spans="1:34" x14ac:dyDescent="0.3">
      <c r="A3" s="647" t="s">
        <v>559</v>
      </c>
      <c r="B3" s="648" t="s">
        <v>62</v>
      </c>
      <c r="C3" s="36"/>
      <c r="D3" s="321"/>
      <c r="E3" s="36"/>
      <c r="F3" s="192"/>
      <c r="G3" s="192"/>
      <c r="H3" s="192"/>
      <c r="I3" s="90"/>
      <c r="L3" s="520"/>
      <c r="M3" s="253"/>
      <c r="N3" s="7"/>
    </row>
    <row r="4" spans="1:34" x14ac:dyDescent="0.3">
      <c r="A4" s="649" t="s">
        <v>0</v>
      </c>
      <c r="B4" s="666" t="s">
        <v>0</v>
      </c>
      <c r="C4" s="117">
        <f>'Other Options'!B5</f>
        <v>10.520382771990599</v>
      </c>
      <c r="D4" s="117">
        <f>'Other Options'!C5</f>
        <v>9.9250540884727805</v>
      </c>
      <c r="E4" s="73">
        <f ca="1">'Charges to party by investment'!AU9</f>
        <v>9.710618842622555</v>
      </c>
      <c r="F4" s="192">
        <f ca="1">'Charges to party by investment'!AL9+'Charges to party by investment'!AO9</f>
        <v>1.3831140261653447</v>
      </c>
      <c r="G4" s="192">
        <f ca="1">'Charges to party by investment'!AM9</f>
        <v>4.8138256599976463</v>
      </c>
      <c r="H4" s="192">
        <f ca="1">'Charges to party by investment'!AM9+'Charges to party by investment'!AR9</f>
        <v>8.3275048164572105</v>
      </c>
      <c r="I4" s="90"/>
      <c r="L4" s="544"/>
      <c r="P4" s="5"/>
    </row>
    <row r="5" spans="1:34" x14ac:dyDescent="0.3">
      <c r="A5" s="649" t="s">
        <v>1</v>
      </c>
      <c r="B5" s="645" t="s">
        <v>1</v>
      </c>
      <c r="C5" s="117">
        <f>'Other Options'!B6</f>
        <v>21.554936096804902</v>
      </c>
      <c r="D5" s="117">
        <f>'Other Options'!C6</f>
        <v>19.306609078166034</v>
      </c>
      <c r="E5" s="73">
        <f ca="1">'Charges to party by investment'!AU10</f>
        <v>18.610127682970173</v>
      </c>
      <c r="F5" s="192">
        <f ca="1">'Charges to party by investment'!AL10+'Charges to party by investment'!AO10</f>
        <v>1.933187903449151</v>
      </c>
      <c r="G5" s="192">
        <f ca="1">'Charges to party by investment'!AM10</f>
        <v>9.6403283348741962</v>
      </c>
      <c r="H5" s="192">
        <f ca="1">'Charges to party by investment'!AM10+'Charges to party by investment'!AR10</f>
        <v>16.676939779521021</v>
      </c>
      <c r="I5" s="90"/>
      <c r="L5" s="544"/>
      <c r="P5" s="5"/>
    </row>
    <row r="6" spans="1:34" x14ac:dyDescent="0.3">
      <c r="A6" s="649" t="s">
        <v>2</v>
      </c>
      <c r="B6" s="645" t="s">
        <v>2</v>
      </c>
      <c r="C6" s="662">
        <f>'Other Options'!B7</f>
        <v>1.27681536780783</v>
      </c>
      <c r="D6" s="662">
        <f>'Other Options'!C7</f>
        <v>1.7941505751254221</v>
      </c>
      <c r="E6" s="663">
        <f ca="1">'Charges to party by investment'!AU11</f>
        <v>0.82109055884083038</v>
      </c>
      <c r="F6" s="192">
        <f ca="1">'Charges to party by investment'!AL11+'Charges to party by investment'!AO11</f>
        <v>0.15331208458251716</v>
      </c>
      <c r="G6" s="192">
        <f ca="1">'Charges to party by investment'!AM11</f>
        <v>0.38601828824235107</v>
      </c>
      <c r="H6" s="192">
        <f ca="1">'Charges to party by investment'!AM11+'Charges to party by investment'!AR11</f>
        <v>0.66777847425831327</v>
      </c>
      <c r="I6" s="90"/>
      <c r="L6" s="544"/>
      <c r="P6" s="5"/>
    </row>
    <row r="7" spans="1:34" x14ac:dyDescent="0.3">
      <c r="A7" s="649" t="s">
        <v>68</v>
      </c>
      <c r="B7" s="645" t="s">
        <v>68</v>
      </c>
      <c r="C7" s="117">
        <f>'Other Options'!B8</f>
        <v>2.04903385831319</v>
      </c>
      <c r="D7" s="117">
        <f>'Other Options'!C8</f>
        <v>1.5836037439095052</v>
      </c>
      <c r="E7" s="73">
        <f ca="1">'Charges to party by investment'!AU12</f>
        <v>1.5464224099553496</v>
      </c>
      <c r="F7" s="192">
        <f ca="1">'Charges to party by investment'!AL12+'Charges to party by investment'!AO12</f>
        <v>0.47449006803333094</v>
      </c>
      <c r="G7" s="192">
        <f ca="1">'Charges to party by investment'!AM12</f>
        <v>0.61964484284992061</v>
      </c>
      <c r="H7" s="192">
        <f ca="1">'Charges to party by investment'!AM12+'Charges to party by investment'!AR12</f>
        <v>1.0719323419220188</v>
      </c>
      <c r="I7" s="90"/>
      <c r="L7" s="544"/>
      <c r="P7" s="5"/>
    </row>
    <row r="8" spans="1:34" ht="16.5" customHeight="1" x14ac:dyDescent="0.3">
      <c r="A8" s="649" t="s">
        <v>5</v>
      </c>
      <c r="B8" s="645" t="s">
        <v>5</v>
      </c>
      <c r="C8" s="117">
        <f>'Other Options'!B9</f>
        <v>10.1765632169326</v>
      </c>
      <c r="D8" s="117">
        <f>'Other Options'!C9</f>
        <v>12.480754185376027</v>
      </c>
      <c r="E8" s="73">
        <f ca="1">'Charges to party by investment'!AU13</f>
        <v>11.23936003395217</v>
      </c>
      <c r="F8" s="192">
        <f ca="1">'Charges to party by investment'!AL13+'Charges to party by investment'!AO13</f>
        <v>4.5584896426002146</v>
      </c>
      <c r="G8" s="192">
        <f ca="1">'Charges to party by investment'!AM13</f>
        <v>3.8619665830095182</v>
      </c>
      <c r="H8" s="192">
        <f ca="1">'Charges to party by investment'!AM13+'Charges to party by investment'!AR13</f>
        <v>6.6808703913519549</v>
      </c>
      <c r="I8" s="90"/>
      <c r="L8" s="544"/>
      <c r="P8" s="5"/>
    </row>
    <row r="9" spans="1:34" x14ac:dyDescent="0.3">
      <c r="A9" s="649" t="s">
        <v>7</v>
      </c>
      <c r="B9" s="645" t="s">
        <v>7</v>
      </c>
      <c r="C9" s="117">
        <f>'Other Options'!B10</f>
        <v>5.3143687415473497</v>
      </c>
      <c r="D9" s="117">
        <f>'Other Options'!C10</f>
        <v>4.1613402327277855</v>
      </c>
      <c r="E9" s="73">
        <f ca="1">'Charges to party by investment'!AU14</f>
        <v>4.0095103254304787</v>
      </c>
      <c r="F9" s="192">
        <f ca="1">'Charges to party by investment'!AL14+'Charges to party by investment'!AO14</f>
        <v>0.959897526210989</v>
      </c>
      <c r="G9" s="192">
        <f ca="1">'Charges to party by investment'!AM14</f>
        <v>1.762869511276429</v>
      </c>
      <c r="H9" s="192">
        <f ca="1">'Charges to party by investment'!AM14+'Charges to party by investment'!AR14</f>
        <v>3.0496127992194899</v>
      </c>
      <c r="I9" s="90"/>
      <c r="L9" s="544"/>
      <c r="P9" s="5"/>
    </row>
    <row r="10" spans="1:34" x14ac:dyDescent="0.3">
      <c r="A10" s="649" t="s">
        <v>8</v>
      </c>
      <c r="B10" s="650" t="s">
        <v>8</v>
      </c>
      <c r="C10" s="117">
        <f>'Other Options'!B11</f>
        <v>6.3585744350769398</v>
      </c>
      <c r="D10" s="117">
        <f>'Other Options'!C11</f>
        <v>7.3194535136094796</v>
      </c>
      <c r="E10" s="73">
        <f ca="1">'Charges to party by investment'!AU15</f>
        <v>7.0743055074230465</v>
      </c>
      <c r="F10" s="192">
        <f ca="1">'Charges to party by investment'!AL15+'Charges to party by investment'!AO15</f>
        <v>1.9964296514466111</v>
      </c>
      <c r="G10" s="192">
        <f ca="1">'Charges to party by investment'!AM15</f>
        <v>2.9353341285944938</v>
      </c>
      <c r="H10" s="192">
        <f ca="1">'Charges to party by investment'!AM15+'Charges to party by investment'!AR15</f>
        <v>5.0778758559764352</v>
      </c>
      <c r="I10" s="90"/>
      <c r="L10" s="544"/>
      <c r="P10" s="5"/>
    </row>
    <row r="11" spans="1:34" x14ac:dyDescent="0.3">
      <c r="A11" s="649" t="s">
        <v>9</v>
      </c>
      <c r="B11" s="650" t="s">
        <v>9</v>
      </c>
      <c r="C11" s="117">
        <f>'Other Options'!B12</f>
        <v>3.6332748872742102</v>
      </c>
      <c r="D11" s="117">
        <f>'Other Options'!C12</f>
        <v>12.043838254461853</v>
      </c>
      <c r="E11" s="73">
        <f ca="1">'Charges to party by investment'!AU16</f>
        <v>9.6542682186609223</v>
      </c>
      <c r="F11" s="192">
        <f ca="1">'Charges to party by investment'!AL16+'Charges to party by investment'!AO16</f>
        <v>0.95747736562710495</v>
      </c>
      <c r="G11" s="192">
        <f ca="1">'Charges to party by investment'!AM16</f>
        <v>5.0272963979836724</v>
      </c>
      <c r="H11" s="192">
        <f ca="1">'Charges to party by investment'!AM16+'Charges to party by investment'!AR16</f>
        <v>8.6967908530338178</v>
      </c>
      <c r="I11" s="90"/>
      <c r="L11" s="544"/>
      <c r="P11" s="5"/>
    </row>
    <row r="12" spans="1:34" s="652" customFormat="1" ht="15.75" customHeight="1" x14ac:dyDescent="0.4">
      <c r="A12" s="649" t="s">
        <v>69</v>
      </c>
      <c r="B12" s="651" t="s">
        <v>69</v>
      </c>
      <c r="C12" s="117">
        <f>'Other Options'!B13</f>
        <v>5.5337714214649196</v>
      </c>
      <c r="D12" s="117">
        <f>'Other Options'!C13</f>
        <v>3.591040788591676</v>
      </c>
      <c r="E12" s="73">
        <f ca="1">'Charges to party by investment'!AU17</f>
        <v>3.7773399232193281</v>
      </c>
      <c r="F12" s="192">
        <f ca="1">'Charges to party by investment'!AL17+'Charges to party by investment'!AO17</f>
        <v>0.55922866087669465</v>
      </c>
      <c r="G12" s="192">
        <f ca="1">'Charges to party by investment'!AM17</f>
        <v>1.8602723039892446</v>
      </c>
      <c r="H12" s="192">
        <f ca="1">'Charges to party by investment'!AM17+'Charges to party by investment'!AR17</f>
        <v>3.2181112623426333</v>
      </c>
      <c r="I12" s="91"/>
      <c r="J12" s="5"/>
      <c r="K12" s="5"/>
      <c r="L12" s="544"/>
      <c r="M12" s="36"/>
      <c r="N12" s="36"/>
      <c r="O12" s="36"/>
      <c r="P12" s="36"/>
      <c r="Q12" s="546"/>
      <c r="AH12" s="653"/>
    </row>
    <row r="13" spans="1:34" s="652" customFormat="1" x14ac:dyDescent="0.3">
      <c r="A13" s="649" t="s">
        <v>11</v>
      </c>
      <c r="B13" s="650" t="s">
        <v>11</v>
      </c>
      <c r="C13" s="117">
        <f>'Other Options'!B14</f>
        <v>3.2476380401893401</v>
      </c>
      <c r="D13" s="117">
        <f>'Other Options'!C14</f>
        <v>6.8562260791197884</v>
      </c>
      <c r="E13" s="73">
        <f ca="1">'Charges to party by investment'!AU18</f>
        <v>6.582231964911224</v>
      </c>
      <c r="F13" s="192">
        <f ca="1">'Charges to party by investment'!AL18+'Charges to party by investment'!AO18</f>
        <v>1.6023254573432077</v>
      </c>
      <c r="G13" s="192">
        <f ca="1">'Charges to party by investment'!AM18</f>
        <v>2.8787016349897252</v>
      </c>
      <c r="H13" s="192">
        <f ca="1">'Charges to party by investment'!AM18+'Charges to party by investment'!AR18</f>
        <v>4.9799065075680167</v>
      </c>
      <c r="I13" s="90"/>
      <c r="J13" s="5"/>
      <c r="K13" s="5"/>
      <c r="L13" s="544"/>
      <c r="M13" s="36"/>
      <c r="N13" s="5"/>
      <c r="O13" s="5"/>
      <c r="P13" s="5"/>
      <c r="Q13" s="546"/>
    </row>
    <row r="14" spans="1:34" s="652" customFormat="1" x14ac:dyDescent="0.3">
      <c r="A14" s="649" t="s">
        <v>70</v>
      </c>
      <c r="B14" s="650" t="s">
        <v>70</v>
      </c>
      <c r="C14" s="117">
        <f>'Other Options'!B15</f>
        <v>0.20640741469308699</v>
      </c>
      <c r="D14" s="117">
        <f>'Other Options'!C15</f>
        <v>0.16624817395547289</v>
      </c>
      <c r="E14" s="73">
        <f ca="1">'Charges to party by investment'!AU19</f>
        <v>0.16056851845398201</v>
      </c>
      <c r="F14" s="192">
        <f ca="1">'Charges to party by investment'!AL19+'Charges to party by investment'!AO19</f>
        <v>1.4441008904419258E-2</v>
      </c>
      <c r="G14" s="192">
        <f ca="1">'Charges to party by investment'!AM19</f>
        <v>8.447096346447977E-2</v>
      </c>
      <c r="H14" s="192">
        <f ca="1">'Charges to party by investment'!AM19+'Charges to party by investment'!AR19</f>
        <v>0.14612750954956277</v>
      </c>
      <c r="I14" s="90"/>
      <c r="J14" s="5"/>
      <c r="K14" s="5"/>
      <c r="L14" s="544"/>
      <c r="M14" s="36"/>
      <c r="N14" s="5"/>
      <c r="O14" s="5"/>
      <c r="P14" s="5"/>
      <c r="Q14" s="546"/>
    </row>
    <row r="15" spans="1:34" s="652" customFormat="1" x14ac:dyDescent="0.3">
      <c r="A15" s="649" t="s">
        <v>12</v>
      </c>
      <c r="B15" s="650" t="s">
        <v>12</v>
      </c>
      <c r="C15" s="117">
        <f>'Other Options'!B16</f>
        <v>9.4519035472375297</v>
      </c>
      <c r="D15" s="117">
        <f>'Other Options'!C16</f>
        <v>8.2733885880137539</v>
      </c>
      <c r="E15" s="73">
        <f ca="1">'Charges to party by investment'!AU20</f>
        <v>7.9861128261845193</v>
      </c>
      <c r="F15" s="192">
        <f ca="1">'Charges to party by investment'!AL20+'Charges to party by investment'!AO20</f>
        <v>1.304360820898629</v>
      </c>
      <c r="G15" s="192">
        <f ca="1">'Charges to party by investment'!AM20</f>
        <v>3.8624762117483695</v>
      </c>
      <c r="H15" s="192">
        <f ca="1">'Charges to party by investment'!AM20+'Charges to party by investment'!AR20</f>
        <v>6.6817520052858903</v>
      </c>
      <c r="I15" s="90"/>
      <c r="J15" s="5"/>
      <c r="K15" s="5"/>
      <c r="L15" s="544"/>
      <c r="M15" s="36"/>
      <c r="N15" s="5"/>
      <c r="O15" s="5"/>
      <c r="P15" s="5"/>
      <c r="Q15" s="546"/>
    </row>
    <row r="16" spans="1:34" s="652" customFormat="1" x14ac:dyDescent="0.3">
      <c r="A16" s="649" t="s">
        <v>13</v>
      </c>
      <c r="B16" s="650" t="s">
        <v>13</v>
      </c>
      <c r="C16" s="117">
        <f>'Other Options'!B17</f>
        <v>6.6040579369931098</v>
      </c>
      <c r="D16" s="117">
        <f>'Other Options'!C17</f>
        <v>4.9369682005229674</v>
      </c>
      <c r="E16" s="73">
        <f ca="1">'Charges to party by investment'!AU21</f>
        <v>4.8523501918142404</v>
      </c>
      <c r="F16" s="192">
        <f ca="1">'Charges to party by investment'!AL21+'Charges to party by investment'!AO21</f>
        <v>0.85026373872078631</v>
      </c>
      <c r="G16" s="192">
        <f ca="1">'Charges to party by investment'!AM21</f>
        <v>2.3134596600121018</v>
      </c>
      <c r="H16" s="192">
        <f ca="1">'Charges to party by investment'!AM21+'Charges to party by investment'!AR21</f>
        <v>4.0020864530934546</v>
      </c>
      <c r="I16" s="90"/>
      <c r="J16" s="5"/>
      <c r="K16" s="5"/>
      <c r="L16" s="544"/>
      <c r="M16" s="36"/>
      <c r="N16" s="5"/>
      <c r="O16" s="5"/>
      <c r="P16" s="5"/>
      <c r="Q16" s="546"/>
    </row>
    <row r="17" spans="1:17" s="652" customFormat="1" x14ac:dyDescent="0.3">
      <c r="A17" s="649" t="s">
        <v>19</v>
      </c>
      <c r="B17" s="650" t="s">
        <v>19</v>
      </c>
      <c r="C17" s="117">
        <f>'Other Options'!B18</f>
        <v>10.727643804966</v>
      </c>
      <c r="D17" s="117">
        <f>'Other Options'!C18</f>
        <v>10.304474168155853</v>
      </c>
      <c r="E17" s="73">
        <f ca="1">'Charges to party by investment'!AU22</f>
        <v>10.045319895901951</v>
      </c>
      <c r="F17" s="192">
        <f ca="1">'Charges to party by investment'!AL22+'Charges to party by investment'!AO22</f>
        <v>1.6135642317570436</v>
      </c>
      <c r="G17" s="192">
        <f ca="1">'Charges to party by investment'!AM22</f>
        <v>4.8740892583667241</v>
      </c>
      <c r="H17" s="192">
        <f ca="1">'Charges to party by investment'!AM22+'Charges to party by investment'!AR22</f>
        <v>8.431755664144907</v>
      </c>
      <c r="I17" s="90"/>
      <c r="J17" s="5"/>
      <c r="K17" s="5"/>
      <c r="L17" s="544"/>
      <c r="M17" s="36"/>
      <c r="N17" s="5"/>
      <c r="O17" s="5"/>
      <c r="P17" s="5"/>
      <c r="Q17" s="546"/>
    </row>
    <row r="18" spans="1:17" s="652" customFormat="1" x14ac:dyDescent="0.3">
      <c r="A18" s="649" t="s">
        <v>20</v>
      </c>
      <c r="B18" s="650" t="s">
        <v>20</v>
      </c>
      <c r="C18" s="117">
        <f>'Other Options'!B19</f>
        <v>3.2029211145830998</v>
      </c>
      <c r="D18" s="117">
        <f>'Other Options'!C19</f>
        <v>3.9584934286686919</v>
      </c>
      <c r="E18" s="73">
        <f ca="1">'Charges to party by investment'!AU23</f>
        <v>3.7849639587071509</v>
      </c>
      <c r="F18" s="192">
        <f ca="1">'Charges to party by investment'!AL23+'Charges to party by investment'!AO23</f>
        <v>0.43372899234048096</v>
      </c>
      <c r="G18" s="192">
        <f ca="1">'Charges to party by investment'!AM23</f>
        <v>1.9372262435556786</v>
      </c>
      <c r="H18" s="192">
        <f ca="1">'Charges to party by investment'!AM23+'Charges to party by investment'!AR23</f>
        <v>3.3512349663666696</v>
      </c>
      <c r="I18" s="90"/>
      <c r="J18" s="5"/>
      <c r="K18" s="5"/>
      <c r="L18" s="544"/>
      <c r="M18" s="36"/>
      <c r="N18" s="5"/>
      <c r="O18" s="5"/>
      <c r="P18" s="5"/>
      <c r="Q18" s="546"/>
    </row>
    <row r="19" spans="1:17" s="652" customFormat="1" x14ac:dyDescent="0.3">
      <c r="A19" s="649" t="s">
        <v>23</v>
      </c>
      <c r="B19" s="650" t="s">
        <v>23</v>
      </c>
      <c r="C19" s="117">
        <f>'Other Options'!B20</f>
        <v>13.0271770053639</v>
      </c>
      <c r="D19" s="117">
        <f>'Other Options'!C20</f>
        <v>20.558996316188146</v>
      </c>
      <c r="E19" s="721">
        <f ca="1">'Charges to party by investment'!AU24</f>
        <v>22.083737775720536</v>
      </c>
      <c r="F19" s="192">
        <f ca="1">'Charges to party by investment'!AL24+'Charges to party by investment'!AO24</f>
        <v>13.014575237341337</v>
      </c>
      <c r="G19" s="192">
        <f ca="1">'Charges to party by investment'!AM24</f>
        <v>5.2425508365556768</v>
      </c>
      <c r="H19" s="192">
        <f ca="1">'Charges to party by investment'!AM24+'Charges to party by investment'!AR24</f>
        <v>9.0691625383791994</v>
      </c>
      <c r="I19" s="90"/>
      <c r="J19" s="5"/>
      <c r="K19" s="5"/>
      <c r="L19" s="544"/>
      <c r="M19" s="36"/>
      <c r="N19" s="5"/>
      <c r="O19" s="5"/>
      <c r="P19" s="5"/>
      <c r="Q19" s="546"/>
    </row>
    <row r="20" spans="1:17" s="652" customFormat="1" x14ac:dyDescent="0.3">
      <c r="A20" s="649" t="s">
        <v>25</v>
      </c>
      <c r="B20" s="650" t="s">
        <v>25</v>
      </c>
      <c r="C20" s="117">
        <f>'Other Options'!B21</f>
        <v>63.9112827295871</v>
      </c>
      <c r="D20" s="117">
        <f>'Other Options'!C21</f>
        <v>47.58453277599471</v>
      </c>
      <c r="E20" s="73">
        <f ca="1">'Charges to party by investment'!AU25</f>
        <v>45.872683278011124</v>
      </c>
      <c r="F20" s="192">
        <f ca="1">'Charges to party by investment'!AL25+'Charges to party by investment'!AO25</f>
        <v>7.3279710777073381</v>
      </c>
      <c r="G20" s="192">
        <f ca="1">'Charges to party by investment'!AM25</f>
        <v>22.281286980508121</v>
      </c>
      <c r="H20" s="192">
        <f ca="1">'Charges to party by investment'!AM25+'Charges to party by investment'!AR25</f>
        <v>38.544712200303785</v>
      </c>
      <c r="I20" s="90"/>
      <c r="J20" s="5"/>
      <c r="K20" s="5"/>
      <c r="L20" s="544"/>
      <c r="M20" s="36"/>
      <c r="N20" s="5"/>
      <c r="O20" s="5"/>
      <c r="P20" s="5"/>
      <c r="Q20" s="546"/>
    </row>
    <row r="21" spans="1:17" s="652" customFormat="1" x14ac:dyDescent="0.3">
      <c r="A21" s="649" t="s">
        <v>71</v>
      </c>
      <c r="B21" s="651" t="s">
        <v>71</v>
      </c>
      <c r="C21" s="117">
        <f>'Other Options'!B22</f>
        <v>3.9733324683553399</v>
      </c>
      <c r="D21" s="117">
        <f>'Other Options'!C22</f>
        <v>4.7194829846218855</v>
      </c>
      <c r="E21" s="73">
        <f ca="1">'Charges to party by investment'!AU26</f>
        <v>4.6918922383003139</v>
      </c>
      <c r="F21" s="192">
        <f ca="1">'Charges to party by investment'!AL26+'Charges to party by investment'!AO26</f>
        <v>0.84596165325492045</v>
      </c>
      <c r="G21" s="192">
        <f ca="1">'Charges to party by investment'!AM26</f>
        <v>2.2231916696431973</v>
      </c>
      <c r="H21" s="192">
        <f ca="1">'Charges to party by investment'!AM26+'Charges to party by investment'!AR26</f>
        <v>3.8459305850453926</v>
      </c>
      <c r="I21" s="91"/>
      <c r="J21" s="5"/>
      <c r="K21" s="5"/>
      <c r="L21" s="544"/>
      <c r="M21" s="36"/>
      <c r="N21" s="36"/>
      <c r="O21" s="36"/>
      <c r="P21" s="36"/>
      <c r="Q21" s="546"/>
    </row>
    <row r="22" spans="1:17" s="652" customFormat="1" x14ac:dyDescent="0.3">
      <c r="A22" s="649" t="s">
        <v>28</v>
      </c>
      <c r="B22" s="650" t="s">
        <v>28</v>
      </c>
      <c r="C22" s="117">
        <f>'Other Options'!B23</f>
        <v>74.224521678971897</v>
      </c>
      <c r="D22" s="117">
        <f>'Other Options'!C23</f>
        <v>72.543360826895437</v>
      </c>
      <c r="E22" s="722">
        <f ca="1">'Charges to party by investment'!AU27</f>
        <v>77.14553683662794</v>
      </c>
      <c r="F22" s="192">
        <f ca="1">'Charges to party by investment'!AL27+'Charges to party by investment'!AO27</f>
        <v>19.683808804716563</v>
      </c>
      <c r="G22" s="192">
        <f ca="1">'Charges to party by investment'!AM27</f>
        <v>33.216521270713621</v>
      </c>
      <c r="H22" s="192">
        <f ca="1">'Charges to party by investment'!AM27+'Charges to party by investment'!AR27</f>
        <v>57.461728031911377</v>
      </c>
      <c r="I22" s="90"/>
      <c r="J22" s="5"/>
      <c r="K22" s="5"/>
      <c r="L22" s="544"/>
      <c r="M22" s="36"/>
      <c r="N22" s="5"/>
      <c r="O22" s="5"/>
      <c r="P22" s="5"/>
      <c r="Q22" s="546"/>
    </row>
    <row r="23" spans="1:17" s="652" customFormat="1" x14ac:dyDescent="0.3">
      <c r="A23" s="649" t="s">
        <v>31</v>
      </c>
      <c r="B23" s="650" t="s">
        <v>31</v>
      </c>
      <c r="C23" s="117">
        <f>'Other Options'!B24</f>
        <v>1.5144688012252701</v>
      </c>
      <c r="D23" s="117">
        <f>'Other Options'!C24</f>
        <v>1.1874848912420872</v>
      </c>
      <c r="E23" s="73">
        <f ca="1">'Charges to party by investment'!AU28</f>
        <v>1.154759472480561</v>
      </c>
      <c r="F23" s="192">
        <f ca="1">'Charges to party by investment'!AL28+'Charges to party by investment'!AO28</f>
        <v>0.34808272293093834</v>
      </c>
      <c r="G23" s="192">
        <f ca="1">'Charges to party by investment'!AM28</f>
        <v>0.46631029604825941</v>
      </c>
      <c r="H23" s="192">
        <f ca="1">'Charges to party by investment'!AM28+'Charges to party by investment'!AR28</f>
        <v>0.80667674954962254</v>
      </c>
      <c r="I23" s="90"/>
      <c r="J23" s="5"/>
      <c r="K23" s="5"/>
      <c r="L23" s="544"/>
      <c r="M23" s="36"/>
      <c r="N23" s="5"/>
      <c r="O23" s="5"/>
      <c r="P23" s="5"/>
      <c r="Q23" s="546"/>
    </row>
    <row r="24" spans="1:17" s="652" customFormat="1" x14ac:dyDescent="0.3">
      <c r="A24" s="649" t="s">
        <v>32</v>
      </c>
      <c r="B24" s="650" t="s">
        <v>32</v>
      </c>
      <c r="C24" s="117">
        <f>'Other Options'!B25</f>
        <v>3.6831699708093302</v>
      </c>
      <c r="D24" s="117">
        <f>'Other Options'!C25</f>
        <v>5.1839118258592398</v>
      </c>
      <c r="E24" s="73">
        <f ca="1">'Charges to party by investment'!AU29</f>
        <v>4.9383355092709795</v>
      </c>
      <c r="F24" s="192">
        <f ca="1">'Charges to party by investment'!AL29+'Charges to party by investment'!AO29</f>
        <v>0.93845309101235985</v>
      </c>
      <c r="G24" s="192">
        <f ca="1">'Charges to party by investment'!AM29</f>
        <v>2.3121855881649753</v>
      </c>
      <c r="H24" s="192">
        <f ca="1">'Charges to party by investment'!AM29+'Charges to party by investment'!AR29</f>
        <v>3.9998824182586192</v>
      </c>
      <c r="I24" s="90"/>
      <c r="J24" s="5"/>
      <c r="K24" s="5"/>
      <c r="L24" s="544"/>
      <c r="M24" s="36"/>
      <c r="N24" s="5"/>
      <c r="O24" s="5"/>
      <c r="P24" s="5"/>
      <c r="Q24" s="546"/>
    </row>
    <row r="25" spans="1:17" s="652" customFormat="1" x14ac:dyDescent="0.3">
      <c r="A25" s="649" t="s">
        <v>73</v>
      </c>
      <c r="B25" s="651" t="s">
        <v>73</v>
      </c>
      <c r="C25" s="117">
        <f>'Other Options'!B26</f>
        <v>9.7015014463208793</v>
      </c>
      <c r="D25" s="117">
        <f>'Other Options'!C26</f>
        <v>10.060413175597491</v>
      </c>
      <c r="E25" s="73">
        <f ca="1">'Charges to party by investment'!AU30</f>
        <v>9.8983674584574786</v>
      </c>
      <c r="F25" s="192">
        <f ca="1">'Charges to party by investment'!AL30+'Charges to party by investment'!AO30</f>
        <v>1.600066103561834</v>
      </c>
      <c r="G25" s="192">
        <f ca="1">'Charges to party by investment'!AM30</f>
        <v>4.7969442080232207</v>
      </c>
      <c r="H25" s="192">
        <f ca="1">'Charges to party by investment'!AM30+'Charges to party by investment'!AR30</f>
        <v>8.2983013548956457</v>
      </c>
      <c r="I25" s="91"/>
      <c r="J25" s="5"/>
      <c r="K25" s="5"/>
      <c r="L25" s="544"/>
      <c r="M25" s="36"/>
      <c r="N25" s="36"/>
      <c r="O25" s="36"/>
      <c r="P25" s="36"/>
      <c r="Q25" s="546"/>
    </row>
    <row r="26" spans="1:17" x14ac:dyDescent="0.3">
      <c r="A26" s="649" t="s">
        <v>34</v>
      </c>
      <c r="B26" s="650" t="s">
        <v>34</v>
      </c>
      <c r="C26" s="117">
        <f>'Other Options'!B27</f>
        <v>4.2899040604009198</v>
      </c>
      <c r="D26" s="117">
        <f>'Other Options'!C27</f>
        <v>9.4330050195027919</v>
      </c>
      <c r="E26" s="723">
        <f ca="1">'Charges to party by investment'!AU31</f>
        <v>5.958313178882805</v>
      </c>
      <c r="F26" s="192">
        <f ca="1">'Charges to party by investment'!AL31+'Charges to party by investment'!AO31</f>
        <v>3.4091002504026653</v>
      </c>
      <c r="G26" s="192">
        <f ca="1">'Charges to party by investment'!AM31</f>
        <v>1.4736066659083744</v>
      </c>
      <c r="H26" s="192">
        <f ca="1">'Charges to party by investment'!AM31+'Charges to party by investment'!AR31</f>
        <v>2.5492129284801393</v>
      </c>
      <c r="I26" s="90"/>
      <c r="L26" s="544"/>
      <c r="P26" s="5"/>
    </row>
    <row r="27" spans="1:17" x14ac:dyDescent="0.3">
      <c r="A27" s="649" t="s">
        <v>36</v>
      </c>
      <c r="B27" s="645" t="s">
        <v>36</v>
      </c>
      <c r="C27" s="117">
        <f>'Other Options'!B28</f>
        <v>30.533498779887701</v>
      </c>
      <c r="D27" s="117">
        <f>'Other Options'!C28</f>
        <v>24.79537082073757</v>
      </c>
      <c r="E27" s="316">
        <f ca="1">'Charges to party by investment'!AU32</f>
        <v>23.722388296958648</v>
      </c>
      <c r="F27" s="192">
        <f ca="1">'Charges to party by investment'!AL32+'Charges to party by investment'!AO32</f>
        <v>5.6526087035636241</v>
      </c>
      <c r="G27" s="192">
        <f ca="1">'Charges to party by investment'!AM32</f>
        <v>10.445478038665721</v>
      </c>
      <c r="H27" s="192">
        <f ca="1">'Charges to party by investment'!AM32+'Charges to party by investment'!AR32</f>
        <v>18.069779593395026</v>
      </c>
      <c r="I27" s="92"/>
      <c r="L27" s="544"/>
      <c r="P27" s="5"/>
    </row>
    <row r="28" spans="1:17" x14ac:dyDescent="0.3">
      <c r="A28" s="649" t="s">
        <v>37</v>
      </c>
      <c r="B28" s="645" t="s">
        <v>37</v>
      </c>
      <c r="C28" s="117">
        <f>'Other Options'!B29</f>
        <v>178.79932141221201</v>
      </c>
      <c r="D28" s="117">
        <f>'Other Options'!C29</f>
        <v>256.86484353257987</v>
      </c>
      <c r="E28" s="73">
        <f ca="1">'Charges to party by investment'!AU33</f>
        <v>216.90745555841841</v>
      </c>
      <c r="F28" s="192">
        <f ca="1">'Charges to party by investment'!AL33+'Charges to party by investment'!AO33</f>
        <v>101.92141540069041</v>
      </c>
      <c r="G28" s="192">
        <f ca="1">'Charges to party by investment'!AM33</f>
        <v>66.469220114876777</v>
      </c>
      <c r="H28" s="192">
        <f ca="1">'Charges to party by investment'!AM33+'Charges to party by investment'!AR33</f>
        <v>114.986040157728</v>
      </c>
      <c r="I28" s="92"/>
      <c r="L28" s="544"/>
      <c r="N28" s="193"/>
      <c r="P28" s="5"/>
    </row>
    <row r="29" spans="1:17" ht="17.25" customHeight="1" x14ac:dyDescent="0.3">
      <c r="A29" s="649" t="s">
        <v>38</v>
      </c>
      <c r="B29" s="645" t="s">
        <v>38</v>
      </c>
      <c r="C29" s="117">
        <f>'Other Options'!B30</f>
        <v>6.4477400565579899</v>
      </c>
      <c r="D29" s="117">
        <f>'Other Options'!C30</f>
        <v>5.9776486724398508</v>
      </c>
      <c r="E29" s="73">
        <f ca="1">'Charges to party by investment'!AU34</f>
        <v>5.8175030882509597</v>
      </c>
      <c r="F29" s="192">
        <f ca="1">'Charges to party by investment'!AL34+'Charges to party by investment'!AO34</f>
        <v>1.750618011013354</v>
      </c>
      <c r="G29" s="192">
        <f ca="1">'Charges to party by investment'!AM34</f>
        <v>2.350917372317618</v>
      </c>
      <c r="H29" s="192">
        <f ca="1">'Charges to party by investment'!AM34+'Charges to party by investment'!AR34</f>
        <v>4.0668850772376048</v>
      </c>
      <c r="I29" s="92"/>
      <c r="L29" s="544"/>
      <c r="P29" s="5"/>
    </row>
    <row r="30" spans="1:17" x14ac:dyDescent="0.3">
      <c r="A30" s="649" t="s">
        <v>503</v>
      </c>
      <c r="B30" s="645" t="s">
        <v>39</v>
      </c>
      <c r="C30" s="117">
        <f>'Other Options'!B31</f>
        <v>19.7154639366371</v>
      </c>
      <c r="D30" s="117">
        <f>'Other Options'!C31</f>
        <v>22.131287011137399</v>
      </c>
      <c r="E30" s="73">
        <f ca="1">'Charges to party by investment'!AU35</f>
        <v>21.307470572606132</v>
      </c>
      <c r="F30" s="192">
        <f ca="1">'Charges to party by investment'!AL35+'Charges to party by investment'!AO35</f>
        <v>6.1964975432353961</v>
      </c>
      <c r="G30" s="192">
        <f ca="1">'Charges to party by investment'!AM35</f>
        <v>8.7351002874908978</v>
      </c>
      <c r="H30" s="192">
        <f ca="1">'Charges to party by investment'!AM35+'Charges to party by investment'!AR35</f>
        <v>15.110973029370736</v>
      </c>
      <c r="I30" s="92"/>
      <c r="L30" s="544"/>
      <c r="P30" s="5"/>
    </row>
    <row r="31" spans="1:17" ht="18.75" customHeight="1" x14ac:dyDescent="0.3">
      <c r="A31" s="649" t="s">
        <v>40</v>
      </c>
      <c r="B31" s="645" t="s">
        <v>40</v>
      </c>
      <c r="C31" s="117">
        <f>'Other Options'!B32</f>
        <v>55.243123664533599</v>
      </c>
      <c r="D31" s="117">
        <f>'Other Options'!C32</f>
        <v>43.184614107682812</v>
      </c>
      <c r="E31" s="73">
        <f ca="1">'Charges to party by investment'!AU36</f>
        <v>41.395835504399514</v>
      </c>
      <c r="F31" s="192">
        <f ca="1">'Charges to party by investment'!AL36+'Charges to party by investment'!AO36</f>
        <v>10.454492475567889</v>
      </c>
      <c r="G31" s="192">
        <f ca="1">'Charges to party by investment'!AM36</f>
        <v>17.886057625883851</v>
      </c>
      <c r="H31" s="192">
        <f ca="1">'Charges to party by investment'!AM36+'Charges to party by investment'!AR36</f>
        <v>30.941343028831625</v>
      </c>
      <c r="I31" s="92"/>
      <c r="L31" s="544"/>
      <c r="P31" s="5"/>
    </row>
    <row r="32" spans="1:17" ht="18" customHeight="1" x14ac:dyDescent="0.3">
      <c r="A32" s="649" t="s">
        <v>41</v>
      </c>
      <c r="B32" s="645" t="s">
        <v>41</v>
      </c>
      <c r="C32" s="117">
        <f>'Other Options'!B33</f>
        <v>1.60316629528984</v>
      </c>
      <c r="D32" s="117">
        <f>'Other Options'!C33</f>
        <v>4.6598060865262463</v>
      </c>
      <c r="E32" s="73">
        <f ca="1">'Charges to party by investment'!AU37</f>
        <v>3.6539269889863233</v>
      </c>
      <c r="F32" s="192">
        <f ca="1">'Charges to party by investment'!AL37+'Charges to party by investment'!AO37</f>
        <v>0.43120824429848742</v>
      </c>
      <c r="G32" s="192">
        <f ca="1">'Charges to party by investment'!AM37</f>
        <v>1.8629357208506181</v>
      </c>
      <c r="H32" s="192">
        <f ca="1">'Charges to party by investment'!AM37+'Charges to party by investment'!AR37</f>
        <v>3.2227187446878358</v>
      </c>
      <c r="I32" s="92"/>
      <c r="L32" s="544"/>
      <c r="M32" s="254"/>
      <c r="P32" s="5"/>
    </row>
    <row r="33" spans="1:17" s="656" customFormat="1" ht="16.5" customHeight="1" x14ac:dyDescent="0.3">
      <c r="A33" s="654"/>
      <c r="B33" s="664"/>
      <c r="C33" s="665"/>
      <c r="D33" s="93"/>
      <c r="E33" s="8"/>
      <c r="F33" s="192"/>
      <c r="G33" s="192"/>
      <c r="H33" s="192"/>
      <c r="I33" s="93"/>
      <c r="J33" s="5"/>
      <c r="K33" s="8"/>
      <c r="L33" s="544"/>
      <c r="M33" s="255"/>
      <c r="N33" s="46"/>
      <c r="O33" s="46"/>
      <c r="P33" s="46"/>
      <c r="Q33" s="655"/>
    </row>
    <row r="34" spans="1:17" x14ac:dyDescent="0.3">
      <c r="A34" s="657"/>
      <c r="B34" s="648" t="s">
        <v>44</v>
      </c>
      <c r="C34" s="196"/>
      <c r="D34" s="92"/>
      <c r="E34" s="196"/>
      <c r="F34" s="192"/>
      <c r="G34" s="192"/>
      <c r="H34" s="192"/>
      <c r="I34" s="92"/>
      <c r="K34" s="8"/>
      <c r="L34" s="544"/>
    </row>
    <row r="35" spans="1:17" x14ac:dyDescent="0.3">
      <c r="A35" s="649" t="s">
        <v>4</v>
      </c>
      <c r="B35" s="666" t="s">
        <v>4</v>
      </c>
      <c r="C35" s="117">
        <f>'Other Options'!B36</f>
        <v>32.633689604366353</v>
      </c>
      <c r="D35" s="117">
        <f>'Other Options'!C36</f>
        <v>16.619200671705972</v>
      </c>
      <c r="E35" s="73">
        <f ca="1">'Charges to party by investment'!AU40</f>
        <v>14.922447768287176</v>
      </c>
      <c r="F35" s="192">
        <f ca="1">'Charges to party by investment'!AL40+'Charges to party by investment'!AO40</f>
        <v>13.680100310154232</v>
      </c>
      <c r="G35" s="192">
        <f ca="1">'Charges to party by investment'!AM40</f>
        <v>1.2423474581329446</v>
      </c>
      <c r="H35" s="192">
        <f ca="1">'Charges to party by investment'!AM40+'Charges to party by investment'!AR40</f>
        <v>1.2423474581329446</v>
      </c>
      <c r="I35" s="92"/>
      <c r="K35" s="8"/>
      <c r="L35" s="544"/>
      <c r="P35" s="5"/>
    </row>
    <row r="36" spans="1:17" x14ac:dyDescent="0.3">
      <c r="A36" s="649" t="s">
        <v>10</v>
      </c>
      <c r="B36" s="645" t="s">
        <v>10</v>
      </c>
      <c r="C36" s="662">
        <f>'Other Options'!B37</f>
        <v>6.8211952010486119</v>
      </c>
      <c r="D36" s="662">
        <f>'Other Options'!C37</f>
        <v>5.4043528811153898</v>
      </c>
      <c r="E36" s="663">
        <f ca="1">'Charges to party by investment'!AU41</f>
        <v>4.3837892587582905</v>
      </c>
      <c r="F36" s="192">
        <f ca="1">'Charges to party by investment'!AL41+'Charges to party by investment'!AO41</f>
        <v>3.6015728482150418</v>
      </c>
      <c r="G36" s="192">
        <f ca="1">'Charges to party by investment'!AM41</f>
        <v>0.7822164105432482</v>
      </c>
      <c r="H36" s="192">
        <f ca="1">'Charges to party by investment'!AM41+'Charges to party by investment'!AR41</f>
        <v>0.7822164105432482</v>
      </c>
      <c r="I36" s="92"/>
      <c r="K36" s="8"/>
      <c r="L36" s="544"/>
      <c r="P36" s="5"/>
    </row>
    <row r="37" spans="1:17" x14ac:dyDescent="0.3">
      <c r="A37" s="649" t="s">
        <v>14</v>
      </c>
      <c r="B37" s="645" t="s">
        <v>14</v>
      </c>
      <c r="C37" s="117">
        <f>'Other Options'!B38</f>
        <v>96.671854352502805</v>
      </c>
      <c r="D37" s="117">
        <f>'Other Options'!C38</f>
        <v>39.285634233131958</v>
      </c>
      <c r="E37" s="73">
        <f ca="1">'Charges to party by investment'!AU42</f>
        <v>35.723355311928486</v>
      </c>
      <c r="F37" s="192">
        <f ca="1">'Charges to party by investment'!AL42+'Charges to party by investment'!AO42</f>
        <v>34.617460948622778</v>
      </c>
      <c r="G37" s="192">
        <f ca="1">'Charges to party by investment'!AM42</f>
        <v>1.1058943633057079</v>
      </c>
      <c r="H37" s="192">
        <f ca="1">'Charges to party by investment'!AM42+'Charges to party by investment'!AR42</f>
        <v>1.1058943633057079</v>
      </c>
      <c r="I37" s="92"/>
      <c r="K37" s="8"/>
      <c r="L37" s="544"/>
      <c r="P37" s="5"/>
    </row>
    <row r="38" spans="1:17" x14ac:dyDescent="0.3">
      <c r="A38" s="649" t="s">
        <v>621</v>
      </c>
      <c r="B38" s="645" t="s">
        <v>16</v>
      </c>
      <c r="C38" s="117">
        <f>'Other Options'!B39</f>
        <v>0</v>
      </c>
      <c r="D38" s="117">
        <f>'Other Options'!C39</f>
        <v>0.18568578724632673</v>
      </c>
      <c r="E38" s="73">
        <f ca="1">'Charges to party by investment'!AU43</f>
        <v>0.10596062231342553</v>
      </c>
      <c r="F38" s="192">
        <f ca="1">'Charges to party by investment'!AL43+'Charges to party by investment'!AO43</f>
        <v>0.10596062231342553</v>
      </c>
      <c r="G38" s="192">
        <f>'Charges to party by investment'!AM43</f>
        <v>0</v>
      </c>
      <c r="H38" s="192">
        <f>'Charges to party by investment'!AM43+'Charges to party by investment'!AR43</f>
        <v>0</v>
      </c>
      <c r="I38" s="8"/>
      <c r="K38" s="8"/>
      <c r="L38" s="544"/>
      <c r="P38" s="5"/>
    </row>
    <row r="39" spans="1:17" x14ac:dyDescent="0.3">
      <c r="A39" s="649" t="s">
        <v>616</v>
      </c>
      <c r="B39" s="645" t="s">
        <v>17</v>
      </c>
      <c r="C39" s="117">
        <f>'Other Options'!B40</f>
        <v>0</v>
      </c>
      <c r="D39" s="117">
        <f>'Other Options'!C40</f>
        <v>4.0512740855603653</v>
      </c>
      <c r="E39" s="73">
        <f ca="1">'Charges to party by investment'!AU44</f>
        <v>2.4904596889196515</v>
      </c>
      <c r="F39" s="192">
        <f ca="1">'Charges to party by investment'!AL44+'Charges to party by investment'!AO44</f>
        <v>0.87417214365511064</v>
      </c>
      <c r="G39" s="192">
        <f ca="1">'Charges to party by investment'!AM44</f>
        <v>1.6162875452645407</v>
      </c>
      <c r="H39" s="192">
        <f ca="1">'Charges to party by investment'!AM44+'Charges to party by investment'!AR44</f>
        <v>1.6162875452645407</v>
      </c>
      <c r="I39" s="8"/>
      <c r="K39" s="8"/>
      <c r="L39" s="544"/>
      <c r="P39" s="5"/>
    </row>
    <row r="40" spans="1:17" x14ac:dyDescent="0.3">
      <c r="A40" s="649" t="s">
        <v>617</v>
      </c>
      <c r="B40" s="645" t="s">
        <v>18</v>
      </c>
      <c r="C40" s="117">
        <f>'Other Options'!B41</f>
        <v>0</v>
      </c>
      <c r="D40" s="117">
        <f>'Other Options'!C41</f>
        <v>0.54491105964166731</v>
      </c>
      <c r="E40" s="73">
        <f ca="1">'Charges to party by investment'!AU45</f>
        <v>0.44480183982018912</v>
      </c>
      <c r="F40" s="192">
        <f ca="1">'Charges to party by investment'!AL45+'Charges to party by investment'!AO45</f>
        <v>0.44480183982018912</v>
      </c>
      <c r="G40" s="192">
        <f>'Charges to party by investment'!AM45</f>
        <v>0</v>
      </c>
      <c r="H40" s="192">
        <f>'Charges to party by investment'!AM45+'Charges to party by investment'!AR45</f>
        <v>0</v>
      </c>
      <c r="K40" s="8"/>
      <c r="L40" s="544"/>
      <c r="P40" s="5"/>
    </row>
    <row r="41" spans="1:17" x14ac:dyDescent="0.3">
      <c r="A41" s="649" t="s">
        <v>21</v>
      </c>
      <c r="B41" s="645" t="s">
        <v>21</v>
      </c>
      <c r="C41" s="117">
        <f>'Other Options'!B42</f>
        <v>0</v>
      </c>
      <c r="D41" s="117">
        <f>'Other Options'!C42</f>
        <v>0.32789589470360458</v>
      </c>
      <c r="E41" s="73">
        <f ca="1">'Charges to party by investment'!AU46</f>
        <v>0.26759683881789809</v>
      </c>
      <c r="F41" s="192">
        <f ca="1">'Charges to party by investment'!AL46+'Charges to party by investment'!AO46</f>
        <v>0.26759683881789809</v>
      </c>
      <c r="G41" s="192">
        <f>'Charges to party by investment'!AM46</f>
        <v>0</v>
      </c>
      <c r="H41" s="192">
        <f>'Charges to party by investment'!AM46+'Charges to party by investment'!AR46</f>
        <v>0</v>
      </c>
      <c r="K41" s="8"/>
      <c r="L41" s="544"/>
      <c r="P41" s="5"/>
    </row>
    <row r="42" spans="1:17" ht="14.25" customHeight="1" x14ac:dyDescent="0.3">
      <c r="A42" s="649" t="s">
        <v>27</v>
      </c>
      <c r="B42" s="645" t="s">
        <v>27</v>
      </c>
      <c r="C42" s="117">
        <f>'Other Options'!B43</f>
        <v>0.38253490700876602</v>
      </c>
      <c r="D42" s="117">
        <f>'Other Options'!C43</f>
        <v>9.8980591858104927E-2</v>
      </c>
      <c r="E42" s="73">
        <f ca="1">'Charges to party by investment'!AU47</f>
        <v>8.9938012237073789E-2</v>
      </c>
      <c r="F42" s="192">
        <f ca="1">'Charges to party by investment'!AL47+'Charges to party by investment'!AO47</f>
        <v>8.9938012237073789E-2</v>
      </c>
      <c r="G42" s="192">
        <f>'Charges to party by investment'!AM47</f>
        <v>0</v>
      </c>
      <c r="H42" s="192">
        <f>'Charges to party by investment'!AM47+'Charges to party by investment'!AR47</f>
        <v>0</v>
      </c>
      <c r="K42" s="8"/>
      <c r="L42" s="544"/>
      <c r="P42" s="5"/>
    </row>
    <row r="43" spans="1:17" x14ac:dyDescent="0.3">
      <c r="A43" s="649" t="s">
        <v>33</v>
      </c>
      <c r="B43" s="645" t="s">
        <v>33</v>
      </c>
      <c r="C43" s="117">
        <f>'Other Options'!B44</f>
        <v>0</v>
      </c>
      <c r="D43" s="117">
        <f>'Other Options'!C44</f>
        <v>0.12520561198631469</v>
      </c>
      <c r="E43" s="73">
        <f ca="1">'Charges to party by investment'!AU48</f>
        <v>9.7439756890794579E-2</v>
      </c>
      <c r="F43" s="192">
        <f ca="1">'Charges to party by investment'!AL48+'Charges to party by investment'!AO48</f>
        <v>7.1066469655278269E-2</v>
      </c>
      <c r="G43" s="192">
        <f ca="1">'Charges to party by investment'!AM48</f>
        <v>2.6373287235516307E-2</v>
      </c>
      <c r="H43" s="192">
        <f ca="1">'Charges to party by investment'!AM48+'Charges to party by investment'!AR48</f>
        <v>2.6373287235516307E-2</v>
      </c>
      <c r="K43" s="8"/>
      <c r="L43" s="544"/>
      <c r="P43" s="5"/>
    </row>
    <row r="44" spans="1:17" x14ac:dyDescent="0.3">
      <c r="A44" s="649" t="s">
        <v>35</v>
      </c>
      <c r="B44" s="645" t="s">
        <v>35</v>
      </c>
      <c r="C44" s="117">
        <f>'Other Options'!B45</f>
        <v>3.6590118583837001</v>
      </c>
      <c r="D44" s="117">
        <f>'Other Options'!C45</f>
        <v>3.0146474118327347</v>
      </c>
      <c r="E44" s="73">
        <f ca="1">'Charges to party by investment'!AU49</f>
        <v>2.4820942854375114</v>
      </c>
      <c r="F44" s="192">
        <f ca="1">'Charges to party by investment'!AL49+'Charges to party by investment'!AO49</f>
        <v>2.2319939818466015</v>
      </c>
      <c r="G44" s="192">
        <f ca="1">'Charges to party by investment'!AM49</f>
        <v>0.25010030359091007</v>
      </c>
      <c r="H44" s="192">
        <f ca="1">'Charges to party by investment'!AM49+'Charges to party by investment'!AR49</f>
        <v>0.25010030359091007</v>
      </c>
      <c r="K44" s="8"/>
      <c r="L44" s="544"/>
      <c r="P44" s="5"/>
    </row>
    <row r="45" spans="1:17" s="656" customFormat="1" x14ac:dyDescent="0.3">
      <c r="A45" s="654"/>
      <c r="B45" s="664"/>
      <c r="C45" s="665"/>
      <c r="D45" s="576"/>
      <c r="E45" s="665"/>
      <c r="F45" s="192"/>
      <c r="G45" s="192"/>
      <c r="H45" s="192"/>
      <c r="I45" s="46"/>
      <c r="J45" s="5"/>
      <c r="K45" s="8"/>
      <c r="L45" s="544"/>
      <c r="M45" s="256"/>
      <c r="N45" s="46"/>
      <c r="O45" s="46"/>
      <c r="P45" s="46"/>
      <c r="Q45" s="655"/>
    </row>
    <row r="46" spans="1:17" x14ac:dyDescent="0.3">
      <c r="A46" s="657"/>
      <c r="B46" s="648" t="s">
        <v>63</v>
      </c>
      <c r="C46" s="196"/>
      <c r="D46" s="90"/>
      <c r="E46" s="196"/>
      <c r="F46" s="192"/>
      <c r="G46" s="192"/>
      <c r="H46" s="192"/>
      <c r="K46" s="8"/>
      <c r="L46" s="544"/>
    </row>
    <row r="47" spans="1:17" x14ac:dyDescent="0.3">
      <c r="A47" s="649" t="s">
        <v>644</v>
      </c>
      <c r="B47" s="666" t="s">
        <v>3</v>
      </c>
      <c r="C47" s="117">
        <f>'Other Options'!B48</f>
        <v>4.0652026313854099</v>
      </c>
      <c r="D47" s="117">
        <f>'Other Options'!C48</f>
        <v>6.1036506859030553</v>
      </c>
      <c r="E47" s="724">
        <f ca="1">'Charges to party by investment'!AU52</f>
        <v>0</v>
      </c>
      <c r="F47" s="192">
        <f ca="1">'Charges to party by investment'!AL52+'Charges to party by investment'!AO52</f>
        <v>0</v>
      </c>
      <c r="G47" s="192">
        <f>'Charges to party by investment'!AM52</f>
        <v>0</v>
      </c>
      <c r="H47" s="192">
        <f ca="1">'Charges to party by investment'!AM52+'Charges to party by investment'!AR52</f>
        <v>0</v>
      </c>
      <c r="K47" s="8"/>
      <c r="L47" s="544"/>
      <c r="P47" s="5"/>
    </row>
    <row r="48" spans="1:17" x14ac:dyDescent="0.3">
      <c r="A48" s="649" t="s">
        <v>6</v>
      </c>
      <c r="B48" s="645" t="s">
        <v>6</v>
      </c>
      <c r="C48" s="662">
        <f>'Other Options'!B49</f>
        <v>0.885456565309233</v>
      </c>
      <c r="D48" s="662">
        <f>'Other Options'!C49</f>
        <v>0.75204029380451254</v>
      </c>
      <c r="E48" s="662">
        <f ca="1">'Charges to party by investment'!AU53</f>
        <v>0.75646697869052737</v>
      </c>
      <c r="F48" s="192">
        <f ca="1">'Charges to party by investment'!AL53+'Charges to party by investment'!AO53</f>
        <v>0.15961434541720004</v>
      </c>
      <c r="G48" s="192">
        <f ca="1">'Charges to party by investment'!AM53</f>
        <v>0.34501865620182687</v>
      </c>
      <c r="H48" s="192">
        <f ca="1">'Charges to party by investment'!AM53+'Charges to party by investment'!AR53</f>
        <v>0.59685263327332727</v>
      </c>
      <c r="K48" s="8"/>
      <c r="L48" s="544"/>
      <c r="P48" s="5"/>
    </row>
    <row r="49" spans="1:17" x14ac:dyDescent="0.3">
      <c r="A49" s="649" t="s">
        <v>49</v>
      </c>
      <c r="B49" s="645" t="s">
        <v>49</v>
      </c>
      <c r="C49" s="117">
        <f>'Other Options'!B50</f>
        <v>0.54555788504299096</v>
      </c>
      <c r="D49" s="117">
        <f>'Other Options'!C50</f>
        <v>2.2829323807711197</v>
      </c>
      <c r="E49" s="117">
        <f ca="1">'Charges to party by investment'!AU55</f>
        <v>2.1220721468025436</v>
      </c>
      <c r="F49" s="192">
        <f ca="1">'Charges to party by investment'!AL55+'Charges to party by investment'!AO55</f>
        <v>0.16852587094651084</v>
      </c>
      <c r="G49" s="192">
        <f ca="1">'Charges to party by investment'!AM55</f>
        <v>1.1292735817004773</v>
      </c>
      <c r="H49" s="192">
        <f ca="1">'Charges to party by investment'!AM55+'Charges to party by investment'!AR55</f>
        <v>1.9535462758560325</v>
      </c>
      <c r="K49" s="8"/>
      <c r="L49" s="544"/>
      <c r="P49" s="5"/>
    </row>
    <row r="50" spans="1:17" x14ac:dyDescent="0.3">
      <c r="A50" s="649" t="s">
        <v>15</v>
      </c>
      <c r="B50" s="645" t="s">
        <v>15</v>
      </c>
      <c r="C50" s="117">
        <f>'Other Options'!B51</f>
        <v>0.66503186341368803</v>
      </c>
      <c r="D50" s="117">
        <f>'Other Options'!C51</f>
        <v>0.70812382822333286</v>
      </c>
      <c r="E50" s="117">
        <f ca="1">'Charges to party by investment'!AU56</f>
        <v>0.69994241578410432</v>
      </c>
      <c r="F50" s="192">
        <f ca="1">'Charges to party by investment'!AL56+'Charges to party by investment'!AO56</f>
        <v>0.20127953440267782</v>
      </c>
      <c r="G50" s="192">
        <f ca="1">'Charges to party by investment'!AM56</f>
        <v>0.28825875541234608</v>
      </c>
      <c r="H50" s="192">
        <f ca="1">'Charges to party by investment'!AM56+'Charges to party by investment'!AR56</f>
        <v>0.49866288138142645</v>
      </c>
      <c r="K50" s="8"/>
      <c r="L50" s="544"/>
      <c r="P50" s="5"/>
    </row>
    <row r="51" spans="1:17" x14ac:dyDescent="0.3">
      <c r="A51" s="649" t="s">
        <v>22</v>
      </c>
      <c r="B51" s="645" t="s">
        <v>22</v>
      </c>
      <c r="C51" s="117">
        <f>'Other Options'!B52</f>
        <v>0</v>
      </c>
      <c r="D51" s="117">
        <f>'Other Options'!C52</f>
        <v>6.7902954119436645</v>
      </c>
      <c r="E51" s="117">
        <f ca="1">'Charges to party by investment'!AU57</f>
        <v>5.7669301633386345</v>
      </c>
      <c r="F51" s="192">
        <f ca="1">'Charges to party by investment'!AL57+'Charges to party by investment'!AO57</f>
        <v>0.88698713093436099</v>
      </c>
      <c r="G51" s="192">
        <f ca="1">'Charges to party by investment'!AM57</f>
        <v>2.8209164097137482</v>
      </c>
      <c r="H51" s="192">
        <f ca="1">'Charges to party by investment'!AM57+'Charges to party by investment'!AR57</f>
        <v>4.8799430324042739</v>
      </c>
      <c r="K51" s="8"/>
      <c r="L51" s="544"/>
      <c r="P51" s="5"/>
    </row>
    <row r="52" spans="1:17" x14ac:dyDescent="0.3">
      <c r="A52" s="649" t="s">
        <v>24</v>
      </c>
      <c r="B52" s="645" t="s">
        <v>24</v>
      </c>
      <c r="C52" s="117">
        <f>'Other Options'!B53</f>
        <v>4.6071233586564801</v>
      </c>
      <c r="D52" s="117">
        <f>'Other Options'!C53</f>
        <v>16.644311607403363</v>
      </c>
      <c r="E52" s="117">
        <f ca="1">'Charges to party by investment'!AU58</f>
        <v>14.512608712377538</v>
      </c>
      <c r="F52" s="192">
        <f ca="1">'Charges to party by investment'!AL58+'Charges to party by investment'!AO58</f>
        <v>6.455946541675635</v>
      </c>
      <c r="G52" s="192">
        <f ca="1">'Charges to party by investment'!AM58</f>
        <v>4.6572614421803316</v>
      </c>
      <c r="H52" s="192">
        <f ca="1">'Charges to party by investment'!AM58+'Charges to party by investment'!AR58</f>
        <v>8.0566621707019053</v>
      </c>
      <c r="K52" s="8"/>
      <c r="L52" s="544"/>
      <c r="P52" s="5"/>
    </row>
    <row r="53" spans="1:17" x14ac:dyDescent="0.3">
      <c r="A53" s="649" t="s">
        <v>620</v>
      </c>
      <c r="B53" s="645" t="s">
        <v>43</v>
      </c>
      <c r="C53" s="117">
        <f>'Other Options'!B54</f>
        <v>60.844865743536097</v>
      </c>
      <c r="D53" s="117">
        <f>'Other Options'!C54</f>
        <v>39.975736995246649</v>
      </c>
      <c r="E53" s="117">
        <f ca="1">'Charges to party by investment'!AU59</f>
        <v>40.979425040617642</v>
      </c>
      <c r="F53" s="192">
        <f ca="1">'Charges to party by investment'!AL59+'Charges to party by investment'!AO59</f>
        <v>10.426569389935629</v>
      </c>
      <c r="G53" s="192">
        <f ca="1">'Charges to party by investment'!AM59</f>
        <v>17.661487295305836</v>
      </c>
      <c r="H53" s="192">
        <f ca="1">'Charges to party by investment'!AM59+'Charges to party by investment'!AR59</f>
        <v>30.552855650682019</v>
      </c>
      <c r="K53" s="8"/>
      <c r="L53" s="544"/>
      <c r="P53" s="5"/>
    </row>
    <row r="54" spans="1:17" x14ac:dyDescent="0.3">
      <c r="A54" s="649" t="s">
        <v>618</v>
      </c>
      <c r="B54" s="645" t="s">
        <v>26</v>
      </c>
      <c r="C54" s="117">
        <f>'Other Options'!B55</f>
        <v>4.2536832649312801</v>
      </c>
      <c r="D54" s="117">
        <f>'Other Options'!C55</f>
        <v>6.1514081931756097</v>
      </c>
      <c r="E54" s="117">
        <f ca="1">'Charges to party by investment'!AU60</f>
        <v>5.9793460799420766</v>
      </c>
      <c r="F54" s="192">
        <f ca="1">'Charges to party by investment'!AL60+'Charges to party by investment'!AO60</f>
        <v>1.5114368645062366</v>
      </c>
      <c r="G54" s="192">
        <f ca="1">'Charges to party by investment'!AM60</f>
        <v>2.5827347449022651</v>
      </c>
      <c r="H54" s="192">
        <f ca="1">'Charges to party by investment'!AM60+'Charges to party by investment'!AR60</f>
        <v>4.4679092154358395</v>
      </c>
      <c r="K54" s="8"/>
      <c r="L54" s="544"/>
      <c r="P54" s="5"/>
    </row>
    <row r="55" spans="1:17" ht="14.25" customHeight="1" x14ac:dyDescent="0.3">
      <c r="A55" s="649" t="s">
        <v>30</v>
      </c>
      <c r="B55" s="645" t="s">
        <v>30</v>
      </c>
      <c r="C55" s="117">
        <f>'Other Options'!B56</f>
        <v>0.74426647291580394</v>
      </c>
      <c r="D55" s="117">
        <f>'Other Options'!C56</f>
        <v>0.61755180536242227</v>
      </c>
      <c r="E55" s="117">
        <f ca="1">'Charges to party by investment'!AU61</f>
        <v>0.61103190469794499</v>
      </c>
      <c r="F55" s="192">
        <f ca="1">'Charges to party by investment'!AL61+'Charges to party by investment'!AO61</f>
        <v>0.13253594205525904</v>
      </c>
      <c r="G55" s="192">
        <f ca="1">'Charges to party by investment'!AM61</f>
        <v>0.27660099801113963</v>
      </c>
      <c r="H55" s="192">
        <f ca="1">'Charges to party by investment'!AM61+'Charges to party by investment'!AR61</f>
        <v>0.4784959626426859</v>
      </c>
      <c r="K55" s="8"/>
      <c r="L55" s="544"/>
      <c r="P55" s="5"/>
    </row>
    <row r="56" spans="1:17" ht="18.75" customHeight="1" x14ac:dyDescent="0.3">
      <c r="A56" s="649" t="s">
        <v>619</v>
      </c>
      <c r="B56" s="645" t="s">
        <v>556</v>
      </c>
      <c r="C56" s="117">
        <f>'Other Options'!B57</f>
        <v>3.20120186496698</v>
      </c>
      <c r="D56" s="117">
        <f>'Other Options'!C57</f>
        <v>5.8458193037384154</v>
      </c>
      <c r="E56" s="724">
        <f ca="1">'Charges to party by investment'!AU62</f>
        <v>0</v>
      </c>
      <c r="F56" s="192">
        <f ca="1">'Charges to party by investment'!AL62+'Charges to party by investment'!AO62</f>
        <v>0</v>
      </c>
      <c r="G56" s="192">
        <f>'Charges to party by investment'!AM62</f>
        <v>0</v>
      </c>
      <c r="H56" s="192">
        <f ca="1">'Charges to party by investment'!AM62+'Charges to party by investment'!AR62</f>
        <v>0</v>
      </c>
      <c r="K56" s="8"/>
      <c r="L56" s="544"/>
      <c r="P56" s="5"/>
    </row>
    <row r="57" spans="1:17" s="646" customFormat="1" ht="18" customHeight="1" x14ac:dyDescent="0.3">
      <c r="A57" s="649" t="s">
        <v>42</v>
      </c>
      <c r="B57" s="645" t="s">
        <v>42</v>
      </c>
      <c r="C57" s="117">
        <f>'Other Options'!B58</f>
        <v>3.1605549518476299</v>
      </c>
      <c r="D57" s="117">
        <f>'Other Options'!C58</f>
        <v>2.7739731554495881</v>
      </c>
      <c r="E57" s="117">
        <f ca="1">'Charges to party by investment'!AU63</f>
        <v>2.7599342814460379</v>
      </c>
      <c r="F57" s="192">
        <f ca="1">'Charges to party by investment'!AL63+'Charges to party by investment'!AO63</f>
        <v>0.71392874426867547</v>
      </c>
      <c r="G57" s="192">
        <f ca="1">'Charges to party by investment'!AM63</f>
        <v>1.1827208956874293</v>
      </c>
      <c r="H57" s="192">
        <f ca="1">'Charges to party by investment'!AM63+'Charges to party by investment'!AR63</f>
        <v>2.0460055371773622</v>
      </c>
      <c r="I57" s="5"/>
      <c r="J57" s="5"/>
      <c r="K57" s="8"/>
      <c r="L57" s="544"/>
      <c r="M57" s="36"/>
      <c r="N57" s="5"/>
      <c r="O57" s="5"/>
      <c r="P57" s="5"/>
    </row>
    <row r="58" spans="1:17" s="659" customFormat="1" x14ac:dyDescent="0.3">
      <c r="A58" s="658"/>
      <c r="C58" s="46"/>
      <c r="D58" s="32"/>
      <c r="E58" s="32"/>
      <c r="F58" s="32"/>
      <c r="G58" s="90"/>
      <c r="H58" s="32"/>
      <c r="I58" s="32"/>
      <c r="J58" s="32"/>
      <c r="K58" s="8"/>
      <c r="L58" s="544"/>
      <c r="M58" s="257"/>
      <c r="N58" s="32"/>
      <c r="O58" s="32"/>
      <c r="P58" s="32"/>
    </row>
    <row r="59" spans="1:17" x14ac:dyDescent="0.3">
      <c r="B59" s="535"/>
      <c r="C59" s="5">
        <f>SUM(C47:C57)</f>
        <v>82.972944602005597</v>
      </c>
      <c r="D59" s="5">
        <f>SUM(D47:D57)</f>
        <v>88.645843661021729</v>
      </c>
      <c r="E59" s="5">
        <f ca="1">SUM(E47:E57)</f>
        <v>74.187757723697032</v>
      </c>
      <c r="G59" s="90"/>
      <c r="L59" s="544"/>
    </row>
    <row r="60" spans="1:17" x14ac:dyDescent="0.3">
      <c r="B60" s="532"/>
      <c r="C60" s="1"/>
      <c r="D60" s="9"/>
      <c r="E60" s="9"/>
      <c r="F60" s="9"/>
      <c r="G60" s="9"/>
      <c r="H60" s="9"/>
      <c r="I60" s="9"/>
      <c r="J60" s="9"/>
      <c r="K60" s="9"/>
      <c r="L60" s="258"/>
      <c r="M60" s="258"/>
      <c r="N60" s="9"/>
      <c r="O60" s="9"/>
      <c r="P60" s="9"/>
    </row>
    <row r="61" spans="1:17" x14ac:dyDescent="0.3">
      <c r="B61" s="532"/>
      <c r="C61" s="1"/>
      <c r="D61" s="9"/>
      <c r="E61" s="9"/>
      <c r="F61" s="9"/>
      <c r="G61" s="9"/>
      <c r="H61" s="9"/>
      <c r="I61" s="9"/>
      <c r="J61" s="9"/>
      <c r="K61" s="9"/>
      <c r="L61" s="258"/>
      <c r="M61" s="258"/>
      <c r="N61" s="9"/>
      <c r="O61" s="9"/>
      <c r="P61" s="9"/>
    </row>
    <row r="62" spans="1:17" x14ac:dyDescent="0.3">
      <c r="I62" s="9"/>
      <c r="J62" s="9"/>
      <c r="K62" s="9"/>
      <c r="L62" s="258"/>
      <c r="M62" s="258"/>
      <c r="N62" s="9"/>
      <c r="O62" s="9"/>
      <c r="P62" s="9"/>
    </row>
    <row r="63" spans="1:17" x14ac:dyDescent="0.3">
      <c r="I63" s="10"/>
      <c r="J63" s="10"/>
      <c r="K63" s="10"/>
      <c r="L63" s="259"/>
      <c r="M63" s="259"/>
      <c r="N63" s="10"/>
      <c r="O63" s="10"/>
    </row>
    <row r="64" spans="1:17" s="660" customFormat="1" x14ac:dyDescent="0.3">
      <c r="A64" s="535"/>
      <c r="B64" s="646"/>
      <c r="C64" s="5"/>
      <c r="D64" s="5"/>
      <c r="E64" s="5"/>
      <c r="F64" s="5"/>
      <c r="G64" s="5"/>
      <c r="H64" s="5"/>
      <c r="I64" s="44"/>
      <c r="J64" s="20"/>
      <c r="K64" s="20"/>
      <c r="L64" s="260"/>
      <c r="M64" s="260"/>
      <c r="N64" s="20"/>
      <c r="O64" s="20"/>
      <c r="P64" s="20"/>
      <c r="Q64" s="661"/>
    </row>
    <row r="66" spans="1:31" x14ac:dyDescent="0.3">
      <c r="D66" s="87"/>
      <c r="F66" s="87"/>
    </row>
    <row r="67" spans="1:31" x14ac:dyDescent="0.3">
      <c r="C67" s="5" t="s">
        <v>599</v>
      </c>
      <c r="D67" s="5" t="s">
        <v>740</v>
      </c>
      <c r="E67" s="5" t="s">
        <v>695</v>
      </c>
    </row>
    <row r="68" spans="1:31" x14ac:dyDescent="0.3">
      <c r="A68" s="649" t="s">
        <v>2</v>
      </c>
      <c r="B68" s="645" t="s">
        <v>2</v>
      </c>
      <c r="C68" s="5">
        <f ca="1">OFFSET(C$3,MATCH($B68,$B$4:$B$57,0),0)</f>
        <v>1.27681536780783</v>
      </c>
      <c r="D68" s="5">
        <f t="shared" ref="D68:E74" ca="1" si="0">OFFSET(D$3,MATCH($B68,$B$4:$B$57,0),0)</f>
        <v>1.7941505751254221</v>
      </c>
      <c r="E68" s="5">
        <f t="shared" ca="1" si="0"/>
        <v>0.82109055884083038</v>
      </c>
    </row>
    <row r="69" spans="1:31" x14ac:dyDescent="0.3">
      <c r="A69" s="649" t="s">
        <v>9</v>
      </c>
      <c r="B69" s="650" t="s">
        <v>9</v>
      </c>
      <c r="C69" s="5">
        <f t="shared" ref="C69:C74" ca="1" si="1">OFFSET(C$3,MATCH($B69,$B$4:$B$57,0),0)</f>
        <v>3.6332748872742102</v>
      </c>
      <c r="D69" s="5">
        <f t="shared" ca="1" si="0"/>
        <v>12.043838254461853</v>
      </c>
      <c r="E69" s="5">
        <f t="shared" ca="1" si="0"/>
        <v>9.6542682186609223</v>
      </c>
      <c r="S69" s="28"/>
      <c r="T69" s="28"/>
      <c r="U69" s="28"/>
      <c r="V69" s="28"/>
      <c r="W69" s="34"/>
      <c r="X69" s="34"/>
      <c r="Y69" s="34"/>
      <c r="Z69" s="28"/>
      <c r="AA69" s="34"/>
      <c r="AB69" s="40"/>
      <c r="AC69" s="646"/>
      <c r="AD69" s="646"/>
      <c r="AE69" s="646"/>
    </row>
    <row r="70" spans="1:31" x14ac:dyDescent="0.3">
      <c r="A70" s="649" t="s">
        <v>41</v>
      </c>
      <c r="B70" s="645" t="s">
        <v>41</v>
      </c>
      <c r="C70" s="5">
        <f t="shared" ca="1" si="1"/>
        <v>1.60316629528984</v>
      </c>
      <c r="D70" s="5">
        <f t="shared" ca="1" si="0"/>
        <v>4.6598060865262463</v>
      </c>
      <c r="E70" s="5">
        <f t="shared" ca="1" si="0"/>
        <v>3.6539269889863233</v>
      </c>
    </row>
    <row r="71" spans="1:31" x14ac:dyDescent="0.3">
      <c r="A71" s="649"/>
      <c r="B71" s="645"/>
      <c r="C71" s="5" t="e">
        <f t="shared" ca="1" si="1"/>
        <v>#N/A</v>
      </c>
      <c r="D71" s="5" t="e">
        <f t="shared" ca="1" si="0"/>
        <v>#N/A</v>
      </c>
      <c r="E71" s="5" t="e">
        <f t="shared" ca="1" si="0"/>
        <v>#N/A</v>
      </c>
    </row>
    <row r="72" spans="1:31" x14ac:dyDescent="0.3">
      <c r="A72" s="649" t="s">
        <v>644</v>
      </c>
      <c r="B72" s="645" t="s">
        <v>3</v>
      </c>
      <c r="C72" s="5">
        <f t="shared" ca="1" si="1"/>
        <v>4.0652026313854099</v>
      </c>
      <c r="D72" s="5">
        <f t="shared" ca="1" si="0"/>
        <v>6.1036506859030553</v>
      </c>
      <c r="E72" s="5">
        <f t="shared" ca="1" si="0"/>
        <v>0</v>
      </c>
    </row>
    <row r="73" spans="1:31" x14ac:dyDescent="0.3">
      <c r="A73" s="649" t="s">
        <v>22</v>
      </c>
      <c r="B73" s="645" t="s">
        <v>22</v>
      </c>
      <c r="C73" s="5">
        <f t="shared" ca="1" si="1"/>
        <v>0</v>
      </c>
      <c r="D73" s="5">
        <f t="shared" ca="1" si="0"/>
        <v>6.7902954119436645</v>
      </c>
      <c r="E73" s="5">
        <f t="shared" ca="1" si="0"/>
        <v>5.7669301633386345</v>
      </c>
    </row>
    <row r="74" spans="1:31" x14ac:dyDescent="0.3">
      <c r="A74" s="649" t="s">
        <v>24</v>
      </c>
      <c r="B74" s="645" t="s">
        <v>24</v>
      </c>
      <c r="C74" s="5">
        <f t="shared" ca="1" si="1"/>
        <v>4.6071233586564801</v>
      </c>
      <c r="D74" s="5">
        <f t="shared" ca="1" si="0"/>
        <v>16.644311607403363</v>
      </c>
      <c r="E74" s="5">
        <f t="shared" ca="1" si="0"/>
        <v>14.512608712377538</v>
      </c>
    </row>
    <row r="76" spans="1:31" ht="18" x14ac:dyDescent="0.35">
      <c r="B76" s="720" t="s">
        <v>835</v>
      </c>
    </row>
    <row r="81" spans="2:8" x14ac:dyDescent="0.3">
      <c r="B81" s="535"/>
      <c r="H81" s="535"/>
    </row>
    <row r="82" spans="2:8" x14ac:dyDescent="0.3">
      <c r="B82" s="535"/>
      <c r="H82" s="535"/>
    </row>
    <row r="83" spans="2:8" x14ac:dyDescent="0.3">
      <c r="B83" s="535"/>
      <c r="H83" s="535"/>
    </row>
    <row r="84" spans="2:8" x14ac:dyDescent="0.3">
      <c r="B84" s="535"/>
      <c r="H84" s="535"/>
    </row>
    <row r="85" spans="2:8" x14ac:dyDescent="0.3">
      <c r="B85" s="535"/>
      <c r="H85" s="535"/>
    </row>
    <row r="86" spans="2:8" x14ac:dyDescent="0.3">
      <c r="B86" s="535"/>
      <c r="H86" s="535"/>
    </row>
    <row r="87" spans="2:8" x14ac:dyDescent="0.3">
      <c r="B87" s="535"/>
      <c r="C87" s="535"/>
      <c r="D87" s="535"/>
      <c r="E87" s="535"/>
      <c r="F87" s="535"/>
      <c r="G87" s="535"/>
      <c r="H87" s="535"/>
    </row>
    <row r="88" spans="2:8" x14ac:dyDescent="0.3">
      <c r="B88" s="535"/>
      <c r="C88" s="535"/>
      <c r="D88" s="535"/>
      <c r="E88" s="535"/>
      <c r="F88" s="535"/>
      <c r="G88" s="535"/>
      <c r="H88" s="535"/>
    </row>
    <row r="89" spans="2:8" x14ac:dyDescent="0.3">
      <c r="B89" s="535"/>
      <c r="C89" s="535"/>
      <c r="D89" s="535"/>
      <c r="E89" s="535"/>
      <c r="F89" s="535"/>
      <c r="G89" s="535"/>
      <c r="H89" s="535"/>
    </row>
    <row r="90" spans="2:8" x14ac:dyDescent="0.3">
      <c r="B90" s="535"/>
      <c r="C90" s="535"/>
      <c r="D90" s="535"/>
      <c r="E90" s="535"/>
      <c r="F90" s="535"/>
      <c r="G90" s="535"/>
      <c r="H90" s="535"/>
    </row>
    <row r="91" spans="2:8" x14ac:dyDescent="0.3">
      <c r="B91" s="535"/>
      <c r="C91" s="535"/>
      <c r="D91" s="535"/>
      <c r="E91" s="535"/>
      <c r="F91" s="535"/>
      <c r="G91" s="535"/>
      <c r="H91" s="535"/>
    </row>
    <row r="92" spans="2:8" x14ac:dyDescent="0.3">
      <c r="B92" s="535"/>
      <c r="C92" s="535"/>
      <c r="D92" s="535"/>
      <c r="E92" s="535"/>
      <c r="F92" s="535"/>
      <c r="G92" s="535"/>
      <c r="H92" s="535"/>
    </row>
    <row r="93" spans="2:8" x14ac:dyDescent="0.3">
      <c r="B93" s="535"/>
      <c r="C93" s="535"/>
      <c r="D93" s="535"/>
      <c r="E93" s="535"/>
      <c r="F93" s="535"/>
      <c r="G93" s="535"/>
      <c r="H93" s="535"/>
    </row>
    <row r="94" spans="2:8" x14ac:dyDescent="0.3">
      <c r="B94" s="535"/>
      <c r="C94" s="535"/>
      <c r="D94" s="535"/>
      <c r="E94" s="535"/>
      <c r="F94" s="535"/>
      <c r="G94" s="535"/>
      <c r="H94" s="535"/>
    </row>
  </sheetData>
  <pageMargins left="0.7" right="0.7" top="0.75" bottom="0.75" header="0.3" footer="0.3"/>
  <pageSetup paperSize="8"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F152"/>
  <sheetViews>
    <sheetView zoomScale="55" zoomScaleNormal="55" workbookViewId="0">
      <selection activeCell="AW117" sqref="AW117"/>
    </sheetView>
  </sheetViews>
  <sheetFormatPr defaultColWidth="9.109375" defaultRowHeight="14.4" x14ac:dyDescent="0.3"/>
  <cols>
    <col min="1" max="1" width="15.6640625" style="183" customWidth="1"/>
    <col min="2" max="2" width="21.5546875" style="12" bestFit="1" customWidth="1"/>
    <col min="3" max="3" width="12.44140625" style="5" customWidth="1"/>
    <col min="4" max="4" width="16.6640625" style="5" customWidth="1"/>
    <col min="5" max="7" width="25.5546875" style="5" customWidth="1"/>
    <col min="8" max="8" width="22.44140625" style="5" customWidth="1"/>
    <col min="9" max="9" width="16.44140625" style="5" customWidth="1"/>
    <col min="10" max="10" width="21.5546875" style="5" customWidth="1"/>
    <col min="11" max="11" width="17.5546875" style="5" customWidth="1"/>
    <col min="12" max="12" width="15.109375" style="5" customWidth="1"/>
    <col min="13" max="13" width="17.5546875" style="5" customWidth="1"/>
    <col min="14" max="14" width="20.5546875" style="12" customWidth="1"/>
    <col min="15" max="15" width="19.109375" style="12" hidden="1" customWidth="1"/>
    <col min="16" max="16" width="12.44140625" style="41" customWidth="1"/>
    <col min="17" max="17" width="14.5546875" style="17" customWidth="1"/>
    <col min="18" max="18" width="14.5546875" style="22" customWidth="1"/>
    <col min="19" max="19" width="13.88671875" style="17" customWidth="1"/>
    <col min="20" max="22" width="9.109375" style="17"/>
    <col min="23" max="23" width="15.5546875" style="17" customWidth="1"/>
    <col min="24" max="24" width="17.5546875" style="17" bestFit="1" customWidth="1"/>
    <col min="25" max="25" width="16.44140625" style="17" bestFit="1" customWidth="1"/>
    <col min="26" max="32" width="9.109375" style="17"/>
    <col min="33" max="16384" width="9.109375" style="12"/>
  </cols>
  <sheetData>
    <row r="1" spans="1:28" s="42" customFormat="1" x14ac:dyDescent="0.3">
      <c r="A1" s="185"/>
      <c r="C1" s="50"/>
      <c r="D1" s="47"/>
      <c r="E1" s="47"/>
      <c r="F1" s="47"/>
      <c r="G1" s="47"/>
      <c r="H1" s="47"/>
      <c r="I1" s="48"/>
      <c r="J1" s="412">
        <v>1.05</v>
      </c>
      <c r="K1" s="39"/>
      <c r="L1" s="39"/>
      <c r="M1" s="39"/>
      <c r="N1" s="39"/>
      <c r="O1" s="39"/>
      <c r="P1" s="161"/>
      <c r="Q1" s="154"/>
      <c r="R1" s="154"/>
    </row>
    <row r="2" spans="1:28" ht="116.25" customHeight="1" x14ac:dyDescent="0.3">
      <c r="A2" s="183" t="s">
        <v>614</v>
      </c>
      <c r="B2" s="69"/>
      <c r="C2" s="165" t="s">
        <v>612</v>
      </c>
      <c r="D2" s="165" t="s">
        <v>558</v>
      </c>
      <c r="E2" s="114" t="s">
        <v>546</v>
      </c>
      <c r="F2" s="114" t="s">
        <v>596</v>
      </c>
      <c r="G2" s="250" t="s">
        <v>639</v>
      </c>
      <c r="H2" s="202"/>
      <c r="I2" s="5" t="s">
        <v>582</v>
      </c>
      <c r="J2" s="191" t="s">
        <v>623</v>
      </c>
      <c r="K2" s="231" t="s">
        <v>508</v>
      </c>
      <c r="L2" s="232"/>
      <c r="M2" s="232" t="s">
        <v>540</v>
      </c>
      <c r="N2" s="232" t="s">
        <v>540</v>
      </c>
      <c r="O2" s="114"/>
      <c r="Q2" s="232"/>
      <c r="R2" s="232"/>
      <c r="S2" s="194"/>
      <c r="T2" s="197"/>
      <c r="U2" s="197"/>
      <c r="V2" s="197"/>
    </row>
    <row r="3" spans="1:28" x14ac:dyDescent="0.3">
      <c r="B3" s="122" t="str">
        <f>'Charges as $M per year'!B3</f>
        <v>EDBs</v>
      </c>
      <c r="C3" s="123"/>
      <c r="D3" s="73"/>
      <c r="I3" s="110" t="s">
        <v>487</v>
      </c>
      <c r="J3" s="10">
        <f>SUM(J4:J32)</f>
        <v>33176.626735349993</v>
      </c>
      <c r="K3" s="233">
        <f>SUM(K4:K32)</f>
        <v>59.189268873304144</v>
      </c>
      <c r="L3" s="234"/>
      <c r="M3" s="235" t="s">
        <v>541</v>
      </c>
      <c r="N3" s="235" t="s">
        <v>538</v>
      </c>
      <c r="O3" s="5"/>
      <c r="Q3" s="243"/>
      <c r="R3" s="244"/>
      <c r="S3" s="157"/>
      <c r="T3" s="158"/>
      <c r="U3" s="102"/>
      <c r="V3" s="102"/>
      <c r="W3" s="102"/>
      <c r="X3" s="199" t="s">
        <v>626</v>
      </c>
      <c r="Y3" s="199"/>
      <c r="AA3" s="17" t="s">
        <v>645</v>
      </c>
      <c r="AB3" s="17" t="s">
        <v>646</v>
      </c>
    </row>
    <row r="4" spans="1:28" ht="15.6" x14ac:dyDescent="0.3">
      <c r="A4" s="183" t="str">
        <f>'Charges as $M per year'!A4</f>
        <v>Alpine Energy</v>
      </c>
      <c r="B4" s="69" t="str">
        <f>'Charges as $M per year'!B4</f>
        <v>Alpine Energy</v>
      </c>
      <c r="C4" s="117">
        <f>'Charges as $M per year'!C4*1000/$J4</f>
        <v>12.622744703239208</v>
      </c>
      <c r="D4" s="117">
        <f ca="1">'Charges as $M per year'!E4*1000/$J4</f>
        <v>11.65115996418217</v>
      </c>
      <c r="E4" s="8">
        <f ca="1">'Charges as $M per year'!$F4*1000/'Charges as $ per MWh'!$J4</f>
        <v>1.659511410006524</v>
      </c>
      <c r="F4" s="8">
        <f ca="1">'Charges as $M per year'!G4*1000/'Charges as $ per MWh'!$J4</f>
        <v>5.7758062295821739</v>
      </c>
      <c r="G4" s="8">
        <f ca="1">'Charges as $M per year'!H4*1000/'Charges as $ per MWh'!$J4</f>
        <v>9.9916485541756472</v>
      </c>
      <c r="H4" s="8"/>
      <c r="I4" s="111">
        <f t="shared" ref="I4:I32" ca="1" si="0">$Y$6</f>
        <v>17.61489500660214</v>
      </c>
      <c r="J4" s="8">
        <f>VLOOKUP(B4,Volumes!$A$2:$C$46,3,0)*$J$1</f>
        <v>833.44653000000005</v>
      </c>
      <c r="K4" s="236">
        <v>0</v>
      </c>
      <c r="L4" s="237" t="s">
        <v>0</v>
      </c>
      <c r="M4" s="109">
        <f>K4*1000000/(J4*1000)</f>
        <v>0</v>
      </c>
      <c r="N4" s="238">
        <f t="shared" ref="N4:N32" si="1">C4+K4*1000000/(J4*1000)</f>
        <v>12.622744703239208</v>
      </c>
      <c r="O4" s="8"/>
      <c r="P4" s="195"/>
      <c r="Q4" s="245"/>
      <c r="R4" s="245"/>
      <c r="S4" s="266"/>
      <c r="T4" s="262"/>
      <c r="U4" s="157"/>
      <c r="V4" s="262"/>
      <c r="W4" s="262"/>
      <c r="X4" s="109" t="s">
        <v>486</v>
      </c>
      <c r="Y4" s="109" t="s">
        <v>74</v>
      </c>
      <c r="AA4" s="17">
        <f>J4*C4</f>
        <v>10520.382771990598</v>
      </c>
      <c r="AB4" s="17">
        <f ca="1">J4*D4</f>
        <v>9710.6188426225544</v>
      </c>
    </row>
    <row r="5" spans="1:28" ht="15.6" x14ac:dyDescent="0.3">
      <c r="A5" s="183" t="str">
        <f>'Charges as $M per year'!A5</f>
        <v>Aurora Energy</v>
      </c>
      <c r="B5" s="69" t="str">
        <f>'Charges as $M per year'!B5</f>
        <v>Aurora Energy</v>
      </c>
      <c r="C5" s="117">
        <f>'Charges as $M per year'!C5*1000/$J5</f>
        <v>15.202700521643477</v>
      </c>
      <c r="D5" s="117">
        <f ca="1">'Charges as $M per year'!E5*1000/$J5</f>
        <v>13.125726588244461</v>
      </c>
      <c r="E5" s="8">
        <f ca="1">'Charges as $M per year'!$F5*1000/'Charges as $ per MWh'!$J5</f>
        <v>1.3634777953509087</v>
      </c>
      <c r="F5" s="8">
        <f ca="1">'Charges as $M per year'!G5*1000/'Charges as $ per MWh'!$J5</f>
        <v>6.7993254049651703</v>
      </c>
      <c r="G5" s="8">
        <f ca="1">'Charges as $M per year'!H5*1000/'Charges as $ per MWh'!$J5</f>
        <v>11.762248792893551</v>
      </c>
      <c r="H5" s="8"/>
      <c r="I5" s="111">
        <f t="shared" ca="1" si="0"/>
        <v>17.61489500660214</v>
      </c>
      <c r="J5" s="8">
        <f>VLOOKUP(B5,Volumes!$A$2:$C$46,3,0)*$J$1</f>
        <v>1417.836</v>
      </c>
      <c r="K5" s="236">
        <v>7.1595000000000004</v>
      </c>
      <c r="L5" s="237" t="s">
        <v>1</v>
      </c>
      <c r="M5" s="109">
        <f t="shared" ref="M5:M32" si="2">K5*1000000/(J5*1000)</f>
        <v>5.0495967093514338</v>
      </c>
      <c r="N5" s="238">
        <f t="shared" si="1"/>
        <v>20.252297230994913</v>
      </c>
      <c r="O5" s="8"/>
      <c r="P5" s="195"/>
      <c r="Q5" s="245"/>
      <c r="R5" s="245"/>
      <c r="S5" s="266"/>
      <c r="T5" s="262"/>
      <c r="U5" s="157"/>
      <c r="V5" s="262"/>
      <c r="W5" s="262"/>
      <c r="X5" s="248" t="s">
        <v>485</v>
      </c>
      <c r="Y5" s="248" t="s">
        <v>485</v>
      </c>
      <c r="AA5" s="17">
        <f t="shared" ref="AA5:AA32" si="3">J5*C5</f>
        <v>21554.9360968049</v>
      </c>
      <c r="AB5" s="17">
        <f t="shared" ref="AB5:AB32" ca="1" si="4">J5*D5</f>
        <v>18610.127682970175</v>
      </c>
    </row>
    <row r="6" spans="1:28" ht="15.6" x14ac:dyDescent="0.3">
      <c r="A6" s="183" t="str">
        <f>'Charges as $M per year'!A6</f>
        <v>Buller Electricity</v>
      </c>
      <c r="B6" s="69" t="str">
        <f>'Charges as $M per year'!B6</f>
        <v>Buller Electricity</v>
      </c>
      <c r="C6" s="117">
        <f>'Charges as $M per year'!C6*1000/$J6</f>
        <v>19.117743064516215</v>
      </c>
      <c r="D6" s="117">
        <f ca="1">'Charges as $M per year'!E6*1000/$J6</f>
        <v>12.294180296067365</v>
      </c>
      <c r="E6" s="8">
        <f ca="1">'Charges as $M per year'!$F6*1000/'Charges as $ per MWh'!$J6</f>
        <v>2.2955402289417584</v>
      </c>
      <c r="F6" s="8">
        <f ca="1">'Charges as $M per year'!G6*1000/'Charges as $ per MWh'!$J6</f>
        <v>5.7798477672555251</v>
      </c>
      <c r="G6" s="8">
        <f ca="1">'Charges as $M per year'!H6*1000/'Charges as $ per MWh'!$J6</f>
        <v>9.9986400671256082</v>
      </c>
      <c r="H6" s="8"/>
      <c r="I6" s="111">
        <f t="shared" ca="1" si="0"/>
        <v>17.61489500660214</v>
      </c>
      <c r="J6" s="8">
        <f>VLOOKUP(B6,Volumes!$A$2:$C$46,3,0)*$J$1</f>
        <v>66.786929999999998</v>
      </c>
      <c r="K6" s="236">
        <v>0</v>
      </c>
      <c r="L6" s="239" t="s">
        <v>2</v>
      </c>
      <c r="M6" s="109">
        <f t="shared" si="2"/>
        <v>0</v>
      </c>
      <c r="N6" s="238">
        <f t="shared" si="1"/>
        <v>19.117743064516215</v>
      </c>
      <c r="O6" s="8"/>
      <c r="P6" s="195"/>
      <c r="Q6" s="245"/>
      <c r="R6" s="245"/>
      <c r="S6" s="266"/>
      <c r="T6" s="262"/>
      <c r="U6" s="157"/>
      <c r="V6" s="262"/>
      <c r="W6" s="262"/>
      <c r="X6" s="249">
        <f>SUM('Charges as $M per year'!C4:C32)*1000/J3</f>
        <v>17.076056872243406</v>
      </c>
      <c r="Y6" s="249">
        <f ca="1">1000000*SUM('Charges as $M per year'!E4:E32)/(J3*1000)</f>
        <v>17.61489500660214</v>
      </c>
      <c r="AA6" s="17">
        <f t="shared" si="3"/>
        <v>1276.8153678078299</v>
      </c>
      <c r="AB6" s="17">
        <f t="shared" ca="1" si="4"/>
        <v>821.09055884083034</v>
      </c>
    </row>
    <row r="7" spans="1:28" ht="15.6" x14ac:dyDescent="0.3">
      <c r="A7" s="183" t="str">
        <f>'Charges as $M per year'!A7</f>
        <v>Centralines</v>
      </c>
      <c r="B7" s="69" t="str">
        <f>'Charges as $M per year'!B7</f>
        <v>Centralines</v>
      </c>
      <c r="C7" s="117">
        <f>'Charges as $M per year'!C7*1000/$J7</f>
        <v>17.234363949041541</v>
      </c>
      <c r="D7" s="117">
        <f ca="1">'Charges as $M per year'!E7*1000/$J7</f>
        <v>13.006913733511761</v>
      </c>
      <c r="E7" s="8">
        <f ca="1">'Charges as $M per year'!$F7*1000/'Charges as $ per MWh'!$J7</f>
        <v>3.9909221067844314</v>
      </c>
      <c r="F7" s="8">
        <f ca="1">'Charges as $M per year'!G7*1000/'Charges as $ per MWh'!$J7</f>
        <v>5.2118146791451876</v>
      </c>
      <c r="G7" s="8">
        <f ca="1">'Charges as $M per year'!H7*1000/'Charges as $ per MWh'!$J7</f>
        <v>9.0159916267273292</v>
      </c>
      <c r="H7" s="8"/>
      <c r="I7" s="111">
        <f t="shared" ca="1" si="0"/>
        <v>17.61489500660214</v>
      </c>
      <c r="J7" s="8">
        <f>VLOOKUP(B7,Volumes!$A$2:$C$46,3,0)*$J$1</f>
        <v>118.89234</v>
      </c>
      <c r="K7" s="236">
        <v>0</v>
      </c>
      <c r="L7" s="237" t="s">
        <v>507</v>
      </c>
      <c r="M7" s="109">
        <f t="shared" si="2"/>
        <v>0</v>
      </c>
      <c r="N7" s="238">
        <f t="shared" si="1"/>
        <v>17.234363949041541</v>
      </c>
      <c r="O7" s="8"/>
      <c r="P7" s="195"/>
      <c r="Q7" s="245"/>
      <c r="R7" s="245"/>
      <c r="S7" s="266"/>
      <c r="T7" s="262"/>
      <c r="U7" s="157"/>
      <c r="V7" s="262"/>
      <c r="W7" s="262"/>
      <c r="AA7" s="17">
        <f t="shared" si="3"/>
        <v>2049.0338583131897</v>
      </c>
      <c r="AB7" s="17">
        <f t="shared" ca="1" si="4"/>
        <v>1546.4224099553496</v>
      </c>
    </row>
    <row r="8" spans="1:28" ht="15.6" x14ac:dyDescent="0.3">
      <c r="A8" s="183" t="str">
        <f>'Charges as $M per year'!A8</f>
        <v>Counties Power</v>
      </c>
      <c r="B8" s="69" t="str">
        <f>'Charges as $M per year'!B8</f>
        <v>Counties Power</v>
      </c>
      <c r="C8" s="117">
        <f>'Charges as $M per year'!C8*1000/$J8</f>
        <v>17.111353912536579</v>
      </c>
      <c r="D8" s="117">
        <f ca="1">'Charges as $M per year'!E8*1000/J8</f>
        <v>18.898390664087447</v>
      </c>
      <c r="E8" s="8">
        <f ca="1">'Charges as $M per year'!$F8*1000/'Charges as $ per MWh'!$J8</f>
        <v>7.6648597290073974</v>
      </c>
      <c r="F8" s="8">
        <f ca="1">'Charges as $M per year'!G8*1000/'Charges as $ per MWh'!$J8</f>
        <v>6.4936929680061679</v>
      </c>
      <c r="G8" s="8">
        <f ca="1">'Charges as $M per year'!H8*1000/'Charges as $ per MWh'!$J8</f>
        <v>11.233530935080045</v>
      </c>
      <c r="H8" s="8"/>
      <c r="I8" s="111">
        <f t="shared" ca="1" si="0"/>
        <v>17.61489500660214</v>
      </c>
      <c r="J8" s="8">
        <f>VLOOKUP(B8,Volumes!$A$2:$C$46,3,0)*$J$1</f>
        <v>594.725775</v>
      </c>
      <c r="K8" s="236">
        <v>0</v>
      </c>
      <c r="L8" s="240" t="s">
        <v>5</v>
      </c>
      <c r="M8" s="109">
        <f t="shared" si="2"/>
        <v>0</v>
      </c>
      <c r="N8" s="238">
        <f t="shared" si="1"/>
        <v>17.111353912536579</v>
      </c>
      <c r="O8" s="8"/>
      <c r="P8" s="195"/>
      <c r="Q8" s="245"/>
      <c r="R8" s="245"/>
      <c r="S8" s="266"/>
      <c r="T8" s="262"/>
      <c r="U8" s="157"/>
      <c r="V8" s="262"/>
      <c r="W8" s="262"/>
      <c r="AA8" s="17">
        <f t="shared" si="3"/>
        <v>10176.5632169326</v>
      </c>
      <c r="AB8" s="17">
        <f t="shared" ca="1" si="4"/>
        <v>11239.360033952171</v>
      </c>
    </row>
    <row r="9" spans="1:28" ht="15.6" x14ac:dyDescent="0.3">
      <c r="A9" s="183" t="str">
        <f>'Charges as $M per year'!A9</f>
        <v>Eastland Network</v>
      </c>
      <c r="B9" s="76" t="str">
        <f>'Charges as $M per year'!B9</f>
        <v>Eastland Network</v>
      </c>
      <c r="C9" s="117">
        <f>'Charges as $M per year'!C9*1000/$J9</f>
        <v>16.737004263789352</v>
      </c>
      <c r="D9" s="117">
        <f ca="1">'Charges as $M per year'!E9*1000/J9</f>
        <v>12.6275000241888</v>
      </c>
      <c r="E9" s="8">
        <f ca="1">'Charges as $M per year'!$F9*1000/'Charges as $ per MWh'!$J9</f>
        <v>3.0230888691243503</v>
      </c>
      <c r="F9" s="8">
        <f ca="1">'Charges as $M per year'!G9*1000/'Charges as $ per MWh'!$J9</f>
        <v>5.5519584661238666</v>
      </c>
      <c r="G9" s="8">
        <f ca="1">'Charges as $M per year'!H9*1000/'Charges as $ per MWh'!$J9</f>
        <v>9.6044111550644491</v>
      </c>
      <c r="H9" s="8"/>
      <c r="I9" s="111">
        <f t="shared" ca="1" si="0"/>
        <v>17.61489500660214</v>
      </c>
      <c r="J9" s="8">
        <f>VLOOKUP(B9,Volumes!$A$2:$C$46,3,0)*$J$1</f>
        <v>317.52210000000002</v>
      </c>
      <c r="K9" s="236">
        <v>2.64550537</v>
      </c>
      <c r="L9" s="237" t="s">
        <v>7</v>
      </c>
      <c r="M9" s="109">
        <f t="shared" si="2"/>
        <v>8.3317204377270109</v>
      </c>
      <c r="N9" s="238">
        <f t="shared" si="1"/>
        <v>25.068724701516363</v>
      </c>
      <c r="O9" s="8"/>
      <c r="P9" s="195"/>
      <c r="Q9" s="245"/>
      <c r="R9" s="245"/>
      <c r="S9" s="266"/>
      <c r="T9" s="262"/>
      <c r="U9" s="157"/>
      <c r="V9" s="262"/>
      <c r="W9" s="262"/>
      <c r="AA9" s="17">
        <f t="shared" si="3"/>
        <v>5314.3687415473496</v>
      </c>
      <c r="AB9" s="17">
        <f t="shared" ca="1" si="4"/>
        <v>4009.5103254304786</v>
      </c>
    </row>
    <row r="10" spans="1:28" ht="15.6" x14ac:dyDescent="0.3">
      <c r="A10" s="183" t="str">
        <f>'Charges as $M per year'!A10</f>
        <v>Electra</v>
      </c>
      <c r="B10" s="76" t="str">
        <f>'Charges as $M per year'!B10</f>
        <v>Electra</v>
      </c>
      <c r="C10" s="117">
        <f>'Charges as $M per year'!C10*1000/$J10</f>
        <v>13.977867229241351</v>
      </c>
      <c r="D10" s="117">
        <f ca="1">'Charges as $M per year'!E10*1000/J10</f>
        <v>15.551237802039461</v>
      </c>
      <c r="E10" s="8">
        <f ca="1">'Charges as $M per year'!$F10*1000/'Charges as $ per MWh'!$J10</f>
        <v>4.3886926048234036</v>
      </c>
      <c r="F10" s="8">
        <f ca="1">'Charges as $M per year'!G10*1000/'Charges as $ per MWh'!$J10</f>
        <v>6.4526587117727479</v>
      </c>
      <c r="G10" s="8">
        <f ca="1">'Charges as $M per year'!H10*1000/'Charges as $ per MWh'!$J10</f>
        <v>11.162545197216057</v>
      </c>
      <c r="H10" s="8"/>
      <c r="I10" s="111">
        <f t="shared" ca="1" si="0"/>
        <v>17.61489500660214</v>
      </c>
      <c r="J10" s="8">
        <f>VLOOKUP(B10,Volumes!$A$2:$C$46,3,0)*$J$1</f>
        <v>454.90305000000001</v>
      </c>
      <c r="K10" s="236">
        <v>1.3814254999999998</v>
      </c>
      <c r="L10" s="240" t="s">
        <v>488</v>
      </c>
      <c r="M10" s="109">
        <f t="shared" si="2"/>
        <v>3.0367470607198608</v>
      </c>
      <c r="N10" s="238">
        <f t="shared" si="1"/>
        <v>17.014614289961212</v>
      </c>
      <c r="O10" s="8"/>
      <c r="P10" s="195"/>
      <c r="Q10" s="245"/>
      <c r="R10" s="245"/>
      <c r="S10" s="266"/>
      <c r="T10" s="262"/>
      <c r="U10" s="157"/>
      <c r="V10" s="262"/>
      <c r="W10" s="262"/>
      <c r="AA10" s="17">
        <f t="shared" si="3"/>
        <v>6358.5744350769401</v>
      </c>
      <c r="AB10" s="17">
        <f t="shared" ca="1" si="4"/>
        <v>7074.3055074230469</v>
      </c>
    </row>
    <row r="11" spans="1:28" ht="15.6" x14ac:dyDescent="0.3">
      <c r="A11" s="183" t="str">
        <f>'Charges as $M per year'!A11</f>
        <v>Electricity Ashburton</v>
      </c>
      <c r="B11" s="76" t="str">
        <f>'Charges as $M per year'!B11</f>
        <v>Electricity Ashburton</v>
      </c>
      <c r="C11" s="117">
        <f>'Charges as $M per year'!C11*1000/$J11</f>
        <v>5.517334196168501</v>
      </c>
      <c r="D11" s="117">
        <f ca="1">'Charges as $M per year'!E11*1000/J11</f>
        <v>14.660554412870823</v>
      </c>
      <c r="E11" s="8">
        <f ca="1">'Charges as $M per year'!$F11*1000/'Charges as $ per MWh'!$J11</f>
        <v>1.4539837406563563</v>
      </c>
      <c r="F11" s="8">
        <f ca="1">'Charges as $M per year'!G11*1000/'Charges as $ per MWh'!$J11</f>
        <v>7.6342350060056603</v>
      </c>
      <c r="G11" s="8">
        <f ca="1">'Charges as $M per year'!H11*1000/'Charges as $ per MWh'!$J11</f>
        <v>13.206570672214466</v>
      </c>
      <c r="H11" s="8"/>
      <c r="I11" s="111">
        <f t="shared" ca="1" si="0"/>
        <v>17.61489500660214</v>
      </c>
      <c r="J11" s="8">
        <f>VLOOKUP(B11,Volumes!$A$2:$C$46,3,0)*$J$1</f>
        <v>658.51999499999999</v>
      </c>
      <c r="K11" s="236">
        <v>1.0925</v>
      </c>
      <c r="L11" s="237" t="s">
        <v>9</v>
      </c>
      <c r="M11" s="109">
        <f t="shared" si="2"/>
        <v>1.6590232768862243</v>
      </c>
      <c r="N11" s="238">
        <f t="shared" si="1"/>
        <v>7.1763574730547255</v>
      </c>
      <c r="O11" s="8"/>
      <c r="P11" s="195"/>
      <c r="Q11" s="245"/>
      <c r="R11" s="245"/>
      <c r="S11" s="266"/>
      <c r="T11" s="262"/>
      <c r="U11" s="157"/>
      <c r="V11" s="262"/>
      <c r="W11" s="262"/>
      <c r="AA11" s="17">
        <f t="shared" si="3"/>
        <v>3633.2748872742104</v>
      </c>
      <c r="AB11" s="17">
        <f t="shared" ca="1" si="4"/>
        <v>9654.2682186609218</v>
      </c>
    </row>
    <row r="12" spans="1:28" ht="15.6" x14ac:dyDescent="0.3">
      <c r="A12" s="183" t="str">
        <f>'Charges as $M per year'!A12</f>
        <v>Electricity Invercargill</v>
      </c>
      <c r="B12" s="76" t="str">
        <f>'Charges as $M per year'!B12</f>
        <v>Electricity Invercargill</v>
      </c>
      <c r="C12" s="117">
        <f>'Charges as $M per year'!C12*1000/$J12</f>
        <v>20.430320118626714</v>
      </c>
      <c r="D12" s="117">
        <f ca="1">'Charges as $M per year'!E12*1000/J12</f>
        <v>13.945690551817266</v>
      </c>
      <c r="E12" s="8">
        <f ca="1">'Charges as $M per year'!$F12*1000/'Charges as $ per MWh'!$J12</f>
        <v>2.0646354341461555</v>
      </c>
      <c r="F12" s="8">
        <f ca="1">'Charges as $M per year'!G12*1000/'Charges as $ per MWh'!$J12</f>
        <v>6.8680029917561116</v>
      </c>
      <c r="G12" s="8">
        <f ca="1">'Charges as $M per year'!H12*1000/'Charges as $ per MWh'!$J12</f>
        <v>11.88105511767111</v>
      </c>
      <c r="H12" s="8"/>
      <c r="I12" s="111">
        <f t="shared" ca="1" si="0"/>
        <v>17.61489500660214</v>
      </c>
      <c r="J12" s="8">
        <f>VLOOKUP(B12,Volumes!$A$2:$C$46,3,0)*$J$1</f>
        <v>270.86073000000005</v>
      </c>
      <c r="K12" s="236">
        <v>0</v>
      </c>
      <c r="L12" s="237" t="s">
        <v>69</v>
      </c>
      <c r="M12" s="109">
        <f t="shared" si="2"/>
        <v>0</v>
      </c>
      <c r="N12" s="238">
        <f t="shared" si="1"/>
        <v>20.430320118626714</v>
      </c>
      <c r="O12" s="8"/>
      <c r="P12" s="195"/>
      <c r="Q12" s="245"/>
      <c r="R12" s="245"/>
      <c r="S12" s="266"/>
      <c r="T12" s="262"/>
      <c r="U12" s="157"/>
      <c r="V12" s="262"/>
      <c r="W12" s="262"/>
      <c r="AA12" s="17">
        <f t="shared" si="3"/>
        <v>5533.7714214649195</v>
      </c>
      <c r="AB12" s="17">
        <f t="shared" ca="1" si="4"/>
        <v>3777.3399232193283</v>
      </c>
    </row>
    <row r="13" spans="1:28" ht="15.6" x14ac:dyDescent="0.3">
      <c r="A13" s="183" t="str">
        <f>'Charges as $M per year'!A13</f>
        <v>Horizon</v>
      </c>
      <c r="B13" s="76" t="str">
        <f>'Charges as $M per year'!B13</f>
        <v>Horizon</v>
      </c>
      <c r="C13" s="117">
        <f>'Charges as $M per year'!C13*1000/$J13</f>
        <v>6.2032843828363804</v>
      </c>
      <c r="D13" s="117">
        <f ca="1">'Charges as $M per year'!E13*1000/J13</f>
        <v>12.57266242322981</v>
      </c>
      <c r="E13" s="8">
        <f ca="1">'Charges as $M per year'!$F13*1000/'Charges as $ per MWh'!$J13</f>
        <v>3.0605875293845211</v>
      </c>
      <c r="F13" s="8">
        <f ca="1">'Charges as $M per year'!G13*1000/'Charges as $ per MWh'!$J13</f>
        <v>5.498582253992879</v>
      </c>
      <c r="G13" s="8">
        <f ca="1">'Charges as $M per year'!H13*1000/'Charges as $ per MWh'!$J13</f>
        <v>9.5120748938452877</v>
      </c>
      <c r="H13" s="8"/>
      <c r="I13" s="111">
        <f t="shared" ca="1" si="0"/>
        <v>17.61489500660214</v>
      </c>
      <c r="J13" s="8">
        <f>VLOOKUP(B13,Volumes!$A$2:$C$46,3,0)*$J$1</f>
        <v>523.53525000000002</v>
      </c>
      <c r="K13" s="236">
        <v>3.3949570199999997</v>
      </c>
      <c r="L13" s="237" t="s">
        <v>489</v>
      </c>
      <c r="M13" s="109">
        <f t="shared" si="2"/>
        <v>6.4846770489666161</v>
      </c>
      <c r="N13" s="238">
        <f t="shared" si="1"/>
        <v>12.687961431802997</v>
      </c>
      <c r="O13" s="8"/>
      <c r="P13" s="195"/>
      <c r="Q13" s="245"/>
      <c r="R13" s="245"/>
      <c r="S13" s="266"/>
      <c r="T13" s="262"/>
      <c r="U13" s="157"/>
      <c r="V13" s="262"/>
      <c r="W13" s="262"/>
      <c r="AA13" s="17">
        <f t="shared" si="3"/>
        <v>3247.6380401893402</v>
      </c>
      <c r="AB13" s="17">
        <f t="shared" ca="1" si="4"/>
        <v>6582.2319649112242</v>
      </c>
    </row>
    <row r="14" spans="1:28" x14ac:dyDescent="0.3">
      <c r="A14" s="183" t="str">
        <f>'Charges as $M per year'!A14</f>
        <v>Lakeland Network</v>
      </c>
      <c r="B14" s="76" t="str">
        <f>'Charges as $M per year'!B14</f>
        <v>Lakeland Network</v>
      </c>
      <c r="C14" s="117">
        <f>'Charges as $M per year'!C14*1000/$J14</f>
        <v>17.659896614866337</v>
      </c>
      <c r="D14" s="117">
        <f ca="1">'Charges as $M per year'!E14*1000/J14</f>
        <v>13.73799211484698</v>
      </c>
      <c r="E14" s="8">
        <f ca="1">'Charges as $M per year'!$F14*1000/'Charges as $ per MWh'!$J14</f>
        <v>1.235550208531097</v>
      </c>
      <c r="F14" s="8">
        <f ca="1">'Charges as $M per year'!G14*1000/'Charges as $ per MWh'!$J14</f>
        <v>7.2272039449696468</v>
      </c>
      <c r="G14" s="8">
        <f ca="1">'Charges as $M per year'!H14*1000/'Charges as $ per MWh'!$J14</f>
        <v>12.502441906315884</v>
      </c>
      <c r="H14" s="8"/>
      <c r="I14" s="111">
        <f t="shared" ca="1" si="0"/>
        <v>17.61489500660214</v>
      </c>
      <c r="J14" s="8">
        <f>VLOOKUP(B14,Volumes!$A$2:$C$46,3,0)*$J$1</f>
        <v>11.687917499999999</v>
      </c>
      <c r="K14" s="241"/>
      <c r="L14" s="234"/>
      <c r="M14" s="109">
        <f t="shared" si="2"/>
        <v>0</v>
      </c>
      <c r="N14" s="238">
        <f t="shared" si="1"/>
        <v>17.659896614866337</v>
      </c>
      <c r="O14" s="8"/>
      <c r="P14" s="195"/>
      <c r="Q14" s="245"/>
      <c r="R14" s="245"/>
      <c r="S14" s="266"/>
      <c r="T14" s="262"/>
      <c r="U14" s="157"/>
      <c r="V14" s="262"/>
      <c r="W14" s="262"/>
      <c r="AA14" s="17">
        <f t="shared" si="3"/>
        <v>206.40741469308702</v>
      </c>
      <c r="AB14" s="17">
        <f t="shared" ca="1" si="4"/>
        <v>160.56851845398202</v>
      </c>
    </row>
    <row r="15" spans="1:28" x14ac:dyDescent="0.3">
      <c r="A15" s="183" t="str">
        <f>'Charges as $M per year'!A15</f>
        <v>Mainpower</v>
      </c>
      <c r="B15" s="76" t="str">
        <f>'Charges as $M per year'!B15</f>
        <v>Mainpower</v>
      </c>
      <c r="C15" s="117">
        <f>'Charges as $M per year'!C15*1000/$J15</f>
        <v>16.437491227582143</v>
      </c>
      <c r="D15" s="117">
        <f ca="1">'Charges as $M per year'!E15*1000/J15</f>
        <v>13.88838331525881</v>
      </c>
      <c r="E15" s="8">
        <f ca="1">'Charges as $M per year'!$F15*1000/'Charges as $ per MWh'!$J15</f>
        <v>2.2683705397511558</v>
      </c>
      <c r="F15" s="8">
        <f ca="1">'Charges as $M per year'!G15*1000/'Charges as $ per MWh'!$J15</f>
        <v>6.7171039706508999</v>
      </c>
      <c r="G15" s="8">
        <f ca="1">'Charges as $M per year'!H15*1000/'Charges as $ per MWh'!$J15</f>
        <v>11.620012775507654</v>
      </c>
      <c r="H15" s="8"/>
      <c r="I15" s="111">
        <f t="shared" ca="1" si="0"/>
        <v>17.61489500660214</v>
      </c>
      <c r="J15" s="8">
        <f>VLOOKUP(B15,Volumes!$A$2:$C$46,3,0)*$J$1</f>
        <v>575.02105500000005</v>
      </c>
      <c r="K15" s="241">
        <v>0.91449999999999998</v>
      </c>
      <c r="L15" s="242" t="s">
        <v>490</v>
      </c>
      <c r="M15" s="109">
        <f t="shared" si="2"/>
        <v>1.5903765471683466</v>
      </c>
      <c r="N15" s="238">
        <f t="shared" si="1"/>
        <v>18.02786777475049</v>
      </c>
      <c r="O15" s="8"/>
      <c r="P15" s="195"/>
      <c r="Q15" s="245"/>
      <c r="R15" s="245"/>
      <c r="S15" s="266"/>
      <c r="T15" s="262"/>
      <c r="U15" s="157"/>
      <c r="V15" s="262"/>
      <c r="W15" s="262"/>
      <c r="AA15" s="17">
        <f t="shared" si="3"/>
        <v>9451.903547237529</v>
      </c>
      <c r="AB15" s="17">
        <f t="shared" ca="1" si="4"/>
        <v>7986.1128261845197</v>
      </c>
    </row>
    <row r="16" spans="1:28" ht="15.6" x14ac:dyDescent="0.3">
      <c r="A16" s="183" t="str">
        <f>'Charges as $M per year'!A16</f>
        <v>Marlborough Lines</v>
      </c>
      <c r="B16" s="76" t="str">
        <f>'Charges as $M per year'!B16</f>
        <v>Marlborough Lines</v>
      </c>
      <c r="C16" s="117">
        <f>'Charges as $M per year'!C16*1000/$J16</f>
        <v>16.050867526085646</v>
      </c>
      <c r="D16" s="117">
        <f ca="1">'Charges as $M per year'!E16*1000/J16</f>
        <v>11.793420176208835</v>
      </c>
      <c r="E16" s="8">
        <f ca="1">'Charges as $M per year'!$F16*1000/'Charges as $ per MWh'!$J16</f>
        <v>2.0665279987921279</v>
      </c>
      <c r="F16" s="8">
        <f ca="1">'Charges as $M per year'!G16*1000/'Charges as $ per MWh'!$J16</f>
        <v>5.6227602610501028</v>
      </c>
      <c r="G16" s="8">
        <f ca="1">'Charges as $M per year'!H16*1000/'Charges as $ per MWh'!$J16</f>
        <v>9.7268921774167101</v>
      </c>
      <c r="H16" s="8"/>
      <c r="I16" s="111">
        <f t="shared" ca="1" si="0"/>
        <v>17.61489500660214</v>
      </c>
      <c r="J16" s="8">
        <f>VLOOKUP(B16,Volumes!$A$2:$C$46,3,0)*$J$1</f>
        <v>411.44554499999998</v>
      </c>
      <c r="K16" s="236">
        <v>0.15587799999999999</v>
      </c>
      <c r="L16" s="240" t="s">
        <v>491</v>
      </c>
      <c r="M16" s="109">
        <f t="shared" si="2"/>
        <v>0.37885450916718522</v>
      </c>
      <c r="N16" s="238">
        <f t="shared" si="1"/>
        <v>16.42972203525283</v>
      </c>
      <c r="O16" s="8"/>
      <c r="P16" s="195"/>
      <c r="Q16" s="245"/>
      <c r="R16" s="245"/>
      <c r="S16" s="266"/>
      <c r="T16" s="262"/>
      <c r="U16" s="157"/>
      <c r="V16" s="262"/>
      <c r="W16" s="262"/>
      <c r="AA16" s="17">
        <f t="shared" si="3"/>
        <v>6604.0579369931102</v>
      </c>
      <c r="AB16" s="17">
        <f t="shared" ca="1" si="4"/>
        <v>4852.3501918142401</v>
      </c>
    </row>
    <row r="17" spans="1:28" ht="15.6" x14ac:dyDescent="0.3">
      <c r="A17" s="183" t="str">
        <f>'Charges as $M per year'!A17</f>
        <v>Network Tasman</v>
      </c>
      <c r="B17" s="76" t="str">
        <f>'Charges as $M per year'!B17</f>
        <v>Network Tasman</v>
      </c>
      <c r="C17" s="117">
        <f>'Charges as $M per year'!C17*1000/$J17</f>
        <v>13.997479424018261</v>
      </c>
      <c r="D17" s="117">
        <f ca="1">'Charges as $M per year'!E17*1000/J17</f>
        <v>13.107180020786908</v>
      </c>
      <c r="E17" s="8">
        <f ca="1">'Charges as $M per year'!$F17*1000/'Charges as $ per MWh'!$J17</f>
        <v>2.1053860981938737</v>
      </c>
      <c r="F17" s="8">
        <f ca="1">'Charges as $M per year'!G17*1000/'Charges as $ per MWh'!$J17</f>
        <v>6.359734285103146</v>
      </c>
      <c r="G17" s="8">
        <f ca="1">'Charges as $M per year'!H17*1000/'Charges as $ per MWh'!$J17</f>
        <v>11.001793922593032</v>
      </c>
      <c r="H17" s="8"/>
      <c r="I17" s="111">
        <f t="shared" ca="1" si="0"/>
        <v>17.61489500660214</v>
      </c>
      <c r="J17" s="8">
        <f>VLOOKUP(B17,Volumes!$A$2:$C$46,3,0)*$J$1</f>
        <v>766.39825500000006</v>
      </c>
      <c r="K17" s="236">
        <v>7.2999999999999995E-2</v>
      </c>
      <c r="L17" s="237" t="s">
        <v>492</v>
      </c>
      <c r="M17" s="109">
        <f t="shared" si="2"/>
        <v>9.5250738795066792E-2</v>
      </c>
      <c r="N17" s="238">
        <f t="shared" si="1"/>
        <v>14.092730162813327</v>
      </c>
      <c r="O17" s="8"/>
      <c r="P17" s="195"/>
      <c r="Q17" s="245"/>
      <c r="R17" s="245"/>
      <c r="S17" s="266"/>
      <c r="T17" s="262"/>
      <c r="U17" s="157"/>
      <c r="V17" s="262"/>
      <c r="W17" s="262"/>
      <c r="AA17" s="17">
        <f t="shared" si="3"/>
        <v>10727.643804966001</v>
      </c>
      <c r="AB17" s="17">
        <f t="shared" ca="1" si="4"/>
        <v>10045.31989590195</v>
      </c>
    </row>
    <row r="18" spans="1:28" ht="15.6" x14ac:dyDescent="0.3">
      <c r="A18" s="183" t="str">
        <f>'Charges as $M per year'!A18</f>
        <v>Network Waitaki</v>
      </c>
      <c r="B18" s="76" t="str">
        <f>'Charges as $M per year'!B18</f>
        <v>Network Waitaki</v>
      </c>
      <c r="C18" s="117">
        <f>'Charges as $M per year'!C18*1000/$J18</f>
        <v>11.340830662420849</v>
      </c>
      <c r="D18" s="117">
        <f ca="1">'Charges as $M per year'!E18*1000/J18</f>
        <v>13.40171480453431</v>
      </c>
      <c r="E18" s="8">
        <f ca="1">'Charges as $M per year'!$F18*1000/'Charges as $ per MWh'!$J18</f>
        <v>1.5357378091892449</v>
      </c>
      <c r="F18" s="8">
        <f ca="1">'Charges as $M per year'!G18*1000/'Charges as $ per MWh'!$J18</f>
        <v>6.8592868812575292</v>
      </c>
      <c r="G18" s="8">
        <f ca="1">'Charges as $M per year'!H18*1000/'Charges as $ per MWh'!$J18</f>
        <v>11.865976995345063</v>
      </c>
      <c r="H18" s="8"/>
      <c r="I18" s="111">
        <f t="shared" ca="1" si="0"/>
        <v>17.61489500660214</v>
      </c>
      <c r="J18" s="8">
        <f>VLOOKUP(B18,Volumes!$A$2:$C$46,3,0)*$J$1</f>
        <v>282.423855</v>
      </c>
      <c r="K18" s="236">
        <v>0</v>
      </c>
      <c r="L18" s="240" t="s">
        <v>493</v>
      </c>
      <c r="M18" s="109">
        <f t="shared" si="2"/>
        <v>0</v>
      </c>
      <c r="N18" s="238">
        <f t="shared" si="1"/>
        <v>11.340830662420849</v>
      </c>
      <c r="O18" s="8"/>
      <c r="P18" s="195"/>
      <c r="Q18" s="245"/>
      <c r="R18" s="245"/>
      <c r="S18" s="266"/>
      <c r="T18" s="262"/>
      <c r="U18" s="157"/>
      <c r="V18" s="262"/>
      <c r="W18" s="262"/>
      <c r="AA18" s="17">
        <f t="shared" si="3"/>
        <v>3202.9211145831</v>
      </c>
      <c r="AB18" s="17">
        <f t="shared" ca="1" si="4"/>
        <v>3784.9639587071511</v>
      </c>
    </row>
    <row r="19" spans="1:28" ht="15.6" x14ac:dyDescent="0.3">
      <c r="A19" s="183" t="str">
        <f>'Charges as $M per year'!A19</f>
        <v>Northpower</v>
      </c>
      <c r="B19" s="76" t="str">
        <f>'Charges as $M per year'!B19</f>
        <v>Northpower</v>
      </c>
      <c r="C19" s="117">
        <f>'Charges as $M per year'!C19*1000/$J19</f>
        <v>16.35113220370209</v>
      </c>
      <c r="D19" s="117">
        <f ca="1">'Charges as $M per year'!E19*1000/J19</f>
        <v>27.718523804045727</v>
      </c>
      <c r="E19" s="8">
        <f ca="1">'Charges as $M per year'!$F19*1000/'Charges as $ per MWh'!$J19</f>
        <v>16.335315025901213</v>
      </c>
      <c r="F19" s="8">
        <f ca="1">'Charges as $M per year'!G19*1000/'Charges as $ per MWh'!$J19</f>
        <v>6.5802162492960097</v>
      </c>
      <c r="G19" s="8">
        <f ca="1">'Charges as $M per year'!H19*1000/'Charges as $ per MWh'!$J19</f>
        <v>11.383208778144516</v>
      </c>
      <c r="H19" s="8"/>
      <c r="I19" s="111">
        <f t="shared" ca="1" si="0"/>
        <v>17.61489500660214</v>
      </c>
      <c r="J19" s="8">
        <f>VLOOKUP(B19,Volumes!$A$2:$C$46,3,0)*$J$1</f>
        <v>796.71406500000001</v>
      </c>
      <c r="K19" s="236">
        <v>3.298</v>
      </c>
      <c r="L19" s="240" t="s">
        <v>494</v>
      </c>
      <c r="M19" s="109">
        <f t="shared" si="2"/>
        <v>4.1395026708860723</v>
      </c>
      <c r="N19" s="238">
        <f t="shared" si="1"/>
        <v>20.49063487458816</v>
      </c>
      <c r="O19" s="8"/>
      <c r="P19" s="195"/>
      <c r="Q19" s="245"/>
      <c r="R19" s="245"/>
      <c r="S19" s="266"/>
      <c r="T19" s="262"/>
      <c r="U19" s="157"/>
      <c r="V19" s="262"/>
      <c r="W19" s="262"/>
      <c r="AA19" s="17">
        <f t="shared" si="3"/>
        <v>13027.177005363899</v>
      </c>
      <c r="AB19" s="17">
        <f t="shared" ca="1" si="4"/>
        <v>22083.737775720536</v>
      </c>
    </row>
    <row r="20" spans="1:28" ht="15.6" x14ac:dyDescent="0.3">
      <c r="A20" s="183" t="str">
        <f>'Charges as $M per year'!A20</f>
        <v>Orion</v>
      </c>
      <c r="B20" s="76" t="str">
        <f>'Charges as $M per year'!B20</f>
        <v>Orion</v>
      </c>
      <c r="C20" s="117">
        <f>'Charges as $M per year'!C20*1000/$J20</f>
        <v>18.77576885967332</v>
      </c>
      <c r="D20" s="117">
        <f ca="1">'Charges as $M per year'!E20*1000/J20</f>
        <v>13.476413888376085</v>
      </c>
      <c r="E20" s="8">
        <f ca="1">'Charges as $M per year'!$F20*1000/'Charges as $ per MWh'!$J20</f>
        <v>2.1528012784151023</v>
      </c>
      <c r="F20" s="8">
        <f ca="1">'Charges as $M per year'!G20*1000/'Charges as $ per MWh'!$J20</f>
        <v>6.5457658863166381</v>
      </c>
      <c r="G20" s="8">
        <f ca="1">'Charges as $M per year'!H20*1000/'Charges as $ per MWh'!$J20</f>
        <v>11.323612609960984</v>
      </c>
      <c r="H20" s="8"/>
      <c r="I20" s="111">
        <f t="shared" ca="1" si="0"/>
        <v>17.61489500660214</v>
      </c>
      <c r="J20" s="8">
        <f>VLOOKUP(B20,Volumes!$A$2:$C$46,3,0)*$J$1</f>
        <v>3403.9236000000001</v>
      </c>
      <c r="K20" s="236">
        <v>1.2258154999999999</v>
      </c>
      <c r="L20" s="237" t="s">
        <v>495</v>
      </c>
      <c r="M20" s="109">
        <f t="shared" si="2"/>
        <v>0.36011839396160361</v>
      </c>
      <c r="N20" s="238">
        <f t="shared" si="1"/>
        <v>19.135887253634923</v>
      </c>
      <c r="O20" s="8"/>
      <c r="P20" s="195"/>
      <c r="Q20" s="245"/>
      <c r="R20" s="245"/>
      <c r="S20" s="266"/>
      <c r="T20" s="262"/>
      <c r="U20" s="157"/>
      <c r="V20" s="262"/>
      <c r="W20" s="262"/>
      <c r="AA20" s="17">
        <f t="shared" si="3"/>
        <v>63911.282729587103</v>
      </c>
      <c r="AB20" s="17">
        <f t="shared" ca="1" si="4"/>
        <v>45872.683278011122</v>
      </c>
    </row>
    <row r="21" spans="1:28" ht="15.6" x14ac:dyDescent="0.3">
      <c r="A21" s="183" t="str">
        <f>'Charges as $M per year'!A21</f>
        <v>OtagoNet JV</v>
      </c>
      <c r="B21" s="76" t="str">
        <f>'Charges as $M per year'!B21</f>
        <v>OtagoNet JV</v>
      </c>
      <c r="C21" s="117">
        <f>'Charges as $M per year'!C21*1000/$J21</f>
        <v>8.9104199703979035</v>
      </c>
      <c r="D21" s="117">
        <f ca="1">'Charges as $M per year'!E21*1000/J21</f>
        <v>10.521830385970915</v>
      </c>
      <c r="E21" s="8">
        <f ca="1">'Charges as $M per year'!$F21*1000/'Charges as $ per MWh'!$J21</f>
        <v>1.8971162542744833</v>
      </c>
      <c r="F21" s="8">
        <f ca="1">'Charges as $M per year'!G21*1000/'Charges as $ per MWh'!$J21</f>
        <v>4.9856314841457685</v>
      </c>
      <c r="G21" s="8">
        <f ca="1">'Charges as $M per year'!H21*1000/'Charges as $ per MWh'!$J21</f>
        <v>8.6247141316964306</v>
      </c>
      <c r="H21" s="8"/>
      <c r="I21" s="111">
        <f t="shared" ca="1" si="0"/>
        <v>17.61489500660214</v>
      </c>
      <c r="J21" s="8">
        <f>VLOOKUP(B21,Volumes!$A$2:$C$46,3,0)*$J$1</f>
        <v>445.91977500000002</v>
      </c>
      <c r="K21" s="236">
        <v>1.0174785</v>
      </c>
      <c r="L21" s="237" t="s">
        <v>496</v>
      </c>
      <c r="M21" s="109">
        <f t="shared" si="2"/>
        <v>2.2817523622943163</v>
      </c>
      <c r="N21" s="238">
        <f t="shared" si="1"/>
        <v>11.19217233269222</v>
      </c>
      <c r="O21" s="8"/>
      <c r="P21" s="195"/>
      <c r="Q21" s="245"/>
      <c r="R21" s="245"/>
      <c r="S21" s="266"/>
      <c r="T21" s="262"/>
      <c r="U21" s="157"/>
      <c r="V21" s="262"/>
      <c r="W21" s="262"/>
      <c r="AA21" s="17">
        <f t="shared" si="3"/>
        <v>3973.3324683553401</v>
      </c>
      <c r="AB21" s="17">
        <f t="shared" ca="1" si="4"/>
        <v>4691.8922383003137</v>
      </c>
    </row>
    <row r="22" spans="1:28" ht="15.6" x14ac:dyDescent="0.3">
      <c r="A22" s="183" t="str">
        <f>'Charges as $M per year'!A22</f>
        <v>Powerco</v>
      </c>
      <c r="B22" s="76" t="str">
        <f>'Charges as $M per year'!B22</f>
        <v>Powerco</v>
      </c>
      <c r="C22" s="117">
        <f>'Charges as $M per year'!C22*1000/$J22</f>
        <v>16.127539310241591</v>
      </c>
      <c r="D22" s="117">
        <f ca="1">'Charges as $M per year'!E22*1000/J22</f>
        <v>16.762218870517632</v>
      </c>
      <c r="E22" s="8">
        <f ca="1">'Charges as $M per year'!$F22*1000/'Charges as $ per MWh'!$J22</f>
        <v>4.2769073224392518</v>
      </c>
      <c r="F22" s="8">
        <f ca="1">'Charges as $M per year'!G22*1000/'Charges as $ per MWh'!$J22</f>
        <v>7.2173015120241057</v>
      </c>
      <c r="G22" s="8">
        <f ca="1">'Charges as $M per year'!H22*1000/'Charges as $ per MWh'!$J22</f>
        <v>12.48531154807838</v>
      </c>
      <c r="H22" s="8"/>
      <c r="I22" s="111">
        <f t="shared" ca="1" si="0"/>
        <v>17.61489500660214</v>
      </c>
      <c r="J22" s="8">
        <f>VLOOKUP(B22,Volumes!$A$2:$C$46,3,0)*$J$1</f>
        <v>4602.3463499999998</v>
      </c>
      <c r="K22" s="236">
        <v>9.2052942900000012</v>
      </c>
      <c r="L22" s="237" t="s">
        <v>497</v>
      </c>
      <c r="M22" s="109">
        <f t="shared" si="2"/>
        <v>2.0001307137608193</v>
      </c>
      <c r="N22" s="238">
        <f t="shared" si="1"/>
        <v>18.127670024002409</v>
      </c>
      <c r="O22" s="8"/>
      <c r="P22" s="195"/>
      <c r="Q22" s="245"/>
      <c r="R22" s="245"/>
      <c r="S22" s="266"/>
      <c r="T22" s="262"/>
      <c r="U22" s="157"/>
      <c r="V22" s="262"/>
      <c r="W22" s="262"/>
      <c r="AA22" s="17">
        <f t="shared" si="3"/>
        <v>74224.521678971898</v>
      </c>
      <c r="AB22" s="17">
        <f t="shared" ca="1" si="4"/>
        <v>77145.536836627944</v>
      </c>
    </row>
    <row r="23" spans="1:28" ht="15.6" x14ac:dyDescent="0.3">
      <c r="A23" s="183" t="str">
        <f>'Charges as $M per year'!A23</f>
        <v>Scanpower</v>
      </c>
      <c r="B23" s="76" t="str">
        <f>'Charges as $M per year'!B23</f>
        <v>Scanpower</v>
      </c>
      <c r="C23" s="117">
        <f>'Charges as $M per year'!C23*1000/$J23</f>
        <v>17.294908168800863</v>
      </c>
      <c r="D23" s="117">
        <f ca="1">'Charges as $M per year'!E23*1000/J23</f>
        <v>13.187104955510781</v>
      </c>
      <c r="E23" s="8">
        <f ca="1">'Charges as $M per year'!$F23*1000/'Charges as $ per MWh'!$J23</f>
        <v>3.9750298740827468</v>
      </c>
      <c r="F23" s="8">
        <f ca="1">'Charges as $M per year'!G23*1000/'Charges as $ per MWh'!$J23</f>
        <v>5.3251633455877254</v>
      </c>
      <c r="G23" s="8">
        <f ca="1">'Charges as $M per year'!H23*1000/'Charges as $ per MWh'!$J23</f>
        <v>9.2120750814280328</v>
      </c>
      <c r="H23" s="8"/>
      <c r="I23" s="111">
        <f t="shared" ca="1" si="0"/>
        <v>17.61489500660214</v>
      </c>
      <c r="J23" s="8">
        <f>VLOOKUP(B23,Volumes!$A$2:$C$46,3,0)*$J$1</f>
        <v>87.567322500000017</v>
      </c>
      <c r="K23" s="236">
        <v>0</v>
      </c>
      <c r="L23" s="240" t="s">
        <v>498</v>
      </c>
      <c r="M23" s="109">
        <f t="shared" si="2"/>
        <v>0</v>
      </c>
      <c r="N23" s="238">
        <f t="shared" si="1"/>
        <v>17.294908168800863</v>
      </c>
      <c r="O23" s="8"/>
      <c r="P23" s="195"/>
      <c r="Q23" s="245"/>
      <c r="R23" s="245"/>
      <c r="S23" s="266"/>
      <c r="T23" s="262"/>
      <c r="U23" s="157"/>
      <c r="V23" s="262"/>
      <c r="W23" s="262"/>
      <c r="AA23" s="17">
        <f t="shared" si="3"/>
        <v>1514.4688012252698</v>
      </c>
      <c r="AB23" s="17">
        <f t="shared" ca="1" si="4"/>
        <v>1154.759472480561</v>
      </c>
    </row>
    <row r="24" spans="1:28" ht="15.6" x14ac:dyDescent="0.3">
      <c r="A24" s="183" t="str">
        <f>'Charges as $M per year'!A24</f>
        <v>The Lines Company</v>
      </c>
      <c r="B24" s="76" t="str">
        <f>'Charges as $M per year'!B24</f>
        <v>The Lines Company</v>
      </c>
      <c r="C24" s="117">
        <f>'Charges as $M per year'!C24*1000/$J24</f>
        <v>12.043965708194783</v>
      </c>
      <c r="D24" s="117">
        <f ca="1">'Charges as $M per year'!E24*1000/J24</f>
        <v>16.148356986129247</v>
      </c>
      <c r="E24" s="8">
        <f ca="1">'Charges as $M per year'!$F24*1000/'Charges as $ per MWh'!$J24</f>
        <v>3.0687415830604841</v>
      </c>
      <c r="F24" s="8">
        <f ca="1">'Charges as $M per year'!G24*1000/'Charges as $ per MWh'!$J24</f>
        <v>7.5608468128126942</v>
      </c>
      <c r="G24" s="8">
        <f ca="1">'Charges as $M per year'!H24*1000/'Charges as $ per MWh'!$J24</f>
        <v>13.079615403068761</v>
      </c>
      <c r="H24" s="8"/>
      <c r="I24" s="111">
        <f t="shared" ca="1" si="0"/>
        <v>17.61489500660214</v>
      </c>
      <c r="J24" s="8">
        <f>VLOOKUP(B24,Volumes!$A$2:$C$46,3,0)*$J$1</f>
        <v>305.81040000000002</v>
      </c>
      <c r="K24" s="236">
        <v>1.3505178599999998</v>
      </c>
      <c r="L24" s="237" t="s">
        <v>32</v>
      </c>
      <c r="M24" s="109">
        <f t="shared" si="2"/>
        <v>4.4161933668704521</v>
      </c>
      <c r="N24" s="238">
        <f t="shared" si="1"/>
        <v>16.460159075065235</v>
      </c>
      <c r="O24" s="8"/>
      <c r="P24" s="195"/>
      <c r="Q24" s="245"/>
      <c r="R24" s="245"/>
      <c r="S24" s="266"/>
      <c r="T24" s="262"/>
      <c r="U24" s="157"/>
      <c r="V24" s="262"/>
      <c r="W24" s="262"/>
      <c r="AA24" s="17">
        <f t="shared" si="3"/>
        <v>3683.1699708093302</v>
      </c>
      <c r="AB24" s="17">
        <f t="shared" ca="1" si="4"/>
        <v>4938.3355092709799</v>
      </c>
    </row>
    <row r="25" spans="1:28" ht="15.6" x14ac:dyDescent="0.3">
      <c r="A25" s="183" t="str">
        <f>'Charges as $M per year'!A25</f>
        <v>The Power Company</v>
      </c>
      <c r="B25" s="76" t="str">
        <f>'Charges as $M per year'!B25</f>
        <v>The Power Company</v>
      </c>
      <c r="C25" s="117">
        <f>'Charges as $M per year'!C25*1000/$J25</f>
        <v>11.952526351852679</v>
      </c>
      <c r="D25" s="117">
        <f ca="1">'Charges as $M per year'!E25*1000/J25</f>
        <v>12.195070891052763</v>
      </c>
      <c r="E25" s="8">
        <f ca="1">'Charges as $M per year'!$F25*1000/'Charges as $ per MWh'!$J25</f>
        <v>1.97132705420374</v>
      </c>
      <c r="F25" s="8">
        <f ca="1">'Charges as $M per year'!G25*1000/'Charges as $ per MWh'!$J25</f>
        <v>5.9099720153634703</v>
      </c>
      <c r="G25" s="8">
        <f ca="1">'Charges as $M per year'!H25*1000/'Charges as $ per MWh'!$J25</f>
        <v>10.223743836849026</v>
      </c>
      <c r="H25" s="8"/>
      <c r="I25" s="111">
        <f t="shared" ca="1" si="0"/>
        <v>17.61489500660214</v>
      </c>
      <c r="J25" s="8">
        <f>VLOOKUP(B25,Volumes!$A$2:$C$46,3,0)*$J$1</f>
        <v>811.66953000000001</v>
      </c>
      <c r="K25" s="236">
        <v>2.1408615000000002</v>
      </c>
      <c r="L25" s="240" t="s">
        <v>73</v>
      </c>
      <c r="M25" s="109">
        <f t="shared" si="2"/>
        <v>2.6376023995874283</v>
      </c>
      <c r="N25" s="238">
        <f t="shared" si="1"/>
        <v>14.590128751440108</v>
      </c>
      <c r="O25" s="8"/>
      <c r="P25" s="195"/>
      <c r="Q25" s="245"/>
      <c r="R25" s="245"/>
      <c r="S25" s="266"/>
      <c r="T25" s="262"/>
      <c r="U25" s="157"/>
      <c r="V25" s="262"/>
      <c r="W25" s="262"/>
      <c r="X25" s="156"/>
      <c r="AA25" s="17">
        <f t="shared" si="3"/>
        <v>9701.501446320879</v>
      </c>
      <c r="AB25" s="17">
        <f t="shared" ca="1" si="4"/>
        <v>9898.3674584574783</v>
      </c>
    </row>
    <row r="26" spans="1:28" ht="15.6" x14ac:dyDescent="0.3">
      <c r="A26" s="183" t="str">
        <f>'Charges as $M per year'!A26</f>
        <v>Top Energy</v>
      </c>
      <c r="B26" s="76" t="str">
        <f>'Charges as $M per year'!B26</f>
        <v>Top Energy</v>
      </c>
      <c r="C26" s="117">
        <f>'Charges as $M per year'!C26*1000/$J26</f>
        <v>13.358529273763301</v>
      </c>
      <c r="D26" s="117">
        <f ca="1">'Charges as $M per year'!E26*1000/J26</f>
        <v>18.553865051918436</v>
      </c>
      <c r="E26" s="8">
        <f ca="1">'Charges as $M per year'!$F26*1000/'Charges as $ per MWh'!$J26</f>
        <v>10.6157538376142</v>
      </c>
      <c r="F26" s="8">
        <f ca="1">'Charges as $M per year'!G26*1000/'Charges as $ per MWh'!$J26</f>
        <v>4.5887314745006309</v>
      </c>
      <c r="G26" s="8">
        <f ca="1">'Charges as $M per year'!H26*1000/'Charges as $ per MWh'!$J26</f>
        <v>7.9381112143042358</v>
      </c>
      <c r="H26" s="8"/>
      <c r="I26" s="111">
        <f t="shared" ca="1" si="0"/>
        <v>17.61489500660214</v>
      </c>
      <c r="J26" s="8">
        <f>VLOOKUP(B26,Volumes!$A$2:$C$46,3,0)*$J$1</f>
        <v>321.13595535000002</v>
      </c>
      <c r="K26" s="236">
        <v>3.9469162283041488</v>
      </c>
      <c r="L26" s="237" t="s">
        <v>499</v>
      </c>
      <c r="M26" s="109">
        <f t="shared" si="2"/>
        <v>12.290483711182322</v>
      </c>
      <c r="N26" s="238">
        <f t="shared" si="1"/>
        <v>25.649012984945621</v>
      </c>
      <c r="O26" s="8"/>
      <c r="P26" s="195"/>
      <c r="Q26" s="245"/>
      <c r="R26" s="245"/>
      <c r="S26" s="266"/>
      <c r="T26" s="262"/>
      <c r="U26" s="157"/>
      <c r="V26" s="262"/>
      <c r="W26" s="262"/>
      <c r="AA26" s="17">
        <f t="shared" si="3"/>
        <v>4289.9040604009197</v>
      </c>
      <c r="AB26" s="17">
        <f t="shared" ca="1" si="4"/>
        <v>5958.313178882805</v>
      </c>
    </row>
    <row r="27" spans="1:28" ht="15.6" x14ac:dyDescent="0.3">
      <c r="A27" s="183" t="str">
        <f>'Charges as $M per year'!A27</f>
        <v>Unison</v>
      </c>
      <c r="B27" s="69" t="str">
        <f>'Charges as $M per year'!B27</f>
        <v>Unison</v>
      </c>
      <c r="C27" s="117">
        <f>'Charges as $M per year'!C27*1000/$J27</f>
        <v>17.838523529700645</v>
      </c>
      <c r="D27" s="117">
        <f ca="1">'Charges as $M per year'!E27*1000/J27</f>
        <v>13.859282385768843</v>
      </c>
      <c r="E27" s="8">
        <f ca="1">'Charges as $M per year'!$F27*1000/'Charges as $ per MWh'!$J27</f>
        <v>3.3024120193238207</v>
      </c>
      <c r="F27" s="8">
        <f ca="1">'Charges as $M per year'!G27*1000/'Charges as $ per MWh'!$J27</f>
        <v>6.1025402661828556</v>
      </c>
      <c r="G27" s="8">
        <f ca="1">'Charges as $M per year'!H27*1000/'Charges as $ per MWh'!$J27</f>
        <v>10.556870366445022</v>
      </c>
      <c r="H27" s="8"/>
      <c r="I27" s="111">
        <f t="shared" ca="1" si="0"/>
        <v>17.61489500660214</v>
      </c>
      <c r="J27" s="8">
        <f>VLOOKUP(B27,Volumes!$A$2:$C$46,3,0)*$J$1</f>
        <v>1711.66065</v>
      </c>
      <c r="K27" s="236">
        <v>5.9971291649999952</v>
      </c>
      <c r="L27" s="237" t="s">
        <v>500</v>
      </c>
      <c r="M27" s="109">
        <f t="shared" si="2"/>
        <v>3.5036905037222157</v>
      </c>
      <c r="N27" s="238">
        <f t="shared" si="1"/>
        <v>21.342214033422859</v>
      </c>
      <c r="O27" s="8"/>
      <c r="P27" s="195"/>
      <c r="Q27" s="245"/>
      <c r="R27" s="245"/>
      <c r="S27" s="266"/>
      <c r="T27" s="262"/>
      <c r="U27" s="157"/>
      <c r="V27" s="262"/>
      <c r="W27" s="262"/>
      <c r="AA27" s="17">
        <f t="shared" si="3"/>
        <v>30533.498779887701</v>
      </c>
      <c r="AB27" s="17">
        <f t="shared" ca="1" si="4"/>
        <v>23722.388296958648</v>
      </c>
    </row>
    <row r="28" spans="1:28" ht="15.6" x14ac:dyDescent="0.3">
      <c r="A28" s="183" t="str">
        <f>'Charges as $M per year'!A28</f>
        <v>Vector</v>
      </c>
      <c r="B28" s="69" t="str">
        <f>'Charges as $M per year'!B28</f>
        <v>Vector</v>
      </c>
      <c r="C28" s="117">
        <f>'Charges as $M per year'!C28*1000/$J28</f>
        <v>20.238116196420652</v>
      </c>
      <c r="D28" s="117">
        <f ca="1">'Charges as $M per year'!E28*1000/J28</f>
        <v>24.551537750754559</v>
      </c>
      <c r="E28" s="8">
        <f ca="1">'Charges as $M per year'!$F28*1000/'Charges as $ per MWh'!$J28</f>
        <v>11.536382976685882</v>
      </c>
      <c r="F28" s="8">
        <f ca="1">'Charges as $M per year'!G28*1000/'Charges as $ per MWh'!$J28</f>
        <v>7.523584483125779</v>
      </c>
      <c r="G28" s="8">
        <f ca="1">'Charges as $M per year'!H28*1000/'Charges as $ per MWh'!$J28</f>
        <v>13.015154774068675</v>
      </c>
      <c r="H28" s="8"/>
      <c r="I28" s="111">
        <f t="shared" ca="1" si="0"/>
        <v>17.61489500660214</v>
      </c>
      <c r="J28" s="8">
        <f>VLOOKUP(B28,Volumes!$A$2:$C$46,3,0)*$J$1</f>
        <v>8834.7808499999992</v>
      </c>
      <c r="K28" s="236">
        <v>9.4745000000000008</v>
      </c>
      <c r="L28" s="237" t="s">
        <v>501</v>
      </c>
      <c r="M28" s="109">
        <f t="shared" si="2"/>
        <v>1.0724091701720027</v>
      </c>
      <c r="N28" s="238">
        <f t="shared" si="1"/>
        <v>21.310525366592653</v>
      </c>
      <c r="O28" s="8"/>
      <c r="P28" s="195"/>
      <c r="Q28" s="245"/>
      <c r="R28" s="245"/>
      <c r="S28" s="266"/>
      <c r="T28" s="262"/>
      <c r="U28" s="157"/>
      <c r="V28" s="262"/>
      <c r="W28" s="262"/>
      <c r="AA28" s="17">
        <f t="shared" si="3"/>
        <v>178799.32141221201</v>
      </c>
      <c r="AB28" s="17">
        <f t="shared" ca="1" si="4"/>
        <v>216907.45555841844</v>
      </c>
    </row>
    <row r="29" spans="1:28" ht="15.6" x14ac:dyDescent="0.3">
      <c r="A29" s="183" t="str">
        <f>'Charges as $M per year'!A29</f>
        <v>Waipa Power</v>
      </c>
      <c r="B29" s="69" t="str">
        <f>'Charges as $M per year'!B29</f>
        <v>Waipa Power</v>
      </c>
      <c r="C29" s="117">
        <f>'Charges as $M per year'!C29*1000/$J29</f>
        <v>16.295983940929101</v>
      </c>
      <c r="D29" s="117">
        <f ca="1">'Charges as $M per year'!E29*1000/J29</f>
        <v>14.703126377748454</v>
      </c>
      <c r="E29" s="8">
        <f ca="1">'Charges as $M per year'!$F29*1000/'Charges as $ per MWh'!$J29</f>
        <v>4.4245026542531001</v>
      </c>
      <c r="F29" s="8">
        <f ca="1">'Charges as $M per year'!G29*1000/'Charges as $ per MWh'!$J29</f>
        <v>5.941696068651769</v>
      </c>
      <c r="G29" s="8">
        <f ca="1">'Charges as $M per year'!H29*1000/'Charges as $ per MWh'!$J29</f>
        <v>10.27862372349535</v>
      </c>
      <c r="H29" s="8"/>
      <c r="I29" s="111">
        <f t="shared" ca="1" si="0"/>
        <v>17.61489500660214</v>
      </c>
      <c r="J29" s="8">
        <f>VLOOKUP(B29,Volumes!$A$2:$C$46,3,0)*$J$1</f>
        <v>395.66435999999999</v>
      </c>
      <c r="K29" s="236">
        <v>0</v>
      </c>
      <c r="L29" s="240" t="s">
        <v>502</v>
      </c>
      <c r="M29" s="109">
        <f t="shared" si="2"/>
        <v>0</v>
      </c>
      <c r="N29" s="238">
        <f t="shared" si="1"/>
        <v>16.295983940929101</v>
      </c>
      <c r="O29" s="8"/>
      <c r="P29" s="195"/>
      <c r="Q29" s="245"/>
      <c r="R29" s="245"/>
      <c r="S29" s="266"/>
      <c r="T29" s="262"/>
      <c r="U29" s="157"/>
      <c r="V29" s="262"/>
      <c r="W29" s="262"/>
      <c r="AA29" s="17">
        <f t="shared" si="3"/>
        <v>6447.7400565579901</v>
      </c>
      <c r="AB29" s="17">
        <f t="shared" ca="1" si="4"/>
        <v>5817.50308825096</v>
      </c>
    </row>
    <row r="30" spans="1:28" ht="15.6" x14ac:dyDescent="0.3">
      <c r="A30" s="183" t="str">
        <f>'Charges as $M per year'!A30</f>
        <v>WEL Networks</v>
      </c>
      <c r="B30" s="69" t="str">
        <f>'Charges as $M per year'!B30</f>
        <v>WEL</v>
      </c>
      <c r="C30" s="117">
        <f>'Charges as $M per year'!C30*1000/$J30</f>
        <v>15.085618866838514</v>
      </c>
      <c r="D30" s="117">
        <f ca="1">'Charges as $M per year'!E30*1000/J30</f>
        <v>16.303769523647407</v>
      </c>
      <c r="E30" s="8">
        <f ca="1">'Charges as $M per year'!$F30*1000/'Charges as $ per MWh'!$J30</f>
        <v>4.7413543270894536</v>
      </c>
      <c r="F30" s="8">
        <f ca="1">'Charges as $M per year'!G30*1000/'Charges as $ per MWh'!$J30</f>
        <v>6.683808918938186</v>
      </c>
      <c r="G30" s="8">
        <f ca="1">'Charges as $M per year'!H30*1000/'Charges as $ per MWh'!$J30</f>
        <v>11.562415196557954</v>
      </c>
      <c r="H30" s="8"/>
      <c r="I30" s="111">
        <f t="shared" ca="1" si="0"/>
        <v>17.61489500660214</v>
      </c>
      <c r="J30" s="8">
        <f>VLOOKUP(B30,Volumes!$A$2:$C$46,3,0)*$J$1</f>
        <v>1306.9045500000002</v>
      </c>
      <c r="K30" s="236">
        <v>3.7228957350000003</v>
      </c>
      <c r="L30" s="240" t="s">
        <v>503</v>
      </c>
      <c r="M30" s="109">
        <f t="shared" si="2"/>
        <v>2.8486362948235198</v>
      </c>
      <c r="N30" s="238">
        <f t="shared" si="1"/>
        <v>17.934255161662033</v>
      </c>
      <c r="O30" s="8"/>
      <c r="P30" s="195"/>
      <c r="Q30" s="245"/>
      <c r="R30" s="245"/>
      <c r="S30" s="266"/>
      <c r="T30" s="262"/>
      <c r="U30" s="157"/>
      <c r="V30" s="262"/>
      <c r="W30" s="262"/>
      <c r="AA30" s="17">
        <f t="shared" si="3"/>
        <v>19715.463936637101</v>
      </c>
      <c r="AB30" s="17">
        <f t="shared" ca="1" si="4"/>
        <v>21307.470572606133</v>
      </c>
    </row>
    <row r="31" spans="1:28" ht="15.6" x14ac:dyDescent="0.3">
      <c r="A31" s="183" t="str">
        <f>'Charges as $M per year'!A31</f>
        <v>Wellington Electricity</v>
      </c>
      <c r="B31" s="69" t="str">
        <f>'Charges as $M per year'!B31</f>
        <v>Wellington Electricity</v>
      </c>
      <c r="C31" s="117">
        <f>'Charges as $M per year'!C31*1000/$J31</f>
        <v>21.348489619684326</v>
      </c>
      <c r="D31" s="117">
        <f ca="1">'Charges as $M per year'!E31*1000/J31</f>
        <v>15.997259132745205</v>
      </c>
      <c r="E31" s="8">
        <f ca="1">'Charges as $M per year'!$F31*1000/'Charges as $ per MWh'!$J31</f>
        <v>4.0400978309815727</v>
      </c>
      <c r="F31" s="8">
        <f ca="1">'Charges as $M per year'!G31*1000/'Charges as $ per MWh'!$J31</f>
        <v>6.9119971904919772</v>
      </c>
      <c r="G31" s="8">
        <f ca="1">'Charges as $M per year'!H31*1000/'Charges as $ per MWh'!$J31</f>
        <v>11.957161301763634</v>
      </c>
      <c r="H31" s="8"/>
      <c r="I31" s="111">
        <f t="shared" ca="1" si="0"/>
        <v>17.61489500660214</v>
      </c>
      <c r="J31" s="8">
        <f>VLOOKUP(B31,Volumes!$A$2:$C$46,3,0)*$J$1</f>
        <v>2587.683</v>
      </c>
      <c r="K31" s="236">
        <v>0.17559420499999998</v>
      </c>
      <c r="L31" s="237" t="s">
        <v>504</v>
      </c>
      <c r="M31" s="109">
        <f t="shared" si="2"/>
        <v>6.7857695475063984E-2</v>
      </c>
      <c r="N31" s="238">
        <f t="shared" si="1"/>
        <v>21.416347315159388</v>
      </c>
      <c r="O31" s="8"/>
      <c r="P31" s="195"/>
      <c r="Q31" s="245"/>
      <c r="R31" s="245"/>
      <c r="S31" s="266"/>
      <c r="T31" s="262"/>
      <c r="U31" s="157"/>
      <c r="V31" s="262"/>
      <c r="W31" s="262"/>
      <c r="AA31" s="17">
        <f t="shared" si="3"/>
        <v>55243.123664533596</v>
      </c>
      <c r="AB31" s="17">
        <f t="shared" ca="1" si="4"/>
        <v>41395.835504399511</v>
      </c>
    </row>
    <row r="32" spans="1:28" ht="15.6" x14ac:dyDescent="0.3">
      <c r="A32" s="183" t="str">
        <f>'Charges as $M per year'!A32</f>
        <v>Westpower</v>
      </c>
      <c r="B32" s="69" t="str">
        <f>'Charges as $M per year'!B32</f>
        <v>Westpower</v>
      </c>
      <c r="C32" s="117">
        <f>'Charges as $M per year'!C32*1000/$J32</f>
        <v>6.1461438013573018</v>
      </c>
      <c r="D32" s="117">
        <f ca="1">'Charges as $M per year'!E32*1000/J32</f>
        <v>14.008254028263666</v>
      </c>
      <c r="E32" s="8">
        <f ca="1">'Charges as $M per year'!$F32*1000/'Charges as $ per MWh'!$J32</f>
        <v>1.6531459559597128</v>
      </c>
      <c r="F32" s="8">
        <f ca="1">'Charges as $M per year'!G32*1000/'Charges as $ per MWh'!$J32</f>
        <v>7.1420356494976556</v>
      </c>
      <c r="G32" s="8">
        <f ca="1">'Charges as $M per year'!H32*1000/'Charges as $ per MWh'!$J32</f>
        <v>12.355108072303953</v>
      </c>
      <c r="H32" s="8"/>
      <c r="I32" s="111">
        <f t="shared" ca="1" si="0"/>
        <v>17.61489500660214</v>
      </c>
      <c r="J32" s="8">
        <f>VLOOKUP(B32,Volumes!$A$2:$C$46,3,0)*$J$1</f>
        <v>260.84100000000001</v>
      </c>
      <c r="K32" s="236">
        <v>0.81699999999999995</v>
      </c>
      <c r="L32" s="240" t="s">
        <v>505</v>
      </c>
      <c r="M32" s="109">
        <f t="shared" si="2"/>
        <v>3.1321763066389101</v>
      </c>
      <c r="N32" s="238">
        <f t="shared" si="1"/>
        <v>9.2783201079962119</v>
      </c>
      <c r="O32" s="8"/>
      <c r="P32" s="195"/>
      <c r="Q32" s="245"/>
      <c r="R32" s="245"/>
      <c r="S32" s="266"/>
      <c r="T32" s="262"/>
      <c r="U32" s="157"/>
      <c r="V32" s="262"/>
      <c r="W32" s="262"/>
      <c r="AA32" s="17">
        <f t="shared" si="3"/>
        <v>1603.16629528984</v>
      </c>
      <c r="AB32" s="17">
        <f t="shared" ca="1" si="4"/>
        <v>3653.9269889863231</v>
      </c>
    </row>
    <row r="33" spans="1:31" ht="15.6" x14ac:dyDescent="0.3">
      <c r="B33" s="69"/>
      <c r="C33" s="117"/>
      <c r="D33" s="117"/>
      <c r="E33" s="8"/>
      <c r="F33" s="8"/>
      <c r="G33" s="8"/>
      <c r="H33" s="8"/>
      <c r="I33" s="111"/>
      <c r="J33" s="8"/>
      <c r="K33" s="246"/>
      <c r="L33" s="99"/>
      <c r="M33" s="196"/>
      <c r="N33" s="247"/>
      <c r="O33" s="8"/>
      <c r="P33" s="195"/>
      <c r="Q33" s="113"/>
      <c r="R33" s="159"/>
      <c r="S33" s="266"/>
      <c r="T33" s="157"/>
      <c r="U33" s="157"/>
      <c r="V33" s="157"/>
    </row>
    <row r="34" spans="1:31" ht="17.25" customHeight="1" x14ac:dyDescent="0.3">
      <c r="B34" s="122"/>
      <c r="C34" s="117"/>
      <c r="D34" s="117"/>
      <c r="E34" s="8"/>
      <c r="F34" s="8"/>
      <c r="G34" s="8"/>
      <c r="H34" s="8"/>
      <c r="I34" s="88"/>
      <c r="J34" s="8"/>
      <c r="N34" s="8"/>
      <c r="O34" s="8"/>
      <c r="Q34" s="29"/>
      <c r="R34" s="29"/>
      <c r="S34" s="267"/>
      <c r="T34" s="157"/>
      <c r="U34" s="157"/>
      <c r="V34" s="157"/>
      <c r="AC34" s="17" t="s">
        <v>647</v>
      </c>
      <c r="AD34" s="17" t="s">
        <v>648</v>
      </c>
      <c r="AE34" s="17" t="s">
        <v>649</v>
      </c>
    </row>
    <row r="35" spans="1:31" x14ac:dyDescent="0.3">
      <c r="A35" s="183" t="str">
        <f>'Charges as $M per year'!A35</f>
        <v>Contact</v>
      </c>
      <c r="B35" s="69" t="str">
        <f>'Charges as $M per year'!B35</f>
        <v>Contact</v>
      </c>
      <c r="C35" s="117">
        <v>2.9604771388227418</v>
      </c>
      <c r="D35" s="117">
        <f ca="1">'Charges as $M per year'!E35*1000/(IF(ISNA(VLOOKUP('Charges as $ per MWh'!$B35,Volumes!$A:$B,2,FALSE)),0,VLOOKUP('Charges as $ per MWh'!$B35,Volumes!$A:$B,2,FALSE))+IF(ISNA(VLOOKUP('Charges as $ per MWh'!$B35,Volumes!$E:$F,2,FALSE)),0,VLOOKUP('Charges as $ per MWh'!$B35,Volumes!$E:$F,2,FALSE)))</f>
        <v>1.4010356699089397</v>
      </c>
      <c r="E35" s="8">
        <f ca="1">'Charges as $M per year'!$F35*1000/$J35</f>
        <v>1.2843944103587484</v>
      </c>
      <c r="F35" s="8">
        <f ca="1">'Charges as $M per year'!G35*1000/'Charges as $ per MWh'!$J35</f>
        <v>0.11664125955019138</v>
      </c>
      <c r="G35" s="8">
        <f ca="1">'Charges as $M per year'!$H35*1000/$J35</f>
        <v>0.11664125955019138</v>
      </c>
      <c r="H35" s="8"/>
      <c r="J35" s="8">
        <f>VLOOKUP(B35,Volumes!$E$2:$F$12,2,0)</f>
        <v>10651.012025451901</v>
      </c>
      <c r="K35" s="8"/>
      <c r="L35" s="8"/>
      <c r="M35" s="8"/>
      <c r="N35" s="8"/>
      <c r="O35" s="8"/>
      <c r="P35" s="196"/>
      <c r="Q35" s="29"/>
      <c r="R35" s="29"/>
      <c r="S35" s="118"/>
      <c r="T35" s="157"/>
      <c r="U35" s="157"/>
      <c r="V35" s="157"/>
      <c r="AB35" s="17" t="s">
        <v>67</v>
      </c>
      <c r="AC35" s="17">
        <f>SUMIF($S$4:$S$32,AB35,$AA$4:$AA$32)</f>
        <v>0</v>
      </c>
      <c r="AD35" s="17">
        <f>SUMIF($S$4:$S$32,AB35,$AB$4:$AB$32)</f>
        <v>0</v>
      </c>
      <c r="AE35" s="17">
        <f>SUMIF($S$4:$S$32,AB35,$J$4:$J$32)</f>
        <v>0</v>
      </c>
    </row>
    <row r="36" spans="1:31" x14ac:dyDescent="0.3">
      <c r="A36" s="183" t="str">
        <f>'Charges as $M per year'!A36</f>
        <v>Genesis</v>
      </c>
      <c r="B36" s="69" t="str">
        <f>'Charges as $M per year'!B36</f>
        <v>Genesis</v>
      </c>
      <c r="C36" s="117">
        <v>0.94181281083698498</v>
      </c>
      <c r="D36" s="117">
        <f ca="1">'Charges as $M per year'!E36*1000/(IF(ISNA(VLOOKUP('Charges as $ per MWh'!$B36,Volumes!$A:$B,2,FALSE)),0,VLOOKUP('Charges as $ per MWh'!$B36,Volumes!$A:$B,2,FALSE))+IF(ISNA(VLOOKUP('Charges as $ per MWh'!$B36,Volumes!$E:$F,2,FALSE)),0,VLOOKUP('Charges as $ per MWh'!$B36,Volumes!$E:$F,2,FALSE)))</f>
        <v>0.59051973782617706</v>
      </c>
      <c r="E36" s="8">
        <f ca="1">'Charges as $M per year'!$F36*1000/$J36</f>
        <v>0.48515102541499477</v>
      </c>
      <c r="F36" s="8">
        <f ca="1">'Charges as $M per year'!G36*1000/'Charges as $ per MWh'!$J36</f>
        <v>0.10536871241118229</v>
      </c>
      <c r="G36" s="8">
        <f ca="1">'Charges as $M per year'!$H36*1000/$J36</f>
        <v>0.10536871241118229</v>
      </c>
      <c r="H36" s="8"/>
      <c r="J36" s="8">
        <f>VLOOKUP(B36,Volumes!$E$2:$F$12,2,0)</f>
        <v>7423.6117405591003</v>
      </c>
      <c r="N36" s="8"/>
      <c r="O36" s="8"/>
      <c r="P36" s="196"/>
      <c r="Q36" s="29"/>
      <c r="R36" s="29"/>
      <c r="S36" s="118"/>
      <c r="T36" s="157"/>
      <c r="U36" s="157"/>
      <c r="V36" s="157"/>
      <c r="AB36" s="17" t="s">
        <v>66</v>
      </c>
      <c r="AC36" s="17">
        <f>SUMIF($S$4:$S$32,AB36,$AA$4:$AA$32)</f>
        <v>0</v>
      </c>
      <c r="AD36" s="17">
        <f>SUMIF($S$4:$S$32,AB36,$AB$4:$AB$32)</f>
        <v>0</v>
      </c>
      <c r="AE36" s="17">
        <f>SUMIF($S$4:$S$32,AB36,$J$4:$J$32)</f>
        <v>0</v>
      </c>
    </row>
    <row r="37" spans="1:31" x14ac:dyDescent="0.3">
      <c r="A37" s="183" t="str">
        <f>'Charges as $M per year'!A37</f>
        <v>Meridian</v>
      </c>
      <c r="B37" s="69" t="str">
        <f>'Charges as $M per year'!B37</f>
        <v>Meridian</v>
      </c>
      <c r="C37" s="117">
        <v>7.3664921985804241</v>
      </c>
      <c r="D37" s="117">
        <f ca="1">'Charges as $M per year'!E37*1000/(IF(ISNA(VLOOKUP('Charges as $ per MWh'!$B37,Volumes!$A:$B,2,FALSE)),0,VLOOKUP('Charges as $ per MWh'!$B37,Volumes!$A:$B,2,FALSE))+IF(ISNA(VLOOKUP('Charges as $ per MWh'!$B37,Volumes!$E:$F,2,FALSE)),0,VLOOKUP('Charges as $ per MWh'!$B37,Volumes!$E:$F,2,FALSE)))</f>
        <v>2.6523293296739094</v>
      </c>
      <c r="E37" s="8">
        <f ca="1">'Charges as $M per year'!$F37*1000/$J37</f>
        <v>2.5702206915097516</v>
      </c>
      <c r="F37" s="8">
        <f ca="1">'Charges as $M per year'!G37*1000/'Charges as $ per MWh'!$J37</f>
        <v>8.2108638164157879E-2</v>
      </c>
      <c r="G37" s="8">
        <f ca="1">'Charges as $M per year'!$H37*1000/$J37</f>
        <v>8.2108638164157879E-2</v>
      </c>
      <c r="H37" s="8"/>
      <c r="J37" s="8">
        <f>VLOOKUP(B37,Volumes!$E$2:$F$12,2,0)</f>
        <v>13468.672578574731</v>
      </c>
      <c r="N37" s="8"/>
      <c r="O37" s="8"/>
      <c r="P37" s="196"/>
      <c r="Q37" s="29"/>
      <c r="R37" s="29"/>
      <c r="S37" s="118"/>
      <c r="T37" s="157"/>
      <c r="U37" s="157"/>
      <c r="V37" s="157"/>
    </row>
    <row r="38" spans="1:31" x14ac:dyDescent="0.3">
      <c r="A38" s="183" t="str">
        <f>'Charges as $M per year'!A38</f>
        <v>Tuaropaki</v>
      </c>
      <c r="B38" s="69" t="str">
        <f>'Charges as $M per year'!B38</f>
        <v>Mokai JV</v>
      </c>
      <c r="C38" s="117">
        <v>0</v>
      </c>
      <c r="D38" s="117">
        <f ca="1">'Charges as $M per year'!E38*1000/(IF(ISNA(VLOOKUP('Charges as $ per MWh'!$B38,Volumes!$A:$B,2,FALSE)),0,VLOOKUP('Charges as $ per MWh'!$B38,Volumes!$A:$B,2,FALSE))+IF(ISNA(VLOOKUP('Charges as $ per MWh'!$B38,Volumes!$E:$F,2,FALSE)),0,VLOOKUP('Charges as $ per MWh'!$B38,Volumes!$E:$F,2,FALSE)))</f>
        <v>0.11579788416938296</v>
      </c>
      <c r="E38" s="8">
        <f ca="1">'Charges as $M per year'!$F38*1000/$J38</f>
        <v>0.11579788416938296</v>
      </c>
      <c r="F38" s="8">
        <f>'Charges as $M per year'!G38*1000/'Charges as $ per MWh'!$J38</f>
        <v>0</v>
      </c>
      <c r="G38" s="8">
        <f>'Charges as $M per year'!$H38*1000/$J38</f>
        <v>0</v>
      </c>
      <c r="H38" s="8"/>
      <c r="I38" s="88"/>
      <c r="J38" s="8">
        <f>VLOOKUP(B38,Volumes!$E$2:$F$12,2,0)</f>
        <v>915.048</v>
      </c>
      <c r="N38" s="8"/>
      <c r="O38" s="8"/>
      <c r="P38" s="196"/>
      <c r="Q38" s="29"/>
      <c r="R38" s="29"/>
      <c r="S38" s="118"/>
      <c r="T38" s="157"/>
      <c r="U38" s="157"/>
      <c r="V38" s="157"/>
      <c r="AB38" s="17" t="s">
        <v>67</v>
      </c>
      <c r="AC38" s="17" t="e">
        <f>AC35/$AE35</f>
        <v>#DIV/0!</v>
      </c>
      <c r="AD38" s="17" t="e">
        <f>AD35/$AE35</f>
        <v>#DIV/0!</v>
      </c>
    </row>
    <row r="39" spans="1:31" x14ac:dyDescent="0.3">
      <c r="A39" s="183" t="str">
        <f>'Charges as $M per year'!A39</f>
        <v>Mercury</v>
      </c>
      <c r="B39" s="69" t="str">
        <f>'Charges as $M per year'!B39</f>
        <v>MRP</v>
      </c>
      <c r="C39" s="117">
        <v>0</v>
      </c>
      <c r="D39" s="117">
        <f ca="1">'Charges as $M per year'!E39*1000/(IF(ISNA(VLOOKUP('Charges as $ per MWh'!$B39,Volumes!$A:$B,2,FALSE)),0,VLOOKUP('Charges as $ per MWh'!$B39,Volumes!$A:$B,2,FALSE))+IF(ISNA(VLOOKUP('Charges as $ per MWh'!$B39,Volumes!$E:$F,2,FALSE)),0,VLOOKUP('Charges as $ per MWh'!$B39,Volumes!$E:$F,2,FALSE)))</f>
        <v>0.56327354069183133</v>
      </c>
      <c r="E39" s="8">
        <f ca="1">'Charges as $M per year'!$F39*1000/$J39</f>
        <v>0.19771371555280309</v>
      </c>
      <c r="F39" s="8">
        <f ca="1">'Charges as $M per year'!G39*1000/'Charges as $ per MWh'!$J39</f>
        <v>0.36555982513902829</v>
      </c>
      <c r="G39" s="8">
        <f ca="1">'Charges as $M per year'!$H39*1000/$J39</f>
        <v>0.36555982513902829</v>
      </c>
      <c r="H39" s="8"/>
      <c r="I39" s="88"/>
      <c r="J39" s="8">
        <f>VLOOKUP(B39,Volumes!$E$2:$F$12,2,0)</f>
        <v>4421.4036502775998</v>
      </c>
      <c r="L39" s="8"/>
      <c r="M39" s="8"/>
      <c r="N39" s="8"/>
      <c r="O39" s="8"/>
      <c r="P39" s="196"/>
      <c r="Q39" s="29"/>
      <c r="R39" s="29"/>
      <c r="S39" s="118"/>
      <c r="T39" s="157"/>
      <c r="U39" s="157"/>
      <c r="V39" s="157"/>
      <c r="AB39" s="17" t="s">
        <v>66</v>
      </c>
      <c r="AC39" s="17" t="e">
        <f>AC36/$AE36</f>
        <v>#DIV/0!</v>
      </c>
      <c r="AD39" s="17" t="e">
        <f>AD36/$AE36</f>
        <v>#DIV/0!</v>
      </c>
    </row>
    <row r="40" spans="1:31" x14ac:dyDescent="0.3">
      <c r="A40" s="183" t="str">
        <f>'Charges as $M per year'!A40</f>
        <v>Nga Awa Purua JV</v>
      </c>
      <c r="B40" s="69" t="str">
        <f>'Charges as $M per year'!B40</f>
        <v>NAP JV</v>
      </c>
      <c r="C40" s="117">
        <v>0</v>
      </c>
      <c r="D40" s="117">
        <f ca="1">'Charges as $M per year'!E40*1000/(IF(ISNA(VLOOKUP('Charges as $ per MWh'!$B40,Volumes!$A:$B,2,FALSE)),0,VLOOKUP('Charges as $ per MWh'!$B40,Volumes!$A:$B,2,FALSE))+IF(ISNA(VLOOKUP('Charges as $ per MWh'!$B40,Volumes!$E:$F,2,FALSE)),0,VLOOKUP('Charges as $ per MWh'!$B40,Volumes!$E:$F,2,FALSE)))</f>
        <v>0.41233406568004388</v>
      </c>
      <c r="E40" s="8">
        <f ca="1">'Charges as $M per year'!$F40*1000/$J40</f>
        <v>0.41233406568004388</v>
      </c>
      <c r="F40" s="8">
        <f>'Charges as $M per year'!G40*1000/'Charges as $ per MWh'!$J40</f>
        <v>0</v>
      </c>
      <c r="G40" s="8">
        <f>'Charges as $M per year'!$H40*1000/$J40</f>
        <v>0</v>
      </c>
      <c r="H40" s="8"/>
      <c r="I40" s="88"/>
      <c r="J40" s="8">
        <f>VLOOKUP(B40,Volumes!$E$2:$F$12,2,0)</f>
        <v>1078.7414304141901</v>
      </c>
      <c r="K40" s="8"/>
      <c r="L40" s="8"/>
      <c r="M40" s="8"/>
      <c r="N40" s="8"/>
      <c r="O40" s="8"/>
      <c r="P40" s="196"/>
      <c r="Q40" s="29"/>
      <c r="R40" s="29"/>
      <c r="S40" s="118"/>
      <c r="T40" s="157"/>
      <c r="U40" s="157"/>
      <c r="V40" s="157"/>
    </row>
    <row r="41" spans="1:31" x14ac:dyDescent="0.3">
      <c r="A41" s="183" t="str">
        <f>'Charges as $M per year'!A41</f>
        <v>Ngatamariki</v>
      </c>
      <c r="B41" s="69" t="str">
        <f>'Charges as $M per year'!B41</f>
        <v>Ngatamariki</v>
      </c>
      <c r="C41" s="117">
        <v>0</v>
      </c>
      <c r="D41" s="117">
        <f ca="1">'Charges as $M per year'!E41*1000/(IF(ISNA(VLOOKUP('Charges as $ per MWh'!$B41,Volumes!$A:$B,2,FALSE)),0,VLOOKUP('Charges as $ per MWh'!$B41,Volumes!$A:$B,2,FALSE))+IF(ISNA(VLOOKUP('Charges as $ per MWh'!$B41,Volumes!$E:$F,2,FALSE)),0,VLOOKUP('Charges as $ per MWh'!$B41,Volumes!$E:$F,2,FALSE)))</f>
        <v>0.4082615635710351</v>
      </c>
      <c r="E41" s="8">
        <f ca="1">'Charges as $M per year'!$F41*1000/$J41</f>
        <v>0.4082615635710351</v>
      </c>
      <c r="F41" s="8">
        <f>'Charges as $M per year'!G41*1000/'Charges as $ per MWh'!$J41</f>
        <v>0</v>
      </c>
      <c r="G41" s="8">
        <f>'Charges as $M per year'!$H41*1000/$J41</f>
        <v>0</v>
      </c>
      <c r="H41" s="8"/>
      <c r="I41" s="88"/>
      <c r="J41" s="8">
        <f>VLOOKUP(B41,Volumes!$E$2:$F$12,2,0)</f>
        <v>655.45440152937101</v>
      </c>
      <c r="K41" s="8"/>
      <c r="L41" s="8"/>
      <c r="M41" s="8"/>
      <c r="N41" s="8"/>
      <c r="O41" s="8"/>
      <c r="P41" s="196"/>
      <c r="Q41" s="29"/>
      <c r="R41" s="29"/>
      <c r="S41" s="118"/>
      <c r="T41" s="157"/>
      <c r="U41" s="157"/>
      <c r="V41" s="157"/>
    </row>
    <row r="42" spans="1:31" ht="15.75" customHeight="1" x14ac:dyDescent="0.3">
      <c r="A42" s="183" t="str">
        <f>'Charges as $M per year'!A42</f>
        <v>Pioneer</v>
      </c>
      <c r="B42" s="69" t="str">
        <f>'Charges as $M per year'!B42</f>
        <v>Pioneer</v>
      </c>
      <c r="C42" s="117">
        <v>7.4552943431958223</v>
      </c>
      <c r="D42" s="117">
        <f ca="1">'Charges as $M per year'!E42*1000/(IF(ISNA(VLOOKUP('Charges as $ per MWh'!$B42,Volumes!$A:$B,2,FALSE)),0,VLOOKUP('Charges as $ per MWh'!$B42,Volumes!$A:$B,2,FALSE))+IF(ISNA(VLOOKUP('Charges as $ per MWh'!$B42,Volumes!$E:$F,2,FALSE)),0,VLOOKUP('Charges as $ per MWh'!$B42,Volumes!$E:$F,2,FALSE)))</f>
        <v>1.8942580721341431</v>
      </c>
      <c r="E42" s="8">
        <f ca="1">'Charges as $M per year'!$F42*1000/$J42</f>
        <v>1.8942580721341431</v>
      </c>
      <c r="F42" s="8">
        <f>'Charges as $M per year'!G42*1000/'Charges as $ per MWh'!$J42</f>
        <v>0</v>
      </c>
      <c r="G42" s="8">
        <f>'Charges as $M per year'!$H42*1000/$J42</f>
        <v>0</v>
      </c>
      <c r="H42" s="8"/>
      <c r="I42" s="88"/>
      <c r="J42" s="8">
        <f>VLOOKUP(B42,Volumes!$E$2:$F$12,2,0)</f>
        <v>47.479281498189003</v>
      </c>
      <c r="K42" s="8"/>
      <c r="L42" s="8"/>
      <c r="M42" s="8"/>
      <c r="N42" s="8"/>
      <c r="O42" s="8"/>
      <c r="P42" s="196"/>
      <c r="Q42" s="29"/>
      <c r="R42" s="29"/>
      <c r="S42" s="118"/>
      <c r="T42" s="157"/>
      <c r="U42" s="157"/>
      <c r="V42" s="157"/>
    </row>
    <row r="43" spans="1:31" x14ac:dyDescent="0.3">
      <c r="A43" s="183" t="str">
        <f>'Charges as $M per year'!A43</f>
        <v>Todd</v>
      </c>
      <c r="B43" s="69" t="str">
        <f>'Charges as $M per year'!B43</f>
        <v>Todd</v>
      </c>
      <c r="C43" s="117">
        <v>0</v>
      </c>
      <c r="D43" s="117">
        <f ca="1">'Charges as $M per year'!E43*1000/(IF(ISNA(VLOOKUP('Charges as $ per MWh'!$B43,Volumes!$A:$B,2,FALSE)),0,VLOOKUP('Charges as $ per MWh'!$B43,Volumes!$A:$B,2,FALSE))+IF(ISNA(VLOOKUP('Charges as $ per MWh'!$B43,Volumes!$E:$F,2,FALSE)),0,VLOOKUP('Charges as $ per MWh'!$B43,Volumes!$E:$F,2,FALSE)))</f>
        <v>0.10030427507365854</v>
      </c>
      <c r="E43" s="8">
        <f ca="1">'Charges as $M per year'!$F43*1000/$J43</f>
        <v>7.3155670213810503E-2</v>
      </c>
      <c r="F43" s="8">
        <f ca="1">'Charges as $M per year'!G43*1000/'Charges as $ per MWh'!$J43</f>
        <v>2.7148604859848015E-2</v>
      </c>
      <c r="G43" s="8">
        <f ca="1">'Charges as $M per year'!$H43*1000/$J43</f>
        <v>2.7148604859848015E-2</v>
      </c>
      <c r="H43" s="8"/>
      <c r="I43" s="88"/>
      <c r="J43" s="8">
        <f>VLOOKUP(B43,Volumes!$E$2:$F$12,2,0)</f>
        <v>971.44171391737405</v>
      </c>
      <c r="K43" s="8"/>
      <c r="L43" s="8"/>
      <c r="M43" s="8"/>
      <c r="N43" s="8"/>
      <c r="O43" s="8"/>
      <c r="P43" s="196"/>
      <c r="Q43" s="29"/>
      <c r="R43" s="29"/>
      <c r="S43" s="118"/>
      <c r="T43" s="157"/>
      <c r="U43" s="157"/>
      <c r="V43" s="157"/>
    </row>
    <row r="44" spans="1:31" x14ac:dyDescent="0.3">
      <c r="A44" s="183" t="str">
        <f>'Charges as $M per year'!A44</f>
        <v>Trustpower</v>
      </c>
      <c r="B44" s="69" t="str">
        <f>'Charges as $M per year'!B44</f>
        <v>Trustpower</v>
      </c>
      <c r="C44" s="117">
        <v>1.8508727784343857</v>
      </c>
      <c r="D44" s="117">
        <f ca="1">'Charges as $M per year'!E44*1000/(IF(ISNA(VLOOKUP('Charges as $ per MWh'!$B44,Volumes!$A:$B,2,FALSE)),0,VLOOKUP('Charges as $ per MWh'!$B44,Volumes!$A:$B,2,FALSE))+IF(ISNA(VLOOKUP('Charges as $ per MWh'!$B44,Volumes!$E:$F,2,FALSE)),0,VLOOKUP('Charges as $ per MWh'!$B44,Volumes!$E:$F,2,FALSE)))</f>
        <v>1.2199234257999367</v>
      </c>
      <c r="E44" s="8">
        <f ca="1">'Charges as $M per year'!$F44*1000/$J44</f>
        <v>1.0970017378768497</v>
      </c>
      <c r="F44" s="8">
        <f ca="1">'Charges as $M per year'!G44*1000/'Charges as $ per MWh'!$J44</f>
        <v>0.12292168792308693</v>
      </c>
      <c r="G44" s="8">
        <f ca="1">'Charges as $M per year'!$H44*1000/$J44</f>
        <v>0.12292168792308693</v>
      </c>
      <c r="H44" s="8"/>
      <c r="I44" s="88"/>
      <c r="J44" s="8">
        <f>VLOOKUP(B44,Volumes!$E$2:$F$12,2,0)</f>
        <v>2034.6312177831451</v>
      </c>
      <c r="K44" s="8"/>
      <c r="L44" s="8"/>
      <c r="M44" s="8"/>
      <c r="N44" s="8"/>
      <c r="O44" s="8"/>
      <c r="P44" s="196"/>
      <c r="Q44" s="29"/>
      <c r="R44" s="29"/>
      <c r="S44" s="118"/>
      <c r="T44" s="157"/>
      <c r="U44" s="157"/>
      <c r="V44" s="157"/>
    </row>
    <row r="45" spans="1:31" x14ac:dyDescent="0.3">
      <c r="B45" s="69"/>
      <c r="C45" s="117"/>
      <c r="D45" s="117"/>
      <c r="E45" s="8"/>
      <c r="F45" s="8"/>
      <c r="G45" s="8"/>
      <c r="H45" s="8"/>
      <c r="I45" s="88"/>
      <c r="J45" s="8"/>
      <c r="K45" s="8"/>
      <c r="L45" s="8"/>
      <c r="M45" s="8"/>
      <c r="N45" s="8"/>
      <c r="O45" s="8"/>
      <c r="P45" s="196"/>
      <c r="Q45" s="29"/>
      <c r="R45" s="29"/>
      <c r="S45" s="118"/>
      <c r="T45" s="157"/>
      <c r="U45" s="157"/>
      <c r="V45" s="157"/>
    </row>
    <row r="46" spans="1:31" x14ac:dyDescent="0.3">
      <c r="B46" s="122"/>
      <c r="C46" s="117"/>
      <c r="D46" s="117"/>
      <c r="E46" s="8"/>
      <c r="F46" s="8"/>
      <c r="G46" s="8"/>
      <c r="H46" s="8"/>
      <c r="I46" s="8"/>
      <c r="J46" s="8"/>
      <c r="K46" s="8"/>
      <c r="L46" s="8"/>
      <c r="M46" s="8"/>
      <c r="N46" s="8"/>
      <c r="O46" s="8"/>
      <c r="P46" s="196"/>
      <c r="Q46" s="29"/>
      <c r="R46" s="29"/>
      <c r="S46" s="118"/>
      <c r="T46" s="157"/>
      <c r="U46" s="157"/>
      <c r="V46" s="157"/>
    </row>
    <row r="47" spans="1:31" x14ac:dyDescent="0.3">
      <c r="A47" s="184" t="str">
        <f>'Charges as $M per year'!A47</f>
        <v>Carter Holt Harvey</v>
      </c>
      <c r="B47" s="69" t="str">
        <f>'Charges as $M per year'!B47</f>
        <v>CHH</v>
      </c>
      <c r="C47" s="117">
        <v>6.8001809722452364</v>
      </c>
      <c r="D47" s="117">
        <f ca="1">'Charges as $M per year'!E47*1000/(IF(ISNA(VLOOKUP('Charges as $ per MWh'!$B47,Volumes!$A:$B,2,FALSE)),0,VLOOKUP('Charges as $ per MWh'!$B47,Volumes!$A:$B,2,FALSE))+IF(ISNA(VLOOKUP('Charges as $ per MWh'!$B47,Volumes!$E:$F,2,FALSE)),0,VLOOKUP('Charges as $ per MWh'!$B47,Volumes!$E:$F,2,FALSE)))</f>
        <v>0</v>
      </c>
      <c r="E47" s="8">
        <f ca="1">'Charges as $M per year'!$F47*1000/$J47</f>
        <v>0</v>
      </c>
      <c r="F47" s="8">
        <f>'Charges as $M per year'!G47*1000/'Charges as $ per MWh'!$J47</f>
        <v>0</v>
      </c>
      <c r="G47" s="8">
        <f ca="1">'Charges as $M per year'!$H47*1000/$J47</f>
        <v>0</v>
      </c>
      <c r="H47" s="8"/>
      <c r="I47" s="8"/>
      <c r="J47" s="8">
        <f>VLOOKUP(B47,Volumes!$A$2:$C$46,3,0)</f>
        <v>585.33579999999995</v>
      </c>
      <c r="K47" s="8"/>
      <c r="L47" s="8"/>
      <c r="M47" s="8"/>
      <c r="N47" s="8"/>
      <c r="O47" s="8"/>
      <c r="P47" s="196"/>
      <c r="Q47" s="29"/>
      <c r="R47" s="29"/>
      <c r="S47" s="118"/>
      <c r="T47" s="157"/>
      <c r="U47" s="157"/>
      <c r="V47" s="157"/>
    </row>
    <row r="48" spans="1:31" x14ac:dyDescent="0.3">
      <c r="A48" s="183" t="str">
        <f>'Charges as $M per year'!A48</f>
        <v>Daiken MDF</v>
      </c>
      <c r="B48" s="69" t="str">
        <f>'Charges as $M per year'!B48</f>
        <v>Daiken MDF</v>
      </c>
      <c r="C48" s="117">
        <v>12.679639171557145</v>
      </c>
      <c r="D48" s="117">
        <f ca="1">'Charges as $M per year'!E48*1000/(IF(ISNA(VLOOKUP('Charges as $ per MWh'!$B48,Volumes!$A:$B,2,FALSE)),0,VLOOKUP('Charges as $ per MWh'!$B48,Volumes!$A:$B,2,FALSE))+IF(ISNA(VLOOKUP('Charges as $ per MWh'!$B48,Volumes!$E:$F,2,FALSE)),0,VLOOKUP('Charges as $ per MWh'!$B48,Volumes!$E:$F,2,FALSE)))</f>
        <v>11.105535359212256</v>
      </c>
      <c r="E48" s="8">
        <f ca="1">'Charges as $M per year'!$F48*1000/$J48</f>
        <v>2.3432652142155304</v>
      </c>
      <c r="F48" s="8">
        <f ca="1">'Charges as $M per year'!G48*1000/'Charges as $ per MWh'!$J48</f>
        <v>5.0651475794355978</v>
      </c>
      <c r="G48" s="8">
        <f ca="1">'Charges as $M per year'!$H48*1000/$J48</f>
        <v>8.7622701449967231</v>
      </c>
      <c r="H48" s="8"/>
      <c r="I48" s="8"/>
      <c r="J48" s="8">
        <f>VLOOKUP(B48,Volumes!$A$2:$C$46,3,0)</f>
        <v>68.116209999999995</v>
      </c>
      <c r="K48" s="8"/>
      <c r="L48" s="8"/>
      <c r="M48" s="8"/>
      <c r="N48" s="8"/>
      <c r="O48" s="8"/>
      <c r="P48" s="196"/>
      <c r="Q48" s="29"/>
      <c r="R48" s="29"/>
      <c r="S48" s="118"/>
      <c r="T48" s="157"/>
      <c r="U48" s="157"/>
      <c r="V48" s="157"/>
    </row>
    <row r="49" spans="1:23" ht="15.75" customHeight="1" x14ac:dyDescent="0.3">
      <c r="A49" s="183" t="str">
        <f>'Charges as $M per year'!A49</f>
        <v>Kiwirail</v>
      </c>
      <c r="B49" s="69" t="str">
        <f>'Charges as $M per year'!B49</f>
        <v>Kiwirail</v>
      </c>
      <c r="C49" s="117">
        <v>14.291574881176242</v>
      </c>
      <c r="D49" s="117">
        <f ca="1">'Charges as $M per year'!E49*1000/(IF(ISNA(VLOOKUP('Charges as $ per MWh'!$B49,Volumes!$A:$B,2,FALSE)),0,VLOOKUP('Charges as $ per MWh'!$B49,Volumes!$A:$B,2,FALSE))+IF(ISNA(VLOOKUP('Charges as $ per MWh'!$B49,Volumes!$E:$F,2,FALSE)),0,VLOOKUP('Charges as $ per MWh'!$B49,Volumes!$E:$F,2,FALSE)))</f>
        <v>53.124371561616755</v>
      </c>
      <c r="E49" s="8">
        <f ca="1">'Charges as $M per year'!$F49*1000/$J49</f>
        <v>4.2189098044556577</v>
      </c>
      <c r="F49" s="8">
        <f ca="1">'Charges as $M per year'!G49*1000/'Charges as $ per MWh'!$J49</f>
        <v>28.270456986755839</v>
      </c>
      <c r="G49" s="8">
        <f ca="1">'Charges as $M per year'!$H49*1000/$J49</f>
        <v>48.905461757161092</v>
      </c>
      <c r="H49" s="8"/>
      <c r="I49" s="8"/>
      <c r="J49" s="8">
        <f>VLOOKUP(B49,Volumes!$A$2:$C$46,3,0)</f>
        <v>39.945360000000001</v>
      </c>
      <c r="K49" s="8"/>
      <c r="L49" s="8"/>
      <c r="M49" s="8"/>
      <c r="N49" s="8"/>
      <c r="O49" s="8"/>
      <c r="P49" s="196"/>
      <c r="Q49" s="29"/>
      <c r="R49" s="29"/>
      <c r="S49" s="118"/>
      <c r="T49" s="157"/>
      <c r="U49" s="157"/>
      <c r="V49" s="157"/>
    </row>
    <row r="50" spans="1:23" x14ac:dyDescent="0.3">
      <c r="A50" s="183" t="str">
        <f>'Charges as $M per year'!A50</f>
        <v>Methanex</v>
      </c>
      <c r="B50" s="69" t="str">
        <f>'Charges as $M per year'!B50</f>
        <v>Methanex</v>
      </c>
      <c r="C50" s="117">
        <v>12.930062628414241</v>
      </c>
      <c r="D50" s="117">
        <f ca="1">'Charges as $M per year'!E50*1000/(IF(ISNA(VLOOKUP('Charges as $ per MWh'!$B50,Volumes!$A:$B,2,FALSE)),0,VLOOKUP('Charges as $ per MWh'!$B50,Volumes!$A:$B,2,FALSE))+IF(ISNA(VLOOKUP('Charges as $ per MWh'!$B50,Volumes!$E:$F,2,FALSE)),0,VLOOKUP('Charges as $ per MWh'!$B50,Volumes!$E:$F,2,FALSE)))</f>
        <v>13.035739223242629</v>
      </c>
      <c r="E50" s="8">
        <f ca="1">'Charges as $M per year'!$F50*1000/$J50</f>
        <v>3.7486334050918773</v>
      </c>
      <c r="F50" s="8">
        <f ca="1">'Charges as $M per year'!G50*1000/'Charges as $ per MWh'!$J50</f>
        <v>5.3685358675718078</v>
      </c>
      <c r="G50" s="8">
        <f ca="1">'Charges as $M per year'!$H50*1000/$J50</f>
        <v>9.2871058181507511</v>
      </c>
      <c r="H50" s="8"/>
      <c r="I50" s="8"/>
      <c r="J50" s="8">
        <f>VLOOKUP(B50,Volumes!$A$2:$C$46,3,0)</f>
        <v>53.694110000000002</v>
      </c>
      <c r="K50" s="8"/>
      <c r="L50" s="8"/>
      <c r="M50" s="8"/>
      <c r="N50" s="8"/>
      <c r="O50" s="8"/>
      <c r="P50" s="196"/>
      <c r="Q50" s="29"/>
      <c r="R50" s="29"/>
      <c r="S50" s="118"/>
      <c r="T50" s="157"/>
      <c r="U50" s="157"/>
      <c r="V50" s="157"/>
    </row>
    <row r="51" spans="1:23" x14ac:dyDescent="0.3">
      <c r="A51" s="183" t="str">
        <f>'Charges as $M per year'!A51</f>
        <v>Norske Skog</v>
      </c>
      <c r="B51" s="69" t="str">
        <f>'Charges as $M per year'!B51</f>
        <v>Norske Skog</v>
      </c>
      <c r="C51" s="117">
        <v>0.12266607928491202</v>
      </c>
      <c r="D51" s="117">
        <f ca="1">'Charges as $M per year'!E51*1000/(IF(ISNA(VLOOKUP('Charges as $ per MWh'!$B51,Volumes!$A:$B,2,FALSE)),0,VLOOKUP('Charges as $ per MWh'!$B51,Volumes!$A:$B,2,FALSE))+IF(ISNA(VLOOKUP('Charges as $ per MWh'!$B51,Volumes!$E:$F,2,FALSE)),0,VLOOKUP('Charges as $ per MWh'!$B51,Volumes!$E:$F,2,FALSE)))</f>
        <v>12.106248603132832</v>
      </c>
      <c r="E51" s="8">
        <f ca="1">'Charges as $M per year'!$F51*1000/$J51</f>
        <v>1.8620108811330447</v>
      </c>
      <c r="F51" s="8">
        <f ca="1">'Charges as $M per year'!G51*1000/'Charges as $ per MWh'!$J51</f>
        <v>5.921818780077051</v>
      </c>
      <c r="G51" s="8">
        <f ca="1">'Charges as $M per year'!$H51*1000/$J51</f>
        <v>10.244237721999786</v>
      </c>
      <c r="H51" s="8"/>
      <c r="I51" s="8"/>
      <c r="J51" s="8">
        <f>VLOOKUP(B51,Volumes!$A$2:$C$46,3,0)</f>
        <v>476.35980000000001</v>
      </c>
      <c r="K51" s="8"/>
      <c r="L51" s="8"/>
      <c r="M51" s="8"/>
      <c r="N51" s="8"/>
      <c r="O51" s="8"/>
      <c r="P51" s="196"/>
      <c r="Q51" s="29"/>
      <c r="R51" s="29"/>
      <c r="S51" s="118"/>
      <c r="T51" s="157"/>
      <c r="U51" s="157"/>
      <c r="V51" s="157"/>
    </row>
    <row r="52" spans="1:23" s="17" customFormat="1" x14ac:dyDescent="0.3">
      <c r="A52" s="183" t="str">
        <f>'Charges as $M per year'!A52</f>
        <v>NZ Steel</v>
      </c>
      <c r="B52" s="69" t="str">
        <f>'Charges as $M per year'!B52</f>
        <v>NZ Steel</v>
      </c>
      <c r="C52" s="117">
        <v>5.170932278318384</v>
      </c>
      <c r="D52" s="117">
        <f ca="1">'Charges as $M per year'!E52*1000/(IF(ISNA(VLOOKUP('Charges as $ per MWh'!$B52,Volumes!$A:$B,2,FALSE)),0,VLOOKUP('Charges as $ per MWh'!$B52,Volumes!$A:$B,2,FALSE))+IF(ISNA(VLOOKUP('Charges as $ per MWh'!$B52,Volumes!$E:$F,2,FALSE)),0,VLOOKUP('Charges as $ per MWh'!$B52,Volumes!$E:$F,2,FALSE)))</f>
        <v>9.75297927335391</v>
      </c>
      <c r="E52" s="8">
        <f ca="1">'Charges as $M per year'!$F52*1000/$J52</f>
        <v>6.0596798383280124</v>
      </c>
      <c r="F52" s="8">
        <f ca="1">'Charges as $M per year'!G52*1000/'Charges as $ per MWh'!$J52</f>
        <v>4.3713982265531177</v>
      </c>
      <c r="G52" s="8">
        <f ca="1">'Charges as $M per year'!$H52*1000/$J52</f>
        <v>7.5621433673381908</v>
      </c>
      <c r="H52" s="8"/>
      <c r="I52" s="8"/>
      <c r="J52" s="8">
        <f>VLOOKUP(B52,Volumes!$A$2:$C$46,3,0)</f>
        <v>1065.394</v>
      </c>
      <c r="K52" s="8"/>
      <c r="L52" s="8"/>
      <c r="M52" s="8"/>
      <c r="N52" s="8"/>
      <c r="O52" s="8"/>
      <c r="P52" s="196"/>
      <c r="Q52" s="29"/>
      <c r="R52" s="29"/>
      <c r="S52" s="118"/>
      <c r="T52" s="157"/>
      <c r="U52" s="157"/>
      <c r="V52" s="157"/>
    </row>
    <row r="53" spans="1:23" s="17" customFormat="1" x14ac:dyDescent="0.3">
      <c r="A53" s="183" t="str">
        <f>'Charges as $M per year'!A53</f>
        <v>NZ Aluminium Smelter</v>
      </c>
      <c r="B53" s="69" t="str">
        <f>'Charges as $M per year'!B53</f>
        <v>NZAS</v>
      </c>
      <c r="C53" s="117">
        <v>12.737814231932109</v>
      </c>
      <c r="D53" s="73">
        <f ca="1">'Charges as $M per year'!E53*1000/(IF(ISNA(VLOOKUP('Charges as $ per MWh'!$B53,Volumes!$A:$B,2,FALSE)),0,VLOOKUP('Charges as $ per MWh'!$B53,Volumes!$A:$B,2,FALSE))+IF(ISNA(VLOOKUP('Charges as $ per MWh'!$B53,Volumes!$E:$F,2,FALSE)),0,VLOOKUP('Charges as $ per MWh'!$B53,Volumes!$E:$F,2,FALSE)))</f>
        <v>8.2199563282351313</v>
      </c>
      <c r="E53" s="8">
        <f ca="1">'Charges as $M per year'!$F53*1000/$J53</f>
        <v>2.0914384463333686</v>
      </c>
      <c r="F53" s="8">
        <f ca="1">'Charges as $M per year'!G53*1000/'Charges as $ per MWh'!$J53</f>
        <v>3.5426718192165612</v>
      </c>
      <c r="G53" s="8">
        <f ca="1">'Charges as $M per year'!$H53*1000/$J53</f>
        <v>6.1285178819017654</v>
      </c>
      <c r="H53" s="8"/>
      <c r="I53" s="8"/>
      <c r="J53" s="8">
        <f>VLOOKUP(B53,Volumes!$A$2:$C$46,3,0)</f>
        <v>4985.3580000000002</v>
      </c>
      <c r="K53" s="8"/>
      <c r="L53" s="8"/>
      <c r="M53" s="5"/>
      <c r="N53" s="8"/>
      <c r="O53" s="8"/>
      <c r="P53" s="196"/>
      <c r="Q53" s="29"/>
      <c r="R53" s="29"/>
      <c r="S53" s="118"/>
      <c r="T53" s="157"/>
      <c r="U53" s="157"/>
      <c r="V53" s="157"/>
    </row>
    <row r="54" spans="1:23" s="17" customFormat="1" x14ac:dyDescent="0.3">
      <c r="A54" s="183" t="str">
        <f>'Charges as $M per year'!A54</f>
        <v>Pan Pac</v>
      </c>
      <c r="B54" s="69" t="str">
        <f>'Charges as $M per year'!B54</f>
        <v>PanPac</v>
      </c>
      <c r="C54" s="117">
        <v>6.7314131197370193</v>
      </c>
      <c r="D54" s="117">
        <f ca="1">'Charges as $M per year'!E54*1000/(IF(ISNA(VLOOKUP('Charges as $ per MWh'!$B54,Volumes!$A:$B,2,FALSE)),0,VLOOKUP('Charges as $ per MWh'!$B54,Volumes!$A:$B,2,FALSE))+IF(ISNA(VLOOKUP('Charges as $ per MWh'!$B54,Volumes!$E:$F,2,FALSE)),0,VLOOKUP('Charges as $ per MWh'!$B54,Volumes!$E:$F,2,FALSE)))</f>
        <v>11.304861905731864</v>
      </c>
      <c r="E54" s="8">
        <f ca="1">'Charges as $M per year'!$F54*1000/$J54</f>
        <v>2.857600949005596</v>
      </c>
      <c r="F54" s="8">
        <f ca="1">'Charges as $M per year'!G54*1000/'Charges as $ per MWh'!$J54</f>
        <v>4.8830523003509709</v>
      </c>
      <c r="G54" s="8">
        <f ca="1">'Charges as $M per year'!$H54*1000/$J54</f>
        <v>8.447260956726268</v>
      </c>
      <c r="H54" s="8"/>
      <c r="I54" s="8"/>
      <c r="J54" s="8">
        <f>VLOOKUP(B54,Volumes!$A$2:$C$46,3,0)</f>
        <v>528.91809999999998</v>
      </c>
      <c r="K54" s="8"/>
      <c r="L54" s="8"/>
      <c r="M54" s="8"/>
      <c r="N54" s="8"/>
      <c r="O54" s="8"/>
      <c r="P54" s="196"/>
      <c r="Q54" s="29"/>
      <c r="R54" s="29"/>
      <c r="S54" s="118"/>
      <c r="T54" s="157"/>
      <c r="U54" s="157"/>
      <c r="V54" s="157"/>
    </row>
    <row r="55" spans="1:23" s="17" customFormat="1" ht="16.5" customHeight="1" x14ac:dyDescent="0.3">
      <c r="A55" s="183" t="str">
        <f>'Charges as $M per year'!A55</f>
        <v>Rayonier</v>
      </c>
      <c r="B55" s="69" t="str">
        <f>'Charges as $M per year'!B55</f>
        <v>Rayonier</v>
      </c>
      <c r="C55" s="117">
        <v>13.766576392240696</v>
      </c>
      <c r="D55" s="117">
        <f ca="1">'Charges as $M per year'!E55*1000/(IF(ISNA(VLOOKUP('Charges as $ per MWh'!$B55,Volumes!$A:$B,2,FALSE)),0,VLOOKUP('Charges as $ per MWh'!$B55,Volumes!$A:$B,2,FALSE))+IF(ISNA(VLOOKUP('Charges as $ per MWh'!$B55,Volumes!$E:$F,2,FALSE)),0,VLOOKUP('Charges as $ per MWh'!$B55,Volumes!$E:$F,2,FALSE)))</f>
        <v>11.409634432701798</v>
      </c>
      <c r="E55" s="8">
        <f ca="1">'Charges as $M per year'!$F55*1000/$J55</f>
        <v>2.4748080033427744</v>
      </c>
      <c r="F55" s="8">
        <f ca="1">'Charges as $M per year'!G55*1000/'Charges as $ per MWh'!$J55</f>
        <v>5.1648960500477674</v>
      </c>
      <c r="G55" s="8">
        <f ca="1">'Charges as $M per year'!$H55*1000/$J55</f>
        <v>8.9348264293590223</v>
      </c>
      <c r="H55" s="8"/>
      <c r="I55" s="8"/>
      <c r="J55" s="8">
        <f>VLOOKUP(B55,Volumes!$A$2:$C$46,3,0)</f>
        <v>53.554029999999997</v>
      </c>
      <c r="K55" s="8"/>
      <c r="L55" s="8"/>
      <c r="M55" s="8"/>
      <c r="N55" s="8"/>
      <c r="O55" s="8"/>
      <c r="P55" s="196"/>
      <c r="Q55" s="29"/>
      <c r="R55" s="29"/>
      <c r="S55" s="118"/>
      <c r="T55" s="157"/>
      <c r="U55" s="157"/>
      <c r="V55" s="157"/>
    </row>
    <row r="56" spans="1:23" s="17" customFormat="1" ht="17.25" customHeight="1" x14ac:dyDescent="0.3">
      <c r="A56" s="183" t="str">
        <f>'Charges as $M per year'!A56</f>
        <v>Refining NZ</v>
      </c>
      <c r="B56" s="69" t="s">
        <v>556</v>
      </c>
      <c r="C56" s="117">
        <f>'Charges as $M per year'!$C$56*1000/Volumes!$B$45</f>
        <v>12.206633587543919</v>
      </c>
      <c r="D56" s="117">
        <f ca="1">'Charges as $M per year'!E56*1000/(IF(ISNA(VLOOKUP('Charges as $ per MWh'!$B56,Volumes!$A:$B,2,FALSE)),0,VLOOKUP('Charges as $ per MWh'!$B56,Volumes!$A:$B,2,FALSE))+IF(ISNA(VLOOKUP('Charges as $ per MWh'!$B56,Volumes!$E:$F,2,FALSE)),0,VLOOKUP('Charges as $ per MWh'!$B56,Volumes!$E:$F,2,FALSE)))</f>
        <v>0</v>
      </c>
      <c r="E56" s="8">
        <f ca="1">'Charges as $M per year'!$F56*1000/$J56</f>
        <v>0</v>
      </c>
      <c r="F56" s="8">
        <f>'Charges as $M per year'!G56*1000/'Charges as $ per MWh'!$J56</f>
        <v>0</v>
      </c>
      <c r="G56" s="8">
        <f ca="1">'Charges as $M per year'!$H56*1000/$J56</f>
        <v>0</v>
      </c>
      <c r="H56" s="8"/>
      <c r="I56" s="8"/>
      <c r="J56" s="8">
        <f>VLOOKUP(B56,Volumes!$A$2:$C$46,3,0)</f>
        <v>262.25099999999998</v>
      </c>
      <c r="K56" s="8"/>
      <c r="L56" s="8"/>
      <c r="M56" s="8"/>
      <c r="N56" s="8"/>
      <c r="O56" s="8"/>
      <c r="P56" s="196"/>
      <c r="Q56" s="29"/>
      <c r="R56" s="29"/>
      <c r="S56" s="118"/>
      <c r="T56" s="157"/>
      <c r="U56" s="157"/>
      <c r="V56" s="157"/>
    </row>
    <row r="57" spans="1:23" s="17" customFormat="1" ht="15.75" customHeight="1" x14ac:dyDescent="0.3">
      <c r="A57" s="183" t="str">
        <f>'Charges as $M per year'!A57</f>
        <v>Winstones</v>
      </c>
      <c r="B57" s="69" t="str">
        <f>'Charges as $M per year'!B57</f>
        <v>Winstones</v>
      </c>
      <c r="C57" s="117">
        <v>13.817470075746938</v>
      </c>
      <c r="D57" s="117">
        <f ca="1">'Charges as $M per year'!E57*1000/(IF(ISNA(VLOOKUP('Charges as $ per MWh'!$B57,Volumes!$A:$B,2,FALSE)),0,VLOOKUP('Charges as $ per MWh'!$B57,Volumes!$A:$B,2,FALSE))+IF(ISNA(VLOOKUP('Charges as $ per MWh'!$B57,Volumes!$E:$F,2,FALSE)),0,VLOOKUP('Charges as $ per MWh'!$B57,Volumes!$E:$F,2,FALSE)))</f>
        <v>11.712970562592625</v>
      </c>
      <c r="E57" s="8">
        <f ca="1">'Charges as $M per year'!$F57*1000/$J57</f>
        <v>3.0298643056915169</v>
      </c>
      <c r="F57" s="8">
        <f ca="1">'Charges as $M per year'!G57*1000/'Charges as $ per MWh'!$J57</f>
        <v>5.0193858339597206</v>
      </c>
      <c r="G57" s="8">
        <f ca="1">'Charges as $M per year'!$H57*1000/$J57</f>
        <v>8.6831062569011088</v>
      </c>
      <c r="H57" s="5"/>
      <c r="I57" s="8"/>
      <c r="J57" s="8">
        <f>VLOOKUP(B57,Volumes!$A$2:$C$46,3,0)</f>
        <v>235.63059999999999</v>
      </c>
      <c r="K57" s="8"/>
      <c r="L57" s="8"/>
      <c r="M57" s="8"/>
      <c r="N57" s="8"/>
      <c r="O57" s="8"/>
      <c r="P57" s="196"/>
      <c r="Q57" s="29"/>
      <c r="R57" s="29"/>
      <c r="S57" s="118"/>
      <c r="T57" s="157"/>
      <c r="U57" s="157"/>
      <c r="V57" s="157"/>
    </row>
    <row r="58" spans="1:23" x14ac:dyDescent="0.3">
      <c r="Q58" s="22"/>
    </row>
    <row r="60" spans="1:23" x14ac:dyDescent="0.3">
      <c r="Q60" s="118"/>
      <c r="R60" s="118"/>
      <c r="S60" s="118"/>
      <c r="T60" s="112"/>
      <c r="W60" s="112"/>
    </row>
    <row r="64" spans="1:23" x14ac:dyDescent="0.3">
      <c r="A64" s="188" t="s">
        <v>622</v>
      </c>
      <c r="B64" s="187"/>
      <c r="C64" s="742" t="s">
        <v>547</v>
      </c>
      <c r="D64" s="742"/>
      <c r="E64" s="742"/>
      <c r="F64" s="742"/>
      <c r="G64" s="742"/>
      <c r="H64" s="742"/>
      <c r="I64" s="742"/>
    </row>
    <row r="65" spans="1:18" x14ac:dyDescent="0.3">
      <c r="B65" s="12" t="s">
        <v>62</v>
      </c>
      <c r="C65" s="121" t="s">
        <v>544</v>
      </c>
      <c r="D65" s="121" t="s">
        <v>543</v>
      </c>
      <c r="E65" s="121" t="s">
        <v>595</v>
      </c>
      <c r="F65" s="121"/>
      <c r="G65" s="121"/>
      <c r="H65" s="121" t="s">
        <v>594</v>
      </c>
      <c r="I65" s="11"/>
    </row>
    <row r="66" spans="1:18" s="13" customFormat="1" x14ac:dyDescent="0.3">
      <c r="A66" s="186"/>
      <c r="B66" s="12"/>
      <c r="C66" s="121"/>
      <c r="D66" s="121"/>
      <c r="E66" s="121"/>
      <c r="F66" s="121"/>
      <c r="G66" s="121"/>
      <c r="H66" s="121"/>
      <c r="I66" s="11"/>
      <c r="J66" s="11"/>
      <c r="K66" s="124"/>
      <c r="L66" s="125"/>
      <c r="P66" s="155"/>
      <c r="R66" s="155"/>
    </row>
    <row r="67" spans="1:18" x14ac:dyDescent="0.3">
      <c r="A67" s="185" t="s">
        <v>559</v>
      </c>
      <c r="B67" s="42" t="s">
        <v>615</v>
      </c>
      <c r="C67" s="121"/>
      <c r="D67" s="121"/>
      <c r="E67" s="121"/>
      <c r="F67" s="121"/>
      <c r="G67" s="121"/>
      <c r="H67" s="121"/>
      <c r="I67" s="11"/>
      <c r="L67" s="127"/>
      <c r="N67" s="126"/>
    </row>
    <row r="68" spans="1:18" x14ac:dyDescent="0.3">
      <c r="B68" s="51" t="s">
        <v>55</v>
      </c>
      <c r="C68" s="160">
        <v>2</v>
      </c>
      <c r="D68" s="160">
        <v>3</v>
      </c>
      <c r="E68" s="160">
        <v>4</v>
      </c>
      <c r="F68" s="160"/>
      <c r="G68" s="160"/>
      <c r="H68" s="160">
        <v>6</v>
      </c>
      <c r="I68" s="11"/>
      <c r="L68" s="127"/>
      <c r="N68" s="126"/>
    </row>
    <row r="69" spans="1:18" x14ac:dyDescent="0.3">
      <c r="A69" s="183" t="str">
        <f ca="1">OFFSET($A$3,MATCH(B69,$B$4:$B$57,0),0)</f>
        <v>Contact</v>
      </c>
      <c r="B69" s="12" t="s">
        <v>4</v>
      </c>
      <c r="C69" s="5" t="s">
        <v>557</v>
      </c>
      <c r="D69" s="5">
        <f t="shared" ref="D69:E88" ca="1" si="5">_xlfn.IFNA(VLOOKUP($B69,$B$4:$G$57,D$68,0),0)</f>
        <v>1.4010356699089397</v>
      </c>
      <c r="E69" s="5">
        <f t="shared" ca="1" si="5"/>
        <v>1.2843944103587484</v>
      </c>
      <c r="H69" s="5">
        <f t="shared" ref="H69:H100" ca="1" si="6">_xlfn.IFNA(VLOOKUP($B69,$B$4:$G$57,H$68,0),0)</f>
        <v>0.11664125955019138</v>
      </c>
      <c r="I69" s="11"/>
      <c r="L69" s="127"/>
      <c r="N69" s="126"/>
    </row>
    <row r="70" spans="1:18" x14ac:dyDescent="0.3">
      <c r="A70" s="183" t="str">
        <f t="shared" ref="A70:A118" ca="1" si="7">OFFSET($A$3,MATCH(B70,$B$4:$B$57,0),0)</f>
        <v>Genesis</v>
      </c>
      <c r="B70" s="12" t="s">
        <v>10</v>
      </c>
      <c r="C70" s="5">
        <f t="shared" ref="C70:C101" si="8">_xlfn.IFNA(VLOOKUP($B70,$B$4:$G$57,C$68,0),0)</f>
        <v>0.94181281083698498</v>
      </c>
      <c r="D70" s="5">
        <f t="shared" ca="1" si="5"/>
        <v>0.59051973782617706</v>
      </c>
      <c r="E70" s="5">
        <f t="shared" ca="1" si="5"/>
        <v>0.48515102541499477</v>
      </c>
      <c r="H70" s="5">
        <f t="shared" ca="1" si="6"/>
        <v>0.10536871241118229</v>
      </c>
      <c r="I70" s="11"/>
      <c r="L70" s="127"/>
      <c r="N70" s="126"/>
    </row>
    <row r="71" spans="1:18" x14ac:dyDescent="0.3">
      <c r="A71" s="183" t="str">
        <f t="shared" ca="1" si="7"/>
        <v>Meridian</v>
      </c>
      <c r="B71" s="12" t="s">
        <v>14</v>
      </c>
      <c r="C71" s="5">
        <f t="shared" si="8"/>
        <v>7.3664921985804241</v>
      </c>
      <c r="D71" s="5">
        <f t="shared" ca="1" si="5"/>
        <v>2.6523293296739094</v>
      </c>
      <c r="E71" s="5">
        <f t="shared" ca="1" si="5"/>
        <v>2.5702206915097516</v>
      </c>
      <c r="H71" s="5">
        <f t="shared" ca="1" si="6"/>
        <v>8.2108638164157879E-2</v>
      </c>
      <c r="I71" s="11"/>
      <c r="L71" s="127"/>
      <c r="N71" s="126"/>
    </row>
    <row r="72" spans="1:18" x14ac:dyDescent="0.3">
      <c r="A72" s="183" t="str">
        <f t="shared" ca="1" si="7"/>
        <v>Tuaropaki</v>
      </c>
      <c r="B72" s="12" t="s">
        <v>16</v>
      </c>
      <c r="C72" s="5">
        <f t="shared" si="8"/>
        <v>0</v>
      </c>
      <c r="D72" s="5">
        <f t="shared" ca="1" si="5"/>
        <v>0.11579788416938296</v>
      </c>
      <c r="E72" s="5">
        <f t="shared" ca="1" si="5"/>
        <v>0.11579788416938296</v>
      </c>
      <c r="H72" s="5">
        <f t="shared" si="6"/>
        <v>0</v>
      </c>
      <c r="I72" s="11"/>
      <c r="L72" s="127"/>
      <c r="N72" s="126"/>
    </row>
    <row r="73" spans="1:18" x14ac:dyDescent="0.3">
      <c r="A73" s="183" t="str">
        <f t="shared" ca="1" si="7"/>
        <v>Mercury</v>
      </c>
      <c r="B73" s="12" t="s">
        <v>17</v>
      </c>
      <c r="C73" s="5">
        <f t="shared" si="8"/>
        <v>0</v>
      </c>
      <c r="D73" s="5">
        <f t="shared" ca="1" si="5"/>
        <v>0.56327354069183133</v>
      </c>
      <c r="E73" s="5">
        <f t="shared" ca="1" si="5"/>
        <v>0.19771371555280309</v>
      </c>
      <c r="H73" s="5">
        <f t="shared" ca="1" si="6"/>
        <v>0.36555982513902829</v>
      </c>
      <c r="I73" s="11"/>
      <c r="L73" s="127"/>
      <c r="N73" s="126"/>
    </row>
    <row r="74" spans="1:18" x14ac:dyDescent="0.3">
      <c r="A74" s="183" t="str">
        <f t="shared" ca="1" si="7"/>
        <v>Nga Awa Purua JV</v>
      </c>
      <c r="B74" s="12" t="s">
        <v>18</v>
      </c>
      <c r="C74" s="5">
        <f t="shared" si="8"/>
        <v>0</v>
      </c>
      <c r="D74" s="5">
        <f t="shared" ca="1" si="5"/>
        <v>0.41233406568004388</v>
      </c>
      <c r="E74" s="5">
        <f t="shared" ca="1" si="5"/>
        <v>0.41233406568004388</v>
      </c>
      <c r="H74" s="5">
        <f t="shared" si="6"/>
        <v>0</v>
      </c>
      <c r="I74" s="11"/>
      <c r="L74" s="127"/>
      <c r="N74" s="126"/>
    </row>
    <row r="75" spans="1:18" x14ac:dyDescent="0.3">
      <c r="A75" s="183" t="str">
        <f t="shared" ca="1" si="7"/>
        <v>Ngatamariki</v>
      </c>
      <c r="B75" s="12" t="s">
        <v>21</v>
      </c>
      <c r="C75" s="5">
        <f t="shared" si="8"/>
        <v>0</v>
      </c>
      <c r="D75" s="5">
        <f t="shared" ca="1" si="5"/>
        <v>0.4082615635710351</v>
      </c>
      <c r="E75" s="5">
        <f t="shared" ca="1" si="5"/>
        <v>0.4082615635710351</v>
      </c>
      <c r="H75" s="5">
        <f t="shared" si="6"/>
        <v>0</v>
      </c>
      <c r="I75" s="11"/>
      <c r="L75" s="127"/>
      <c r="N75" s="126"/>
    </row>
    <row r="76" spans="1:18" x14ac:dyDescent="0.3">
      <c r="A76" s="183" t="str">
        <f t="shared" ca="1" si="7"/>
        <v>Pioneer</v>
      </c>
      <c r="B76" s="12" t="s">
        <v>27</v>
      </c>
      <c r="C76" s="5">
        <f t="shared" si="8"/>
        <v>7.4552943431958223</v>
      </c>
      <c r="D76" s="5">
        <f t="shared" ca="1" si="5"/>
        <v>1.8942580721341431</v>
      </c>
      <c r="E76" s="5">
        <f t="shared" ca="1" si="5"/>
        <v>1.8942580721341431</v>
      </c>
      <c r="H76" s="5">
        <f t="shared" si="6"/>
        <v>0</v>
      </c>
      <c r="I76" s="11"/>
      <c r="L76" s="127"/>
      <c r="N76" s="126"/>
    </row>
    <row r="77" spans="1:18" hidden="1" x14ac:dyDescent="0.3">
      <c r="A77" s="183" t="e">
        <f t="shared" ca="1" si="7"/>
        <v>#N/A</v>
      </c>
      <c r="B77" s="12" t="s">
        <v>72</v>
      </c>
      <c r="C77" s="5">
        <f t="shared" si="8"/>
        <v>0</v>
      </c>
      <c r="D77" s="5">
        <f t="shared" si="5"/>
        <v>0</v>
      </c>
      <c r="E77" s="5">
        <f t="shared" si="5"/>
        <v>0</v>
      </c>
      <c r="H77" s="5">
        <f t="shared" si="6"/>
        <v>0</v>
      </c>
      <c r="I77" s="11"/>
      <c r="L77" s="127"/>
      <c r="N77" s="126"/>
    </row>
    <row r="78" spans="1:18" x14ac:dyDescent="0.3">
      <c r="A78" s="183" t="str">
        <f t="shared" ca="1" si="7"/>
        <v>Todd</v>
      </c>
      <c r="B78" s="12" t="s">
        <v>33</v>
      </c>
      <c r="C78" s="5">
        <f t="shared" si="8"/>
        <v>0</v>
      </c>
      <c r="D78" s="5">
        <f t="shared" ca="1" si="5"/>
        <v>0.10030427507365854</v>
      </c>
      <c r="E78" s="5">
        <f t="shared" ca="1" si="5"/>
        <v>7.3155670213810503E-2</v>
      </c>
      <c r="H78" s="5">
        <f t="shared" ca="1" si="6"/>
        <v>2.7148604859848015E-2</v>
      </c>
      <c r="I78" s="11"/>
      <c r="L78" s="127"/>
      <c r="N78" s="126"/>
    </row>
    <row r="79" spans="1:18" x14ac:dyDescent="0.3">
      <c r="A79" s="183" t="str">
        <f t="shared" ca="1" si="7"/>
        <v>Trustpower</v>
      </c>
      <c r="B79" s="12" t="s">
        <v>35</v>
      </c>
      <c r="C79" s="5">
        <f t="shared" si="8"/>
        <v>1.8508727784343857</v>
      </c>
      <c r="D79" s="5">
        <f t="shared" ca="1" si="5"/>
        <v>1.2199234257999367</v>
      </c>
      <c r="E79" s="5">
        <f t="shared" ca="1" si="5"/>
        <v>1.0970017378768497</v>
      </c>
      <c r="H79" s="5">
        <f t="shared" ca="1" si="6"/>
        <v>0.12292168792308693</v>
      </c>
      <c r="I79" s="11"/>
      <c r="L79" s="127"/>
      <c r="N79" s="126"/>
    </row>
    <row r="80" spans="1:18" x14ac:dyDescent="0.3">
      <c r="A80" s="183" t="str">
        <f t="shared" ca="1" si="7"/>
        <v>NZ Aluminium Smelter</v>
      </c>
      <c r="B80" s="12" t="s">
        <v>43</v>
      </c>
      <c r="C80" s="5">
        <f t="shared" si="8"/>
        <v>12.737814231932109</v>
      </c>
      <c r="D80" s="5">
        <f t="shared" ca="1" si="5"/>
        <v>8.2199563282351313</v>
      </c>
      <c r="E80" s="5">
        <f t="shared" ca="1" si="5"/>
        <v>2.0914384463333686</v>
      </c>
      <c r="H80" s="5">
        <f t="shared" ca="1" si="6"/>
        <v>6.1285178819017654</v>
      </c>
      <c r="I80" s="13"/>
      <c r="L80" s="127"/>
      <c r="N80" s="126"/>
    </row>
    <row r="81" spans="1:14" x14ac:dyDescent="0.3">
      <c r="A81" s="183" t="str">
        <f t="shared" ca="1" si="7"/>
        <v>The Power Company</v>
      </c>
      <c r="B81" s="12" t="s">
        <v>73</v>
      </c>
      <c r="C81" s="5">
        <f t="shared" si="8"/>
        <v>11.952526351852679</v>
      </c>
      <c r="D81" s="5">
        <f t="shared" ca="1" si="5"/>
        <v>12.195070891052763</v>
      </c>
      <c r="E81" s="5">
        <f t="shared" ca="1" si="5"/>
        <v>1.97132705420374</v>
      </c>
      <c r="H81" s="5">
        <f t="shared" ca="1" si="6"/>
        <v>10.223743836849026</v>
      </c>
      <c r="I81" s="13"/>
      <c r="L81" s="127"/>
      <c r="N81" s="126"/>
    </row>
    <row r="82" spans="1:14" x14ac:dyDescent="0.3">
      <c r="A82" s="183" t="str">
        <f t="shared" ca="1" si="7"/>
        <v>Electricity Invercargill</v>
      </c>
      <c r="B82" s="12" t="s">
        <v>69</v>
      </c>
      <c r="C82" s="5">
        <f t="shared" si="8"/>
        <v>20.430320118626714</v>
      </c>
      <c r="D82" s="5">
        <f t="shared" ca="1" si="5"/>
        <v>13.945690551817266</v>
      </c>
      <c r="E82" s="5">
        <f t="shared" ca="1" si="5"/>
        <v>2.0646354341461555</v>
      </c>
      <c r="H82" s="5">
        <f t="shared" ca="1" si="6"/>
        <v>11.88105511767111</v>
      </c>
      <c r="I82" s="13"/>
      <c r="L82" s="127"/>
      <c r="N82" s="126"/>
    </row>
    <row r="83" spans="1:14" x14ac:dyDescent="0.3">
      <c r="A83" s="183" t="str">
        <f t="shared" ca="1" si="7"/>
        <v>Rayonier</v>
      </c>
      <c r="B83" s="12" t="s">
        <v>30</v>
      </c>
      <c r="C83" s="5">
        <f t="shared" si="8"/>
        <v>13.766576392240696</v>
      </c>
      <c r="D83" s="5">
        <f t="shared" ca="1" si="5"/>
        <v>11.409634432701798</v>
      </c>
      <c r="E83" s="5">
        <f t="shared" ca="1" si="5"/>
        <v>2.4748080033427744</v>
      </c>
      <c r="H83" s="5">
        <f t="shared" ca="1" si="6"/>
        <v>8.9348264293590223</v>
      </c>
      <c r="I83" s="13"/>
      <c r="L83" s="127"/>
      <c r="N83" s="126"/>
    </row>
    <row r="84" spans="1:14" x14ac:dyDescent="0.3">
      <c r="A84" s="183" t="str">
        <f t="shared" ca="1" si="7"/>
        <v>Aurora Energy</v>
      </c>
      <c r="B84" s="12" t="s">
        <v>1</v>
      </c>
      <c r="C84" s="5">
        <f t="shared" si="8"/>
        <v>15.202700521643477</v>
      </c>
      <c r="D84" s="5">
        <f t="shared" ca="1" si="5"/>
        <v>13.125726588244461</v>
      </c>
      <c r="E84" s="5">
        <f t="shared" ca="1" si="5"/>
        <v>1.3634777953509087</v>
      </c>
      <c r="H84" s="5">
        <f t="shared" ca="1" si="6"/>
        <v>11.762248792893551</v>
      </c>
      <c r="I84" s="13"/>
      <c r="L84" s="127"/>
      <c r="N84" s="126"/>
    </row>
    <row r="85" spans="1:14" x14ac:dyDescent="0.3">
      <c r="A85" s="183" t="str">
        <f t="shared" ca="1" si="7"/>
        <v>Lakeland Network</v>
      </c>
      <c r="B85" s="12" t="s">
        <v>70</v>
      </c>
      <c r="C85" s="5">
        <f t="shared" si="8"/>
        <v>17.659896614866337</v>
      </c>
      <c r="D85" s="5">
        <f t="shared" ca="1" si="5"/>
        <v>13.73799211484698</v>
      </c>
      <c r="E85" s="5">
        <f t="shared" ca="1" si="5"/>
        <v>1.235550208531097</v>
      </c>
      <c r="H85" s="5">
        <f t="shared" ca="1" si="6"/>
        <v>12.502441906315884</v>
      </c>
      <c r="I85" s="13"/>
      <c r="L85" s="127"/>
      <c r="N85" s="126"/>
    </row>
    <row r="86" spans="1:14" x14ac:dyDescent="0.3">
      <c r="A86" s="183" t="str">
        <f t="shared" ca="1" si="7"/>
        <v>OtagoNet JV</v>
      </c>
      <c r="B86" s="12" t="s">
        <v>71</v>
      </c>
      <c r="C86" s="5">
        <f t="shared" si="8"/>
        <v>8.9104199703979035</v>
      </c>
      <c r="D86" s="5">
        <f t="shared" ca="1" si="5"/>
        <v>10.521830385970915</v>
      </c>
      <c r="E86" s="5">
        <f t="shared" ca="1" si="5"/>
        <v>1.8971162542744833</v>
      </c>
      <c r="H86" s="5">
        <f t="shared" ca="1" si="6"/>
        <v>8.6247141316964306</v>
      </c>
      <c r="I86" s="13"/>
      <c r="L86" s="127"/>
      <c r="N86" s="126"/>
    </row>
    <row r="87" spans="1:14" x14ac:dyDescent="0.3">
      <c r="A87" s="183" t="str">
        <f t="shared" ca="1" si="7"/>
        <v>Network Waitaki</v>
      </c>
      <c r="B87" s="12" t="s">
        <v>20</v>
      </c>
      <c r="C87" s="5">
        <f t="shared" si="8"/>
        <v>11.340830662420849</v>
      </c>
      <c r="D87" s="5">
        <f t="shared" ca="1" si="5"/>
        <v>13.40171480453431</v>
      </c>
      <c r="E87" s="5">
        <f t="shared" ca="1" si="5"/>
        <v>1.5357378091892449</v>
      </c>
      <c r="H87" s="5">
        <f t="shared" ca="1" si="6"/>
        <v>11.865976995345063</v>
      </c>
      <c r="I87" s="13"/>
      <c r="L87" s="127"/>
      <c r="N87" s="126"/>
    </row>
    <row r="88" spans="1:14" x14ac:dyDescent="0.3">
      <c r="A88" s="183" t="str">
        <f t="shared" ca="1" si="7"/>
        <v>Alpine Energy</v>
      </c>
      <c r="B88" s="12" t="s">
        <v>0</v>
      </c>
      <c r="C88" s="5">
        <f t="shared" si="8"/>
        <v>12.622744703239208</v>
      </c>
      <c r="D88" s="5">
        <f t="shared" ca="1" si="5"/>
        <v>11.65115996418217</v>
      </c>
      <c r="E88" s="5">
        <f t="shared" ca="1" si="5"/>
        <v>1.659511410006524</v>
      </c>
      <c r="H88" s="5">
        <f t="shared" ca="1" si="6"/>
        <v>9.9916485541756472</v>
      </c>
      <c r="I88" s="13"/>
      <c r="L88" s="127"/>
      <c r="N88" s="126"/>
    </row>
    <row r="89" spans="1:14" x14ac:dyDescent="0.3">
      <c r="A89" s="183" t="str">
        <f t="shared" ca="1" si="7"/>
        <v>Electricity Ashburton</v>
      </c>
      <c r="B89" s="12" t="s">
        <v>9</v>
      </c>
      <c r="C89" s="5">
        <f t="shared" si="8"/>
        <v>5.517334196168501</v>
      </c>
      <c r="D89" s="5">
        <f t="shared" ref="D89:E108" ca="1" si="9">_xlfn.IFNA(VLOOKUP($B89,$B$4:$G$57,D$68,0),0)</f>
        <v>14.660554412870823</v>
      </c>
      <c r="E89" s="5">
        <f t="shared" ca="1" si="9"/>
        <v>1.4539837406563563</v>
      </c>
      <c r="H89" s="5">
        <f t="shared" ca="1" si="6"/>
        <v>13.206570672214466</v>
      </c>
      <c r="I89" s="13"/>
      <c r="L89" s="127"/>
      <c r="N89" s="126"/>
    </row>
    <row r="90" spans="1:14" x14ac:dyDescent="0.3">
      <c r="A90" s="183" t="str">
        <f t="shared" ca="1" si="7"/>
        <v>Daiken MDF</v>
      </c>
      <c r="B90" s="12" t="s">
        <v>6</v>
      </c>
      <c r="C90" s="5">
        <f t="shared" si="8"/>
        <v>12.679639171557145</v>
      </c>
      <c r="D90" s="5">
        <f t="shared" ca="1" si="9"/>
        <v>11.105535359212256</v>
      </c>
      <c r="E90" s="5">
        <f t="shared" ca="1" si="9"/>
        <v>2.3432652142155304</v>
      </c>
      <c r="H90" s="5">
        <f t="shared" ca="1" si="6"/>
        <v>8.7622701449967231</v>
      </c>
      <c r="I90" s="13"/>
      <c r="L90" s="127"/>
      <c r="N90" s="126"/>
    </row>
    <row r="91" spans="1:14" x14ac:dyDescent="0.3">
      <c r="A91" s="183" t="str">
        <f t="shared" ca="1" si="7"/>
        <v>Orion</v>
      </c>
      <c r="B91" s="12" t="s">
        <v>25</v>
      </c>
      <c r="C91" s="5">
        <f t="shared" si="8"/>
        <v>18.77576885967332</v>
      </c>
      <c r="D91" s="5">
        <f t="shared" ca="1" si="9"/>
        <v>13.476413888376085</v>
      </c>
      <c r="E91" s="5">
        <f t="shared" ca="1" si="9"/>
        <v>2.1528012784151023</v>
      </c>
      <c r="H91" s="5">
        <f t="shared" ca="1" si="6"/>
        <v>11.323612609960984</v>
      </c>
      <c r="I91" s="13"/>
      <c r="L91" s="127"/>
      <c r="N91" s="126"/>
    </row>
    <row r="92" spans="1:14" x14ac:dyDescent="0.3">
      <c r="A92" s="183" t="str">
        <f t="shared" ca="1" si="7"/>
        <v>Mainpower</v>
      </c>
      <c r="B92" s="12" t="s">
        <v>12</v>
      </c>
      <c r="C92" s="5">
        <f t="shared" si="8"/>
        <v>16.437491227582143</v>
      </c>
      <c r="D92" s="5">
        <f t="shared" ca="1" si="9"/>
        <v>13.88838331525881</v>
      </c>
      <c r="E92" s="5">
        <f t="shared" ca="1" si="9"/>
        <v>2.2683705397511558</v>
      </c>
      <c r="H92" s="5">
        <f t="shared" ca="1" si="6"/>
        <v>11.620012775507654</v>
      </c>
      <c r="I92" s="13"/>
      <c r="L92" s="127"/>
      <c r="N92" s="126"/>
    </row>
    <row r="93" spans="1:14" x14ac:dyDescent="0.3">
      <c r="A93" s="183" t="str">
        <f t="shared" ca="1" si="7"/>
        <v>Marlborough Lines</v>
      </c>
      <c r="B93" s="12" t="s">
        <v>13</v>
      </c>
      <c r="C93" s="5">
        <f t="shared" si="8"/>
        <v>16.050867526085646</v>
      </c>
      <c r="D93" s="5">
        <f t="shared" ca="1" si="9"/>
        <v>11.793420176208835</v>
      </c>
      <c r="E93" s="5">
        <f t="shared" ca="1" si="9"/>
        <v>2.0665279987921279</v>
      </c>
      <c r="H93" s="5">
        <f t="shared" ca="1" si="6"/>
        <v>9.7268921774167101</v>
      </c>
      <c r="I93" s="13"/>
      <c r="L93" s="127"/>
      <c r="N93" s="126"/>
    </row>
    <row r="94" spans="1:14" x14ac:dyDescent="0.3">
      <c r="A94" s="183" t="str">
        <f t="shared" ca="1" si="7"/>
        <v>Network Tasman</v>
      </c>
      <c r="B94" s="12" t="s">
        <v>19</v>
      </c>
      <c r="C94" s="5">
        <f t="shared" si="8"/>
        <v>13.997479424018261</v>
      </c>
      <c r="D94" s="5">
        <f t="shared" ca="1" si="9"/>
        <v>13.107180020786908</v>
      </c>
      <c r="E94" s="5">
        <f t="shared" ca="1" si="9"/>
        <v>2.1053860981938737</v>
      </c>
      <c r="H94" s="5">
        <f t="shared" ca="1" si="6"/>
        <v>11.001793922593032</v>
      </c>
      <c r="I94" s="13"/>
      <c r="L94" s="127"/>
      <c r="N94" s="126"/>
    </row>
    <row r="95" spans="1:14" x14ac:dyDescent="0.3">
      <c r="A95" s="183" t="str">
        <f t="shared" ca="1" si="7"/>
        <v>Buller Electricity</v>
      </c>
      <c r="B95" s="12" t="s">
        <v>2</v>
      </c>
      <c r="C95" s="5">
        <f t="shared" si="8"/>
        <v>19.117743064516215</v>
      </c>
      <c r="D95" s="5">
        <f t="shared" ca="1" si="9"/>
        <v>12.294180296067365</v>
      </c>
      <c r="E95" s="5">
        <f t="shared" ca="1" si="9"/>
        <v>2.2955402289417584</v>
      </c>
      <c r="H95" s="5">
        <f t="shared" ca="1" si="6"/>
        <v>9.9986400671256082</v>
      </c>
      <c r="I95" s="13"/>
    </row>
    <row r="96" spans="1:14" x14ac:dyDescent="0.3">
      <c r="A96" s="183" t="str">
        <f t="shared" ca="1" si="7"/>
        <v>Westpower</v>
      </c>
      <c r="B96" s="12" t="s">
        <v>41</v>
      </c>
      <c r="C96" s="5">
        <f t="shared" si="8"/>
        <v>6.1461438013573018</v>
      </c>
      <c r="D96" s="5">
        <f t="shared" ca="1" si="9"/>
        <v>14.008254028263666</v>
      </c>
      <c r="E96" s="5">
        <f t="shared" ca="1" si="9"/>
        <v>1.6531459559597128</v>
      </c>
      <c r="H96" s="5">
        <f t="shared" ca="1" si="6"/>
        <v>12.355108072303953</v>
      </c>
      <c r="I96" s="13"/>
    </row>
    <row r="97" spans="1:9" x14ac:dyDescent="0.3">
      <c r="A97" s="183" t="str">
        <f t="shared" ca="1" si="7"/>
        <v>Wellington Electricity</v>
      </c>
      <c r="B97" s="12" t="s">
        <v>40</v>
      </c>
      <c r="C97" s="5">
        <f t="shared" si="8"/>
        <v>21.348489619684326</v>
      </c>
      <c r="D97" s="5">
        <f t="shared" ca="1" si="9"/>
        <v>15.997259132745205</v>
      </c>
      <c r="E97" s="5">
        <f t="shared" ca="1" si="9"/>
        <v>4.0400978309815727</v>
      </c>
      <c r="H97" s="5">
        <f t="shared" ca="1" si="6"/>
        <v>11.957161301763634</v>
      </c>
      <c r="I97" s="13"/>
    </row>
    <row r="98" spans="1:9" x14ac:dyDescent="0.3">
      <c r="A98" s="183" t="str">
        <f t="shared" ca="1" si="7"/>
        <v>Electra</v>
      </c>
      <c r="B98" s="12" t="s">
        <v>8</v>
      </c>
      <c r="C98" s="5">
        <f t="shared" si="8"/>
        <v>13.977867229241351</v>
      </c>
      <c r="D98" s="5">
        <f t="shared" ca="1" si="9"/>
        <v>15.551237802039461</v>
      </c>
      <c r="E98" s="5">
        <f t="shared" ca="1" si="9"/>
        <v>4.3886926048234036</v>
      </c>
      <c r="H98" s="5">
        <f t="shared" ca="1" si="6"/>
        <v>11.162545197216057</v>
      </c>
      <c r="I98" s="13"/>
    </row>
    <row r="99" spans="1:9" x14ac:dyDescent="0.3">
      <c r="A99" s="183" t="str">
        <f t="shared" ca="1" si="7"/>
        <v>Scanpower</v>
      </c>
      <c r="B99" s="12" t="s">
        <v>31</v>
      </c>
      <c r="C99" s="5">
        <f t="shared" si="8"/>
        <v>17.294908168800863</v>
      </c>
      <c r="D99" s="5">
        <f t="shared" ca="1" si="9"/>
        <v>13.187104955510781</v>
      </c>
      <c r="E99" s="5">
        <f t="shared" ca="1" si="9"/>
        <v>3.9750298740827468</v>
      </c>
      <c r="H99" s="5">
        <f t="shared" ca="1" si="6"/>
        <v>9.2120750814280328</v>
      </c>
      <c r="I99" s="13"/>
    </row>
    <row r="100" spans="1:9" x14ac:dyDescent="0.3">
      <c r="A100" s="183" t="str">
        <f t="shared" ca="1" si="7"/>
        <v>Winstones</v>
      </c>
      <c r="B100" s="12" t="s">
        <v>42</v>
      </c>
      <c r="C100" s="5">
        <f t="shared" si="8"/>
        <v>13.817470075746938</v>
      </c>
      <c r="D100" s="5">
        <f t="shared" ca="1" si="9"/>
        <v>11.712970562592625</v>
      </c>
      <c r="E100" s="5">
        <f t="shared" ca="1" si="9"/>
        <v>3.0298643056915169</v>
      </c>
      <c r="H100" s="5">
        <f t="shared" ca="1" si="6"/>
        <v>8.6831062569011088</v>
      </c>
      <c r="I100" s="13"/>
    </row>
    <row r="101" spans="1:9" x14ac:dyDescent="0.3">
      <c r="A101" s="183" t="str">
        <f t="shared" ca="1" si="7"/>
        <v>Methanex</v>
      </c>
      <c r="B101" s="12" t="s">
        <v>15</v>
      </c>
      <c r="C101" s="5">
        <f t="shared" si="8"/>
        <v>12.930062628414241</v>
      </c>
      <c r="D101" s="5">
        <f t="shared" ca="1" si="9"/>
        <v>13.035739223242629</v>
      </c>
      <c r="E101" s="5">
        <f t="shared" ca="1" si="9"/>
        <v>3.7486334050918773</v>
      </c>
      <c r="H101" s="5">
        <f t="shared" ref="H101:H118" ca="1" si="10">_xlfn.IFNA(VLOOKUP($B101,$B$4:$G$57,H$68,0),0)</f>
        <v>9.2871058181507511</v>
      </c>
      <c r="I101" s="13"/>
    </row>
    <row r="102" spans="1:9" x14ac:dyDescent="0.3">
      <c r="A102" s="183" t="str">
        <f t="shared" ca="1" si="7"/>
        <v>Centralines</v>
      </c>
      <c r="B102" s="12" t="s">
        <v>68</v>
      </c>
      <c r="C102" s="5">
        <f t="shared" ref="C102:C118" si="11">_xlfn.IFNA(VLOOKUP($B102,$B$4:$G$57,C$68,0),0)</f>
        <v>17.234363949041541</v>
      </c>
      <c r="D102" s="5">
        <f t="shared" ca="1" si="9"/>
        <v>13.006913733511761</v>
      </c>
      <c r="E102" s="5">
        <f t="shared" ca="1" si="9"/>
        <v>3.9909221067844314</v>
      </c>
      <c r="H102" s="5">
        <f t="shared" ca="1" si="10"/>
        <v>9.0159916267273292</v>
      </c>
      <c r="I102" s="13"/>
    </row>
    <row r="103" spans="1:9" x14ac:dyDescent="0.3">
      <c r="A103" s="183" t="str">
        <f t="shared" ca="1" si="7"/>
        <v>Unison</v>
      </c>
      <c r="B103" s="12" t="s">
        <v>36</v>
      </c>
      <c r="C103" s="5">
        <f t="shared" si="11"/>
        <v>17.838523529700645</v>
      </c>
      <c r="D103" s="5">
        <f t="shared" ca="1" si="9"/>
        <v>13.859282385768843</v>
      </c>
      <c r="E103" s="5">
        <f t="shared" ca="1" si="9"/>
        <v>3.3024120193238207</v>
      </c>
      <c r="H103" s="5">
        <f t="shared" ca="1" si="10"/>
        <v>10.556870366445022</v>
      </c>
      <c r="I103" s="13"/>
    </row>
    <row r="104" spans="1:9" x14ac:dyDescent="0.3">
      <c r="A104" s="183" t="str">
        <f t="shared" ca="1" si="7"/>
        <v>Pan Pac</v>
      </c>
      <c r="B104" s="12" t="s">
        <v>26</v>
      </c>
      <c r="C104" s="5">
        <f t="shared" si="11"/>
        <v>6.7314131197370193</v>
      </c>
      <c r="D104" s="5">
        <f t="shared" ca="1" si="9"/>
        <v>11.304861905731864</v>
      </c>
      <c r="E104" s="5">
        <f t="shared" ca="1" si="9"/>
        <v>2.857600949005596</v>
      </c>
      <c r="H104" s="5">
        <f t="shared" ca="1" si="10"/>
        <v>8.447260956726268</v>
      </c>
      <c r="I104" s="13"/>
    </row>
    <row r="105" spans="1:9" x14ac:dyDescent="0.3">
      <c r="A105" s="183" t="str">
        <f t="shared" ca="1" si="7"/>
        <v>Eastland Network</v>
      </c>
      <c r="B105" s="12" t="s">
        <v>7</v>
      </c>
      <c r="C105" s="5">
        <f t="shared" si="11"/>
        <v>16.737004263789352</v>
      </c>
      <c r="D105" s="5">
        <f t="shared" ca="1" si="9"/>
        <v>12.6275000241888</v>
      </c>
      <c r="E105" s="5">
        <f t="shared" ca="1" si="9"/>
        <v>3.0230888691243503</v>
      </c>
      <c r="H105" s="5">
        <f t="shared" ca="1" si="10"/>
        <v>9.6044111550644491</v>
      </c>
      <c r="I105" s="13"/>
    </row>
    <row r="106" spans="1:9" x14ac:dyDescent="0.3">
      <c r="A106" s="183" t="str">
        <f t="shared" ca="1" si="7"/>
        <v>Horizon</v>
      </c>
      <c r="B106" s="12" t="s">
        <v>11</v>
      </c>
      <c r="C106" s="5">
        <f t="shared" si="11"/>
        <v>6.2032843828363804</v>
      </c>
      <c r="D106" s="5">
        <f t="shared" ca="1" si="9"/>
        <v>12.57266242322981</v>
      </c>
      <c r="E106" s="5">
        <f t="shared" ca="1" si="9"/>
        <v>3.0605875293845211</v>
      </c>
      <c r="H106" s="5">
        <f t="shared" ca="1" si="10"/>
        <v>9.5120748938452877</v>
      </c>
      <c r="I106" s="13"/>
    </row>
    <row r="107" spans="1:9" x14ac:dyDescent="0.3">
      <c r="A107" s="183" t="str">
        <f t="shared" ca="1" si="7"/>
        <v>Norske Skog</v>
      </c>
      <c r="B107" s="12" t="s">
        <v>22</v>
      </c>
      <c r="C107" s="5">
        <f t="shared" si="11"/>
        <v>0.12266607928491202</v>
      </c>
      <c r="D107" s="5">
        <f t="shared" ca="1" si="9"/>
        <v>12.106248603132832</v>
      </c>
      <c r="E107" s="5">
        <f t="shared" ca="1" si="9"/>
        <v>1.8620108811330447</v>
      </c>
      <c r="H107" s="5">
        <f t="shared" ca="1" si="10"/>
        <v>10.244237721999786</v>
      </c>
      <c r="I107" s="13"/>
    </row>
    <row r="108" spans="1:9" x14ac:dyDescent="0.3">
      <c r="A108" s="183" t="str">
        <f t="shared" ca="1" si="7"/>
        <v>Carter Holt Harvey</v>
      </c>
      <c r="B108" s="12" t="s">
        <v>3</v>
      </c>
      <c r="C108" s="5">
        <f t="shared" si="11"/>
        <v>6.8001809722452364</v>
      </c>
      <c r="D108" s="5">
        <f t="shared" ca="1" si="9"/>
        <v>0</v>
      </c>
      <c r="E108" s="5">
        <f t="shared" ca="1" si="9"/>
        <v>0</v>
      </c>
      <c r="H108" s="5">
        <f t="shared" ca="1" si="10"/>
        <v>0</v>
      </c>
      <c r="I108" s="13"/>
    </row>
    <row r="109" spans="1:9" x14ac:dyDescent="0.3">
      <c r="A109" s="183" t="str">
        <f t="shared" ca="1" si="7"/>
        <v>Powerco</v>
      </c>
      <c r="B109" s="12" t="s">
        <v>28</v>
      </c>
      <c r="C109" s="5">
        <f t="shared" si="11"/>
        <v>16.127539310241591</v>
      </c>
      <c r="D109" s="5">
        <f t="shared" ref="D109:E118" ca="1" si="12">_xlfn.IFNA(VLOOKUP($B109,$B$4:$G$57,D$68,0),0)</f>
        <v>16.762218870517632</v>
      </c>
      <c r="E109" s="5">
        <f t="shared" ca="1" si="12"/>
        <v>4.2769073224392518</v>
      </c>
      <c r="H109" s="5">
        <f t="shared" ca="1" si="10"/>
        <v>12.48531154807838</v>
      </c>
      <c r="I109" s="13"/>
    </row>
    <row r="110" spans="1:9" x14ac:dyDescent="0.3">
      <c r="A110" s="183" t="str">
        <f t="shared" ca="1" si="7"/>
        <v>The Lines Company</v>
      </c>
      <c r="B110" s="12" t="s">
        <v>32</v>
      </c>
      <c r="C110" s="5">
        <f t="shared" si="11"/>
        <v>12.043965708194783</v>
      </c>
      <c r="D110" s="5">
        <f t="shared" ca="1" si="12"/>
        <v>16.148356986129247</v>
      </c>
      <c r="E110" s="5">
        <f t="shared" ca="1" si="12"/>
        <v>3.0687415830604841</v>
      </c>
      <c r="H110" s="5">
        <f t="shared" ca="1" si="10"/>
        <v>13.079615403068761</v>
      </c>
      <c r="I110" s="13"/>
    </row>
    <row r="111" spans="1:9" x14ac:dyDescent="0.3">
      <c r="A111" s="183" t="str">
        <f t="shared" ca="1" si="7"/>
        <v>Waipa Power</v>
      </c>
      <c r="B111" s="12" t="s">
        <v>38</v>
      </c>
      <c r="C111" s="5">
        <f t="shared" si="11"/>
        <v>16.295983940929101</v>
      </c>
      <c r="D111" s="5">
        <f t="shared" ca="1" si="12"/>
        <v>14.703126377748454</v>
      </c>
      <c r="E111" s="5">
        <f t="shared" ca="1" si="12"/>
        <v>4.4245026542531001</v>
      </c>
      <c r="H111" s="5">
        <f t="shared" ca="1" si="10"/>
        <v>10.27862372349535</v>
      </c>
      <c r="I111" s="13"/>
    </row>
    <row r="112" spans="1:9" x14ac:dyDescent="0.3">
      <c r="A112" s="183" t="str">
        <f t="shared" ca="1" si="7"/>
        <v>WEL Networks</v>
      </c>
      <c r="B112" s="12" t="s">
        <v>39</v>
      </c>
      <c r="C112" s="5">
        <f t="shared" si="11"/>
        <v>15.085618866838514</v>
      </c>
      <c r="D112" s="5">
        <f t="shared" ca="1" si="12"/>
        <v>16.303769523647407</v>
      </c>
      <c r="E112" s="5">
        <f t="shared" ca="1" si="12"/>
        <v>4.7413543270894536</v>
      </c>
      <c r="H112" s="5">
        <f t="shared" ca="1" si="10"/>
        <v>11.562415196557954</v>
      </c>
      <c r="I112" s="13"/>
    </row>
    <row r="113" spans="1:9" x14ac:dyDescent="0.3">
      <c r="A113" s="183" t="str">
        <f t="shared" ca="1" si="7"/>
        <v>NZ Steel</v>
      </c>
      <c r="B113" s="12" t="s">
        <v>24</v>
      </c>
      <c r="C113" s="5">
        <f t="shared" si="11"/>
        <v>5.170932278318384</v>
      </c>
      <c r="D113" s="5">
        <f t="shared" ca="1" si="12"/>
        <v>9.75297927335391</v>
      </c>
      <c r="E113" s="5">
        <f t="shared" ca="1" si="12"/>
        <v>6.0596798383280124</v>
      </c>
      <c r="H113" s="5">
        <f t="shared" ca="1" si="10"/>
        <v>7.5621433673381908</v>
      </c>
      <c r="I113" s="13"/>
    </row>
    <row r="114" spans="1:9" x14ac:dyDescent="0.3">
      <c r="A114" s="183" t="str">
        <f t="shared" ca="1" si="7"/>
        <v>Counties Power</v>
      </c>
      <c r="B114" s="12" t="s">
        <v>5</v>
      </c>
      <c r="C114" s="5">
        <f t="shared" si="11"/>
        <v>17.111353912536579</v>
      </c>
      <c r="D114" s="5">
        <f t="shared" ca="1" si="12"/>
        <v>18.898390664087447</v>
      </c>
      <c r="E114" s="5">
        <f t="shared" ca="1" si="12"/>
        <v>7.6648597290073974</v>
      </c>
      <c r="H114" s="5">
        <f t="shared" ca="1" si="10"/>
        <v>11.233530935080045</v>
      </c>
      <c r="I114" s="13"/>
    </row>
    <row r="115" spans="1:9" x14ac:dyDescent="0.3">
      <c r="A115" s="183" t="str">
        <f t="shared" ca="1" si="7"/>
        <v>Vector</v>
      </c>
      <c r="B115" s="12" t="s">
        <v>37</v>
      </c>
      <c r="C115" s="5">
        <f t="shared" si="11"/>
        <v>20.238116196420652</v>
      </c>
      <c r="D115" s="5">
        <f t="shared" ca="1" si="12"/>
        <v>24.551537750754559</v>
      </c>
      <c r="E115" s="5">
        <f t="shared" ca="1" si="12"/>
        <v>11.536382976685882</v>
      </c>
      <c r="H115" s="5">
        <f t="shared" ca="1" si="10"/>
        <v>13.015154774068675</v>
      </c>
      <c r="I115" s="13"/>
    </row>
    <row r="116" spans="1:9" x14ac:dyDescent="0.3">
      <c r="A116" s="183" t="str">
        <f t="shared" ca="1" si="7"/>
        <v>Refining NZ</v>
      </c>
      <c r="B116" s="41" t="s">
        <v>556</v>
      </c>
      <c r="C116" s="5">
        <f t="shared" si="11"/>
        <v>12.206633587543919</v>
      </c>
      <c r="D116" s="5">
        <f t="shared" ca="1" si="12"/>
        <v>0</v>
      </c>
      <c r="E116" s="5">
        <f t="shared" ca="1" si="12"/>
        <v>0</v>
      </c>
      <c r="H116" s="5">
        <f t="shared" ca="1" si="10"/>
        <v>0</v>
      </c>
      <c r="I116" s="13"/>
    </row>
    <row r="117" spans="1:9" x14ac:dyDescent="0.3">
      <c r="A117" s="183" t="str">
        <f t="shared" ca="1" si="7"/>
        <v>Northpower</v>
      </c>
      <c r="B117" s="12" t="s">
        <v>23</v>
      </c>
      <c r="C117" s="5">
        <f t="shared" si="11"/>
        <v>16.35113220370209</v>
      </c>
      <c r="D117" s="5">
        <f t="shared" ca="1" si="12"/>
        <v>27.718523804045727</v>
      </c>
      <c r="E117" s="5">
        <f t="shared" ca="1" si="12"/>
        <v>16.335315025901213</v>
      </c>
      <c r="H117" s="5">
        <f t="shared" ca="1" si="10"/>
        <v>11.383208778144516</v>
      </c>
      <c r="I117" s="13"/>
    </row>
    <row r="118" spans="1:9" x14ac:dyDescent="0.3">
      <c r="A118" s="183" t="str">
        <f t="shared" ca="1" si="7"/>
        <v>Top Energy</v>
      </c>
      <c r="B118" s="12" t="s">
        <v>34</v>
      </c>
      <c r="C118" s="5">
        <f t="shared" si="11"/>
        <v>13.358529273763301</v>
      </c>
      <c r="D118" s="5">
        <f t="shared" ca="1" si="12"/>
        <v>18.553865051918436</v>
      </c>
      <c r="E118" s="5">
        <f t="shared" ca="1" si="12"/>
        <v>10.6157538376142</v>
      </c>
      <c r="H118" s="5">
        <f t="shared" ca="1" si="10"/>
        <v>7.9381112143042358</v>
      </c>
      <c r="I118" s="13"/>
    </row>
    <row r="133" spans="3:8" x14ac:dyDescent="0.3">
      <c r="C133" s="12"/>
      <c r="D133" s="12"/>
      <c r="E133" s="12"/>
      <c r="F133" s="12"/>
      <c r="G133" s="12"/>
      <c r="H133" s="12"/>
    </row>
    <row r="134" spans="3:8" x14ac:dyDescent="0.3">
      <c r="C134" s="12"/>
      <c r="D134" s="12"/>
      <c r="E134" s="12"/>
      <c r="F134" s="12"/>
      <c r="G134" s="12"/>
      <c r="H134" s="12"/>
    </row>
    <row r="136" spans="3:8" x14ac:dyDescent="0.3">
      <c r="C136" s="12"/>
      <c r="D136" s="12"/>
      <c r="E136" s="12"/>
      <c r="F136" s="12"/>
      <c r="G136" s="12"/>
      <c r="H136" s="12"/>
    </row>
    <row r="137" spans="3:8" x14ac:dyDescent="0.3">
      <c r="C137" s="12"/>
      <c r="D137" s="12"/>
      <c r="E137" s="12"/>
      <c r="F137" s="12"/>
      <c r="G137" s="12"/>
      <c r="H137" s="12"/>
    </row>
    <row r="140" spans="3:8" x14ac:dyDescent="0.3">
      <c r="C140" s="12"/>
      <c r="D140" s="12"/>
      <c r="E140" s="12"/>
      <c r="F140" s="12"/>
      <c r="G140" s="12"/>
      <c r="H140" s="12"/>
    </row>
    <row r="142" spans="3:8" x14ac:dyDescent="0.3">
      <c r="C142" s="12"/>
      <c r="D142" s="12"/>
      <c r="E142" s="12"/>
      <c r="F142" s="12"/>
      <c r="G142" s="12"/>
      <c r="H142" s="12"/>
    </row>
    <row r="143" spans="3:8" x14ac:dyDescent="0.3">
      <c r="C143" s="12"/>
      <c r="D143" s="12"/>
      <c r="E143" s="12"/>
      <c r="F143" s="12"/>
      <c r="G143" s="12"/>
      <c r="H143" s="12"/>
    </row>
    <row r="144" spans="3:8" x14ac:dyDescent="0.3">
      <c r="C144" s="12"/>
      <c r="D144" s="12"/>
      <c r="E144" s="12"/>
      <c r="F144" s="12"/>
      <c r="G144" s="12"/>
      <c r="H144" s="12"/>
    </row>
    <row r="145" spans="3:8" x14ac:dyDescent="0.3">
      <c r="C145" s="12"/>
      <c r="D145" s="12"/>
      <c r="E145" s="12"/>
      <c r="F145" s="12"/>
      <c r="G145" s="12"/>
      <c r="H145" s="12"/>
    </row>
    <row r="146" spans="3:8" x14ac:dyDescent="0.3">
      <c r="C146" s="12"/>
      <c r="D146" s="12"/>
      <c r="E146" s="12"/>
      <c r="F146" s="12"/>
      <c r="G146" s="12"/>
      <c r="H146" s="12"/>
    </row>
    <row r="147" spans="3:8" x14ac:dyDescent="0.3">
      <c r="C147" s="12"/>
      <c r="D147" s="12"/>
      <c r="E147" s="12"/>
      <c r="F147" s="12"/>
      <c r="G147" s="12"/>
      <c r="H147" s="12"/>
    </row>
    <row r="148" spans="3:8" x14ac:dyDescent="0.3">
      <c r="C148" s="12"/>
      <c r="D148" s="12"/>
      <c r="E148" s="12"/>
      <c r="F148" s="12"/>
      <c r="G148" s="12"/>
      <c r="H148" s="12"/>
    </row>
    <row r="149" spans="3:8" x14ac:dyDescent="0.3">
      <c r="C149" s="12"/>
      <c r="D149" s="12"/>
      <c r="E149" s="12"/>
      <c r="F149" s="12"/>
      <c r="G149" s="12"/>
      <c r="H149" s="12"/>
    </row>
    <row r="150" spans="3:8" x14ac:dyDescent="0.3">
      <c r="C150" s="12"/>
      <c r="D150" s="12"/>
      <c r="E150" s="12"/>
      <c r="F150" s="12"/>
      <c r="G150" s="12"/>
      <c r="H150" s="12"/>
    </row>
    <row r="151" spans="3:8" x14ac:dyDescent="0.3">
      <c r="C151" s="12"/>
      <c r="D151" s="12"/>
      <c r="E151" s="12"/>
      <c r="F151" s="12"/>
      <c r="G151" s="12"/>
      <c r="H151" s="12"/>
    </row>
    <row r="152" spans="3:8" x14ac:dyDescent="0.3">
      <c r="C152" s="12"/>
      <c r="D152" s="12"/>
      <c r="E152" s="12"/>
      <c r="F152" s="12"/>
      <c r="G152" s="12"/>
      <c r="H152" s="12"/>
    </row>
  </sheetData>
  <mergeCells count="1">
    <mergeCell ref="C64:I64"/>
  </mergeCells>
  <pageMargins left="0.7" right="0.7" top="0.75" bottom="0.75" header="0.3" footer="0.3"/>
  <pageSetup paperSize="8"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election activeCell="AW117" sqref="AW117"/>
    </sheetView>
  </sheetViews>
  <sheetFormatPr defaultColWidth="9.109375" defaultRowHeight="14.4" x14ac:dyDescent="0.3"/>
  <cols>
    <col min="1" max="16384" width="9.109375" style="116"/>
  </cols>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E129"/>
  <sheetViews>
    <sheetView topLeftCell="AS2" zoomScaleNormal="100" workbookViewId="0">
      <selection activeCell="BD4" sqref="BD4"/>
    </sheetView>
  </sheetViews>
  <sheetFormatPr defaultColWidth="9.109375" defaultRowHeight="14.4" x14ac:dyDescent="0.3"/>
  <cols>
    <col min="1" max="1" width="9.33203125" style="116" customWidth="1"/>
    <col min="2" max="2" width="6.109375" style="116" customWidth="1"/>
    <col min="3" max="3" width="7.88671875" style="116" customWidth="1"/>
    <col min="4" max="4" width="9.109375" style="116"/>
    <col min="5" max="5" width="8" style="116" customWidth="1"/>
    <col min="6" max="6" width="9.109375" style="116"/>
    <col min="7" max="7" width="9.5546875" style="67" customWidth="1"/>
    <col min="8" max="8" width="7.109375" style="116" customWidth="1"/>
    <col min="9" max="9" width="7.44140625" style="116" customWidth="1"/>
    <col min="10" max="12" width="9.109375" style="116"/>
    <col min="13" max="13" width="3.44140625" style="116" customWidth="1"/>
    <col min="14" max="14" width="11.44140625" style="116" customWidth="1"/>
    <col min="15" max="15" width="9.109375" style="116"/>
    <col min="16" max="16" width="2.5546875" style="116" customWidth="1"/>
    <col min="17" max="17" width="9.109375" style="116"/>
    <col min="18" max="18" width="5.109375" style="116" customWidth="1"/>
    <col min="19" max="19" width="10.6640625" style="116" customWidth="1"/>
    <col min="20" max="20" width="9.109375" style="116"/>
    <col min="21" max="21" width="10.5546875" style="116" customWidth="1"/>
    <col min="22" max="22" width="2.6640625" style="120" customWidth="1"/>
    <col min="23" max="24" width="9.109375" style="116"/>
    <col min="25" max="25" width="16" style="116" customWidth="1"/>
    <col min="26" max="26" width="11.44140625" style="116" customWidth="1"/>
    <col min="27" max="27" width="11.88671875" style="6" customWidth="1"/>
    <col min="28" max="28" width="8.6640625" style="120" customWidth="1"/>
    <col min="29" max="29" width="10.109375" style="116" bestFit="1" customWidth="1"/>
    <col min="30" max="30" width="9.109375" style="219"/>
    <col min="31" max="31" width="10.109375" style="116" customWidth="1"/>
    <col min="32" max="32" width="11.44140625" style="116" customWidth="1"/>
    <col min="33" max="33" width="12.33203125" style="116" customWidth="1"/>
    <col min="34" max="34" width="12.6640625" style="116" customWidth="1"/>
    <col min="35" max="35" width="9.109375" style="116"/>
    <col min="36" max="36" width="10.6640625" style="116" customWidth="1"/>
    <col min="37" max="37" width="12.44140625" style="116" customWidth="1"/>
    <col min="38" max="38" width="11.88671875" style="116" customWidth="1"/>
    <col min="39" max="39" width="13" style="37" customWidth="1"/>
    <col min="40" max="42" width="9.109375" style="116"/>
    <col min="43" max="43" width="15.33203125" style="116" customWidth="1"/>
    <col min="44" max="44" width="9.109375" style="60"/>
    <col min="45" max="45" width="13.109375" style="60" bestFit="1" customWidth="1"/>
    <col min="46" max="46" width="9.109375" style="116"/>
    <col min="47" max="47" width="12.6640625" style="116" customWidth="1"/>
    <col min="48" max="48" width="14.44140625" style="116" customWidth="1"/>
    <col min="49" max="49" width="12.109375" style="116" customWidth="1"/>
    <col min="50" max="50" width="7.6640625" style="116" customWidth="1"/>
    <col min="51" max="51" width="12.33203125" style="116" customWidth="1"/>
    <col min="52" max="52" width="9.6640625" style="116" customWidth="1"/>
    <col min="53" max="53" width="17.109375" style="116" customWidth="1"/>
    <col min="54" max="54" width="17.5546875" style="79" customWidth="1"/>
    <col min="55" max="55" width="10.6640625" style="79" customWidth="1"/>
    <col min="56" max="56" width="14.33203125" style="116" customWidth="1"/>
    <col min="57" max="57" width="11.88671875" style="116" customWidth="1"/>
    <col min="58" max="59" width="9.109375" style="116"/>
    <col min="60" max="60" width="16.33203125" style="116" customWidth="1"/>
    <col min="61" max="61" width="9.109375" style="116"/>
    <col min="62" max="62" width="13.33203125" style="116" customWidth="1"/>
    <col min="63" max="64" width="9.109375" style="116"/>
    <col min="65" max="65" width="15.5546875" style="116" customWidth="1"/>
    <col min="66" max="66" width="14.5546875" style="116" customWidth="1"/>
    <col min="67" max="71" width="9.109375" style="116"/>
    <col min="72" max="72" width="12.109375" style="116" customWidth="1"/>
    <col min="73" max="73" width="13.109375" style="116" customWidth="1"/>
    <col min="74" max="74" width="9.109375" style="116"/>
    <col min="75" max="75" width="12.88671875" style="116" customWidth="1"/>
    <col min="76" max="16384" width="9.109375" style="116"/>
  </cols>
  <sheetData>
    <row r="1" spans="1:83" ht="15" thickBot="1" x14ac:dyDescent="0.35">
      <c r="AY1" s="463" t="s">
        <v>28</v>
      </c>
      <c r="AZ1" s="464">
        <v>74.224521678971897</v>
      </c>
      <c r="BA1" s="464">
        <v>72.543360826895437</v>
      </c>
      <c r="BB1" s="464">
        <f ca="1">AL26+E26+I26+L26</f>
        <v>78.85164908911959</v>
      </c>
      <c r="BF1" s="29"/>
      <c r="BU1" s="116" t="s">
        <v>789</v>
      </c>
    </row>
    <row r="2" spans="1:83" x14ac:dyDescent="0.3">
      <c r="B2" s="22"/>
      <c r="C2" s="141"/>
      <c r="D2" s="22"/>
      <c r="E2" s="29"/>
      <c r="F2" s="29"/>
      <c r="G2" s="475"/>
      <c r="H2" s="22"/>
      <c r="I2" s="29"/>
      <c r="J2" s="22"/>
      <c r="K2" s="22"/>
      <c r="L2" s="29"/>
      <c r="M2" s="22"/>
      <c r="Y2" s="717">
        <f ca="1">SUMPRODUCT(Y8:Y36,S8:S36)/SUM(S8:S36)</f>
        <v>20.041113148048069</v>
      </c>
      <c r="AX2" s="23" t="s">
        <v>778</v>
      </c>
      <c r="AY2" s="463" t="s">
        <v>23</v>
      </c>
      <c r="AZ2" s="457">
        <f>13.0271770053639+'Charges as $M per year'!C56</f>
        <v>16.228378870330879</v>
      </c>
      <c r="BA2" s="464">
        <f>20.5589963161881+'Charges as $M per year'!D56</f>
        <v>26.404815619926516</v>
      </c>
      <c r="BB2" s="464">
        <f ca="1">AL23+E23+I23+L23</f>
        <v>22.353012819415255</v>
      </c>
      <c r="BC2" s="201"/>
      <c r="BD2" s="18"/>
      <c r="BE2" s="18"/>
      <c r="BF2" s="29"/>
      <c r="BG2" s="62"/>
      <c r="BH2" s="62"/>
      <c r="BI2" s="18"/>
      <c r="BJ2" s="18"/>
      <c r="BK2" s="18"/>
      <c r="BL2" s="477"/>
      <c r="BM2" s="477"/>
      <c r="BN2" s="477"/>
      <c r="BO2" s="18"/>
      <c r="BP2" s="18"/>
      <c r="BU2" s="490" t="s">
        <v>23</v>
      </c>
      <c r="BV2" s="491" t="s">
        <v>779</v>
      </c>
      <c r="BW2" s="490" t="s">
        <v>34</v>
      </c>
      <c r="BX2" s="491" t="s">
        <v>677</v>
      </c>
      <c r="BY2" s="490" t="s">
        <v>28</v>
      </c>
      <c r="BZ2" s="491" t="s">
        <v>3</v>
      </c>
    </row>
    <row r="3" spans="1:83" ht="15" thickBot="1" x14ac:dyDescent="0.35">
      <c r="B3" s="22"/>
      <c r="C3" s="22"/>
      <c r="D3" s="22"/>
      <c r="E3" s="29"/>
      <c r="F3" s="29"/>
      <c r="G3" s="475"/>
      <c r="H3" s="22"/>
      <c r="I3" s="29"/>
      <c r="J3" s="22"/>
      <c r="K3" s="22"/>
      <c r="L3" s="29"/>
      <c r="M3" s="22"/>
      <c r="Q3" s="341"/>
      <c r="R3" s="342"/>
      <c r="S3" s="343"/>
      <c r="Y3" s="328">
        <v>0.77</v>
      </c>
      <c r="Z3" s="63"/>
      <c r="AA3" s="63"/>
      <c r="AB3" s="63"/>
      <c r="AY3" s="463" t="s">
        <v>34</v>
      </c>
      <c r="AZ3" s="464">
        <v>4.2899040604009198</v>
      </c>
      <c r="BA3" s="464">
        <v>9.4330050195027919</v>
      </c>
      <c r="BB3" s="457">
        <f ca="1">AL30+E30+I30+L30</f>
        <v>6.0340025735538934</v>
      </c>
      <c r="BC3" s="676"/>
      <c r="BD3" s="18"/>
      <c r="BE3" s="18"/>
      <c r="BF3" s="29"/>
      <c r="BG3" s="62"/>
      <c r="BH3" s="62"/>
      <c r="BI3" s="18"/>
      <c r="BJ3" s="18"/>
      <c r="BK3" s="18"/>
      <c r="BL3" s="477"/>
      <c r="BM3" s="477"/>
      <c r="BN3" s="477"/>
      <c r="BO3" s="18"/>
      <c r="BP3" s="18"/>
      <c r="BT3" s="116" t="s">
        <v>688</v>
      </c>
      <c r="BU3" s="492">
        <f>SUMIF(AMDs!$C$3:$C$227,'Residential Cap'!BU$2,AMDs!$E$3:$E$227)-AMDs!E27+AMDs!A28</f>
        <v>160.27199999999999</v>
      </c>
      <c r="BV3" s="493">
        <f>AMDs!A28</f>
        <v>35.599200000000003</v>
      </c>
      <c r="BW3" s="492">
        <f>AMDs!A98+25</f>
        <v>64.751400000000004</v>
      </c>
      <c r="BX3" s="493">
        <f>AMDs!A97</f>
        <v>8.8262999999999998</v>
      </c>
      <c r="BY3" s="496">
        <f>SUMIF(AMDs!$C$3:$C$227,"Powerco",AMDs!$E$3:$E$227)-AMDs!$E$94</f>
        <v>1094.9883999999995</v>
      </c>
      <c r="BZ3" s="295">
        <v>110.8192</v>
      </c>
    </row>
    <row r="4" spans="1:83" ht="58.2" thickBot="1" x14ac:dyDescent="0.35">
      <c r="B4" s="22"/>
      <c r="C4" s="22"/>
      <c r="D4" s="22"/>
      <c r="E4" s="203"/>
      <c r="F4" s="203"/>
      <c r="G4" s="476"/>
      <c r="H4" s="203"/>
      <c r="I4" s="203"/>
      <c r="J4" s="203"/>
      <c r="K4" s="203"/>
      <c r="L4" s="203"/>
      <c r="M4" s="203"/>
      <c r="N4" s="52"/>
      <c r="O4" s="340"/>
      <c r="P4" s="340"/>
      <c r="Q4" s="341"/>
      <c r="R4" s="342"/>
      <c r="S4" s="684" t="s">
        <v>816</v>
      </c>
      <c r="W4" s="684" t="s">
        <v>748</v>
      </c>
      <c r="AA4" s="682" t="s">
        <v>753</v>
      </c>
      <c r="AB4" s="681" t="s">
        <v>752</v>
      </c>
      <c r="AC4" s="683" t="str">
        <f>IF((AC5&gt;0)*(AC5&lt;0.15),"capped","uncapped")</f>
        <v>capped</v>
      </c>
      <c r="AD4" s="344" t="b">
        <f ca="1">MAX(AD8:AD62)=AC5</f>
        <v>1</v>
      </c>
      <c r="AI4" s="79"/>
      <c r="AL4" s="345" t="b">
        <f ca="1">MIN(AL8:AL62)&gt;0</f>
        <v>0</v>
      </c>
      <c r="AM4" s="346" t="b">
        <f ca="1">MAX(AM8:AM62)=AC5</f>
        <v>1</v>
      </c>
      <c r="AQ4" s="120" t="b">
        <f ca="1">ROUND(AQ35,5)=ROUND(SUM(AQ8:AQ36)/COUNT(AQ8:AQ36),5)</f>
        <v>1</v>
      </c>
      <c r="AR4" s="347"/>
      <c r="AS4" s="347"/>
      <c r="AW4" s="60"/>
      <c r="AX4" s="60"/>
      <c r="AY4" s="60"/>
      <c r="AZ4" s="433"/>
      <c r="BA4" s="433"/>
      <c r="BB4" s="60"/>
      <c r="BC4" s="66"/>
      <c r="BE4" s="60"/>
      <c r="BF4" s="348"/>
      <c r="BG4" s="60"/>
      <c r="BJ4" s="349"/>
      <c r="BL4" s="350"/>
      <c r="BT4" s="116" t="s">
        <v>46</v>
      </c>
      <c r="BU4" s="494">
        <v>121.72189999999999</v>
      </c>
      <c r="BV4" s="495">
        <v>32.102719999999998</v>
      </c>
      <c r="BW4" s="494">
        <v>56.051459999999999</v>
      </c>
      <c r="BX4" s="495">
        <v>6.4534200000000004</v>
      </c>
      <c r="BY4" s="499">
        <f>749418.6/1000</f>
        <v>749.41859999999997</v>
      </c>
      <c r="BZ4" s="312">
        <f>66381.14/1000</f>
        <v>66.381140000000002</v>
      </c>
      <c r="CD4" s="433"/>
      <c r="CE4" s="433"/>
    </row>
    <row r="5" spans="1:83" ht="43.5" customHeight="1" thickBot="1" x14ac:dyDescent="0.35">
      <c r="E5" s="472"/>
      <c r="F5" s="472"/>
      <c r="G5" s="472"/>
      <c r="H5" s="472"/>
      <c r="I5" s="473"/>
      <c r="J5" s="473"/>
      <c r="K5" s="474"/>
      <c r="L5" s="340"/>
      <c r="M5" s="52"/>
      <c r="N5" s="52"/>
      <c r="O5" s="340"/>
      <c r="P5" s="340"/>
      <c r="S5" s="685">
        <v>1.05</v>
      </c>
      <c r="T5" s="340"/>
      <c r="U5" s="340"/>
      <c r="V5" s="686"/>
      <c r="W5" s="685">
        <v>7.5</v>
      </c>
      <c r="X5" s="19"/>
      <c r="Y5" s="56" t="s">
        <v>790</v>
      </c>
      <c r="AA5" s="687">
        <v>0.01</v>
      </c>
      <c r="AB5" s="687">
        <v>0.107</v>
      </c>
      <c r="AC5" s="688">
        <v>3.5000000000000003E-2</v>
      </c>
      <c r="AE5" s="744" t="s">
        <v>700</v>
      </c>
      <c r="AF5" s="744"/>
      <c r="AG5" s="744"/>
      <c r="AH5" s="744"/>
      <c r="AJ5" s="744" t="s">
        <v>701</v>
      </c>
      <c r="AK5" s="744"/>
      <c r="AL5" s="744"/>
      <c r="AM5" s="744"/>
      <c r="AN5" s="120"/>
      <c r="AY5" s="745"/>
      <c r="AZ5" s="745"/>
      <c r="BH5" s="62"/>
      <c r="BI5" s="79"/>
    </row>
    <row r="6" spans="1:83" ht="32.25" customHeight="1" x14ac:dyDescent="0.3">
      <c r="E6" s="340"/>
      <c r="F6" s="340"/>
      <c r="H6" s="340"/>
      <c r="I6" s="340"/>
      <c r="J6" s="340"/>
      <c r="K6" s="340"/>
      <c r="L6" s="340"/>
      <c r="M6" s="52"/>
      <c r="N6" s="52"/>
      <c r="O6" s="340"/>
      <c r="P6" s="340"/>
      <c r="Q6" s="340"/>
      <c r="R6" s="340"/>
      <c r="X6" s="19"/>
      <c r="Y6" s="430">
        <v>20</v>
      </c>
      <c r="Z6" s="501"/>
      <c r="AA6" s="502">
        <f>IF('Recovery amounts'!K17=3,'Residential Cap'!AB5,0)</f>
        <v>0.107</v>
      </c>
      <c r="AE6" s="351"/>
      <c r="AF6" s="352">
        <f ca="1">SUM($AF$8:$AF$62)</f>
        <v>12.912625906877969</v>
      </c>
      <c r="AG6" s="351" t="s">
        <v>702</v>
      </c>
      <c r="AH6" s="351"/>
      <c r="AJ6" s="351"/>
      <c r="AK6" s="352">
        <f ca="1">SUM($AK$8:$AK$62)</f>
        <v>0</v>
      </c>
      <c r="AL6" s="351" t="s">
        <v>702</v>
      </c>
      <c r="AM6" s="353"/>
      <c r="AO6" s="343" t="s">
        <v>703</v>
      </c>
      <c r="AQ6" s="354"/>
      <c r="AT6" s="746" t="s">
        <v>757</v>
      </c>
      <c r="AU6" s="747"/>
      <c r="AV6" s="747"/>
      <c r="AW6" s="748"/>
      <c r="AX6" s="55"/>
      <c r="AY6" s="433"/>
      <c r="AZ6" s="749" t="s">
        <v>769</v>
      </c>
      <c r="BA6" s="749"/>
      <c r="BB6" s="749"/>
      <c r="BC6" s="749"/>
      <c r="BD6" s="749"/>
      <c r="BE6" s="433"/>
      <c r="BF6" s="743" t="s">
        <v>780</v>
      </c>
      <c r="BG6" s="743"/>
      <c r="BH6" s="743"/>
      <c r="BI6" s="743"/>
      <c r="BJ6" s="743"/>
      <c r="BK6" s="433"/>
      <c r="BL6" s="743" t="s">
        <v>770</v>
      </c>
      <c r="BM6" s="743"/>
      <c r="BN6" s="743"/>
      <c r="BO6" s="743"/>
      <c r="BP6" s="743"/>
    </row>
    <row r="7" spans="1:83" ht="78.75" customHeight="1" x14ac:dyDescent="0.3">
      <c r="A7" s="351"/>
      <c r="B7" s="355" t="s">
        <v>51</v>
      </c>
      <c r="C7" s="355" t="s">
        <v>627</v>
      </c>
      <c r="D7" s="355" t="s">
        <v>583</v>
      </c>
      <c r="E7" s="356" t="s">
        <v>479</v>
      </c>
      <c r="F7" s="356" t="s">
        <v>704</v>
      </c>
      <c r="H7" s="356" t="s">
        <v>56</v>
      </c>
      <c r="I7" s="356" t="s">
        <v>705</v>
      </c>
      <c r="J7" s="356" t="s">
        <v>597</v>
      </c>
      <c r="K7" s="356" t="s">
        <v>598</v>
      </c>
      <c r="L7" s="356" t="s">
        <v>593</v>
      </c>
      <c r="M7" s="357"/>
      <c r="N7" s="356" t="s">
        <v>706</v>
      </c>
      <c r="O7" s="356" t="s">
        <v>707</v>
      </c>
      <c r="P7" s="356"/>
      <c r="Q7" s="356" t="s">
        <v>599</v>
      </c>
      <c r="R7" s="358"/>
      <c r="S7" s="356" t="s">
        <v>708</v>
      </c>
      <c r="T7" s="356" t="s">
        <v>709</v>
      </c>
      <c r="U7" s="356" t="s">
        <v>710</v>
      </c>
      <c r="V7" s="359"/>
      <c r="W7" s="360" t="s">
        <v>711</v>
      </c>
      <c r="X7" s="360" t="s">
        <v>750</v>
      </c>
      <c r="Y7" s="360" t="s">
        <v>791</v>
      </c>
      <c r="Z7" s="434" t="s">
        <v>747</v>
      </c>
      <c r="AA7" s="361" t="s">
        <v>751</v>
      </c>
      <c r="AB7" s="362"/>
      <c r="AC7" s="363" t="s">
        <v>460</v>
      </c>
      <c r="AD7" s="364"/>
      <c r="AE7" s="356" t="s">
        <v>712</v>
      </c>
      <c r="AF7" s="356" t="s">
        <v>713</v>
      </c>
      <c r="AG7" s="365" t="s">
        <v>714</v>
      </c>
      <c r="AH7" s="366" t="s">
        <v>715</v>
      </c>
      <c r="AI7" s="56"/>
      <c r="AJ7" s="356" t="s">
        <v>712</v>
      </c>
      <c r="AK7" s="356" t="s">
        <v>713</v>
      </c>
      <c r="AL7" s="365" t="s">
        <v>714</v>
      </c>
      <c r="AM7" s="367" t="s">
        <v>716</v>
      </c>
      <c r="AO7" s="116" t="s">
        <v>717</v>
      </c>
      <c r="AQ7" s="368" t="s">
        <v>718</v>
      </c>
      <c r="AR7" s="60" t="str">
        <f>"Cap, "&amp;AC5*100&amp;"%"</f>
        <v>Cap, 3.5%</v>
      </c>
      <c r="AT7" s="70"/>
      <c r="AU7" s="285" t="s">
        <v>771</v>
      </c>
      <c r="AV7" s="446"/>
      <c r="AW7" s="285" t="str">
        <f>"Refined issues paper, "&amp;AC4&amp;", "&amp;'Recovery amounts'!K18</f>
        <v>Refined issues paper, capped, WACC adjustment applied</v>
      </c>
      <c r="AX7" s="49"/>
      <c r="AY7" s="15" t="s">
        <v>758</v>
      </c>
      <c r="AZ7" s="449" t="s">
        <v>783</v>
      </c>
      <c r="BA7" s="449" t="s">
        <v>771</v>
      </c>
      <c r="BB7" s="72" t="str">
        <f>"Refined issues paper"&amp; ", "&amp;AC4&amp;", "&amp;'Recovery amounts'!K18</f>
        <v>Refined issues paper, capped, WACC adjustment applied</v>
      </c>
      <c r="BC7" s="369"/>
      <c r="BD7" s="413"/>
      <c r="BE7" s="15" t="s">
        <v>758</v>
      </c>
      <c r="BF7" s="449" t="s">
        <v>783</v>
      </c>
      <c r="BG7" s="449" t="s">
        <v>771</v>
      </c>
      <c r="BH7" s="285" t="str">
        <f>"Refined issues paper"", "&amp;$AC$4&amp;", "&amp;'Recovery amounts'!$K$18</f>
        <v>Refined issues paper", capped, WACC adjustment applied</v>
      </c>
      <c r="BI7" s="369"/>
      <c r="BJ7" s="413"/>
      <c r="BK7" s="15" t="s">
        <v>758</v>
      </c>
      <c r="BL7" s="449" t="s">
        <v>783</v>
      </c>
      <c r="BM7" s="449" t="s">
        <v>771</v>
      </c>
      <c r="BN7" s="285" t="str">
        <f>"Refined issues paper"&amp; ", "&amp;AC4&amp;", "&amp;'Recovery amounts'!K18</f>
        <v>Refined issues paper, capped, WACC adjustment applied</v>
      </c>
      <c r="BO7" s="369"/>
      <c r="BP7" s="413"/>
    </row>
    <row r="8" spans="1:83" x14ac:dyDescent="0.3">
      <c r="A8" s="370" t="str">
        <f>D8</f>
        <v>Alpine Energy</v>
      </c>
      <c r="C8" s="116" t="s">
        <v>0</v>
      </c>
      <c r="D8" s="128" t="s">
        <v>0</v>
      </c>
      <c r="E8" s="129">
        <f ca="1">'Charges to party by investment'!AL9</f>
        <v>1.2114330807565161</v>
      </c>
      <c r="F8" s="129">
        <f ca="1">'Charges to party by investment'!AM9</f>
        <v>4.8138256599976463</v>
      </c>
      <c r="H8" s="129">
        <f>'Charges to party by investment'!AN9</f>
        <v>2.9937634400000013</v>
      </c>
      <c r="I8" s="129">
        <f ca="1">'Charges to party by investment'!AO9</f>
        <v>0.17168094540882853</v>
      </c>
      <c r="J8" s="130">
        <f ca="1">'Charges to party by investment'!AP9</f>
        <v>0.14243314958409037</v>
      </c>
      <c r="K8" s="130">
        <f ca="1">'Charges to party by investment'!AQ9</f>
        <v>1.8689782747125339E-2</v>
      </c>
      <c r="L8" s="129">
        <f ca="1">'Charges to party by investment'!AR9</f>
        <v>3.5136791564595637</v>
      </c>
      <c r="M8" s="264"/>
      <c r="N8" s="79">
        <f>'Charges to party by investment'!AS9</f>
        <v>158.68860000000001</v>
      </c>
      <c r="O8" s="79">
        <f t="shared" ref="O8:O36" ca="1" si="0">L8+I8+F8+E8</f>
        <v>9.7106188426225533</v>
      </c>
      <c r="Q8" s="79">
        <v>10.520382771990599</v>
      </c>
      <c r="R8" s="79"/>
      <c r="S8" s="8">
        <f ca="1">_xlfn.IFNA(OFFSET(Volumes!$C$1,MATCH($D8,Volumes!$A$2:$A$46,0),0),0)*$S$5+_xlfn.IFNA(OFFSET(Volumes!$C$1,MATCH($B8,Volumes!$A$2:$A$46,0),0),0)</f>
        <v>833.44653000000005</v>
      </c>
      <c r="T8" s="80">
        <f t="shared" ref="T8:T36" ca="1" si="1">1000*Q8/$S8</f>
        <v>12.622744703239208</v>
      </c>
      <c r="U8" s="80">
        <f ca="1">1000*O8/$S8</f>
        <v>11.651159964182169</v>
      </c>
      <c r="V8" s="58"/>
      <c r="W8" s="80">
        <f>'EDB data_trans'!N4</f>
        <v>22.431057812555494</v>
      </c>
      <c r="X8" s="80">
        <f>'EDB data_trans'!F4*(1+$AA$5)^3</f>
        <v>24.741166532978472</v>
      </c>
      <c r="Y8" s="80">
        <f>X8*$Y$3</f>
        <v>19.050698230393422</v>
      </c>
      <c r="Z8" s="435">
        <f>(1-$AA$6*'EDB data_trans'!H4)*Y8</f>
        <v>18.276416637019963</v>
      </c>
      <c r="AA8" s="219">
        <f t="shared" ref="AA8:AA36" ca="1" si="2">((($U8-$T8)/10-(Y8-Z8))/$Y8)</f>
        <v>-4.5743208817872638E-2</v>
      </c>
      <c r="AB8" s="346">
        <f t="shared" ref="AB8:AB36" ca="1" si="3">BH8/(Z8*10+U8-T8)</f>
        <v>6.5722290157303187E-2</v>
      </c>
      <c r="AC8" s="325">
        <f t="shared" ref="AC8:AC36" ca="1" si="4">(((($AC$5*Y8)*10)+T8)*S8/1000)-E8-I8-L8+((Y8-Z8)*10*S8/1000)</f>
        <v>17.634021078734985</v>
      </c>
      <c r="AD8" s="219">
        <f t="shared" ref="AD8:AD36" ca="1" si="5">IF(AA8&gt;$AC$5,$AC$5,AA8)</f>
        <v>-4.5743208817872638E-2</v>
      </c>
      <c r="AE8" s="116">
        <f t="shared" ref="AE8:AE36" ca="1" si="6">IF(AA8&gt;$AC$5,AC8,0)</f>
        <v>0</v>
      </c>
      <c r="AF8" s="79">
        <f ca="1">IF(AE8=0,0,$F8-AE8)</f>
        <v>0</v>
      </c>
      <c r="AG8" s="371">
        <f t="shared" ref="AG8:AG36" ca="1" si="7">IF(AE8=0,F8+(F8*$AF$6/(SUMIF($AE$8:$AE$62,"=0",$F$8:$F$62))),AE8)</f>
        <v>5.0610799366555055</v>
      </c>
      <c r="AH8" s="219">
        <f t="shared" ref="AH8:AH36" ca="1" si="8">(((((AG8+E8+I8+L8)*1000/S8)-T8)/10)-(Y8-Z8))/Y8</f>
        <v>-4.4185970176867276E-2</v>
      </c>
      <c r="AJ8" s="372">
        <f t="shared" ref="AJ8:AJ36" ca="1" si="9">IF(AH8&gt;=$AC$5,AC8,0)</f>
        <v>0</v>
      </c>
      <c r="AK8" s="79">
        <f ca="1">IF(AJ8=0,0,$AG8-AJ8)</f>
        <v>0</v>
      </c>
      <c r="AL8" s="371">
        <f t="shared" ref="AL8:AL36" ca="1" si="10">IF(AJ8=0,AG8+(F8*$AK$6/(SUMIF($AJ$8:$AJ$62,"=0",$F$8:$F$62))),AJ8)</f>
        <v>5.0610799366555055</v>
      </c>
      <c r="AM8" s="219">
        <f t="shared" ref="AM8:AM36" ca="1" si="11">(((((AL8+E8+I8+L8)*1000/S8)-T8)/10)-(Y8-Z8))/Y8</f>
        <v>-4.4185970176867276E-2</v>
      </c>
      <c r="AN8" s="440"/>
      <c r="AO8" s="153">
        <v>-3.3436330503635201E-3</v>
      </c>
      <c r="AQ8" s="219">
        <f t="shared" ref="AQ8:AQ36" ca="1" si="12">IF(AM8&lt;$AC$5,(AL8-F8)/F8,"")</f>
        <v>5.1363363387360403E-2</v>
      </c>
      <c r="AR8" s="347">
        <f t="shared" ref="AR8:AR39" si="13">$AC$5</f>
        <v>3.5000000000000003E-2</v>
      </c>
      <c r="AS8" s="66"/>
      <c r="AT8" s="169" t="str">
        <f>C8</f>
        <v>Alpine Energy</v>
      </c>
      <c r="AU8" s="453">
        <f>AO8</f>
        <v>-3.3436330503635201E-3</v>
      </c>
      <c r="AV8" s="75"/>
      <c r="AW8" s="453">
        <f ca="1">AM8</f>
        <v>-4.4185970176867276E-2</v>
      </c>
      <c r="AX8" s="373"/>
      <c r="AY8" s="70" t="str">
        <f>AT8</f>
        <v>Alpine Energy</v>
      </c>
      <c r="AZ8" s="166">
        <v>10.520382771990599</v>
      </c>
      <c r="BA8" s="166">
        <v>9.9250540884727805</v>
      </c>
      <c r="BB8" s="166">
        <f t="shared" ref="BB8:BB36" ca="1" si="14">AL8+E8+I8+L8</f>
        <v>9.9578731192804142</v>
      </c>
      <c r="BC8" s="374"/>
      <c r="BD8" s="374"/>
      <c r="BE8" s="70" t="str">
        <f>AY8</f>
        <v>Alpine Energy</v>
      </c>
      <c r="BF8" s="166">
        <f ca="1">AZ8/$S8*1000</f>
        <v>12.622744703239208</v>
      </c>
      <c r="BG8" s="166">
        <f ca="1">VLOOKUP(D8,'Geographic sort_trans'!C$11:O$61,13,0)</f>
        <v>12.503869675834416</v>
      </c>
      <c r="BH8" s="166">
        <f t="shared" ref="BH8:BH22" ca="1" si="15">BB8/$S8*1000</f>
        <v>11.947824798407179</v>
      </c>
      <c r="BI8" s="450"/>
      <c r="BJ8" s="451"/>
      <c r="BK8" s="70" t="str">
        <f>BE8</f>
        <v>Alpine Energy</v>
      </c>
      <c r="BL8" s="453">
        <f t="shared" ref="BL8:BL36" ca="1" si="16">BF8/(Z8*10+U8-T8+BF8-BH8)</f>
        <v>6.9178043196643169E-2</v>
      </c>
      <c r="BM8" s="453">
        <f ca="1">BG8/(Z8*10+U8-T8+BG8-BH8)</f>
        <v>6.8571230369244229E-2</v>
      </c>
      <c r="BN8" s="453">
        <f t="shared" ref="BN8:BN36" ca="1" si="17">BH8/($Z8*10+$U8-$T8)</f>
        <v>6.5722290157303187E-2</v>
      </c>
      <c r="BO8" s="169"/>
      <c r="BP8" s="414"/>
      <c r="BT8" s="471"/>
      <c r="BU8" s="469"/>
      <c r="BV8" s="469"/>
      <c r="BW8" s="469"/>
      <c r="BX8" s="469"/>
    </row>
    <row r="9" spans="1:83" x14ac:dyDescent="0.3">
      <c r="A9" s="370" t="str">
        <f t="shared" ref="A9:A62" si="18">D9</f>
        <v>Aurora Energy</v>
      </c>
      <c r="C9" s="116" t="s">
        <v>1</v>
      </c>
      <c r="D9" s="128" t="s">
        <v>1</v>
      </c>
      <c r="E9" s="129">
        <f ca="1">'Charges to party by investment'!AL10</f>
        <v>1.933187903449151</v>
      </c>
      <c r="F9" s="129">
        <f ca="1">'Charges to party by investment'!AM10</f>
        <v>9.6403283348741962</v>
      </c>
      <c r="H9" s="129">
        <f>'Charges to party by investment'!AN10</f>
        <v>4.244808209999996</v>
      </c>
      <c r="I9" s="129">
        <f ca="1">'Charges to party by investment'!AO10</f>
        <v>0</v>
      </c>
      <c r="J9" s="130">
        <f ca="1">'Charges to party by investment'!AP10</f>
        <v>0.10387827189483391</v>
      </c>
      <c r="K9" s="130">
        <f ca="1">'Charges to party by investment'!AQ10</f>
        <v>3.7428784280036306E-2</v>
      </c>
      <c r="L9" s="129">
        <f ca="1">'Charges to party by investment'!AR10</f>
        <v>7.0366114446468258</v>
      </c>
      <c r="M9" s="264"/>
      <c r="N9" s="79">
        <f>'Charges to party by investment'!AS10</f>
        <v>317.79509999999993</v>
      </c>
      <c r="O9" s="79">
        <f t="shared" ca="1" si="0"/>
        <v>18.610127682970173</v>
      </c>
      <c r="Q9" s="79">
        <v>21.554936096804902</v>
      </c>
      <c r="R9" s="79"/>
      <c r="S9" s="8">
        <f ca="1">_xlfn.IFNA(OFFSET(Volumes!$C$1,MATCH($D9,Volumes!$A$2:$A$46,0),0),0)*$S$5+_xlfn.IFNA(OFFSET(Volumes!$C$1,MATCH($B9,Volumes!$A$2:$A$46,0),0),0)</f>
        <v>1417.836</v>
      </c>
      <c r="T9" s="80">
        <f t="shared" ca="1" si="1"/>
        <v>15.202700521643477</v>
      </c>
      <c r="U9" s="80">
        <f t="shared" ref="U9:U36" ca="1" si="19">1000*O9/$S9</f>
        <v>13.125726588244461</v>
      </c>
      <c r="V9" s="58"/>
      <c r="W9" s="80">
        <f>'EDB data_trans'!N5</f>
        <v>24.072314416102458</v>
      </c>
      <c r="X9" s="80">
        <f>'EDB data_trans'!F5*(1+$AA$5)^3</f>
        <v>25.220053656532031</v>
      </c>
      <c r="Y9" s="80">
        <f t="shared" ref="Y9:Y36" si="20">X9*$Y$3</f>
        <v>19.419441315529664</v>
      </c>
      <c r="Z9" s="435">
        <f>(1-$AA$6*'EDB data_trans'!H5)*Y9</f>
        <v>18.578685104483892</v>
      </c>
      <c r="AA9" s="219">
        <f t="shared" ca="1" si="2"/>
        <v>-5.3989895350245141E-2</v>
      </c>
      <c r="AB9" s="346">
        <f t="shared" ca="1" si="3"/>
        <v>7.334914715355545E-2</v>
      </c>
      <c r="AC9" s="325">
        <f t="shared" ca="1" si="4"/>
        <v>34.142435030117717</v>
      </c>
      <c r="AD9" s="219">
        <f t="shared" ca="1" si="5"/>
        <v>-5.3989895350245141E-2</v>
      </c>
      <c r="AE9" s="116">
        <f t="shared" ca="1" si="6"/>
        <v>0</v>
      </c>
      <c r="AF9" s="79">
        <f t="shared" ref="AF9:AF36" ca="1" si="21">IF(AE9=0,0,F9-AE9)</f>
        <v>0</v>
      </c>
      <c r="AG9" s="371">
        <f t="shared" ca="1" si="7"/>
        <v>10.135488022311806</v>
      </c>
      <c r="AH9" s="219">
        <f t="shared" ca="1" si="8"/>
        <v>-5.2191510855605472E-2</v>
      </c>
      <c r="AJ9" s="372">
        <f t="shared" ca="1" si="9"/>
        <v>0</v>
      </c>
      <c r="AK9" s="79">
        <f t="shared" ref="AK9:AK36" ca="1" si="22">IF(AJ9=0,0,$AG9-AJ9)</f>
        <v>0</v>
      </c>
      <c r="AL9" s="371">
        <f t="shared" ca="1" si="10"/>
        <v>10.135488022311806</v>
      </c>
      <c r="AM9" s="219">
        <f t="shared" ca="1" si="11"/>
        <v>-5.2191510855605472E-2</v>
      </c>
      <c r="AN9" s="440"/>
      <c r="AO9" s="153">
        <v>-6.9167954439450681E-3</v>
      </c>
      <c r="AQ9" s="219">
        <f t="shared" ca="1" si="12"/>
        <v>5.1363363387360375E-2</v>
      </c>
      <c r="AR9" s="347">
        <f t="shared" si="13"/>
        <v>3.5000000000000003E-2</v>
      </c>
      <c r="AS9" s="66"/>
      <c r="AT9" s="169" t="str">
        <f t="shared" ref="AT9:AT36" si="23">C9</f>
        <v>Aurora Energy</v>
      </c>
      <c r="AU9" s="453">
        <f t="shared" ref="AU9:AU36" si="24">AO9</f>
        <v>-6.9167954439450681E-3</v>
      </c>
      <c r="AV9" s="453"/>
      <c r="AW9" s="453">
        <f t="shared" ref="AW9:AW36" ca="1" si="25">AM9</f>
        <v>-5.2191510855605472E-2</v>
      </c>
      <c r="AX9" s="373"/>
      <c r="AY9" s="70" t="str">
        <f t="shared" ref="AY9:AY36" si="26">AT9</f>
        <v>Aurora Energy</v>
      </c>
      <c r="AZ9" s="166">
        <v>21.554936096804902</v>
      </c>
      <c r="BA9" s="166">
        <v>19.306609078166034</v>
      </c>
      <c r="BB9" s="166">
        <f t="shared" ca="1" si="14"/>
        <v>19.105287370407783</v>
      </c>
      <c r="BC9" s="374"/>
      <c r="BD9" s="374"/>
      <c r="BE9" s="70" t="str">
        <f t="shared" ref="BE9:BE49" si="27">AY9</f>
        <v>Aurora Energy</v>
      </c>
      <c r="BF9" s="166">
        <f t="shared" ref="BF9:BH36" ca="1" si="28">AZ9/$S9*1000</f>
        <v>15.202700521643479</v>
      </c>
      <c r="BG9" s="166">
        <f ca="1">VLOOKUP(D9,'Geographic sort_trans'!C$11:O$61,13,0)</f>
        <v>14.297802800940541</v>
      </c>
      <c r="BH9" s="166">
        <f t="shared" ca="1" si="15"/>
        <v>13.474962809808597</v>
      </c>
      <c r="BI9" s="450"/>
      <c r="BJ9" s="451"/>
      <c r="BK9" s="70" t="str">
        <f t="shared" ref="BK9:BK36" si="29">BE9</f>
        <v>Aurora Energy</v>
      </c>
      <c r="BL9" s="453">
        <f t="shared" ca="1" si="16"/>
        <v>8.1982830377385463E-2</v>
      </c>
      <c r="BM9" s="453">
        <f t="shared" ref="BM9:BM36" ca="1" si="30">BG9/(Z9*10+U9-T9+BG9-BH9)</f>
        <v>7.7481126520199436E-2</v>
      </c>
      <c r="BN9" s="453">
        <f t="shared" ca="1" si="17"/>
        <v>7.334914715355545E-2</v>
      </c>
      <c r="BO9" s="169"/>
      <c r="BP9" s="414"/>
      <c r="BT9" s="469"/>
      <c r="BU9" s="470"/>
      <c r="BV9" s="470"/>
      <c r="BW9" s="471"/>
      <c r="BX9" s="471"/>
    </row>
    <row r="10" spans="1:83" x14ac:dyDescent="0.3">
      <c r="A10" s="370" t="str">
        <f t="shared" si="18"/>
        <v>Buller Electricity</v>
      </c>
      <c r="C10" s="116" t="s">
        <v>2</v>
      </c>
      <c r="D10" s="128" t="s">
        <v>2</v>
      </c>
      <c r="E10" s="129">
        <f ca="1">'Charges to party by investment'!AL11</f>
        <v>0.15331208458251716</v>
      </c>
      <c r="F10" s="129">
        <f ca="1">'Charges to party by investment'!AM11</f>
        <v>0.38601828824235107</v>
      </c>
      <c r="H10" s="129">
        <f>'Charges to party by investment'!AN11</f>
        <v>1.4912408599999996</v>
      </c>
      <c r="I10" s="129">
        <f ca="1">'Charges to party by investment'!AO11</f>
        <v>0</v>
      </c>
      <c r="J10" s="130">
        <f ca="1">'Charges to party by investment'!AP11</f>
        <v>0.18671763172987224</v>
      </c>
      <c r="K10" s="130">
        <f ca="1">'Charges to party by investment'!AQ11</f>
        <v>1.4987243937019266E-3</v>
      </c>
      <c r="L10" s="129">
        <f ca="1">'Charges to party by investment'!AR11</f>
        <v>0.2817601860159622</v>
      </c>
      <c r="M10" s="264"/>
      <c r="N10" s="79">
        <f>'Charges to party by investment'!AS11</f>
        <v>12.725159999999899</v>
      </c>
      <c r="O10" s="79">
        <f t="shared" ca="1" si="0"/>
        <v>0.82109055884083038</v>
      </c>
      <c r="Q10" s="79">
        <v>1.27681536780783</v>
      </c>
      <c r="R10" s="79"/>
      <c r="S10" s="8">
        <f ca="1">_xlfn.IFNA(OFFSET(Volumes!$C$1,MATCH($D10,Volumes!$A$2:$A$46,0),0),0)*$S$5+_xlfn.IFNA(OFFSET(Volumes!$C$1,MATCH($B10,Volumes!$A$2:$A$46,0),0),0)</f>
        <v>66.786929999999998</v>
      </c>
      <c r="T10" s="80">
        <f t="shared" ca="1" si="1"/>
        <v>19.117743064516215</v>
      </c>
      <c r="U10" s="80">
        <f t="shared" ca="1" si="19"/>
        <v>12.294180296067365</v>
      </c>
      <c r="V10" s="58"/>
      <c r="W10" s="80">
        <f>'EDB data_trans'!N6</f>
        <v>31.31951806864706</v>
      </c>
      <c r="X10" s="80">
        <f>'EDB data_trans'!F6*(1+$AA$5)^3</f>
        <v>33.30589186921177</v>
      </c>
      <c r="Y10" s="80">
        <f t="shared" si="20"/>
        <v>25.645536739293064</v>
      </c>
      <c r="Z10" s="435">
        <f>(1-$AA$6*'EDB data_trans'!H6)*Y10</f>
        <v>24.406801317210324</v>
      </c>
      <c r="AA10" s="219">
        <f t="shared" ca="1" si="2"/>
        <v>-7.490939723574612E-2</v>
      </c>
      <c r="AB10" s="346">
        <f t="shared" ca="1" si="3"/>
        <v>5.3072064260461169E-2</v>
      </c>
      <c r="AC10" s="325">
        <f t="shared" ca="1" si="4"/>
        <v>2.2685317898978132</v>
      </c>
      <c r="AD10" s="219">
        <f t="shared" ca="1" si="5"/>
        <v>-7.490939723574612E-2</v>
      </c>
      <c r="AE10" s="116">
        <f t="shared" ca="1" si="6"/>
        <v>0</v>
      </c>
      <c r="AF10" s="79">
        <f t="shared" ca="1" si="21"/>
        <v>0</v>
      </c>
      <c r="AG10" s="371">
        <f t="shared" ca="1" si="7"/>
        <v>0.40584548585550978</v>
      </c>
      <c r="AH10" s="219">
        <f t="shared" ca="1" si="8"/>
        <v>-7.3751798452725476E-2</v>
      </c>
      <c r="AJ10" s="372">
        <f t="shared" ca="1" si="9"/>
        <v>0</v>
      </c>
      <c r="AK10" s="79">
        <f t="shared" ca="1" si="22"/>
        <v>0</v>
      </c>
      <c r="AL10" s="371">
        <f t="shared" ca="1" si="10"/>
        <v>0.40584548585550978</v>
      </c>
      <c r="AM10" s="219">
        <f t="shared" ca="1" si="11"/>
        <v>-7.3751798452725476E-2</v>
      </c>
      <c r="AN10" s="440"/>
      <c r="AO10" s="153">
        <v>1.5423297154715505E-2</v>
      </c>
      <c r="AQ10" s="219">
        <f t="shared" ca="1" si="12"/>
        <v>5.1363363387360403E-2</v>
      </c>
      <c r="AR10" s="347">
        <f t="shared" si="13"/>
        <v>3.5000000000000003E-2</v>
      </c>
      <c r="AS10" s="66"/>
      <c r="AT10" s="169" t="str">
        <f t="shared" si="23"/>
        <v>Buller Electricity</v>
      </c>
      <c r="AU10" s="453">
        <f t="shared" si="24"/>
        <v>1.5423297154715505E-2</v>
      </c>
      <c r="AV10" s="453"/>
      <c r="AW10" s="453">
        <f t="shared" ca="1" si="25"/>
        <v>-7.3751798452725476E-2</v>
      </c>
      <c r="AX10" s="373"/>
      <c r="AY10" s="70" t="str">
        <f t="shared" si="26"/>
        <v>Buller Electricity</v>
      </c>
      <c r="AZ10" s="166">
        <v>1.27681536780783</v>
      </c>
      <c r="BA10" s="166">
        <v>1.7941505751254221</v>
      </c>
      <c r="BB10" s="166">
        <f ca="1">AL10+E10+I10+L10</f>
        <v>0.84091775645398914</v>
      </c>
      <c r="BC10" s="374"/>
      <c r="BD10" s="374"/>
      <c r="BE10" s="70" t="str">
        <f t="shared" si="27"/>
        <v>Buller Electricity</v>
      </c>
      <c r="BF10" s="166">
        <f t="shared" ca="1" si="28"/>
        <v>19.117743064516219</v>
      </c>
      <c r="BG10" s="166">
        <f ca="1">VLOOKUP(D10,'Geographic sort_trans'!C$11:O$61,13,0)</f>
        <v>16.752481616071904</v>
      </c>
      <c r="BH10" s="166">
        <f t="shared" ca="1" si="15"/>
        <v>12.591052717260537</v>
      </c>
      <c r="BI10" s="450"/>
      <c r="BJ10" s="451"/>
      <c r="BK10" s="70" t="str">
        <f t="shared" si="29"/>
        <v>Buller Electricity</v>
      </c>
      <c r="BL10" s="453">
        <f t="shared" ca="1" si="16"/>
        <v>7.8424964520517587E-2</v>
      </c>
      <c r="BM10" s="453">
        <f t="shared" ca="1" si="30"/>
        <v>6.9395499664207203E-2</v>
      </c>
      <c r="BN10" s="453">
        <f t="shared" ca="1" si="17"/>
        <v>5.3072064260461169E-2</v>
      </c>
      <c r="BO10" s="169"/>
      <c r="BP10" s="414"/>
      <c r="BT10" s="469"/>
      <c r="BU10" s="470"/>
      <c r="BV10" s="470"/>
      <c r="BW10" s="470"/>
      <c r="BX10" s="470"/>
    </row>
    <row r="11" spans="1:83" x14ac:dyDescent="0.3">
      <c r="A11" s="370" t="str">
        <f t="shared" si="18"/>
        <v>Centralines</v>
      </c>
      <c r="C11" s="116" t="s">
        <v>68</v>
      </c>
      <c r="D11" s="128" t="s">
        <v>68</v>
      </c>
      <c r="E11" s="129">
        <f ca="1">'Charges to party by investment'!AL12</f>
        <v>0.46376643572213477</v>
      </c>
      <c r="F11" s="129">
        <f ca="1">'Charges to party by investment'!AM12</f>
        <v>0.61964484284992061</v>
      </c>
      <c r="H11" s="129">
        <f>'Charges to party by investment'!AN12</f>
        <v>0.72055638</v>
      </c>
      <c r="I11" s="129">
        <f ca="1">'Charges to party by investment'!AO12</f>
        <v>1.0723632311196191E-2</v>
      </c>
      <c r="J11" s="130">
        <f ca="1">'Charges to party by investment'!AP12</f>
        <v>0.3068308277083433</v>
      </c>
      <c r="K11" s="130">
        <f ca="1">'Charges to party by investment'!AQ12</f>
        <v>2.4057845695324375E-3</v>
      </c>
      <c r="L11" s="129">
        <f ca="1">'Charges to party by investment'!AR12</f>
        <v>0.45228749907209825</v>
      </c>
      <c r="M11" s="264"/>
      <c r="N11" s="79">
        <f>'Charges to party by investment'!AS12</f>
        <v>20.4267</v>
      </c>
      <c r="O11" s="79">
        <f t="shared" ca="1" si="0"/>
        <v>1.5464224099553496</v>
      </c>
      <c r="Q11" s="79">
        <v>2.04903385831319</v>
      </c>
      <c r="R11" s="79"/>
      <c r="S11" s="8">
        <f ca="1">_xlfn.IFNA(OFFSET(Volumes!$C$1,MATCH($D11,Volumes!$A$2:$A$46,0),0),0)*$S$5+_xlfn.IFNA(OFFSET(Volumes!$C$1,MATCH($B11,Volumes!$A$2:$A$46,0),0),0)</f>
        <v>118.89234</v>
      </c>
      <c r="T11" s="80">
        <f t="shared" ca="1" si="1"/>
        <v>17.234363949041541</v>
      </c>
      <c r="U11" s="80">
        <f t="shared" ca="1" si="19"/>
        <v>13.006913733511761</v>
      </c>
      <c r="V11" s="58"/>
      <c r="W11" s="80">
        <f>'EDB data_trans'!N7</f>
        <v>28.427920215764779</v>
      </c>
      <c r="X11" s="80">
        <f>'EDB data_trans'!F7*(1+$AA$5)^3</f>
        <v>30.743771097705974</v>
      </c>
      <c r="Y11" s="80">
        <f t="shared" si="20"/>
        <v>23.672703745233601</v>
      </c>
      <c r="Z11" s="435">
        <f>(1-$AA$6*'EDB data_trans'!H7)*Y11</f>
        <v>22.298829016121982</v>
      </c>
      <c r="AA11" s="219">
        <f t="shared" ca="1" si="2"/>
        <v>-7.5894150917439646E-2</v>
      </c>
      <c r="AB11" s="346">
        <f t="shared" ca="1" si="3"/>
        <v>6.068092473991165E-2</v>
      </c>
      <c r="AC11" s="325">
        <f t="shared" ca="1" si="4"/>
        <v>3.7407642051563821</v>
      </c>
      <c r="AD11" s="219">
        <f t="shared" ca="1" si="5"/>
        <v>-7.5894150917439646E-2</v>
      </c>
      <c r="AE11" s="116">
        <f t="shared" ca="1" si="6"/>
        <v>0</v>
      </c>
      <c r="AF11" s="79">
        <f t="shared" ca="1" si="21"/>
        <v>0</v>
      </c>
      <c r="AG11" s="371">
        <f t="shared" ca="1" si="7"/>
        <v>0.65147188608432482</v>
      </c>
      <c r="AH11" s="219">
        <f t="shared" ca="1" si="8"/>
        <v>-7.4763328117672168E-2</v>
      </c>
      <c r="AJ11" s="372">
        <f t="shared" ca="1" si="9"/>
        <v>0</v>
      </c>
      <c r="AK11" s="79">
        <f t="shared" ca="1" si="22"/>
        <v>0</v>
      </c>
      <c r="AL11" s="371">
        <f t="shared" ca="1" si="10"/>
        <v>0.65147188608432482</v>
      </c>
      <c r="AM11" s="219">
        <f t="shared" ca="1" si="11"/>
        <v>-7.4763328117672168E-2</v>
      </c>
      <c r="AN11" s="440"/>
      <c r="AO11" s="153">
        <v>-1.4459218350244125E-2</v>
      </c>
      <c r="AQ11" s="219">
        <f t="shared" ca="1" si="12"/>
        <v>5.1363363387360264E-2</v>
      </c>
      <c r="AR11" s="347">
        <f t="shared" si="13"/>
        <v>3.5000000000000003E-2</v>
      </c>
      <c r="AS11" s="66"/>
      <c r="AT11" s="169" t="str">
        <f t="shared" si="23"/>
        <v>Centralines</v>
      </c>
      <c r="AU11" s="453">
        <f t="shared" si="24"/>
        <v>-1.4459218350244125E-2</v>
      </c>
      <c r="AV11" s="453"/>
      <c r="AW11" s="453">
        <f t="shared" ca="1" si="25"/>
        <v>-7.4763328117672168E-2</v>
      </c>
      <c r="AX11" s="373"/>
      <c r="AY11" s="70" t="str">
        <f t="shared" si="26"/>
        <v>Centralines</v>
      </c>
      <c r="AZ11" s="166">
        <v>2.04903385831319</v>
      </c>
      <c r="BA11" s="166">
        <v>1.5836037439095052</v>
      </c>
      <c r="BB11" s="166">
        <f t="shared" ca="1" si="14"/>
        <v>1.578249453189754</v>
      </c>
      <c r="BC11" s="374"/>
      <c r="BD11" s="374"/>
      <c r="BE11" s="70" t="str">
        <f t="shared" si="27"/>
        <v>Centralines</v>
      </c>
      <c r="BF11" s="166">
        <f t="shared" ca="1" si="28"/>
        <v>17.234363949041544</v>
      </c>
      <c r="BG11" s="166">
        <f ca="1">VLOOKUP(D11,'Geographic sort_trans'!C$11:O$61,13,0)</f>
        <v>13.985627090062998</v>
      </c>
      <c r="BH11" s="166">
        <f t="shared" ca="1" si="15"/>
        <v>13.274610064784275</v>
      </c>
      <c r="BI11" s="450"/>
      <c r="BJ11" s="451"/>
      <c r="BK11" s="70" t="str">
        <f t="shared" si="29"/>
        <v>Centralines</v>
      </c>
      <c r="BL11" s="453">
        <f t="shared" ca="1" si="16"/>
        <v>7.7381097332204524E-2</v>
      </c>
      <c r="BM11" s="453">
        <f t="shared" ca="1" si="30"/>
        <v>6.3724011283656221E-2</v>
      </c>
      <c r="BN11" s="453">
        <f t="shared" ca="1" si="17"/>
        <v>6.068092473991165E-2</v>
      </c>
      <c r="BO11" s="169"/>
      <c r="BP11" s="414"/>
      <c r="BT11" s="469"/>
      <c r="BU11" s="470"/>
      <c r="BV11" s="470"/>
      <c r="BW11" s="470"/>
      <c r="BX11" s="470"/>
    </row>
    <row r="12" spans="1:83" x14ac:dyDescent="0.3">
      <c r="A12" s="370" t="str">
        <f t="shared" si="18"/>
        <v>Counties Power</v>
      </c>
      <c r="C12" s="116" t="s">
        <v>5</v>
      </c>
      <c r="D12" s="128" t="s">
        <v>5</v>
      </c>
      <c r="E12" s="129">
        <f ca="1">'Charges to party by investment'!AL13</f>
        <v>4.4626703529866178</v>
      </c>
      <c r="F12" s="129">
        <f ca="1">'Charges to party by investment'!AM13</f>
        <v>3.8619665830095182</v>
      </c>
      <c r="H12" s="129">
        <f>'Charges to party by investment'!AN13</f>
        <v>0.88525239</v>
      </c>
      <c r="I12" s="129">
        <f ca="1">'Charges to party by investment'!AO13</f>
        <v>9.5819289613597133E-2</v>
      </c>
      <c r="J12" s="130">
        <f ca="1">'Charges to party by investment'!AP13</f>
        <v>0.40558266919377994</v>
      </c>
      <c r="K12" s="130">
        <f ca="1">'Charges to party by investment'!AQ13</f>
        <v>1.4994169193310834E-2</v>
      </c>
      <c r="L12" s="129">
        <f ca="1">'Charges to party by investment'!AR13</f>
        <v>2.8189038083424367</v>
      </c>
      <c r="M12" s="264"/>
      <c r="N12" s="79">
        <f>'Charges to party by investment'!AS13</f>
        <v>127.31040000000002</v>
      </c>
      <c r="O12" s="79">
        <f t="shared" ca="1" si="0"/>
        <v>11.23936003395217</v>
      </c>
      <c r="Q12" s="79">
        <v>10.1765632169326</v>
      </c>
      <c r="R12" s="79"/>
      <c r="S12" s="8">
        <f ca="1">_xlfn.IFNA(OFFSET(Volumes!$C$1,MATCH($D12,Volumes!$A$2:$A$46,0),0),0)*$S$5+_xlfn.IFNA(OFFSET(Volumes!$C$1,MATCH($B12,Volumes!$A$2:$A$46,0),0),0)</f>
        <v>594.725775</v>
      </c>
      <c r="T12" s="80">
        <f t="shared" ca="1" si="1"/>
        <v>17.111353912536579</v>
      </c>
      <c r="U12" s="80">
        <f t="shared" ca="1" si="19"/>
        <v>18.898390664087447</v>
      </c>
      <c r="V12" s="58"/>
      <c r="W12" s="80">
        <f>'EDB data_trans'!N8</f>
        <v>24.855811121430857</v>
      </c>
      <c r="X12" s="80">
        <f>'EDB data_trans'!F8*(1+$AA$5)^3</f>
        <v>26.381712671313906</v>
      </c>
      <c r="Y12" s="80">
        <f t="shared" si="20"/>
        <v>20.313918756911708</v>
      </c>
      <c r="Z12" s="435">
        <f>(1-$AA$6*'EDB data_trans'!H8)*Y12</f>
        <v>19.393847253539029</v>
      </c>
      <c r="AA12" s="219">
        <f t="shared" ca="1" si="2"/>
        <v>-3.6495559379223434E-2</v>
      </c>
      <c r="AB12" s="346">
        <f t="shared" ca="1" si="3"/>
        <v>9.8259693617832627E-2</v>
      </c>
      <c r="AC12" s="325">
        <f t="shared" ca="1" si="4"/>
        <v>12.499496021574233</v>
      </c>
      <c r="AD12" s="219">
        <f t="shared" ca="1" si="5"/>
        <v>-3.6495559379223434E-2</v>
      </c>
      <c r="AE12" s="116">
        <f t="shared" ca="1" si="6"/>
        <v>0</v>
      </c>
      <c r="AF12" s="79">
        <f t="shared" ca="1" si="21"/>
        <v>0</v>
      </c>
      <c r="AG12" s="371">
        <f t="shared" ca="1" si="7"/>
        <v>4.0603301760024788</v>
      </c>
      <c r="AH12" s="219">
        <f t="shared" ca="1" si="8"/>
        <v>-3.4853641265673016E-2</v>
      </c>
      <c r="AJ12" s="372">
        <f t="shared" ca="1" si="9"/>
        <v>0</v>
      </c>
      <c r="AK12" s="79">
        <f t="shared" ca="1" si="22"/>
        <v>0</v>
      </c>
      <c r="AL12" s="371">
        <f t="shared" ca="1" si="10"/>
        <v>4.0603301760024788</v>
      </c>
      <c r="AM12" s="219">
        <f t="shared" ca="1" si="11"/>
        <v>-3.4853641265673016E-2</v>
      </c>
      <c r="AN12" s="440"/>
      <c r="AO12" s="153">
        <v>1.6366773343508997E-2</v>
      </c>
      <c r="AQ12" s="219">
        <f t="shared" ca="1" si="12"/>
        <v>5.1363363387360438E-2</v>
      </c>
      <c r="AR12" s="347">
        <f t="shared" si="13"/>
        <v>3.5000000000000003E-2</v>
      </c>
      <c r="AS12" s="66"/>
      <c r="AT12" s="169" t="str">
        <f t="shared" si="23"/>
        <v>Counties Power</v>
      </c>
      <c r="AU12" s="453">
        <f t="shared" si="24"/>
        <v>1.6366773343508997E-2</v>
      </c>
      <c r="AV12" s="453"/>
      <c r="AW12" s="453">
        <f t="shared" ca="1" si="25"/>
        <v>-3.4853641265673016E-2</v>
      </c>
      <c r="AX12" s="373"/>
      <c r="AY12" s="70" t="str">
        <f t="shared" si="26"/>
        <v>Counties Power</v>
      </c>
      <c r="AZ12" s="166">
        <v>10.1765632169326</v>
      </c>
      <c r="BA12" s="166">
        <v>12.480754185376027</v>
      </c>
      <c r="BB12" s="166">
        <f t="shared" ca="1" si="14"/>
        <v>11.437723626945132</v>
      </c>
      <c r="BC12" s="374"/>
      <c r="BD12" s="374"/>
      <c r="BE12" s="70" t="str">
        <f t="shared" si="27"/>
        <v>Counties Power</v>
      </c>
      <c r="BF12" s="166">
        <f t="shared" ca="1" si="28"/>
        <v>17.111353912536579</v>
      </c>
      <c r="BG12" s="166">
        <f ca="1">VLOOKUP(D12,'Geographic sort_trans'!C$11:O$61,13,0)</f>
        <v>22.035015877098701</v>
      </c>
      <c r="BH12" s="166">
        <f t="shared" ca="1" si="15"/>
        <v>19.231928575729096</v>
      </c>
      <c r="BI12" s="450"/>
      <c r="BJ12" s="451"/>
      <c r="BK12" s="70" t="str">
        <f t="shared" si="29"/>
        <v>Counties Power</v>
      </c>
      <c r="BL12" s="453">
        <f t="shared" ca="1" si="16"/>
        <v>8.838283975452764E-2</v>
      </c>
      <c r="BM12" s="453">
        <f t="shared" ca="1" si="30"/>
        <v>0.11099164682452654</v>
      </c>
      <c r="BN12" s="453">
        <f t="shared" ca="1" si="17"/>
        <v>9.8259693617832627E-2</v>
      </c>
      <c r="BO12" s="169"/>
      <c r="BP12" s="414"/>
      <c r="BT12" s="469"/>
      <c r="BU12" s="470"/>
      <c r="BV12" s="470"/>
      <c r="BW12" s="470"/>
      <c r="BX12" s="470"/>
    </row>
    <row r="13" spans="1:83" x14ac:dyDescent="0.3">
      <c r="A13" s="370" t="str">
        <f t="shared" si="18"/>
        <v>Eastland Network</v>
      </c>
      <c r="C13" s="116" t="s">
        <v>7</v>
      </c>
      <c r="D13" s="128" t="s">
        <v>7</v>
      </c>
      <c r="E13" s="129">
        <f ca="1">'Charges to party by investment'!AL14</f>
        <v>0.94811972399238909</v>
      </c>
      <c r="F13" s="129">
        <f ca="1">'Charges to party by investment'!AM14</f>
        <v>1.762869511276429</v>
      </c>
      <c r="H13" s="129">
        <f>'Charges to party by investment'!AN14</f>
        <v>3.3524211900000034</v>
      </c>
      <c r="I13" s="129">
        <f ca="1">'Charges to party by investment'!AO14</f>
        <v>1.1777802218599913E-2</v>
      </c>
      <c r="J13" s="130">
        <f ca="1">'Charges to party by investment'!AP14</f>
        <v>0.23940517626873301</v>
      </c>
      <c r="K13" s="130">
        <f ca="1">'Charges to party by investment'!AQ14</f>
        <v>6.8443791911864948E-3</v>
      </c>
      <c r="L13" s="129">
        <f ca="1">'Charges to party by investment'!AR14</f>
        <v>1.2867432879430609</v>
      </c>
      <c r="M13" s="264"/>
      <c r="N13" s="79">
        <f>'Charges to party by investment'!AS14</f>
        <v>58.113299999999903</v>
      </c>
      <c r="O13" s="79">
        <f t="shared" ca="1" si="0"/>
        <v>4.0095103254304787</v>
      </c>
      <c r="Q13" s="79">
        <v>5.3143687415473497</v>
      </c>
      <c r="R13" s="79"/>
      <c r="S13" s="8">
        <f ca="1">_xlfn.IFNA(OFFSET(Volumes!$C$1,MATCH($D13,Volumes!$A$2:$A$46,0),0),0)*$S$5+_xlfn.IFNA(OFFSET(Volumes!$C$1,MATCH($B13,Volumes!$A$2:$A$46,0),0),0)</f>
        <v>317.52210000000002</v>
      </c>
      <c r="T13" s="80">
        <f t="shared" ca="1" si="1"/>
        <v>16.737004263789352</v>
      </c>
      <c r="U13" s="80">
        <f t="shared" ca="1" si="19"/>
        <v>12.6275000241888</v>
      </c>
      <c r="V13" s="58"/>
      <c r="W13" s="80">
        <f>'EDB data_trans'!N9</f>
        <v>28.02814048183313</v>
      </c>
      <c r="X13" s="80">
        <f>'EDB data_trans'!F9*(1+$AA$5)^3</f>
        <v>30.001901424741355</v>
      </c>
      <c r="Y13" s="80">
        <f t="shared" si="20"/>
        <v>23.101464097050844</v>
      </c>
      <c r="Z13" s="435">
        <f>(1-$AA$6*'EDB data_trans'!H9)*Y13</f>
        <v>21.961197014260506</v>
      </c>
      <c r="AA13" s="219">
        <f t="shared" ca="1" si="2"/>
        <v>-6.7148017122794529E-2</v>
      </c>
      <c r="AB13" s="346">
        <f t="shared" ca="1" si="3"/>
        <v>5.9918884131041523E-2</v>
      </c>
      <c r="AC13" s="325">
        <f t="shared" ca="1" si="4"/>
        <v>9.2556568018874863</v>
      </c>
      <c r="AD13" s="219">
        <f t="shared" ca="1" si="5"/>
        <v>-6.7148017122794529E-2</v>
      </c>
      <c r="AE13" s="116">
        <f t="shared" ca="1" si="6"/>
        <v>0</v>
      </c>
      <c r="AF13" s="79">
        <f t="shared" ca="1" si="21"/>
        <v>0</v>
      </c>
      <c r="AG13" s="371">
        <f t="shared" ca="1" si="7"/>
        <v>1.8534164185886186</v>
      </c>
      <c r="AH13" s="219">
        <f t="shared" ca="1" si="8"/>
        <v>-6.5913605056922661E-2</v>
      </c>
      <c r="AJ13" s="372">
        <f t="shared" ca="1" si="9"/>
        <v>0</v>
      </c>
      <c r="AK13" s="79">
        <f t="shared" ca="1" si="22"/>
        <v>0</v>
      </c>
      <c r="AL13" s="371">
        <f t="shared" ca="1" si="10"/>
        <v>1.8534164185886186</v>
      </c>
      <c r="AM13" s="219">
        <f t="shared" ca="1" si="11"/>
        <v>-6.5913605056922661E-2</v>
      </c>
      <c r="AN13" s="440"/>
      <c r="AO13" s="153">
        <v>-1.3603827010600797E-2</v>
      </c>
      <c r="AQ13" s="219">
        <f t="shared" ca="1" si="12"/>
        <v>5.1363363387360382E-2</v>
      </c>
      <c r="AR13" s="347">
        <f t="shared" si="13"/>
        <v>3.5000000000000003E-2</v>
      </c>
      <c r="AS13" s="66"/>
      <c r="AT13" s="169" t="str">
        <f t="shared" si="23"/>
        <v>Eastland Network</v>
      </c>
      <c r="AU13" s="453">
        <f t="shared" si="24"/>
        <v>-1.3603827010600797E-2</v>
      </c>
      <c r="AV13" s="453"/>
      <c r="AW13" s="453">
        <f t="shared" ca="1" si="25"/>
        <v>-6.5913605056922661E-2</v>
      </c>
      <c r="AX13" s="373"/>
      <c r="AY13" s="70" t="str">
        <f t="shared" si="26"/>
        <v>Eastland Network</v>
      </c>
      <c r="AZ13" s="166">
        <v>5.3143687415473497</v>
      </c>
      <c r="BA13" s="166">
        <v>4.1613402327277855</v>
      </c>
      <c r="BB13" s="166">
        <f t="shared" ca="1" si="14"/>
        <v>4.1000572327426692</v>
      </c>
      <c r="BC13" s="374"/>
      <c r="BD13" s="374"/>
      <c r="BE13" s="70" t="str">
        <f t="shared" si="27"/>
        <v>Eastland Network</v>
      </c>
      <c r="BF13" s="166">
        <f t="shared" ca="1" si="28"/>
        <v>16.737004263789355</v>
      </c>
      <c r="BG13" s="166">
        <f ca="1">VLOOKUP(D13,'Geographic sort_trans'!C$11:O$61,13,0)</f>
        <v>13.760954731542073</v>
      </c>
      <c r="BH13" s="166">
        <f t="shared" ca="1" si="15"/>
        <v>12.912667284395855</v>
      </c>
      <c r="BI13" s="450"/>
      <c r="BJ13" s="451"/>
      <c r="BK13" s="70" t="str">
        <f t="shared" si="29"/>
        <v>Eastland Network</v>
      </c>
      <c r="BL13" s="453">
        <f t="shared" ca="1" si="16"/>
        <v>7.6310802162942476E-2</v>
      </c>
      <c r="BM13" s="453">
        <f t="shared" ca="1" si="30"/>
        <v>6.3604838524739457E-2</v>
      </c>
      <c r="BN13" s="453">
        <f t="shared" ca="1" si="17"/>
        <v>5.9918884131041523E-2</v>
      </c>
      <c r="BO13" s="169"/>
      <c r="BP13" s="414"/>
    </row>
    <row r="14" spans="1:83" x14ac:dyDescent="0.3">
      <c r="A14" s="370" t="str">
        <f t="shared" si="18"/>
        <v>Electra</v>
      </c>
      <c r="C14" s="116" t="s">
        <v>8</v>
      </c>
      <c r="D14" s="128" t="s">
        <v>8</v>
      </c>
      <c r="E14" s="129">
        <f ca="1">'Charges to party by investment'!AL15</f>
        <v>1.9477281058373386</v>
      </c>
      <c r="F14" s="129">
        <f ca="1">'Charges to party by investment'!AM15</f>
        <v>2.9353341285944938</v>
      </c>
      <c r="H14" s="129">
        <f>'Charges to party by investment'!AN15</f>
        <v>1.0931924599999998</v>
      </c>
      <c r="I14" s="129">
        <f ca="1">'Charges to party by investment'!AO15</f>
        <v>4.8701545609272485E-2</v>
      </c>
      <c r="J14" s="130">
        <f ca="1">'Charges to party by investment'!AP15</f>
        <v>0.28220857147768974</v>
      </c>
      <c r="K14" s="130">
        <f ca="1">'Charges to party by investment'!AQ15</f>
        <v>1.1396498549903943E-2</v>
      </c>
      <c r="L14" s="129">
        <f ca="1">'Charges to party by investment'!AR15</f>
        <v>2.1425417273819414</v>
      </c>
      <c r="M14" s="264"/>
      <c r="N14" s="79">
        <f>'Charges to party by investment'!AS15</f>
        <v>96.763800000000003</v>
      </c>
      <c r="O14" s="79">
        <f t="shared" ca="1" si="0"/>
        <v>7.0743055074230465</v>
      </c>
      <c r="Q14" s="79">
        <v>6.3585744350769398</v>
      </c>
      <c r="R14" s="79"/>
      <c r="S14" s="8">
        <f ca="1">_xlfn.IFNA(OFFSET(Volumes!$C$1,MATCH($D14,Volumes!$A$2:$A$46,0),0),0)*$S$5+_xlfn.IFNA(OFFSET(Volumes!$C$1,MATCH($B14,Volumes!$A$2:$A$46,0),0),0)</f>
        <v>454.90305000000001</v>
      </c>
      <c r="T14" s="80">
        <f t="shared" ca="1" si="1"/>
        <v>13.977867229241351</v>
      </c>
      <c r="U14" s="80">
        <f t="shared" ca="1" si="19"/>
        <v>15.551237802039461</v>
      </c>
      <c r="V14" s="58"/>
      <c r="W14" s="80">
        <f>'EDB data_trans'!N10</f>
        <v>23.165063411213197</v>
      </c>
      <c r="X14" s="80">
        <f>'EDB data_trans'!F10*(1+$AA$5)^3</f>
        <v>24.553408556143062</v>
      </c>
      <c r="Y14" s="80">
        <f t="shared" si="20"/>
        <v>18.906124588230156</v>
      </c>
      <c r="Z14" s="435">
        <f>(1-$AA$6*'EDB data_trans'!H10)*Y14</f>
        <v>18.063639345299936</v>
      </c>
      <c r="AA14" s="219">
        <f t="shared" ca="1" si="2"/>
        <v>-3.6239483266546441E-2</v>
      </c>
      <c r="AB14" s="346">
        <f t="shared" ca="1" si="3"/>
        <v>8.7166942678319773E-2</v>
      </c>
      <c r="AC14" s="325">
        <f t="shared" ca="1" si="4"/>
        <v>9.0622529307409287</v>
      </c>
      <c r="AD14" s="219">
        <f t="shared" ca="1" si="5"/>
        <v>-3.6239483266546441E-2</v>
      </c>
      <c r="AE14" s="116">
        <f t="shared" ca="1" si="6"/>
        <v>0</v>
      </c>
      <c r="AF14" s="79">
        <f t="shared" ca="1" si="21"/>
        <v>0</v>
      </c>
      <c r="AG14" s="371">
        <f t="shared" ca="1" si="7"/>
        <v>3.0861027621048134</v>
      </c>
      <c r="AH14" s="219">
        <f t="shared" ca="1" si="8"/>
        <v>-3.4486452111585533E-2</v>
      </c>
      <c r="AJ14" s="372">
        <f t="shared" ca="1" si="9"/>
        <v>0</v>
      </c>
      <c r="AK14" s="79">
        <f t="shared" ca="1" si="22"/>
        <v>0</v>
      </c>
      <c r="AL14" s="371">
        <f t="shared" ca="1" si="10"/>
        <v>3.0861027621048134</v>
      </c>
      <c r="AM14" s="219">
        <f t="shared" ca="1" si="11"/>
        <v>-3.4486452111585533E-2</v>
      </c>
      <c r="AN14" s="440"/>
      <c r="AO14" s="153">
        <v>9.5742705257116697E-3</v>
      </c>
      <c r="AQ14" s="219">
        <f t="shared" ca="1" si="12"/>
        <v>5.1363363387360292E-2</v>
      </c>
      <c r="AR14" s="347">
        <f t="shared" si="13"/>
        <v>3.5000000000000003E-2</v>
      </c>
      <c r="AS14" s="66"/>
      <c r="AT14" s="169" t="str">
        <f t="shared" si="23"/>
        <v>Electra</v>
      </c>
      <c r="AU14" s="453">
        <f t="shared" si="24"/>
        <v>9.5742705257116697E-3</v>
      </c>
      <c r="AV14" s="453"/>
      <c r="AW14" s="453">
        <f t="shared" ca="1" si="25"/>
        <v>-3.4486452111585533E-2</v>
      </c>
      <c r="AX14" s="373"/>
      <c r="AY14" s="70" t="str">
        <f t="shared" si="26"/>
        <v>Electra</v>
      </c>
      <c r="AZ14" s="166">
        <v>6.3585744350769398</v>
      </c>
      <c r="BA14" s="166">
        <v>7.3194535136094796</v>
      </c>
      <c r="BB14" s="166">
        <f t="shared" ca="1" si="14"/>
        <v>7.2250741409333656</v>
      </c>
      <c r="BC14" s="374"/>
      <c r="BD14" s="374"/>
      <c r="BE14" s="70" t="str">
        <f t="shared" si="27"/>
        <v>Electra</v>
      </c>
      <c r="BF14" s="166">
        <f t="shared" ca="1" si="28"/>
        <v>13.977867229241351</v>
      </c>
      <c r="BG14" s="166">
        <f ca="1">VLOOKUP(D14,'Geographic sort_trans'!C$11:O$61,13,0)</f>
        <v>16.894646429145627</v>
      </c>
      <c r="BH14" s="166">
        <f t="shared" ca="1" si="15"/>
        <v>15.882668056266859</v>
      </c>
      <c r="BI14" s="450"/>
      <c r="BJ14" s="451"/>
      <c r="BK14" s="70" t="str">
        <f t="shared" si="29"/>
        <v>Electra</v>
      </c>
      <c r="BL14" s="453">
        <f t="shared" ca="1" si="16"/>
        <v>7.7523474569204498E-2</v>
      </c>
      <c r="BM14" s="453">
        <f t="shared" ca="1" si="30"/>
        <v>9.2208742302996943E-2</v>
      </c>
      <c r="BN14" s="453">
        <f t="shared" ca="1" si="17"/>
        <v>8.7166942678319773E-2</v>
      </c>
      <c r="BO14" s="169"/>
      <c r="BP14" s="414"/>
    </row>
    <row r="15" spans="1:83" x14ac:dyDescent="0.3">
      <c r="A15" s="370" t="str">
        <f t="shared" si="18"/>
        <v>Electricity Ashburton</v>
      </c>
      <c r="C15" s="116" t="s">
        <v>9</v>
      </c>
      <c r="D15" s="128" t="s">
        <v>9</v>
      </c>
      <c r="E15" s="129">
        <f ca="1">'Charges to party by investment'!AL16</f>
        <v>0.72856700073507263</v>
      </c>
      <c r="F15" s="129">
        <f ca="1">'Charges to party by investment'!AM16</f>
        <v>5.0272963979836724</v>
      </c>
      <c r="H15" s="129">
        <f>'Charges to party by investment'!AN16</f>
        <v>0.68745484999999995</v>
      </c>
      <c r="I15" s="129">
        <f ca="1">'Charges to party by investment'!AO16</f>
        <v>0.22891036489203231</v>
      </c>
      <c r="J15" s="130">
        <f ca="1">'Charges to party by investment'!AP16</f>
        <v>9.917658634927691E-2</v>
      </c>
      <c r="K15" s="130">
        <f ca="1">'Charges to party by investment'!AQ16</f>
        <v>1.9518587526862481E-2</v>
      </c>
      <c r="L15" s="129">
        <f ca="1">'Charges to party by investment'!AR16</f>
        <v>3.6694944550501463</v>
      </c>
      <c r="M15" s="264"/>
      <c r="N15" s="79">
        <f>'Charges to party by investment'!AS16</f>
        <v>165.72569999999999</v>
      </c>
      <c r="O15" s="79">
        <f t="shared" ca="1" si="0"/>
        <v>9.6542682186609241</v>
      </c>
      <c r="Q15" s="79">
        <v>3.6332748872742102</v>
      </c>
      <c r="R15" s="79"/>
      <c r="S15" s="8">
        <f ca="1">_xlfn.IFNA(OFFSET(Volumes!$C$1,MATCH($D15,Volumes!$A$2:$A$46,0),0),0)*$S$5+_xlfn.IFNA(OFFSET(Volumes!$C$1,MATCH($B15,Volumes!$A$2:$A$46,0),0),0)</f>
        <v>658.51999499999999</v>
      </c>
      <c r="T15" s="80">
        <f t="shared" ca="1" si="1"/>
        <v>5.517334196168501</v>
      </c>
      <c r="U15" s="80">
        <f t="shared" ca="1" si="19"/>
        <v>14.660554412870825</v>
      </c>
      <c r="V15" s="58"/>
      <c r="W15" s="80">
        <f>'EDB data_trans'!N11</f>
        <v>23.292065309221741</v>
      </c>
      <c r="X15" s="80">
        <f>'EDB data_trans'!F11*(1+$AA$5)^3</f>
        <v>24.184463199818914</v>
      </c>
      <c r="Y15" s="80">
        <f t="shared" si="20"/>
        <v>18.622036663860566</v>
      </c>
      <c r="Z15" s="435">
        <f>(1-$AA$6*'EDB data_trans'!H11)*Y15</f>
        <v>18.040322747056425</v>
      </c>
      <c r="AA15" s="219">
        <f t="shared" ca="1" si="2"/>
        <v>1.7860995060308197E-2</v>
      </c>
      <c r="AB15" s="346">
        <f t="shared" ca="1" si="3"/>
        <v>7.941417306065407E-2</v>
      </c>
      <c r="AC15" s="325">
        <f t="shared" ca="1" si="4"/>
        <v>7.1290497442212377</v>
      </c>
      <c r="AD15" s="219">
        <f t="shared" ca="1" si="5"/>
        <v>1.7860995060308197E-2</v>
      </c>
      <c r="AE15" s="116">
        <f t="shared" ca="1" si="6"/>
        <v>0</v>
      </c>
      <c r="AF15" s="79">
        <f t="shared" ca="1" si="21"/>
        <v>0</v>
      </c>
      <c r="AG15" s="371">
        <f t="shared" ca="1" si="7"/>
        <v>5.2855152497292757</v>
      </c>
      <c r="AH15" s="219">
        <f t="shared" ca="1" si="8"/>
        <v>1.9966672295704025E-2</v>
      </c>
      <c r="AJ15" s="372">
        <f t="shared" ca="1" si="9"/>
        <v>0</v>
      </c>
      <c r="AK15" s="62">
        <f t="shared" ca="1" si="22"/>
        <v>0</v>
      </c>
      <c r="AL15" s="371">
        <f t="shared" ca="1" si="10"/>
        <v>5.2855152497292757</v>
      </c>
      <c r="AM15" s="219">
        <f t="shared" ca="1" si="11"/>
        <v>1.9966672295704025E-2</v>
      </c>
      <c r="AN15" s="440"/>
      <c r="AO15" s="153">
        <v>5.7575460593642561E-2</v>
      </c>
      <c r="AQ15" s="219">
        <f t="shared" ca="1" si="12"/>
        <v>5.1363363387360368E-2</v>
      </c>
      <c r="AR15" s="347">
        <f t="shared" si="13"/>
        <v>3.5000000000000003E-2</v>
      </c>
      <c r="AS15" s="66"/>
      <c r="AT15" s="169" t="str">
        <f t="shared" si="23"/>
        <v>Electricity Ashburton</v>
      </c>
      <c r="AU15" s="453">
        <f t="shared" si="24"/>
        <v>5.7575460593642561E-2</v>
      </c>
      <c r="AV15" s="453"/>
      <c r="AW15" s="453">
        <f t="shared" ca="1" si="25"/>
        <v>1.9966672295704025E-2</v>
      </c>
      <c r="AX15" s="373"/>
      <c r="AY15" s="70" t="str">
        <f t="shared" si="26"/>
        <v>Electricity Ashburton</v>
      </c>
      <c r="AZ15" s="166">
        <v>3.6332748872742102</v>
      </c>
      <c r="BA15" s="166">
        <v>12.043838254461853</v>
      </c>
      <c r="BB15" s="166">
        <f t="shared" ca="1" si="14"/>
        <v>9.9124870704065273</v>
      </c>
      <c r="BC15" s="374"/>
      <c r="BD15" s="374"/>
      <c r="BE15" s="70" t="str">
        <f t="shared" si="27"/>
        <v>Electricity Ashburton</v>
      </c>
      <c r="BF15" s="166">
        <f t="shared" ca="1" si="28"/>
        <v>5.517334196168501</v>
      </c>
      <c r="BG15" s="166">
        <f ca="1">VLOOKUP(D15,'Geographic sort_trans'!C$11:O$61,13,0)</f>
        <v>19.203714789533379</v>
      </c>
      <c r="BH15" s="166">
        <f t="shared" ca="1" si="15"/>
        <v>15.052674399668803</v>
      </c>
      <c r="BI15" s="450"/>
      <c r="BJ15" s="451"/>
      <c r="BK15" s="70" t="str">
        <f t="shared" si="29"/>
        <v>Electricity Ashburton</v>
      </c>
      <c r="BL15" s="453">
        <f t="shared" ca="1" si="16"/>
        <v>3.0649965289870039E-2</v>
      </c>
      <c r="BM15" s="453">
        <f t="shared" ca="1" si="30"/>
        <v>9.9142817907304906E-2</v>
      </c>
      <c r="BN15" s="453">
        <f t="shared" ca="1" si="17"/>
        <v>7.941417306065407E-2</v>
      </c>
      <c r="BO15" s="169"/>
      <c r="BP15" s="414"/>
    </row>
    <row r="16" spans="1:83" x14ac:dyDescent="0.3">
      <c r="A16" s="370" t="str">
        <f t="shared" si="18"/>
        <v>Electricity Invercargill</v>
      </c>
      <c r="C16" s="116" t="s">
        <v>69</v>
      </c>
      <c r="D16" s="718" t="s">
        <v>69</v>
      </c>
      <c r="E16" s="129">
        <f ca="1">'Charges to party by investment'!AL17</f>
        <v>0.55922866087669465</v>
      </c>
      <c r="F16" s="129">
        <f ca="1">'Charges to party by investment'!AM17</f>
        <v>1.8602723039892446</v>
      </c>
      <c r="H16" s="129">
        <f>'Charges to party by investment'!AN17</f>
        <v>0.9388440099999994</v>
      </c>
      <c r="I16" s="129">
        <f ca="1">'Charges to party by investment'!AO17</f>
        <v>0</v>
      </c>
      <c r="J16" s="130">
        <f ca="1">'Charges to party by investment'!AP17</f>
        <v>0.14804827530588741</v>
      </c>
      <c r="K16" s="130">
        <f ca="1">'Charges to party by investment'!AQ17</f>
        <v>7.2225476508158979E-3</v>
      </c>
      <c r="L16" s="129">
        <f ca="1">'Charges to party by investment'!AR17</f>
        <v>1.3578389583533887</v>
      </c>
      <c r="M16" s="264"/>
      <c r="N16" s="79">
        <f>'Charges to party by investment'!AS17</f>
        <v>61.324199999999998</v>
      </c>
      <c r="O16" s="79">
        <f t="shared" ca="1" si="0"/>
        <v>3.7773399232193281</v>
      </c>
      <c r="Q16" s="79">
        <v>5.5337714214649196</v>
      </c>
      <c r="R16" s="79"/>
      <c r="S16" s="8">
        <f ca="1">_xlfn.IFNA(OFFSET(Volumes!$C$1,MATCH($D16,Volumes!$A$2:$A$46,0),0),0)*$S$5+_xlfn.IFNA(OFFSET(Volumes!$C$1,MATCH($B16,Volumes!$A$2:$A$46,0),0),0)</f>
        <v>270.86073000000005</v>
      </c>
      <c r="T16" s="80">
        <f t="shared" ca="1" si="1"/>
        <v>20.430320118626714</v>
      </c>
      <c r="U16" s="80">
        <f t="shared" ca="1" si="19"/>
        <v>13.945690551817266</v>
      </c>
      <c r="V16" s="58"/>
      <c r="W16" s="80">
        <f>'EDB data_trans'!N12</f>
        <v>22.462940933286799</v>
      </c>
      <c r="X16" s="80">
        <f>'EDB data_trans'!F12*(1+$AA$5)^3</f>
        <v>24.170272000721688</v>
      </c>
      <c r="Y16" s="80">
        <f t="shared" si="20"/>
        <v>18.611109440555701</v>
      </c>
      <c r="Z16" s="435">
        <f>(1-$AA$6*'EDB data_trans'!H12)*Y16</f>
        <v>17.856646303290592</v>
      </c>
      <c r="AA16" s="219">
        <f t="shared" ca="1" si="2"/>
        <v>-7.5381110321608227E-2</v>
      </c>
      <c r="AB16" s="346">
        <f t="shared" ca="1" si="3"/>
        <v>8.3091015461811621E-2</v>
      </c>
      <c r="AC16" s="325">
        <f t="shared" ca="1" si="4"/>
        <v>7.4246047046245955</v>
      </c>
      <c r="AD16" s="219">
        <f t="shared" ca="1" si="5"/>
        <v>-7.5381110321608227E-2</v>
      </c>
      <c r="AE16" s="116">
        <f t="shared" ca="1" si="6"/>
        <v>0</v>
      </c>
      <c r="AF16" s="79">
        <f t="shared" ca="1" si="21"/>
        <v>0</v>
      </c>
      <c r="AG16" s="371">
        <f t="shared" ca="1" si="7"/>
        <v>1.9558221463384862</v>
      </c>
      <c r="AH16" s="219">
        <f t="shared" ca="1" si="8"/>
        <v>-7.3485663225679954E-2</v>
      </c>
      <c r="AJ16" s="372">
        <f t="shared" ca="1" si="9"/>
        <v>0</v>
      </c>
      <c r="AK16" s="62">
        <f t="shared" ca="1" si="22"/>
        <v>0</v>
      </c>
      <c r="AL16" s="371">
        <f t="shared" ca="1" si="10"/>
        <v>1.9558221463384862</v>
      </c>
      <c r="AM16" s="219">
        <f t="shared" ca="1" si="11"/>
        <v>-7.3485663225679954E-2</v>
      </c>
      <c r="AN16" s="440"/>
      <c r="AO16" s="153">
        <v>-3.3526577961479169E-2</v>
      </c>
      <c r="AQ16" s="219">
        <f t="shared" ca="1" si="12"/>
        <v>5.1363363387360313E-2</v>
      </c>
      <c r="AR16" s="347">
        <f t="shared" si="13"/>
        <v>3.5000000000000003E-2</v>
      </c>
      <c r="AS16" s="66"/>
      <c r="AT16" s="169" t="str">
        <f t="shared" si="23"/>
        <v>Electricity Invercargill</v>
      </c>
      <c r="AU16" s="453">
        <f t="shared" si="24"/>
        <v>-3.3526577961479169E-2</v>
      </c>
      <c r="AV16" s="453"/>
      <c r="AW16" s="453">
        <f t="shared" ca="1" si="25"/>
        <v>-7.3485663225679954E-2</v>
      </c>
      <c r="AX16" s="373"/>
      <c r="AY16" s="70" t="str">
        <f t="shared" si="26"/>
        <v>Electricity Invercargill</v>
      </c>
      <c r="AZ16" s="166">
        <v>5.5337714214649196</v>
      </c>
      <c r="BA16" s="166">
        <v>3.591040788591676</v>
      </c>
      <c r="BB16" s="166">
        <f t="shared" ca="1" si="14"/>
        <v>3.8728897655685697</v>
      </c>
      <c r="BC16" s="374"/>
      <c r="BD16" s="374"/>
      <c r="BE16" s="70" t="str">
        <f t="shared" si="27"/>
        <v>Electricity Invercargill</v>
      </c>
      <c r="BF16" s="166">
        <f t="shared" ca="1" si="28"/>
        <v>20.430320118626714</v>
      </c>
      <c r="BG16" s="166">
        <f ca="1">VLOOKUP(D16,'Geographic sort_trans'!C$11:O$61,13,0)</f>
        <v>13.920780720118639</v>
      </c>
      <c r="BH16" s="166">
        <f t="shared" ca="1" si="15"/>
        <v>14.298454285228313</v>
      </c>
      <c r="BI16" s="450"/>
      <c r="BJ16" s="451"/>
      <c r="BK16" s="70" t="str">
        <f t="shared" si="29"/>
        <v>Electricity Invercargill</v>
      </c>
      <c r="BL16" s="453">
        <f t="shared" ca="1" si="16"/>
        <v>0.11463944802746497</v>
      </c>
      <c r="BM16" s="453">
        <f t="shared" ca="1" si="30"/>
        <v>8.1074219332519709E-2</v>
      </c>
      <c r="BN16" s="453">
        <f t="shared" ca="1" si="17"/>
        <v>8.3091015461811621E-2</v>
      </c>
      <c r="BO16" s="169"/>
      <c r="BP16" s="414"/>
    </row>
    <row r="17" spans="1:68" x14ac:dyDescent="0.3">
      <c r="A17" s="370" t="str">
        <f t="shared" si="18"/>
        <v>Horizon</v>
      </c>
      <c r="C17" s="116" t="s">
        <v>11</v>
      </c>
      <c r="D17" s="128" t="s">
        <v>11</v>
      </c>
      <c r="E17" s="129">
        <f ca="1">'Charges to party by investment'!AL18</f>
        <v>1.5835316532268708</v>
      </c>
      <c r="F17" s="129">
        <f ca="1">'Charges to party by investment'!AM18</f>
        <v>2.8787016349897252</v>
      </c>
      <c r="H17" s="129">
        <f>'Charges to party by investment'!AN18</f>
        <v>2.303110999999999</v>
      </c>
      <c r="I17" s="129">
        <f ca="1">'Charges to party by investment'!AO18</f>
        <v>1.8793804116337007E-2</v>
      </c>
      <c r="J17" s="130">
        <f ca="1">'Charges to party by investment'!AP18</f>
        <v>0.24343193401340707</v>
      </c>
      <c r="K17" s="130">
        <f ca="1">'Charges to party by investment'!AQ18</f>
        <v>1.1176621662650488E-2</v>
      </c>
      <c r="L17" s="129">
        <f ca="1">'Charges to party by investment'!AR18</f>
        <v>2.1012048725782915</v>
      </c>
      <c r="M17" s="264"/>
      <c r="N17" s="79">
        <f>'Charges to party by investment'!AS18</f>
        <v>94.896899999999988</v>
      </c>
      <c r="O17" s="79">
        <f t="shared" ca="1" si="0"/>
        <v>6.5822319649112249</v>
      </c>
      <c r="Q17" s="79">
        <v>3.2476380401893401</v>
      </c>
      <c r="R17" s="79"/>
      <c r="S17" s="8">
        <f ca="1">_xlfn.IFNA(OFFSET(Volumes!$C$1,MATCH($D17,Volumes!$A$2:$A$46,0),0),0)*$S$5+_xlfn.IFNA(OFFSET(Volumes!$C$1,MATCH($B17,Volumes!$A$2:$A$46,0),0),0)</f>
        <v>523.53525000000002</v>
      </c>
      <c r="T17" s="80">
        <f t="shared" ca="1" si="1"/>
        <v>6.2032843828363804</v>
      </c>
      <c r="U17" s="80">
        <f t="shared" ca="1" si="19"/>
        <v>12.572662423229811</v>
      </c>
      <c r="V17" s="58"/>
      <c r="W17" s="80">
        <f>'EDB data_trans'!N13</f>
        <v>25.071882160422994</v>
      </c>
      <c r="X17" s="80">
        <f>'EDB data_trans'!F13*(1+$AA$5)^3</f>
        <v>26.393593933883121</v>
      </c>
      <c r="Y17" s="80">
        <f t="shared" si="20"/>
        <v>20.323067329090005</v>
      </c>
      <c r="Z17" s="435">
        <f>(1-$AA$6*'EDB data_trans'!H13)*Y17</f>
        <v>19.393488537785643</v>
      </c>
      <c r="AA17" s="219">
        <f t="shared" ca="1" si="2"/>
        <v>-1.4399449774303442E-2</v>
      </c>
      <c r="AB17" s="346">
        <f t="shared" ca="1" si="3"/>
        <v>6.4177805715570704E-2</v>
      </c>
      <c r="AC17" s="325">
        <f t="shared" ca="1" si="4"/>
        <v>8.1347251064857993</v>
      </c>
      <c r="AD17" s="219">
        <f t="shared" ca="1" si="5"/>
        <v>-1.4399449774303442E-2</v>
      </c>
      <c r="AE17" s="116">
        <f t="shared" ca="1" si="6"/>
        <v>0</v>
      </c>
      <c r="AF17" s="79">
        <f t="shared" ca="1" si="21"/>
        <v>0</v>
      </c>
      <c r="AG17" s="371">
        <f t="shared" ca="1" si="7"/>
        <v>3.0265614331514907</v>
      </c>
      <c r="AH17" s="219">
        <f t="shared" ca="1" si="8"/>
        <v>-1.3009769398532283E-2</v>
      </c>
      <c r="AJ17" s="372">
        <f t="shared" ca="1" si="9"/>
        <v>0</v>
      </c>
      <c r="AK17" s="79">
        <f ca="1">IF(AJ17=0,0,$AG17-AJ17)</f>
        <v>0</v>
      </c>
      <c r="AL17" s="371">
        <f t="shared" ca="1" si="10"/>
        <v>3.0265614331514907</v>
      </c>
      <c r="AM17" s="219">
        <f t="shared" ca="1" si="11"/>
        <v>-1.3009769398532283E-2</v>
      </c>
      <c r="AN17" s="440"/>
      <c r="AO17" s="153">
        <v>2.8866473961581849E-2</v>
      </c>
      <c r="AQ17" s="219">
        <f t="shared" ca="1" si="12"/>
        <v>5.136336338736032E-2</v>
      </c>
      <c r="AR17" s="347">
        <f t="shared" si="13"/>
        <v>3.5000000000000003E-2</v>
      </c>
      <c r="AS17" s="66"/>
      <c r="AT17" s="169" t="str">
        <f t="shared" si="23"/>
        <v>Horizon</v>
      </c>
      <c r="AU17" s="453">
        <f t="shared" si="24"/>
        <v>2.8866473961581849E-2</v>
      </c>
      <c r="AV17" s="453"/>
      <c r="AW17" s="453">
        <f t="shared" ca="1" si="25"/>
        <v>-1.3009769398532283E-2</v>
      </c>
      <c r="AX17" s="373"/>
      <c r="AY17" s="70" t="str">
        <f t="shared" si="26"/>
        <v>Horizon</v>
      </c>
      <c r="AZ17" s="166">
        <v>3.2476380401893401</v>
      </c>
      <c r="BA17" s="166">
        <v>6.8562260791197884</v>
      </c>
      <c r="BB17" s="166">
        <f t="shared" ca="1" si="14"/>
        <v>6.7300917630729895</v>
      </c>
      <c r="BC17" s="374"/>
      <c r="BD17" s="374"/>
      <c r="BE17" s="70" t="str">
        <f t="shared" si="27"/>
        <v>Horizon</v>
      </c>
      <c r="BF17" s="166">
        <f t="shared" ca="1" si="28"/>
        <v>6.2032843828363804</v>
      </c>
      <c r="BG17" s="166">
        <f ca="1">VLOOKUP(D17,'Geographic sort_trans'!C$11:O$61,13,0)</f>
        <v>13.750816937495191</v>
      </c>
      <c r="BH17" s="166">
        <f t="shared" ca="1" si="15"/>
        <v>12.855088101656936</v>
      </c>
      <c r="BI17" s="450"/>
      <c r="BJ17" s="451"/>
      <c r="BK17" s="70" t="str">
        <f t="shared" si="29"/>
        <v>Horizon</v>
      </c>
      <c r="BL17" s="453">
        <f t="shared" ca="1" si="16"/>
        <v>3.2033078187927923E-2</v>
      </c>
      <c r="BM17" s="453">
        <f t="shared" ca="1" si="30"/>
        <v>6.834402319523844E-2</v>
      </c>
      <c r="BN17" s="453">
        <f t="shared" ca="1" si="17"/>
        <v>6.4177805715570704E-2</v>
      </c>
      <c r="BO17" s="169"/>
      <c r="BP17" s="414"/>
    </row>
    <row r="18" spans="1:68" x14ac:dyDescent="0.3">
      <c r="A18" s="370" t="str">
        <f t="shared" si="18"/>
        <v>Lakeland Network</v>
      </c>
      <c r="C18" s="116" t="s">
        <v>70</v>
      </c>
      <c r="D18" s="128" t="s">
        <v>70</v>
      </c>
      <c r="E18" s="129">
        <f ca="1">'Charges to party by investment'!AL19</f>
        <v>1.4441008904419258E-2</v>
      </c>
      <c r="F18" s="129">
        <f ca="1">'Charges to party by investment'!AM19</f>
        <v>8.447096346447977E-2</v>
      </c>
      <c r="H18" s="129">
        <f>'Charges to party by investment'!AN19</f>
        <v>5.7698709999999986E-2</v>
      </c>
      <c r="I18" s="129">
        <f ca="1">'Charges to party by investment'!AO19</f>
        <v>0</v>
      </c>
      <c r="J18" s="130">
        <f ca="1">'Charges to party by investment'!AP19</f>
        <v>8.9936738804487174E-2</v>
      </c>
      <c r="K18" s="130">
        <f ca="1">'Charges to party by investment'!AQ19</f>
        <v>3.2796035151639891E-4</v>
      </c>
      <c r="L18" s="129">
        <f ca="1">'Charges to party by investment'!AR19</f>
        <v>6.1656546085082996E-2</v>
      </c>
      <c r="M18" s="264"/>
      <c r="N18" s="79">
        <f>'Charges to party by investment'!AS19</f>
        <v>2.7846000000000002</v>
      </c>
      <c r="O18" s="79">
        <f t="shared" ca="1" si="0"/>
        <v>0.16056851845398204</v>
      </c>
      <c r="Q18" s="79">
        <v>0.20640741469308699</v>
      </c>
      <c r="R18" s="79"/>
      <c r="S18" s="8">
        <f ca="1">_xlfn.IFNA(OFFSET(Volumes!$C$1,MATCH($D18,Volumes!$A$2:$A$46,0),0),0)*$S$5+_xlfn.IFNA(OFFSET(Volumes!$C$1,MATCH($B18,Volumes!$A$2:$A$46,0),0),0)</f>
        <v>11.687917499999999</v>
      </c>
      <c r="T18" s="80">
        <f t="shared" ca="1" si="1"/>
        <v>17.659896614866337</v>
      </c>
      <c r="U18" s="80">
        <f t="shared" ca="1" si="19"/>
        <v>13.737992114846984</v>
      </c>
      <c r="V18" s="58"/>
      <c r="W18" s="80">
        <f>'EDB data_trans'!N14</f>
        <v>24.072314416102458</v>
      </c>
      <c r="X18" s="80">
        <f>'EDB data_trans'!F14*(1+$AA$5)^3</f>
        <v>25.220053656532031</v>
      </c>
      <c r="Y18" s="80">
        <f t="shared" si="20"/>
        <v>19.419441315529664</v>
      </c>
      <c r="Z18" s="435">
        <f>(1-$AA$6*'EDB data_trans'!H14)*Y18</f>
        <v>18.578685104483892</v>
      </c>
      <c r="AA18" s="219">
        <f t="shared" ca="1" si="2"/>
        <v>-6.3490326061117097E-2</v>
      </c>
      <c r="AB18" s="346">
        <f t="shared" ca="1" si="3"/>
        <v>7.7580676680153365E-2</v>
      </c>
      <c r="AC18" s="325">
        <f t="shared" ca="1" si="4"/>
        <v>0.30801724182394119</v>
      </c>
      <c r="AD18" s="219">
        <f t="shared" ca="1" si="5"/>
        <v>-6.3490326061117097E-2</v>
      </c>
      <c r="AE18" s="116">
        <f t="shared" ca="1" si="6"/>
        <v>0</v>
      </c>
      <c r="AF18" s="79">
        <f t="shared" ca="1" si="21"/>
        <v>0</v>
      </c>
      <c r="AG18" s="371">
        <f t="shared" ca="1" si="7"/>
        <v>8.8809676256586284E-2</v>
      </c>
      <c r="AH18" s="219">
        <f t="shared" ca="1" si="8"/>
        <v>-6.1578770025757956E-2</v>
      </c>
      <c r="AJ18" s="372">
        <f t="shared" ca="1" si="9"/>
        <v>0</v>
      </c>
      <c r="AK18" s="79">
        <f t="shared" ca="1" si="22"/>
        <v>0</v>
      </c>
      <c r="AL18" s="371">
        <f t="shared" ca="1" si="10"/>
        <v>8.8809676256586284E-2</v>
      </c>
      <c r="AM18" s="219">
        <f t="shared" ca="1" si="11"/>
        <v>-6.1578770025757956E-2</v>
      </c>
      <c r="AN18" s="440"/>
      <c r="AO18" s="153">
        <v>-1.4987176010349833E-2</v>
      </c>
      <c r="AQ18" s="219">
        <f t="shared" ca="1" si="12"/>
        <v>5.1363363387360347E-2</v>
      </c>
      <c r="AR18" s="347">
        <f t="shared" si="13"/>
        <v>3.5000000000000003E-2</v>
      </c>
      <c r="AS18" s="66"/>
      <c r="AT18" s="169" t="str">
        <f t="shared" si="23"/>
        <v>Lakeland Network</v>
      </c>
      <c r="AU18" s="453">
        <f t="shared" si="24"/>
        <v>-1.4987176010349833E-2</v>
      </c>
      <c r="AV18" s="453"/>
      <c r="AW18" s="453">
        <f t="shared" ca="1" si="25"/>
        <v>-6.1578770025757956E-2</v>
      </c>
      <c r="AX18" s="373"/>
      <c r="AY18" s="70" t="str">
        <f t="shared" si="26"/>
        <v>Lakeland Network</v>
      </c>
      <c r="AZ18" s="166">
        <v>0.20640741469308699</v>
      </c>
      <c r="BA18" s="166">
        <v>0.16624817395547289</v>
      </c>
      <c r="BB18" s="166">
        <f t="shared" ca="1" si="14"/>
        <v>0.16490723124608853</v>
      </c>
      <c r="BC18" s="374"/>
      <c r="BD18" s="374"/>
      <c r="BE18" s="70" t="str">
        <f t="shared" si="27"/>
        <v>Lakeland Network</v>
      </c>
      <c r="BF18" s="166">
        <f t="shared" ca="1" si="28"/>
        <v>17.659896614866337</v>
      </c>
      <c r="BG18" s="166">
        <f ca="1">VLOOKUP(D18,'Geographic sort_trans'!C$11:O$61,13,0)</f>
        <v>14.935131314303556</v>
      </c>
      <c r="BH18" s="166">
        <f t="shared" ca="1" si="15"/>
        <v>14.109205617347021</v>
      </c>
      <c r="BI18" s="450"/>
      <c r="BJ18" s="451"/>
      <c r="BK18" s="70" t="str">
        <f t="shared" si="29"/>
        <v>Lakeland Network</v>
      </c>
      <c r="BL18" s="453">
        <f t="shared" ca="1" si="16"/>
        <v>9.5244914878518661E-2</v>
      </c>
      <c r="BM18" s="453">
        <f t="shared" ca="1" si="30"/>
        <v>8.1750834790137505E-2</v>
      </c>
      <c r="BN18" s="453">
        <f t="shared" ca="1" si="17"/>
        <v>7.7580676680153365E-2</v>
      </c>
      <c r="BO18" s="169"/>
      <c r="BP18" s="414"/>
    </row>
    <row r="19" spans="1:68" x14ac:dyDescent="0.3">
      <c r="A19" s="370" t="str">
        <f t="shared" si="18"/>
        <v>Mainpower</v>
      </c>
      <c r="C19" s="116" t="s">
        <v>12</v>
      </c>
      <c r="D19" s="128" t="s">
        <v>12</v>
      </c>
      <c r="E19" s="129">
        <f ca="1">'Charges to party by investment'!AL20</f>
        <v>1.1565593913247652</v>
      </c>
      <c r="F19" s="129">
        <f ca="1">'Charges to party by investment'!AM20</f>
        <v>3.8624762117483695</v>
      </c>
      <c r="H19" s="129">
        <f>'Charges to party by investment'!AN20</f>
        <v>2.7979099600000006</v>
      </c>
      <c r="I19" s="129">
        <f ca="1">'Charges to party by investment'!AO20</f>
        <v>0.147801429573864</v>
      </c>
      <c r="J19" s="130">
        <f ca="1">'Charges to party by investment'!AP20</f>
        <v>0.16332862423655567</v>
      </c>
      <c r="K19" s="130">
        <f ca="1">'Charges to party by investment'!AQ20</f>
        <v>1.4996147837965535E-2</v>
      </c>
      <c r="L19" s="129">
        <f ca="1">'Charges to party by investment'!AR20</f>
        <v>2.8192757935375208</v>
      </c>
      <c r="M19" s="264"/>
      <c r="N19" s="79">
        <f>'Charges to party by investment'!AS20</f>
        <v>127.3272</v>
      </c>
      <c r="O19" s="79">
        <f t="shared" ca="1" si="0"/>
        <v>7.9861128261845193</v>
      </c>
      <c r="Q19" s="79">
        <v>9.4519035472375297</v>
      </c>
      <c r="R19" s="79"/>
      <c r="S19" s="8">
        <f ca="1">_xlfn.IFNA(OFFSET(Volumes!$C$1,MATCH($D19,Volumes!$A$2:$A$46,0),0),0)*$S$5+_xlfn.IFNA(OFFSET(Volumes!$C$1,MATCH($B19,Volumes!$A$2:$A$46,0),0),0)</f>
        <v>575.02105500000005</v>
      </c>
      <c r="T19" s="80">
        <f t="shared" ca="1" si="1"/>
        <v>16.437491227582143</v>
      </c>
      <c r="U19" s="80">
        <f t="shared" ca="1" si="19"/>
        <v>13.88838331525881</v>
      </c>
      <c r="V19" s="58"/>
      <c r="W19" s="80">
        <f>'EDB data_trans'!N15</f>
        <v>23.759677705458277</v>
      </c>
      <c r="X19" s="80">
        <f>'EDB data_trans'!F15*(1+$AA$5)^3</f>
        <v>25.303897033330536</v>
      </c>
      <c r="Y19" s="80">
        <f t="shared" si="20"/>
        <v>19.484000715664514</v>
      </c>
      <c r="Z19" s="435">
        <f>(1-$AA$6*'EDB data_trans'!H15)*Y19</f>
        <v>18.70046914656065</v>
      </c>
      <c r="AA19" s="219">
        <f t="shared" ca="1" si="2"/>
        <v>-5.3297183442480738E-2</v>
      </c>
      <c r="AB19" s="346">
        <f t="shared" ca="1" si="3"/>
        <v>7.7164356281481022E-2</v>
      </c>
      <c r="AC19" s="325">
        <f t="shared" ca="1" si="4"/>
        <v>13.755037154220233</v>
      </c>
      <c r="AD19" s="219">
        <f t="shared" ca="1" si="5"/>
        <v>-5.3297183442480738E-2</v>
      </c>
      <c r="AE19" s="116">
        <f t="shared" ca="1" si="6"/>
        <v>0</v>
      </c>
      <c r="AF19" s="79">
        <f t="shared" ca="1" si="21"/>
        <v>0</v>
      </c>
      <c r="AG19" s="371">
        <f t="shared" ca="1" si="7"/>
        <v>4.0608659809874359</v>
      </c>
      <c r="AH19" s="219">
        <f t="shared" ca="1" si="8"/>
        <v>-5.1526432880570509E-2</v>
      </c>
      <c r="AJ19" s="372">
        <f t="shared" ca="1" si="9"/>
        <v>0</v>
      </c>
      <c r="AK19" s="79">
        <f t="shared" ca="1" si="22"/>
        <v>0</v>
      </c>
      <c r="AL19" s="371">
        <f t="shared" ca="1" si="10"/>
        <v>4.0608659809874359</v>
      </c>
      <c r="AM19" s="219">
        <f t="shared" ca="1" si="11"/>
        <v>-5.1526432880570509E-2</v>
      </c>
      <c r="AN19" s="440"/>
      <c r="AO19" s="153">
        <v>-9.0573282240985816E-3</v>
      </c>
      <c r="AQ19" s="219">
        <f t="shared" ca="1" si="12"/>
        <v>5.1363363387360313E-2</v>
      </c>
      <c r="AR19" s="347">
        <f t="shared" si="13"/>
        <v>3.5000000000000003E-2</v>
      </c>
      <c r="AS19" s="66"/>
      <c r="AT19" s="169" t="str">
        <f t="shared" si="23"/>
        <v>Mainpower</v>
      </c>
      <c r="AU19" s="453">
        <f t="shared" si="24"/>
        <v>-9.0573282240985816E-3</v>
      </c>
      <c r="AV19" s="453"/>
      <c r="AW19" s="453">
        <f t="shared" ca="1" si="25"/>
        <v>-5.1526432880570509E-2</v>
      </c>
      <c r="AX19" s="373"/>
      <c r="AY19" s="70" t="str">
        <f t="shared" si="26"/>
        <v>Mainpower</v>
      </c>
      <c r="AZ19" s="166">
        <v>9.4519035472375297</v>
      </c>
      <c r="BA19" s="166">
        <v>8.2733885880137539</v>
      </c>
      <c r="BB19" s="166">
        <f t="shared" ca="1" si="14"/>
        <v>8.1845025954235862</v>
      </c>
      <c r="BC19" s="374"/>
      <c r="BD19" s="374"/>
      <c r="BE19" s="70" t="str">
        <f t="shared" si="27"/>
        <v>Mainpower</v>
      </c>
      <c r="BF19" s="166">
        <f t="shared" ca="1" si="28"/>
        <v>16.437491227582143</v>
      </c>
      <c r="BG19" s="166">
        <f ca="1">VLOOKUP(D19,'Geographic sort_trans'!C$11:O$61,13,0)</f>
        <v>15.107373794189924</v>
      </c>
      <c r="BH19" s="166">
        <f t="shared" ca="1" si="15"/>
        <v>14.233396367414034</v>
      </c>
      <c r="BI19" s="450"/>
      <c r="BJ19" s="451"/>
      <c r="BK19" s="70" t="str">
        <f t="shared" si="29"/>
        <v>Mainpower</v>
      </c>
      <c r="BL19" s="453">
        <f t="shared" ca="1" si="16"/>
        <v>8.8061285475768858E-2</v>
      </c>
      <c r="BM19" s="453">
        <f t="shared" ca="1" si="30"/>
        <v>8.1516266019836067E-2</v>
      </c>
      <c r="BN19" s="453">
        <f t="shared" ca="1" si="17"/>
        <v>7.7164356281481022E-2</v>
      </c>
      <c r="BO19" s="169"/>
      <c r="BP19" s="414"/>
    </row>
    <row r="20" spans="1:68" x14ac:dyDescent="0.3">
      <c r="A20" s="370" t="str">
        <f t="shared" si="18"/>
        <v>Marlborough Lines</v>
      </c>
      <c r="C20" s="116" t="s">
        <v>13</v>
      </c>
      <c r="D20" s="128" t="s">
        <v>13</v>
      </c>
      <c r="E20" s="129">
        <f ca="1">'Charges to party by investment'!AL21</f>
        <v>0.85026373872078631</v>
      </c>
      <c r="F20" s="129">
        <f ca="1">'Charges to party by investment'!AM21</f>
        <v>2.3134596600121018</v>
      </c>
      <c r="H20" s="129">
        <f>'Charges to party by investment'!AN21</f>
        <v>0.47703765000000004</v>
      </c>
      <c r="I20" s="129">
        <f ca="1">'Charges to party by investment'!AO21</f>
        <v>0</v>
      </c>
      <c r="J20" s="130">
        <f ca="1">'Charges to party by investment'!AP21</f>
        <v>0.17522720024518307</v>
      </c>
      <c r="K20" s="130">
        <f ca="1">'Charges to party by investment'!AQ21</f>
        <v>8.9820574100071948E-3</v>
      </c>
      <c r="L20" s="129">
        <f ca="1">'Charges to party by investment'!AR21</f>
        <v>1.6886267930813526</v>
      </c>
      <c r="M20" s="264"/>
      <c r="N20" s="79">
        <f>'Charges to party by investment'!AS21</f>
        <v>76.263599999999997</v>
      </c>
      <c r="O20" s="79">
        <f t="shared" ca="1" si="0"/>
        <v>4.8523501918142404</v>
      </c>
      <c r="Q20" s="79">
        <v>6.6040579369931098</v>
      </c>
      <c r="R20" s="79"/>
      <c r="S20" s="8">
        <f ca="1">_xlfn.IFNA(OFFSET(Volumes!$C$1,MATCH($D20,Volumes!$A$2:$A$46,0),0),0)*$S$5+_xlfn.IFNA(OFFSET(Volumes!$C$1,MATCH($B20,Volumes!$A$2:$A$46,0),0),0)</f>
        <v>411.44554499999998</v>
      </c>
      <c r="T20" s="80">
        <f t="shared" ca="1" si="1"/>
        <v>16.050867526085646</v>
      </c>
      <c r="U20" s="80">
        <f t="shared" ca="1" si="19"/>
        <v>11.793420176208835</v>
      </c>
      <c r="V20" s="58"/>
      <c r="W20" s="80">
        <f>'EDB data_trans'!N16</f>
        <v>28.701213855154663</v>
      </c>
      <c r="X20" s="80">
        <f>'EDB data_trans'!F16*(1+$AA$5)^3</f>
        <v>30.009880252705866</v>
      </c>
      <c r="Y20" s="80">
        <f t="shared" si="20"/>
        <v>23.107607794583519</v>
      </c>
      <c r="Z20" s="435">
        <f>(1-$AA$6*'EDB data_trans'!H16)*Y20</f>
        <v>22.06621650628265</v>
      </c>
      <c r="AA20" s="219">
        <f t="shared" ca="1" si="2"/>
        <v>-6.3491471567751381E-2</v>
      </c>
      <c r="AB20" s="346">
        <f t="shared" ca="1" si="3"/>
        <v>5.5831611170157787E-2</v>
      </c>
      <c r="AC20" s="325">
        <f t="shared" ca="1" si="4"/>
        <v>11.677558265864034</v>
      </c>
      <c r="AD20" s="219">
        <f t="shared" ca="1" si="5"/>
        <v>-6.3491471567751381E-2</v>
      </c>
      <c r="AE20" s="116">
        <f t="shared" ca="1" si="6"/>
        <v>0</v>
      </c>
      <c r="AF20" s="79">
        <f t="shared" ca="1" si="21"/>
        <v>0</v>
      </c>
      <c r="AG20" s="371">
        <f t="shared" ca="1" si="7"/>
        <v>2.4322867292113024</v>
      </c>
      <c r="AH20" s="219">
        <f t="shared" ca="1" si="8"/>
        <v>-6.224164994581774E-2</v>
      </c>
      <c r="AJ20" s="372">
        <f t="shared" ca="1" si="9"/>
        <v>0</v>
      </c>
      <c r="AK20" s="79">
        <f t="shared" ca="1" si="22"/>
        <v>0</v>
      </c>
      <c r="AL20" s="371">
        <f t="shared" ca="1" si="10"/>
        <v>2.4322867292113024</v>
      </c>
      <c r="AM20" s="219">
        <f t="shared" ca="1" si="11"/>
        <v>-6.224164994581774E-2</v>
      </c>
      <c r="AN20" s="440"/>
      <c r="AO20" s="153">
        <v>-1.4822984274816825E-2</v>
      </c>
      <c r="AQ20" s="219">
        <f t="shared" ca="1" si="12"/>
        <v>5.1363363387360306E-2</v>
      </c>
      <c r="AR20" s="347">
        <f t="shared" si="13"/>
        <v>3.5000000000000003E-2</v>
      </c>
      <c r="AS20" s="66"/>
      <c r="AT20" s="169" t="str">
        <f t="shared" si="23"/>
        <v>Marlborough Lines</v>
      </c>
      <c r="AU20" s="453">
        <f t="shared" si="24"/>
        <v>-1.4822984274816825E-2</v>
      </c>
      <c r="AV20" s="453"/>
      <c r="AW20" s="453">
        <f t="shared" ca="1" si="25"/>
        <v>-6.224164994581774E-2</v>
      </c>
      <c r="AX20" s="373"/>
      <c r="AY20" s="70" t="str">
        <f t="shared" si="26"/>
        <v>Marlborough Lines</v>
      </c>
      <c r="AZ20" s="166">
        <v>6.6040579369931098</v>
      </c>
      <c r="BA20" s="166">
        <v>4.9369682005229674</v>
      </c>
      <c r="BB20" s="166">
        <f t="shared" ca="1" si="14"/>
        <v>4.971177261013441</v>
      </c>
      <c r="BC20" s="374"/>
      <c r="BD20" s="374"/>
      <c r="BE20" s="70" t="str">
        <f t="shared" si="27"/>
        <v>Marlborough Lines</v>
      </c>
      <c r="BF20" s="166">
        <f t="shared" ca="1" si="28"/>
        <v>16.050867526085646</v>
      </c>
      <c r="BG20" s="166">
        <f ca="1">VLOOKUP(D20,'Geographic sort_trans'!C$11:O$61,13,0)</f>
        <v>12.599034485958807</v>
      </c>
      <c r="BH20" s="166">
        <f t="shared" ca="1" si="15"/>
        <v>12.082224054737162</v>
      </c>
      <c r="BI20" s="450"/>
      <c r="BJ20" s="451"/>
      <c r="BK20" s="70" t="str">
        <f t="shared" si="29"/>
        <v>Marlborough Lines</v>
      </c>
      <c r="BL20" s="453">
        <f t="shared" ca="1" si="16"/>
        <v>7.2834880948529496E-2</v>
      </c>
      <c r="BM20" s="453">
        <f t="shared" ca="1" si="30"/>
        <v>5.8081070116679165E-2</v>
      </c>
      <c r="BN20" s="453">
        <f t="shared" ca="1" si="17"/>
        <v>5.5831611170157787E-2</v>
      </c>
      <c r="BO20" s="169"/>
      <c r="BP20" s="414"/>
    </row>
    <row r="21" spans="1:68" x14ac:dyDescent="0.3">
      <c r="A21" s="370" t="str">
        <f t="shared" si="18"/>
        <v>Network Tasman</v>
      </c>
      <c r="C21" s="116" t="s">
        <v>19</v>
      </c>
      <c r="D21" s="128" t="s">
        <v>19</v>
      </c>
      <c r="E21" s="129">
        <f ca="1">'Charges to party by investment'!AL22</f>
        <v>1.6135642317570436</v>
      </c>
      <c r="F21" s="129">
        <f ca="1">'Charges to party by investment'!AM22</f>
        <v>4.8740892583667241</v>
      </c>
      <c r="H21" s="129">
        <f>'Charges to party by investment'!AN22</f>
        <v>3.0244478099999985</v>
      </c>
      <c r="I21" s="129">
        <f ca="1">'Charges to party by investment'!AO22</f>
        <v>0</v>
      </c>
      <c r="J21" s="130">
        <f ca="1">'Charges to party by investment'!AP22</f>
        <v>0.16062845668213183</v>
      </c>
      <c r="K21" s="130">
        <f ca="1">'Charges to party by investment'!AQ22</f>
        <v>1.8923757477543525E-2</v>
      </c>
      <c r="L21" s="129">
        <f ca="1">'Charges to party by investment'!AR22</f>
        <v>3.5576664057781828</v>
      </c>
      <c r="M21" s="264"/>
      <c r="N21" s="79">
        <f>'Charges to party by investment'!AS22</f>
        <v>160.67520000000002</v>
      </c>
      <c r="O21" s="79">
        <f t="shared" ca="1" si="0"/>
        <v>10.045319895901951</v>
      </c>
      <c r="Q21" s="79">
        <v>10.727643804966</v>
      </c>
      <c r="R21" s="79"/>
      <c r="S21" s="8">
        <f ca="1">_xlfn.IFNA(OFFSET(Volumes!$C$1,MATCH($D21,Volumes!$A$2:$A$46,0),0),0)*$S$5+_xlfn.IFNA(OFFSET(Volumes!$C$1,MATCH($B21,Volumes!$A$2:$A$46,0),0),0)</f>
        <v>766.39825500000006</v>
      </c>
      <c r="T21" s="80">
        <f t="shared" ca="1" si="1"/>
        <v>13.997479424018261</v>
      </c>
      <c r="U21" s="80">
        <f t="shared" ca="1" si="19"/>
        <v>13.107180020786908</v>
      </c>
      <c r="V21" s="58"/>
      <c r="W21" s="80">
        <f>'EDB data_trans'!N17</f>
        <v>23.365561985673427</v>
      </c>
      <c r="X21" s="80">
        <f>'EDB data_trans'!F17*(1+$AA$5)^3</f>
        <v>24.593924766638413</v>
      </c>
      <c r="Y21" s="80">
        <f t="shared" si="20"/>
        <v>18.937322070311577</v>
      </c>
      <c r="Z21" s="435">
        <f>(1-$AA$6*'EDB data_trans'!H17)*Y21</f>
        <v>18.265798237152815</v>
      </c>
      <c r="AA21" s="219">
        <f t="shared" ca="1" si="2"/>
        <v>-4.0161632709105839E-2</v>
      </c>
      <c r="AB21" s="346">
        <f t="shared" ca="1" si="3"/>
        <v>7.3906632601257252E-2</v>
      </c>
      <c r="AC21" s="325">
        <f t="shared" ca="1" si="4"/>
        <v>15.782695812839563</v>
      </c>
      <c r="AD21" s="219">
        <f t="shared" ca="1" si="5"/>
        <v>-4.0161632709105839E-2</v>
      </c>
      <c r="AE21" s="116">
        <f t="shared" ca="1" si="6"/>
        <v>0</v>
      </c>
      <c r="AF21" s="79">
        <f t="shared" ca="1" si="21"/>
        <v>0</v>
      </c>
      <c r="AG21" s="371">
        <f t="shared" ca="1" si="7"/>
        <v>5.1244388761266437</v>
      </c>
      <c r="AH21" s="219">
        <f t="shared" ca="1" si="8"/>
        <v>-3.8436693238150146E-2</v>
      </c>
      <c r="AJ21" s="372">
        <f t="shared" ca="1" si="9"/>
        <v>0</v>
      </c>
      <c r="AK21" s="79">
        <f t="shared" ca="1" si="22"/>
        <v>0</v>
      </c>
      <c r="AL21" s="371">
        <f t="shared" ca="1" si="10"/>
        <v>5.1244388761266437</v>
      </c>
      <c r="AM21" s="219">
        <f t="shared" ca="1" si="11"/>
        <v>-3.8436693238150146E-2</v>
      </c>
      <c r="AN21" s="440"/>
      <c r="AO21" s="153">
        <v>-2.4812644853576932E-3</v>
      </c>
      <c r="AQ21" s="219">
        <f t="shared" ca="1" si="12"/>
        <v>5.136336338736032E-2</v>
      </c>
      <c r="AR21" s="347">
        <f t="shared" si="13"/>
        <v>3.5000000000000003E-2</v>
      </c>
      <c r="AS21" s="66"/>
      <c r="AT21" s="169" t="str">
        <f t="shared" si="23"/>
        <v>Network Tasman</v>
      </c>
      <c r="AU21" s="453">
        <f t="shared" si="24"/>
        <v>-2.4812644853576932E-3</v>
      </c>
      <c r="AV21" s="453"/>
      <c r="AW21" s="453">
        <f t="shared" ca="1" si="25"/>
        <v>-3.8436693238150146E-2</v>
      </c>
      <c r="AX21" s="373"/>
      <c r="AY21" s="70" t="str">
        <f t="shared" si="26"/>
        <v>Network Tasman</v>
      </c>
      <c r="AZ21" s="166">
        <v>10.727643804966</v>
      </c>
      <c r="BA21" s="166">
        <v>10.304474168155853</v>
      </c>
      <c r="BB21" s="166">
        <f t="shared" ca="1" si="14"/>
        <v>10.295669513661871</v>
      </c>
      <c r="BC21" s="374"/>
      <c r="BD21" s="374"/>
      <c r="BE21" s="70" t="str">
        <f t="shared" si="27"/>
        <v>Network Tasman</v>
      </c>
      <c r="BF21" s="166">
        <f t="shared" ca="1" si="28"/>
        <v>13.997479424018261</v>
      </c>
      <c r="BG21" s="166">
        <f ca="1">VLOOKUP(D21,'Geographic sort_trans'!C$11:O$61,13,0)</f>
        <v>14.11759200386442</v>
      </c>
      <c r="BH21" s="166">
        <f t="shared" ca="1" si="15"/>
        <v>13.433837363919714</v>
      </c>
      <c r="BI21" s="450"/>
      <c r="BJ21" s="451"/>
      <c r="BK21" s="70" t="str">
        <f t="shared" si="29"/>
        <v>Network Tasman</v>
      </c>
      <c r="BL21" s="453">
        <f t="shared" ca="1" si="16"/>
        <v>7.676947130087694E-2</v>
      </c>
      <c r="BM21" s="453">
        <f t="shared" ca="1" si="30"/>
        <v>7.7377258238861449E-2</v>
      </c>
      <c r="BN21" s="453">
        <f t="shared" ca="1" si="17"/>
        <v>7.3906632601257252E-2</v>
      </c>
      <c r="BO21" s="74"/>
      <c r="BP21" s="488"/>
    </row>
    <row r="22" spans="1:68" x14ac:dyDescent="0.3">
      <c r="A22" s="370" t="str">
        <f t="shared" si="18"/>
        <v>Network Waitaki</v>
      </c>
      <c r="C22" s="116" t="s">
        <v>20</v>
      </c>
      <c r="D22" s="128" t="s">
        <v>20</v>
      </c>
      <c r="E22" s="129">
        <f ca="1">'Charges to party by investment'!AL23</f>
        <v>0.41485647176123475</v>
      </c>
      <c r="F22" s="129">
        <f ca="1">'Charges to party by investment'!AM23</f>
        <v>1.9372262435556786</v>
      </c>
      <c r="H22" s="129">
        <f>'Charges to party by investment'!AN23</f>
        <v>0.64943285999999989</v>
      </c>
      <c r="I22" s="129">
        <f ca="1">'Charges to party by investment'!AO23</f>
        <v>1.8872520579246189E-2</v>
      </c>
      <c r="J22" s="130">
        <f ca="1">'Charges to party by investment'!AP23</f>
        <v>0.114592634717883</v>
      </c>
      <c r="K22" s="130">
        <f ca="1">'Charges to party by investment'!AQ23</f>
        <v>7.5213229936754835E-3</v>
      </c>
      <c r="L22" s="129">
        <f ca="1">'Charges to party by investment'!AR23</f>
        <v>1.414008722810991</v>
      </c>
      <c r="M22" s="264"/>
      <c r="N22" s="79">
        <f>'Charges to party by investment'!AS23</f>
        <v>63.861000000000004</v>
      </c>
      <c r="O22" s="79">
        <f t="shared" ca="1" si="0"/>
        <v>3.7849639587071504</v>
      </c>
      <c r="Q22" s="79">
        <v>3.2029211145830998</v>
      </c>
      <c r="R22" s="79"/>
      <c r="S22" s="8">
        <f ca="1">_xlfn.IFNA(OFFSET(Volumes!$C$1,MATCH($D22,Volumes!$A$2:$A$46,0),0),0)*$S$5+_xlfn.IFNA(OFFSET(Volumes!$C$1,MATCH($B22,Volumes!$A$2:$A$46,0),0),0)</f>
        <v>282.423855</v>
      </c>
      <c r="T22" s="80">
        <f t="shared" ca="1" si="1"/>
        <v>11.340830662420849</v>
      </c>
      <c r="U22" s="80">
        <f t="shared" ca="1" si="19"/>
        <v>13.401714804534308</v>
      </c>
      <c r="V22" s="58"/>
      <c r="W22" s="80">
        <f>'EDB data_trans'!N18</f>
        <v>22.543420301375054</v>
      </c>
      <c r="X22" s="80">
        <f>'EDB data_trans'!F18*(1+$AA$5)^3</f>
        <v>23.580709790549051</v>
      </c>
      <c r="Y22" s="80">
        <f t="shared" si="20"/>
        <v>18.15714653872277</v>
      </c>
      <c r="Z22" s="435">
        <f>(1-$AA$6*'EDB data_trans'!H18)*Y22</f>
        <v>17.447845560632356</v>
      </c>
      <c r="AA22" s="219">
        <f t="shared" ca="1" si="2"/>
        <v>-2.771429766268034E-2</v>
      </c>
      <c r="AB22" s="346">
        <f t="shared" ca="1" si="3"/>
        <v>7.7909155368959412E-2</v>
      </c>
      <c r="AC22" s="325">
        <f t="shared" ca="1" si="4"/>
        <v>5.1532225277503798</v>
      </c>
      <c r="AD22" s="219">
        <f t="shared" ca="1" si="5"/>
        <v>-2.771429766268034E-2</v>
      </c>
      <c r="AE22" s="116">
        <f t="shared" ca="1" si="6"/>
        <v>0</v>
      </c>
      <c r="AF22" s="79">
        <f t="shared" ca="1" si="21"/>
        <v>0</v>
      </c>
      <c r="AG22" s="371">
        <f t="shared" ca="1" si="7"/>
        <v>2.03672869906696</v>
      </c>
      <c r="AH22" s="219">
        <f t="shared" ca="1" si="8"/>
        <v>-2.5773926449016233E-2</v>
      </c>
      <c r="AJ22" s="372">
        <f t="shared" ca="1" si="9"/>
        <v>0</v>
      </c>
      <c r="AK22" s="79">
        <f t="shared" ca="1" si="22"/>
        <v>0</v>
      </c>
      <c r="AL22" s="371">
        <f t="shared" ca="1" si="10"/>
        <v>2.03672869906696</v>
      </c>
      <c r="AM22" s="219">
        <f t="shared" ca="1" si="11"/>
        <v>-2.5773926449016233E-2</v>
      </c>
      <c r="AN22" s="440"/>
      <c r="AO22" s="153">
        <v>1.2460749063249666E-2</v>
      </c>
      <c r="AQ22" s="219">
        <f t="shared" ca="1" si="12"/>
        <v>5.1363363387360333E-2</v>
      </c>
      <c r="AR22" s="347">
        <f t="shared" si="13"/>
        <v>3.5000000000000003E-2</v>
      </c>
      <c r="AS22" s="66"/>
      <c r="AT22" s="169" t="str">
        <f t="shared" si="23"/>
        <v>Network Waitaki</v>
      </c>
      <c r="AU22" s="453">
        <f t="shared" si="24"/>
        <v>1.2460749063249666E-2</v>
      </c>
      <c r="AV22" s="453"/>
      <c r="AW22" s="453">
        <f t="shared" ca="1" si="25"/>
        <v>-2.5773926449016233E-2</v>
      </c>
      <c r="AX22" s="373"/>
      <c r="AY22" s="70" t="str">
        <f t="shared" si="26"/>
        <v>Network Waitaki</v>
      </c>
      <c r="AZ22" s="166">
        <v>3.2029211145830998</v>
      </c>
      <c r="BA22" s="166">
        <v>3.9584934286686919</v>
      </c>
      <c r="BB22" s="166">
        <f t="shared" ca="1" si="14"/>
        <v>3.8844664142184322</v>
      </c>
      <c r="BC22" s="374"/>
      <c r="BD22" s="374"/>
      <c r="BE22" s="70" t="str">
        <f t="shared" si="27"/>
        <v>Network Waitaki</v>
      </c>
      <c r="BF22" s="166">
        <f t="shared" ca="1" si="28"/>
        <v>11.340830662420849</v>
      </c>
      <c r="BG22" s="166">
        <f ca="1">VLOOKUP(D22,'Geographic sort_trans'!C$11:O$61,13,0)</f>
        <v>14.716951229569919</v>
      </c>
      <c r="BH22" s="166">
        <f t="shared" ca="1" si="15"/>
        <v>13.754030849194493</v>
      </c>
      <c r="BI22" s="450"/>
      <c r="BJ22" s="451"/>
      <c r="BK22" s="70" t="str">
        <f t="shared" si="29"/>
        <v>Network Waitaki</v>
      </c>
      <c r="BL22" s="453">
        <f t="shared" ca="1" si="16"/>
        <v>6.5129972392253682E-2</v>
      </c>
      <c r="BM22" s="453">
        <f t="shared" ca="1" si="30"/>
        <v>8.2911345573233278E-2</v>
      </c>
      <c r="BN22" s="453">
        <f t="shared" ca="1" si="17"/>
        <v>7.7909155368959412E-2</v>
      </c>
      <c r="BO22" s="74"/>
      <c r="BP22" s="488"/>
    </row>
    <row r="23" spans="1:68" x14ac:dyDescent="0.3">
      <c r="A23" s="370" t="str">
        <f t="shared" si="18"/>
        <v>Northpower</v>
      </c>
      <c r="B23" s="459" t="s">
        <v>556</v>
      </c>
      <c r="C23" s="6" t="s">
        <v>23</v>
      </c>
      <c r="D23" s="128" t="s">
        <v>23</v>
      </c>
      <c r="E23" s="129">
        <f ca="1">'Charges to party by investment'!AL24</f>
        <v>12.87478465208687</v>
      </c>
      <c r="F23" s="129">
        <f ca="1">'Charges to party by investment'!AM24</f>
        <v>5.2425508365556768</v>
      </c>
      <c r="H23" s="129">
        <f>'Charges to party by investment'!AN24</f>
        <v>3.0517049699999981</v>
      </c>
      <c r="I23" s="129">
        <f ca="1">'Charges to party by investment'!AO24</f>
        <v>0.13979058525446747</v>
      </c>
      <c r="J23" s="130">
        <f ca="1">'Charges to party by investment'!AP24</f>
        <v>0.58932846284970453</v>
      </c>
      <c r="K23" s="130">
        <f ca="1">'Charges to party by investment'!AQ24</f>
        <v>2.0354317562891074E-2</v>
      </c>
      <c r="L23" s="129">
        <f ca="1">'Charges to party by investment'!AR24</f>
        <v>3.8266117018235222</v>
      </c>
      <c r="M23" s="264"/>
      <c r="N23" s="79">
        <f>'Charges to party by investment'!AS24</f>
        <v>172.82159999999999</v>
      </c>
      <c r="O23" s="79">
        <f t="shared" ca="1" si="0"/>
        <v>22.083737775720536</v>
      </c>
      <c r="Q23" s="386">
        <f>'Charges as $M per year'!C19+'Charges as $M per year'!C56</f>
        <v>16.228378870330879</v>
      </c>
      <c r="R23" s="79"/>
      <c r="S23" s="439">
        <f ca="1">_xlfn.IFNA(OFFSET(Volumes!$C$1,MATCH($D23,Volumes!$A$2:$A$46,0),0),0)*$S$5+_xlfn.IFNA(OFFSET(Volumes!$C$1,MATCH($B23,Volumes!$A$2:$A$46,0),0),0)</f>
        <v>1058.9650649999999</v>
      </c>
      <c r="T23" s="80">
        <f t="shared" ca="1" si="1"/>
        <v>15.324753768275519</v>
      </c>
      <c r="U23" s="80">
        <f t="shared" ca="1" si="19"/>
        <v>20.854075838394667</v>
      </c>
      <c r="V23" s="58"/>
      <c r="W23" s="80">
        <f>'EDB data_trans'!N19</f>
        <v>24.672184868078368</v>
      </c>
      <c r="X23" s="80">
        <f>'EDB data_trans'!F19*(1+$AA$5)^3</f>
        <v>26.41905019636059</v>
      </c>
      <c r="Y23" s="80">
        <f t="shared" si="20"/>
        <v>20.342668651197656</v>
      </c>
      <c r="Z23" s="435">
        <f>(1-$AA$6*'EDB data_trans'!H19)*Y23</f>
        <v>19.496787948291836</v>
      </c>
      <c r="AA23" s="219">
        <f t="shared" ca="1" si="2"/>
        <v>-1.440069151776004E-2</v>
      </c>
      <c r="AB23" s="346">
        <f t="shared" ca="1" si="3"/>
        <v>0.11450180689363275</v>
      </c>
      <c r="AC23" s="325">
        <f t="shared" ca="1" si="4"/>
        <v>15.884534467186235</v>
      </c>
      <c r="AD23" s="219">
        <f t="shared" ca="1" si="5"/>
        <v>-1.440069151776004E-2</v>
      </c>
      <c r="AE23" s="116">
        <f t="shared" ca="1" si="6"/>
        <v>0</v>
      </c>
      <c r="AF23" s="79">
        <f t="shared" ca="1" si="21"/>
        <v>0</v>
      </c>
      <c r="AG23" s="371">
        <f t="shared" ca="1" si="7"/>
        <v>5.5118258802503961</v>
      </c>
      <c r="AH23" s="219">
        <f t="shared" ca="1" si="8"/>
        <v>-1.3150701494405146E-2</v>
      </c>
      <c r="AJ23" s="372">
        <f t="shared" ca="1" si="9"/>
        <v>0</v>
      </c>
      <c r="AK23" s="79">
        <f t="shared" ca="1" si="22"/>
        <v>0</v>
      </c>
      <c r="AL23" s="371">
        <f t="shared" ca="1" si="10"/>
        <v>5.5118258802503961</v>
      </c>
      <c r="AM23" s="219">
        <f t="shared" ca="1" si="11"/>
        <v>-1.3150701494405146E-2</v>
      </c>
      <c r="AN23" s="515"/>
      <c r="AO23" s="153">
        <v>4.023269242097903E-2</v>
      </c>
      <c r="AQ23" s="219">
        <f t="shared" ca="1" si="12"/>
        <v>5.1363363387360368E-2</v>
      </c>
      <c r="AR23" s="347">
        <f t="shared" si="13"/>
        <v>3.5000000000000003E-2</v>
      </c>
      <c r="AS23" s="66"/>
      <c r="AT23" s="169" t="str">
        <f t="shared" si="23"/>
        <v>Northpower</v>
      </c>
      <c r="AU23" s="453">
        <f t="shared" si="24"/>
        <v>4.023269242097903E-2</v>
      </c>
      <c r="AV23" s="453"/>
      <c r="AW23" s="453">
        <f t="shared" ca="1" si="25"/>
        <v>-1.3150701494405146E-2</v>
      </c>
      <c r="AX23" s="373"/>
      <c r="AY23" s="463" t="str">
        <f t="shared" si="26"/>
        <v>Northpower</v>
      </c>
      <c r="AZ23" s="464">
        <f>AZ2*$BU$4/($BU$4+$BV$4)</f>
        <v>12.841566649191321</v>
      </c>
      <c r="BA23" s="464">
        <f>BA2*$BU$3/($BU$3+$BV$3)</f>
        <v>21.605793036632559</v>
      </c>
      <c r="BB23" s="464">
        <f ca="1">BB2*$BU$3/($BU$3+$BV$3)</f>
        <v>18.290397315140368</v>
      </c>
      <c r="BC23" s="464"/>
      <c r="BD23" s="464"/>
      <c r="BE23" s="463" t="str">
        <f t="shared" si="27"/>
        <v>Northpower</v>
      </c>
      <c r="BF23" s="464">
        <f ca="1">AZ23/($S23-$S$61)*1000</f>
        <v>16.118162353756517</v>
      </c>
      <c r="BG23" s="166">
        <f ca="1">VLOOKUP(D23,'Geographic sort_trans'!C$11:O$61,13,0)</f>
        <v>27.094973065396491</v>
      </c>
      <c r="BH23" s="464">
        <f ca="1">BB23/($S23-$S$61)*1000</f>
        <v>22.957291854939665</v>
      </c>
      <c r="BI23" s="457"/>
      <c r="BJ23" s="465"/>
      <c r="BK23" s="463" t="str">
        <f t="shared" si="29"/>
        <v>Northpower</v>
      </c>
      <c r="BL23" s="466">
        <f ca="1">BF23/(Z23*10+U23-T23+BF23-BH23)</f>
        <v>8.323000525090779E-2</v>
      </c>
      <c r="BM23" s="466">
        <f ca="1">BG23/(Z23*10+U23-T23+BG23-BH23)</f>
        <v>0.13240642406364</v>
      </c>
      <c r="BN23" s="466">
        <f ca="1">BH23/($Z23*10+$U23-$T23)</f>
        <v>0.11450180689363275</v>
      </c>
      <c r="BO23" s="74"/>
      <c r="BP23" s="488"/>
    </row>
    <row r="24" spans="1:68" x14ac:dyDescent="0.3">
      <c r="A24" s="370" t="str">
        <f t="shared" si="18"/>
        <v>Orion</v>
      </c>
      <c r="C24" s="116" t="s">
        <v>25</v>
      </c>
      <c r="D24" s="128" t="s">
        <v>25</v>
      </c>
      <c r="E24" s="129">
        <f ca="1">'Charges to party by investment'!AL25</f>
        <v>6.47650155100522</v>
      </c>
      <c r="F24" s="129">
        <f ca="1">'Charges to party by investment'!AM25</f>
        <v>22.281286980508121</v>
      </c>
      <c r="H24" s="129">
        <f>'Charges to party by investment'!AN25</f>
        <v>8.6734409999999933</v>
      </c>
      <c r="I24" s="129">
        <f ca="1">'Charges to party by investment'!AO25</f>
        <v>0.85146952670211817</v>
      </c>
      <c r="J24" s="130">
        <f ca="1">'Charges to party by investment'!AP25</f>
        <v>0.1597458564456806</v>
      </c>
      <c r="K24" s="130">
        <f ca="1">'Charges to party by investment'!AQ25</f>
        <v>8.6507580956359922E-2</v>
      </c>
      <c r="L24" s="129">
        <f ca="1">'Charges to party by investment'!AR25</f>
        <v>16.263425219795664</v>
      </c>
      <c r="M24" s="264"/>
      <c r="N24" s="79">
        <f>'Charges to party by investment'!AS25</f>
        <v>734.50650000000007</v>
      </c>
      <c r="O24" s="79">
        <f t="shared" ca="1" si="0"/>
        <v>45.872683278011124</v>
      </c>
      <c r="Q24" s="79">
        <v>63.9112827295871</v>
      </c>
      <c r="R24" s="79"/>
      <c r="S24" s="8">
        <f ca="1">_xlfn.IFNA(OFFSET(Volumes!$C$1,MATCH($D24,Volumes!$A$2:$A$46,0),0),0)*$S$5+_xlfn.IFNA(OFFSET(Volumes!$C$1,MATCH($B24,Volumes!$A$2:$A$46,0),0),0)</f>
        <v>3403.9236000000001</v>
      </c>
      <c r="T24" s="80">
        <f t="shared" ca="1" si="1"/>
        <v>18.77576885967332</v>
      </c>
      <c r="U24" s="80">
        <f t="shared" ca="1" si="19"/>
        <v>13.476413888376085</v>
      </c>
      <c r="V24" s="58"/>
      <c r="W24" s="80">
        <f>'EDB data_trans'!N20</f>
        <v>23.486739417620459</v>
      </c>
      <c r="X24" s="80">
        <f>'EDB data_trans'!F20*(1+$AA$5)^3</f>
        <v>24.549400773684958</v>
      </c>
      <c r="Y24" s="80">
        <f t="shared" si="20"/>
        <v>18.903038595737417</v>
      </c>
      <c r="Z24" s="435">
        <f>(1-$AA$6*'EDB data_trans'!H20)*Y24</f>
        <v>18.082799527023823</v>
      </c>
      <c r="AA24" s="219">
        <f t="shared" ca="1" si="2"/>
        <v>-7.1426324344900732E-2</v>
      </c>
      <c r="AB24" s="346">
        <f t="shared" ca="1" si="3"/>
        <v>7.8691582278079611E-2</v>
      </c>
      <c r="AC24" s="325">
        <f t="shared" ca="1" si="4"/>
        <v>90.760772384155871</v>
      </c>
      <c r="AD24" s="219">
        <f t="shared" ca="1" si="5"/>
        <v>-7.1426324344900732E-2</v>
      </c>
      <c r="AE24" s="116">
        <f t="shared" ca="1" si="6"/>
        <v>0</v>
      </c>
      <c r="AF24" s="79">
        <f t="shared" ca="1" si="21"/>
        <v>0</v>
      </c>
      <c r="AG24" s="371">
        <f t="shared" ca="1" si="7"/>
        <v>23.42572882042602</v>
      </c>
      <c r="AH24" s="219">
        <f t="shared" ca="1" si="8"/>
        <v>-6.9647707906254255E-2</v>
      </c>
      <c r="AJ24" s="372">
        <f t="shared" ca="1" si="9"/>
        <v>0</v>
      </c>
      <c r="AK24" s="79">
        <f t="shared" ca="1" si="22"/>
        <v>0</v>
      </c>
      <c r="AL24" s="371">
        <f t="shared" ca="1" si="10"/>
        <v>23.42572882042602</v>
      </c>
      <c r="AM24" s="219">
        <f t="shared" ca="1" si="11"/>
        <v>-6.9647707906254255E-2</v>
      </c>
      <c r="AN24" s="440"/>
      <c r="AO24" s="153">
        <v>-2.1443047484207105E-2</v>
      </c>
      <c r="AQ24" s="219">
        <f t="shared" ca="1" si="12"/>
        <v>5.1363363387360333E-2</v>
      </c>
      <c r="AR24" s="347">
        <f t="shared" si="13"/>
        <v>3.5000000000000003E-2</v>
      </c>
      <c r="AS24" s="66"/>
      <c r="AT24" s="169" t="str">
        <f t="shared" si="23"/>
        <v>Orion</v>
      </c>
      <c r="AU24" s="453">
        <f t="shared" si="24"/>
        <v>-2.1443047484207105E-2</v>
      </c>
      <c r="AV24" s="453"/>
      <c r="AW24" s="453">
        <f t="shared" ca="1" si="25"/>
        <v>-6.9647707906254255E-2</v>
      </c>
      <c r="AX24" s="373"/>
      <c r="AY24" s="70" t="str">
        <f t="shared" si="26"/>
        <v>Orion</v>
      </c>
      <c r="AZ24" s="166">
        <v>63.9112827295871</v>
      </c>
      <c r="BA24" s="166">
        <v>47.58453277599471</v>
      </c>
      <c r="BB24" s="166">
        <f t="shared" ca="1" si="14"/>
        <v>47.017125117929027</v>
      </c>
      <c r="BC24" s="374"/>
      <c r="BD24" s="374"/>
      <c r="BE24" s="70" t="str">
        <f t="shared" si="27"/>
        <v>Orion</v>
      </c>
      <c r="BF24" s="166">
        <f t="shared" ca="1" si="28"/>
        <v>18.77576885967332</v>
      </c>
      <c r="BG24" s="166">
        <f ca="1">VLOOKUP(D24,'Geographic sort_trans'!C$11:O$61,13,0)</f>
        <v>14.678284616844643</v>
      </c>
      <c r="BH24" s="166">
        <f t="shared" ca="1" si="28"/>
        <v>13.812626440243555</v>
      </c>
      <c r="BI24" s="450"/>
      <c r="BJ24" s="451"/>
      <c r="BK24" s="70" t="str">
        <f t="shared" si="29"/>
        <v>Orion</v>
      </c>
      <c r="BL24" s="453">
        <f t="shared" ca="1" si="16"/>
        <v>0.10402561588618123</v>
      </c>
      <c r="BM24" s="453">
        <f t="shared" ca="1" si="30"/>
        <v>8.3212919826203213E-2</v>
      </c>
      <c r="BN24" s="453">
        <f t="shared" ca="1" si="17"/>
        <v>7.8691582278079611E-2</v>
      </c>
      <c r="BO24" s="74"/>
      <c r="BP24" s="488"/>
    </row>
    <row r="25" spans="1:68" x14ac:dyDescent="0.3">
      <c r="A25" s="370" t="str">
        <f t="shared" si="18"/>
        <v>OtagoNet JV</v>
      </c>
      <c r="C25" s="116" t="s">
        <v>71</v>
      </c>
      <c r="D25" s="128" t="s">
        <v>71</v>
      </c>
      <c r="E25" s="129">
        <f ca="1">'Charges to party by investment'!AL26</f>
        <v>0.84596165325492045</v>
      </c>
      <c r="F25" s="129">
        <f ca="1">'Charges to party by investment'!AM26</f>
        <v>2.2231916696431973</v>
      </c>
      <c r="H25" s="129">
        <f>'Charges to party by investment'!AN26</f>
        <v>2.6046047400000005</v>
      </c>
      <c r="I25" s="129">
        <f ca="1">'Charges to party by investment'!AO26</f>
        <v>0</v>
      </c>
      <c r="J25" s="130">
        <f ca="1">'Charges to party by investment'!AP26</f>
        <v>0.18030287361445857</v>
      </c>
      <c r="K25" s="130">
        <f ca="1">'Charges to party by investment'!AQ26</f>
        <v>8.6315899755435941E-3</v>
      </c>
      <c r="L25" s="129">
        <f ca="1">'Charges to party by investment'!AR26</f>
        <v>1.6227389154021956</v>
      </c>
      <c r="M25" s="264"/>
      <c r="N25" s="79">
        <f>'Charges to party by investment'!AS26</f>
        <v>73.287900000000008</v>
      </c>
      <c r="O25" s="79">
        <f t="shared" ca="1" si="0"/>
        <v>4.691892238300313</v>
      </c>
      <c r="Q25" s="79">
        <v>3.9733324683553399</v>
      </c>
      <c r="R25" s="79"/>
      <c r="S25" s="8">
        <f ca="1">_xlfn.IFNA(OFFSET(Volumes!$C$1,MATCH($D25,Volumes!$A$2:$A$46,0),0),0)*$S$5+_xlfn.IFNA(OFFSET(Volumes!$C$1,MATCH($B25,Volumes!$A$2:$A$46,0),0),0)</f>
        <v>445.91977500000002</v>
      </c>
      <c r="T25" s="80">
        <f t="shared" ca="1" si="1"/>
        <v>8.9104199703979035</v>
      </c>
      <c r="U25" s="80">
        <f t="shared" ca="1" si="19"/>
        <v>10.521830385970913</v>
      </c>
      <c r="V25" s="58"/>
      <c r="W25" s="80">
        <f>'EDB data_trans'!N21</f>
        <v>33.825874391226506</v>
      </c>
      <c r="X25" s="80">
        <f>'EDB data_trans'!F21*(1+$AA$5)^3</f>
        <v>35.748206214497408</v>
      </c>
      <c r="Y25" s="80">
        <f t="shared" si="20"/>
        <v>27.526118785163003</v>
      </c>
      <c r="Z25" s="435">
        <f>(1-$AA$6*'EDB data_trans'!H21)*Y25</f>
        <v>26.048258094298635</v>
      </c>
      <c r="AA25" s="219">
        <f t="shared" ca="1" si="2"/>
        <v>-4.7835281813024766E-2</v>
      </c>
      <c r="AB25" s="346">
        <f t="shared" ca="1" si="3"/>
        <v>4.1122305520013884E-2</v>
      </c>
      <c r="AC25" s="325">
        <f t="shared" ca="1" si="4"/>
        <v>12.390759210570167</v>
      </c>
      <c r="AD25" s="219">
        <f t="shared" ca="1" si="5"/>
        <v>-4.7835281813024766E-2</v>
      </c>
      <c r="AE25" s="116">
        <f t="shared" ca="1" si="6"/>
        <v>0</v>
      </c>
      <c r="AF25" s="79">
        <f t="shared" ca="1" si="21"/>
        <v>0</v>
      </c>
      <c r="AG25" s="371">
        <f t="shared" ca="1" si="7"/>
        <v>2.3373822712508332</v>
      </c>
      <c r="AH25" s="219">
        <f t="shared" ca="1" si="8"/>
        <v>-4.690496975692162E-2</v>
      </c>
      <c r="AJ25" s="372">
        <f t="shared" ca="1" si="9"/>
        <v>0</v>
      </c>
      <c r="AK25" s="79">
        <f t="shared" ca="1" si="22"/>
        <v>0</v>
      </c>
      <c r="AL25" s="371">
        <f t="shared" ca="1" si="10"/>
        <v>2.3373822712508332</v>
      </c>
      <c r="AM25" s="219">
        <f t="shared" ca="1" si="11"/>
        <v>-4.690496975692162E-2</v>
      </c>
      <c r="AN25" s="440"/>
      <c r="AO25" s="153">
        <v>5.1940960788627501E-3</v>
      </c>
      <c r="AQ25" s="219">
        <f t="shared" ca="1" si="12"/>
        <v>5.1363363387360361E-2</v>
      </c>
      <c r="AR25" s="347">
        <f t="shared" si="13"/>
        <v>3.5000000000000003E-2</v>
      </c>
      <c r="AS25" s="66"/>
      <c r="AT25" s="169" t="str">
        <f t="shared" si="23"/>
        <v>OtagoNet JV</v>
      </c>
      <c r="AU25" s="453">
        <f t="shared" si="24"/>
        <v>5.1940960788627501E-3</v>
      </c>
      <c r="AV25" s="453"/>
      <c r="AW25" s="453">
        <f t="shared" ca="1" si="25"/>
        <v>-4.690496975692162E-2</v>
      </c>
      <c r="AX25" s="373"/>
      <c r="AY25" s="70" t="str">
        <f t="shared" si="26"/>
        <v>OtagoNet JV</v>
      </c>
      <c r="AZ25" s="166">
        <v>3.9733324683553399</v>
      </c>
      <c r="BA25" s="166">
        <v>4.7194829846218855</v>
      </c>
      <c r="BB25" s="166">
        <f t="shared" ca="1" si="14"/>
        <v>4.8060828399079494</v>
      </c>
      <c r="BC25" s="374"/>
      <c r="BD25" s="374"/>
      <c r="BE25" s="70" t="str">
        <f t="shared" si="27"/>
        <v>OtagoNet JV</v>
      </c>
      <c r="BF25" s="166">
        <f t="shared" ca="1" si="28"/>
        <v>8.9104199703979035</v>
      </c>
      <c r="BG25" s="166">
        <f ca="1">VLOOKUP(D25,'Geographic sort_trans'!C$11:O$61,13,0)</f>
        <v>11.112889384313535</v>
      </c>
      <c r="BH25" s="166">
        <f t="shared" ca="1" si="28"/>
        <v>10.777909187606557</v>
      </c>
      <c r="BI25" s="450"/>
      <c r="BJ25" s="451"/>
      <c r="BK25" s="70" t="str">
        <f t="shared" si="29"/>
        <v>OtagoNet JV</v>
      </c>
      <c r="BL25" s="453">
        <f t="shared" ca="1" si="16"/>
        <v>3.4241016564707578E-2</v>
      </c>
      <c r="BM25" s="453">
        <f t="shared" ca="1" si="30"/>
        <v>4.2346274949956166E-2</v>
      </c>
      <c r="BN25" s="453">
        <f t="shared" ca="1" si="17"/>
        <v>4.1122305520013884E-2</v>
      </c>
      <c r="BO25" s="74"/>
      <c r="BP25" s="488"/>
    </row>
    <row r="26" spans="1:68" x14ac:dyDescent="0.3">
      <c r="A26" s="370" t="str">
        <f t="shared" si="18"/>
        <v>Powerco</v>
      </c>
      <c r="B26" s="116" t="s">
        <v>3</v>
      </c>
      <c r="C26" s="116" t="s">
        <v>28</v>
      </c>
      <c r="D26" s="128" t="s">
        <v>28</v>
      </c>
      <c r="E26" s="129">
        <f ca="1">'Charges to party by investment'!AL27</f>
        <v>19.259221537985212</v>
      </c>
      <c r="F26" s="129">
        <f ca="1">'Charges to party by investment'!AM27</f>
        <v>33.216521270713621</v>
      </c>
      <c r="H26" s="129">
        <f>'Charges to party by investment'!AN27</f>
        <v>16.323840489999963</v>
      </c>
      <c r="I26" s="129">
        <f ca="1">'Charges to party by investment'!AO27</f>
        <v>0.42458726673135005</v>
      </c>
      <c r="J26" s="130">
        <f ca="1">'Charges to party by investment'!AP27</f>
        <v>0.25515162136211728</v>
      </c>
      <c r="K26" s="130">
        <f ca="1">'Charges to party by investment'!AQ27</f>
        <v>0.12896386575105193</v>
      </c>
      <c r="L26" s="129">
        <f ca="1">'Charges to party by investment'!AR27</f>
        <v>24.24520676119776</v>
      </c>
      <c r="M26" s="264"/>
      <c r="N26" s="79">
        <f>'Charges to party by investment'!AS27</f>
        <v>1094.9883999999995</v>
      </c>
      <c r="O26" s="79">
        <f t="shared" ca="1" si="0"/>
        <v>77.14553683662794</v>
      </c>
      <c r="Q26" s="386">
        <f>'Charges as $M per year'!C22+'Charges as $M per year'!C47</f>
        <v>78.2897243103573</v>
      </c>
      <c r="R26" s="79"/>
      <c r="S26" s="439">
        <f ca="1">_xlfn.IFNA(OFFSET(Volumes!$C$1,MATCH($D26,Volumes!$A$2:$A$46,0),0),0)*$S$5+_xlfn.IFNA(OFFSET(Volumes!$C$1,MATCH($B26,Volumes!$A$2:$A$46,0),0),0)</f>
        <v>5187.6821499999996</v>
      </c>
      <c r="T26" s="80">
        <f t="shared" ca="1" si="1"/>
        <v>15.091465137346031</v>
      </c>
      <c r="U26" s="80">
        <f t="shared" ca="1" si="19"/>
        <v>14.870906621876969</v>
      </c>
      <c r="V26" s="58"/>
      <c r="W26" s="80">
        <f>'EDB data_trans'!N22</f>
        <v>26.228663673903906</v>
      </c>
      <c r="X26" s="80">
        <f>'EDB data_trans'!F22*(1+$AA$5)^3</f>
        <v>27.397901613438222</v>
      </c>
      <c r="Y26" s="80">
        <f t="shared" si="20"/>
        <v>21.09638424234743</v>
      </c>
      <c r="Z26" s="435">
        <f>(1-$AA$6*'EDB data_trans'!H22)*Y26</f>
        <v>20.174837735866021</v>
      </c>
      <c r="AA26" s="219">
        <f t="shared" ca="1" si="2"/>
        <v>-4.4728155649260158E-2</v>
      </c>
      <c r="AB26" s="346">
        <f t="shared" ca="1" si="3"/>
        <v>6.8491064895959991E-2</v>
      </c>
      <c r="AC26" s="325">
        <f t="shared" ca="1" si="4"/>
        <v>120.47207995237608</v>
      </c>
      <c r="AD26" s="219">
        <f t="shared" ca="1" si="5"/>
        <v>-4.4728155649260158E-2</v>
      </c>
      <c r="AE26" s="116">
        <f t="shared" ca="1" si="6"/>
        <v>0</v>
      </c>
      <c r="AF26" s="79">
        <f t="shared" ca="1" si="21"/>
        <v>0</v>
      </c>
      <c r="AG26" s="371">
        <f t="shared" ca="1" si="7"/>
        <v>34.92263352320527</v>
      </c>
      <c r="AH26" s="219">
        <f t="shared" ca="1" si="8"/>
        <v>-4.3169227080387791E-2</v>
      </c>
      <c r="AJ26" s="372">
        <f t="shared" ca="1" si="9"/>
        <v>0</v>
      </c>
      <c r="AK26" s="79">
        <f t="shared" ca="1" si="22"/>
        <v>0</v>
      </c>
      <c r="AL26" s="371">
        <f t="shared" ca="1" si="10"/>
        <v>34.92263352320527</v>
      </c>
      <c r="AM26" s="219">
        <f t="shared" ca="1" si="11"/>
        <v>-4.3169227080387791E-2</v>
      </c>
      <c r="AN26" s="515">
        <f ca="1">AL26-'Charges to party by investment'!AM27</f>
        <v>1.7061122524916499</v>
      </c>
      <c r="AO26" s="153">
        <v>-1.462322306175524E-3</v>
      </c>
      <c r="AQ26" s="219">
        <f t="shared" ca="1" si="12"/>
        <v>5.1363363387360396E-2</v>
      </c>
      <c r="AR26" s="347">
        <f t="shared" si="13"/>
        <v>3.5000000000000003E-2</v>
      </c>
      <c r="AS26" s="66"/>
      <c r="AT26" s="169" t="str">
        <f t="shared" si="23"/>
        <v>Powerco</v>
      </c>
      <c r="AU26" s="453">
        <f t="shared" si="24"/>
        <v>-1.462322306175524E-3</v>
      </c>
      <c r="AV26" s="453"/>
      <c r="AW26" s="453">
        <f t="shared" ca="1" si="25"/>
        <v>-4.3169227080387791E-2</v>
      </c>
      <c r="AX26" s="373"/>
      <c r="AY26" s="463" t="str">
        <f t="shared" si="26"/>
        <v>Powerco</v>
      </c>
      <c r="AZ26" s="464">
        <f>AZ1*$BY$4/($BY$4+$BZ$4)</f>
        <v>68.18491646286229</v>
      </c>
      <c r="BA26" s="464">
        <f>BA$1*$BY$3/($BY$3+$BZ$3)</f>
        <v>65.876296187273098</v>
      </c>
      <c r="BB26" s="464">
        <f ca="1">BB$1*$BY$3/($BY$3+$BZ$3)</f>
        <v>71.604824080936737</v>
      </c>
      <c r="BC26" s="464"/>
      <c r="BD26" s="464"/>
      <c r="BE26" s="463" t="str">
        <f t="shared" si="27"/>
        <v>Powerco</v>
      </c>
      <c r="BF26" s="464">
        <f t="shared" ca="1" si="28"/>
        <v>13.143618766786298</v>
      </c>
      <c r="BG26" s="166">
        <f ca="1">VLOOKUP(D26,'Geographic sort_trans'!C$11:O$61,13,0)</f>
        <v>16.550368676238417</v>
      </c>
      <c r="BH26" s="464">
        <f t="shared" ca="1" si="28"/>
        <v>13.802854918730274</v>
      </c>
      <c r="BI26" s="457"/>
      <c r="BJ26" s="465"/>
      <c r="BK26" s="463" t="str">
        <f t="shared" si="29"/>
        <v>Powerco</v>
      </c>
      <c r="BL26" s="466">
        <f t="shared" ca="1" si="16"/>
        <v>6.5433919982345906E-2</v>
      </c>
      <c r="BM26" s="466">
        <f t="shared" ca="1" si="30"/>
        <v>8.1019908108972347E-2</v>
      </c>
      <c r="BN26" s="466">
        <f t="shared" ca="1" si="17"/>
        <v>6.8491064895959991E-2</v>
      </c>
      <c r="BO26" s="74"/>
      <c r="BP26" s="488"/>
    </row>
    <row r="27" spans="1:68" x14ac:dyDescent="0.3">
      <c r="A27" s="370" t="str">
        <f t="shared" si="18"/>
        <v>Scanpower</v>
      </c>
      <c r="C27" s="116" t="s">
        <v>31</v>
      </c>
      <c r="D27" s="128" t="s">
        <v>31</v>
      </c>
      <c r="E27" s="129">
        <f ca="1">'Charges to party by investment'!AL28</f>
        <v>0.34010523990489244</v>
      </c>
      <c r="F27" s="129">
        <f ca="1">'Charges to party by investment'!AM28</f>
        <v>0.46631029604825941</v>
      </c>
      <c r="H27" s="129">
        <f>'Charges to party by investment'!AN28</f>
        <v>0.54767798000000012</v>
      </c>
      <c r="I27" s="129">
        <f ca="1">'Charges to party by investment'!AO28</f>
        <v>7.9774830260458795E-3</v>
      </c>
      <c r="J27" s="130">
        <f ca="1">'Charges to party by investment'!AP28</f>
        <v>0.30143309600501933</v>
      </c>
      <c r="K27" s="130">
        <f ca="1">'Charges to party by investment'!AQ28</f>
        <v>1.8104598590498041E-3</v>
      </c>
      <c r="L27" s="129">
        <f ca="1">'Charges to party by investment'!AR28</f>
        <v>0.34036645350136319</v>
      </c>
      <c r="M27" s="264"/>
      <c r="N27" s="79">
        <f>'Charges to party by investment'!AS28</f>
        <v>15.372</v>
      </c>
      <c r="O27" s="79">
        <f t="shared" ca="1" si="0"/>
        <v>1.154759472480561</v>
      </c>
      <c r="Q27" s="79">
        <v>1.5144688012252701</v>
      </c>
      <c r="R27" s="79"/>
      <c r="S27" s="8">
        <f ca="1">_xlfn.IFNA(OFFSET(Volumes!$C$1,MATCH($D27,Volumes!$A$2:$A$46,0),0),0)*$S$5+_xlfn.IFNA(OFFSET(Volumes!$C$1,MATCH($B27,Volumes!$A$2:$A$46,0),0),0)</f>
        <v>87.567322500000017</v>
      </c>
      <c r="T27" s="80">
        <f t="shared" ca="1" si="1"/>
        <v>17.294908168800863</v>
      </c>
      <c r="U27" s="80">
        <f t="shared" ca="1" si="19"/>
        <v>13.187104955510781</v>
      </c>
      <c r="V27" s="58"/>
      <c r="W27" s="80">
        <f>'EDB data_trans'!N23</f>
        <v>25.199030381175191</v>
      </c>
      <c r="X27" s="80">
        <f>'EDB data_trans'!F23*(1+$AA$5)^3</f>
        <v>27.45713679461636</v>
      </c>
      <c r="Y27" s="80">
        <f t="shared" si="20"/>
        <v>21.141995331854599</v>
      </c>
      <c r="Z27" s="435">
        <f>(1-$AA$6*'EDB data_trans'!H23)*Y27</f>
        <v>20.091874112228865</v>
      </c>
      <c r="AA27" s="219">
        <f t="shared" ca="1" si="2"/>
        <v>-6.9099511092673663E-2</v>
      </c>
      <c r="AB27" s="346">
        <f t="shared" ca="1" si="3"/>
        <v>6.8393674653139336E-2</v>
      </c>
      <c r="AC27" s="325">
        <f t="shared" ca="1" si="4"/>
        <v>2.3935544330548697</v>
      </c>
      <c r="AD27" s="219">
        <f t="shared" ca="1" si="5"/>
        <v>-6.9099511092673663E-2</v>
      </c>
      <c r="AE27" s="116">
        <f t="shared" ca="1" si="6"/>
        <v>0</v>
      </c>
      <c r="AF27" s="79">
        <f t="shared" ca="1" si="21"/>
        <v>0</v>
      </c>
      <c r="AG27" s="371">
        <f t="shared" ca="1" si="7"/>
        <v>0.49026156123545372</v>
      </c>
      <c r="AH27" s="219">
        <f t="shared" ca="1" si="8"/>
        <v>-6.7805790723696177E-2</v>
      </c>
      <c r="AJ27" s="372">
        <f t="shared" ca="1" si="9"/>
        <v>0</v>
      </c>
      <c r="AK27" s="79">
        <f t="shared" ca="1" si="22"/>
        <v>0</v>
      </c>
      <c r="AL27" s="371">
        <f t="shared" ca="1" si="10"/>
        <v>0.49026156123545372</v>
      </c>
      <c r="AM27" s="219">
        <f t="shared" ca="1" si="11"/>
        <v>-6.7805790723696177E-2</v>
      </c>
      <c r="AN27" s="440"/>
      <c r="AO27" s="153">
        <v>-1.5559290196730169E-2</v>
      </c>
      <c r="AQ27" s="219">
        <f t="shared" ca="1" si="12"/>
        <v>5.1363363387360313E-2</v>
      </c>
      <c r="AR27" s="347">
        <f t="shared" si="13"/>
        <v>3.5000000000000003E-2</v>
      </c>
      <c r="AS27" s="66"/>
      <c r="AT27" s="169" t="str">
        <f t="shared" si="23"/>
        <v>Scanpower</v>
      </c>
      <c r="AU27" s="453">
        <f t="shared" si="24"/>
        <v>-1.5559290196730169E-2</v>
      </c>
      <c r="AV27" s="453"/>
      <c r="AW27" s="453">
        <f t="shared" ca="1" si="25"/>
        <v>-6.7805790723696177E-2</v>
      </c>
      <c r="AX27" s="373"/>
      <c r="AY27" s="70" t="str">
        <f t="shared" si="26"/>
        <v>Scanpower</v>
      </c>
      <c r="AZ27" s="166">
        <v>1.5144688012252701</v>
      </c>
      <c r="BA27" s="166">
        <v>1.1874848912420872</v>
      </c>
      <c r="BB27" s="166">
        <f t="shared" ca="1" si="14"/>
        <v>1.1787107376677552</v>
      </c>
      <c r="BC27" s="374"/>
      <c r="BD27" s="374"/>
      <c r="BE27" s="70" t="str">
        <f t="shared" si="27"/>
        <v>Scanpower</v>
      </c>
      <c r="BF27" s="166">
        <f t="shared" ca="1" si="28"/>
        <v>17.294908168800863</v>
      </c>
      <c r="BG27" s="166">
        <f ca="1">VLOOKUP(D27,'Geographic sort_trans'!C$11:O$61,13,0)</f>
        <v>14.238863313471661</v>
      </c>
      <c r="BH27" s="166">
        <f t="shared" ca="1" si="28"/>
        <v>13.460623255527254</v>
      </c>
      <c r="BI27" s="450"/>
      <c r="BJ27" s="451"/>
      <c r="BK27" s="70" t="str">
        <f t="shared" si="29"/>
        <v>Scanpower</v>
      </c>
      <c r="BL27" s="453">
        <f t="shared" ca="1" si="16"/>
        <v>8.6196461224099866E-2</v>
      </c>
      <c r="BM27" s="453">
        <f t="shared" ca="1" si="30"/>
        <v>7.2062971565445999E-2</v>
      </c>
      <c r="BN27" s="453">
        <f t="shared" ca="1" si="17"/>
        <v>6.8393674653139336E-2</v>
      </c>
      <c r="BO27" s="74"/>
      <c r="BP27" s="488"/>
    </row>
    <row r="28" spans="1:68" x14ac:dyDescent="0.3">
      <c r="A28" s="370" t="str">
        <f t="shared" si="18"/>
        <v>The Lines Company</v>
      </c>
      <c r="C28" s="116" t="s">
        <v>32</v>
      </c>
      <c r="D28" s="128" t="s">
        <v>32</v>
      </c>
      <c r="E28" s="129">
        <f ca="1">'Charges to party by investment'!AL29</f>
        <v>0.90952576385534223</v>
      </c>
      <c r="F28" s="129">
        <f ca="1">'Charges to party by investment'!AM29</f>
        <v>2.3121855881649753</v>
      </c>
      <c r="H28" s="129">
        <f>'Charges to party by investment'!AN29</f>
        <v>1.6645887099999996</v>
      </c>
      <c r="I28" s="129">
        <f ca="1">'Charges to party by investment'!AO29</f>
        <v>2.8927327157017672E-2</v>
      </c>
      <c r="J28" s="130">
        <f ca="1">'Charges to party by investment'!AP29</f>
        <v>0.19003429176704495</v>
      </c>
      <c r="K28" s="130">
        <f ca="1">'Charges to party by investment'!AQ29</f>
        <v>8.9771107983704461E-3</v>
      </c>
      <c r="L28" s="129">
        <f ca="1">'Charges to party by investment'!AR29</f>
        <v>1.6876968300936439</v>
      </c>
      <c r="M28" s="264"/>
      <c r="N28" s="79">
        <f>'Charges to party by investment'!AS29</f>
        <v>76.221599999999981</v>
      </c>
      <c r="O28" s="79">
        <f t="shared" ca="1" si="0"/>
        <v>4.9383355092709786</v>
      </c>
      <c r="Q28" s="79">
        <v>3.6831699708093302</v>
      </c>
      <c r="R28" s="79"/>
      <c r="S28" s="8">
        <f ca="1">_xlfn.IFNA(OFFSET(Volumes!$C$1,MATCH($D28,Volumes!$A$2:$A$46,0),0),0)*$S$5+_xlfn.IFNA(OFFSET(Volumes!$C$1,MATCH($B28,Volumes!$A$2:$A$46,0),0),0)</f>
        <v>305.81040000000002</v>
      </c>
      <c r="T28" s="80">
        <f t="shared" ca="1" si="1"/>
        <v>12.043965708194783</v>
      </c>
      <c r="U28" s="80">
        <f t="shared" ca="1" si="19"/>
        <v>16.148356986129244</v>
      </c>
      <c r="V28" s="58"/>
      <c r="W28" s="80">
        <f>'EDB data_trans'!N24</f>
        <v>26.77212752964406</v>
      </c>
      <c r="X28" s="80">
        <f>'EDB data_trans'!F24*(1+$AA$5)^3</f>
        <v>28.44229778096733</v>
      </c>
      <c r="Y28" s="80">
        <f t="shared" si="20"/>
        <v>21.900569291344844</v>
      </c>
      <c r="Z28" s="435">
        <f>(1-$AA$6*'EDB data_trans'!H24)*Y28</f>
        <v>20.858085301580576</v>
      </c>
      <c r="AA28" s="219">
        <f t="shared" ca="1" si="2"/>
        <v>-2.8859745770198186E-2</v>
      </c>
      <c r="AB28" s="346">
        <f t="shared" ca="1" si="3"/>
        <v>7.7752020660413146E-2</v>
      </c>
      <c r="AC28" s="325">
        <f t="shared" ca="1" si="4"/>
        <v>6.5891421580622538</v>
      </c>
      <c r="AD28" s="219">
        <f t="shared" ca="1" si="5"/>
        <v>-2.8859745770198186E-2</v>
      </c>
      <c r="AE28" s="116">
        <f t="shared" ca="1" si="6"/>
        <v>0</v>
      </c>
      <c r="AF28" s="79">
        <f t="shared" ca="1" si="21"/>
        <v>0</v>
      </c>
      <c r="AG28" s="371">
        <f t="shared" ca="1" si="7"/>
        <v>2.4309472167489106</v>
      </c>
      <c r="AH28" s="219">
        <f t="shared" ca="1" si="8"/>
        <v>-2.7086501809292816E-2</v>
      </c>
      <c r="AJ28" s="372">
        <f t="shared" ca="1" si="9"/>
        <v>0</v>
      </c>
      <c r="AK28" s="79">
        <f t="shared" ca="1" si="22"/>
        <v>0</v>
      </c>
      <c r="AL28" s="371">
        <f t="shared" ca="1" si="10"/>
        <v>2.4309472167489106</v>
      </c>
      <c r="AM28" s="219">
        <f t="shared" ca="1" si="11"/>
        <v>-2.7086501809292816E-2</v>
      </c>
      <c r="AN28" s="440"/>
      <c r="AO28" s="153">
        <v>1.9246872002928926E-2</v>
      </c>
      <c r="AQ28" s="219">
        <f t="shared" ca="1" si="12"/>
        <v>5.1363363387360389E-2</v>
      </c>
      <c r="AR28" s="347">
        <f t="shared" si="13"/>
        <v>3.5000000000000003E-2</v>
      </c>
      <c r="AS28" s="66"/>
      <c r="AT28" s="169" t="str">
        <f t="shared" si="23"/>
        <v>The Lines Company</v>
      </c>
      <c r="AU28" s="453">
        <f t="shared" si="24"/>
        <v>1.9246872002928926E-2</v>
      </c>
      <c r="AV28" s="453"/>
      <c r="AW28" s="453">
        <f t="shared" ca="1" si="25"/>
        <v>-2.7086501809292816E-2</v>
      </c>
      <c r="AX28" s="373"/>
      <c r="AY28" s="70" t="str">
        <f t="shared" si="26"/>
        <v>The Lines Company</v>
      </c>
      <c r="AZ28" s="166">
        <v>3.6831699708093302</v>
      </c>
      <c r="BA28" s="166">
        <v>5.1839118258592398</v>
      </c>
      <c r="BB28" s="166">
        <f t="shared" ca="1" si="14"/>
        <v>5.0570971378549148</v>
      </c>
      <c r="BC28" s="374"/>
      <c r="BD28" s="374"/>
      <c r="BE28" s="70" t="str">
        <f t="shared" si="27"/>
        <v>The Lines Company</v>
      </c>
      <c r="BF28" s="166">
        <f t="shared" ca="1" si="28"/>
        <v>12.043965708194783</v>
      </c>
      <c r="BG28" s="166">
        <f ca="1">VLOOKUP(D28,'Geographic sort_trans'!C$11:O$61,13,0)</f>
        <v>17.798961111696013</v>
      </c>
      <c r="BH28" s="166">
        <f t="shared" ca="1" si="28"/>
        <v>16.536707508491908</v>
      </c>
      <c r="BI28" s="450"/>
      <c r="BJ28" s="451"/>
      <c r="BK28" s="70" t="str">
        <f t="shared" si="29"/>
        <v>The Lines Company</v>
      </c>
      <c r="BL28" s="453">
        <f t="shared" ca="1" si="16"/>
        <v>5.7850141402542105E-2</v>
      </c>
      <c r="BM28" s="453">
        <f t="shared" ca="1" si="30"/>
        <v>8.3193125821314981E-2</v>
      </c>
      <c r="BN28" s="453">
        <f t="shared" ca="1" si="17"/>
        <v>7.7752020660413146E-2</v>
      </c>
      <c r="BO28" s="74"/>
      <c r="BP28" s="488"/>
    </row>
    <row r="29" spans="1:68" x14ac:dyDescent="0.3">
      <c r="A29" s="370" t="str">
        <f t="shared" si="18"/>
        <v>The Power Company</v>
      </c>
      <c r="C29" s="116" t="s">
        <v>73</v>
      </c>
      <c r="D29" s="718" t="s">
        <v>73</v>
      </c>
      <c r="E29" s="129">
        <f ca="1">'Charges to party by investment'!AL30</f>
        <v>1.600066103561834</v>
      </c>
      <c r="F29" s="129">
        <f ca="1">'Charges to party by investment'!AM30</f>
        <v>4.7969442080232207</v>
      </c>
      <c r="H29" s="129">
        <f>'Charges to party by investment'!AN30</f>
        <v>0.9388440099999994</v>
      </c>
      <c r="I29" s="129">
        <f ca="1">'Charges to party by investment'!AO30</f>
        <v>0</v>
      </c>
      <c r="J29" s="130">
        <f ca="1">'Charges to party by investment'!AP30</f>
        <v>0.16164949526042163</v>
      </c>
      <c r="K29" s="130">
        <f ca="1">'Charges to party by investment'!AQ30</f>
        <v>1.8624240142938425E-2</v>
      </c>
      <c r="L29" s="129">
        <f ca="1">'Charges to party by investment'!AR30</f>
        <v>3.5013571468724241</v>
      </c>
      <c r="M29" s="264"/>
      <c r="N29" s="79">
        <f>'Charges to party by investment'!AS30</f>
        <v>158.13210000000001</v>
      </c>
      <c r="O29" s="79">
        <f t="shared" ca="1" si="0"/>
        <v>9.8983674584574803</v>
      </c>
      <c r="Q29" s="79">
        <v>9.7015014463208793</v>
      </c>
      <c r="R29" s="79"/>
      <c r="S29" s="8">
        <f ca="1">_xlfn.IFNA(OFFSET(Volumes!$C$1,MATCH($D29,Volumes!$A$2:$A$46,0),0),0)*$S$5+_xlfn.IFNA(OFFSET(Volumes!$C$1,MATCH($B29,Volumes!$A$2:$A$46,0),0),0)</f>
        <v>811.66953000000001</v>
      </c>
      <c r="T29" s="80">
        <f t="shared" ca="1" si="1"/>
        <v>11.952526351852679</v>
      </c>
      <c r="U29" s="80">
        <f t="shared" ca="1" si="19"/>
        <v>12.195070891052767</v>
      </c>
      <c r="V29" s="58"/>
      <c r="W29" s="80">
        <f>'EDB data_trans'!N25</f>
        <v>25.883852202068788</v>
      </c>
      <c r="X29" s="80">
        <f>'EDB data_trans'!F25*(1+$AA$5)^3</f>
        <v>27.605527185771777</v>
      </c>
      <c r="Y29" s="80">
        <f t="shared" si="20"/>
        <v>21.256255933044269</v>
      </c>
      <c r="Z29" s="435">
        <f>(1-$AA$6*'EDB data_trans'!H25)*Y29</f>
        <v>20.312097756816637</v>
      </c>
      <c r="AA29" s="219">
        <f t="shared" ca="1" si="2"/>
        <v>-4.3276846364912781E-2</v>
      </c>
      <c r="AB29" s="346">
        <f t="shared" ca="1" si="3"/>
        <v>6.1459532180448341E-2</v>
      </c>
      <c r="AC29" s="325">
        <f t="shared" ca="1" si="4"/>
        <v>18.302091769286822</v>
      </c>
      <c r="AD29" s="219">
        <f t="shared" ca="1" si="5"/>
        <v>-4.3276846364912781E-2</v>
      </c>
      <c r="AE29" s="116">
        <f t="shared" ca="1" si="6"/>
        <v>0</v>
      </c>
      <c r="AF29" s="79">
        <f t="shared" ca="1" si="21"/>
        <v>0</v>
      </c>
      <c r="AG29" s="371">
        <f t="shared" ca="1" si="7"/>
        <v>5.0433313965288109</v>
      </c>
      <c r="AH29" s="219">
        <f t="shared" ca="1" si="8"/>
        <v>-4.1848767773883293E-2</v>
      </c>
      <c r="AJ29" s="372">
        <f t="shared" ca="1" si="9"/>
        <v>0</v>
      </c>
      <c r="AK29" s="79">
        <f t="shared" ca="1" si="22"/>
        <v>0</v>
      </c>
      <c r="AL29" s="371">
        <f t="shared" ca="1" si="10"/>
        <v>5.0433313965288109</v>
      </c>
      <c r="AM29" s="219">
        <f t="shared" ca="1" si="11"/>
        <v>-4.1848767773883293E-2</v>
      </c>
      <c r="AN29" s="440"/>
      <c r="AO29" s="153">
        <v>1.7937784252501623E-3</v>
      </c>
      <c r="AQ29" s="219">
        <f t="shared" ca="1" si="12"/>
        <v>5.1363363387360347E-2</v>
      </c>
      <c r="AR29" s="347">
        <f t="shared" si="13"/>
        <v>3.5000000000000003E-2</v>
      </c>
      <c r="AS29" s="66"/>
      <c r="AT29" s="169" t="str">
        <f t="shared" si="23"/>
        <v>The Power Company</v>
      </c>
      <c r="AU29" s="453">
        <f t="shared" si="24"/>
        <v>1.7937784252501623E-3</v>
      </c>
      <c r="AV29" s="453"/>
      <c r="AW29" s="453">
        <f t="shared" ca="1" si="25"/>
        <v>-4.1848767773883293E-2</v>
      </c>
      <c r="AX29" s="373"/>
      <c r="AY29" s="70" t="str">
        <f t="shared" si="26"/>
        <v>The Power Company</v>
      </c>
      <c r="AZ29" s="166">
        <v>9.7015014463208793</v>
      </c>
      <c r="BA29" s="166">
        <v>10.060413175597491</v>
      </c>
      <c r="BB29" s="166">
        <f t="shared" ca="1" si="14"/>
        <v>10.144754646963069</v>
      </c>
      <c r="BC29" s="374"/>
      <c r="BD29" s="374"/>
      <c r="BE29" s="70" t="str">
        <f t="shared" si="27"/>
        <v>The Power Company</v>
      </c>
      <c r="BF29" s="166">
        <f t="shared" ca="1" si="28"/>
        <v>11.952526351852681</v>
      </c>
      <c r="BG29" s="166">
        <f ca="1">VLOOKUP(D29,'Geographic sort_trans'!C$11:O$61,13,0)</f>
        <v>13.014451625869663</v>
      </c>
      <c r="BH29" s="166">
        <f t="shared" ca="1" si="28"/>
        <v>12.498626931287008</v>
      </c>
      <c r="BI29" s="450"/>
      <c r="BJ29" s="451"/>
      <c r="BK29" s="70" t="str">
        <f t="shared" si="29"/>
        <v>The Power Company</v>
      </c>
      <c r="BL29" s="453">
        <f t="shared" ca="1" si="16"/>
        <v>5.8932444076095165E-2</v>
      </c>
      <c r="BM29" s="453">
        <f t="shared" ca="1" si="30"/>
        <v>6.3834085354962697E-2</v>
      </c>
      <c r="BN29" s="453">
        <f t="shared" ca="1" si="17"/>
        <v>6.1459532180448341E-2</v>
      </c>
      <c r="BO29" s="74"/>
      <c r="BP29" s="488"/>
    </row>
    <row r="30" spans="1:68" x14ac:dyDescent="0.3">
      <c r="A30" s="370" t="str">
        <f t="shared" si="18"/>
        <v>Top Energy</v>
      </c>
      <c r="B30" s="116" t="s">
        <v>677</v>
      </c>
      <c r="C30" s="116" t="s">
        <v>34</v>
      </c>
      <c r="D30" s="128" t="s">
        <v>34</v>
      </c>
      <c r="E30" s="129">
        <f ca="1">'Charges to party by investment'!AL31</f>
        <v>3.3521741305388915</v>
      </c>
      <c r="F30" s="129">
        <f ca="1">'Charges to party by investment'!AM31</f>
        <v>1.4736066659083744</v>
      </c>
      <c r="H30" s="129">
        <f>'Charges to party by investment'!AN31</f>
        <v>1.0468772899999998</v>
      </c>
      <c r="I30" s="129">
        <f ca="1">'Charges to party by investment'!AO31</f>
        <v>5.6926119863773814E-2</v>
      </c>
      <c r="J30" s="130">
        <f ca="1">'Charges to party by investment'!AP31</f>
        <v>0.57215862074606127</v>
      </c>
      <c r="K30" s="130">
        <f ca="1">'Charges to party by investment'!AQ31</f>
        <v>5.7213099072966215E-3</v>
      </c>
      <c r="L30" s="129">
        <f ca="1">'Charges to party by investment'!AR31</f>
        <v>1.0756062625717648</v>
      </c>
      <c r="M30" s="264"/>
      <c r="N30" s="79">
        <f>'Charges to party by investment'!AS31</f>
        <v>48.577700000000007</v>
      </c>
      <c r="O30" s="79">
        <f t="shared" ca="1" si="0"/>
        <v>5.9583131788828041</v>
      </c>
      <c r="Q30" s="386">
        <f>'Charges as $M per year'!$C$26</f>
        <v>4.2899040604009198</v>
      </c>
      <c r="R30" s="79"/>
      <c r="S30" s="439">
        <f ca="1">_xlfn.IFNA(OFFSET(Volumes!$C$1,MATCH($D30,Volumes!$A$2:$A$46,0),0),0)*$S$5+_xlfn.IFNA(OFFSET(Volumes!$C$1,MATCH($B30,Volumes!$A$2:$A$46,0),0),0)</f>
        <v>376.26482250000004</v>
      </c>
      <c r="T30" s="80">
        <f t="shared" ca="1" si="1"/>
        <v>11.401289208748498</v>
      </c>
      <c r="U30" s="80">
        <f t="shared" ca="1" si="19"/>
        <v>15.835424473896449</v>
      </c>
      <c r="V30" s="58"/>
      <c r="W30" s="80">
        <f>'EDB data_trans'!N26</f>
        <v>32.774738441529557</v>
      </c>
      <c r="X30" s="80">
        <f>'EDB data_trans'!F26*(1+$AA$5)^3</f>
        <v>34.525523353080366</v>
      </c>
      <c r="Y30" s="80">
        <f t="shared" si="20"/>
        <v>26.584652981871884</v>
      </c>
      <c r="Z30" s="435">
        <f>(1-$AA$6*'EDB data_trans'!H26)*Y30</f>
        <v>25.102463079538623</v>
      </c>
      <c r="AA30" s="219">
        <f t="shared" ca="1" si="2"/>
        <v>-3.9074287579635082E-2</v>
      </c>
      <c r="AB30" s="346">
        <f t="shared" ca="1" si="3"/>
        <v>6.4728970944133574E-2</v>
      </c>
      <c r="AC30" s="325">
        <f t="shared" ca="1" si="4"/>
        <v>8.8831611599604976</v>
      </c>
      <c r="AD30" s="219">
        <f t="shared" ca="1" si="5"/>
        <v>-3.9074287579635082E-2</v>
      </c>
      <c r="AE30" s="116">
        <f t="shared" ca="1" si="6"/>
        <v>0</v>
      </c>
      <c r="AF30" s="79">
        <f t="shared" ca="1" si="21"/>
        <v>0</v>
      </c>
      <c r="AG30" s="371">
        <f t="shared" ca="1" si="7"/>
        <v>1.5492960605794628</v>
      </c>
      <c r="AH30" s="219">
        <f t="shared" ca="1" si="8"/>
        <v>-3.8317610779147908E-2</v>
      </c>
      <c r="AJ30" s="372">
        <f t="shared" ca="1" si="9"/>
        <v>0</v>
      </c>
      <c r="AK30" s="79">
        <f t="shared" ca="1" si="22"/>
        <v>0</v>
      </c>
      <c r="AL30" s="371">
        <f t="shared" ca="1" si="10"/>
        <v>1.5492960605794628</v>
      </c>
      <c r="AM30" s="219">
        <f t="shared" ca="1" si="11"/>
        <v>-3.8317610779147908E-2</v>
      </c>
      <c r="AN30" s="440"/>
      <c r="AO30" s="153">
        <v>4.3790654488508066E-2</v>
      </c>
      <c r="AQ30" s="219">
        <f t="shared" ca="1" si="12"/>
        <v>5.1363363387360361E-2</v>
      </c>
      <c r="AR30" s="347">
        <f t="shared" si="13"/>
        <v>3.5000000000000003E-2</v>
      </c>
      <c r="AS30" s="66"/>
      <c r="AT30" s="169" t="str">
        <f t="shared" si="23"/>
        <v>Top Energy</v>
      </c>
      <c r="AU30" s="453">
        <f t="shared" si="24"/>
        <v>4.3790654488508066E-2</v>
      </c>
      <c r="AV30" s="453"/>
      <c r="AW30" s="453">
        <f t="shared" ca="1" si="25"/>
        <v>-3.8317610779147908E-2</v>
      </c>
      <c r="AX30" s="373"/>
      <c r="AY30" s="463" t="str">
        <f t="shared" si="26"/>
        <v>Top Energy</v>
      </c>
      <c r="AZ30" s="464">
        <f>AZ3*$BW$4/($BW$4+$BX$4)</f>
        <v>3.8469858008750637</v>
      </c>
      <c r="BA30" s="464">
        <f>BA3*$BW$3/($BW$3+$BX$3)</f>
        <v>8.3014321080957014</v>
      </c>
      <c r="BB30" s="464">
        <f ca="1">BB3*$BW$3/($BW$3+$BX$3)</f>
        <v>5.3101702586682862</v>
      </c>
      <c r="BC30" s="464"/>
      <c r="BD30" s="464"/>
      <c r="BE30" s="463" t="str">
        <f t="shared" si="27"/>
        <v>Top Energy</v>
      </c>
      <c r="BF30" s="464">
        <f ca="1">AZ30/($S30-$S$53)*1000</f>
        <v>11.979305763760731</v>
      </c>
      <c r="BG30" s="166">
        <f ca="1">VLOOKUP(D30,'Geographic sort_trans'!C$11:O$61,13,0)</f>
        <v>26.323624469272957</v>
      </c>
      <c r="BH30" s="464">
        <f ca="1">BB30/($S30-$S$53)*1000</f>
        <v>16.535583045756532</v>
      </c>
      <c r="BI30" s="457"/>
      <c r="BJ30" s="465"/>
      <c r="BK30" s="463" t="str">
        <f t="shared" si="29"/>
        <v>Top Energy</v>
      </c>
      <c r="BL30" s="466">
        <f t="shared" ca="1" si="16"/>
        <v>4.7744866231017688E-2</v>
      </c>
      <c r="BM30" s="466">
        <f t="shared" ca="1" si="30"/>
        <v>9.924200301960584E-2</v>
      </c>
      <c r="BN30" s="466">
        <f ca="1">BH30/($Z30*10+$U30-$T30)</f>
        <v>6.4728970944133574E-2</v>
      </c>
      <c r="BO30" s="74"/>
      <c r="BP30" s="488"/>
    </row>
    <row r="31" spans="1:68" x14ac:dyDescent="0.3">
      <c r="A31" s="370" t="str">
        <f t="shared" si="18"/>
        <v>Unison</v>
      </c>
      <c r="C31" s="116" t="s">
        <v>36</v>
      </c>
      <c r="D31" s="128" t="s">
        <v>36</v>
      </c>
      <c r="E31" s="129">
        <f ca="1">'Charges to party by investment'!AL32</f>
        <v>5.5711182656681073</v>
      </c>
      <c r="F31" s="129">
        <f ca="1">'Charges to party by investment'!AM32</f>
        <v>10.445478038665721</v>
      </c>
      <c r="H31" s="129">
        <f>'Charges to party by investment'!AN32</f>
        <v>5.5064414899999958</v>
      </c>
      <c r="I31" s="129">
        <f ca="1">'Charges to party by investment'!AO32</f>
        <v>8.1490437895517243E-2</v>
      </c>
      <c r="J31" s="130">
        <f ca="1">'Charges to party by investment'!AP32</f>
        <v>0.23828160271233409</v>
      </c>
      <c r="K31" s="130">
        <f ca="1">'Charges to party by investment'!AQ32</f>
        <v>4.0554795503879276E-2</v>
      </c>
      <c r="L31" s="129">
        <f ca="1">'Charges to party by investment'!AR32</f>
        <v>7.6243015547293043</v>
      </c>
      <c r="M31" s="264"/>
      <c r="N31" s="79">
        <f>'Charges to party by investment'!AS32</f>
        <v>344.33699999999999</v>
      </c>
      <c r="O31" s="79">
        <f t="shared" ca="1" si="0"/>
        <v>23.722388296958652</v>
      </c>
      <c r="Q31" s="79">
        <v>30.533498779887701</v>
      </c>
      <c r="R31" s="79"/>
      <c r="S31" s="8">
        <f ca="1">_xlfn.IFNA(OFFSET(Volumes!$C$1,MATCH($D31,Volumes!$A$2:$A$46,0),0),0)*$S$5+_xlfn.IFNA(OFFSET(Volumes!$C$1,MATCH($B31,Volumes!$A$2:$A$46,0),0),0)</f>
        <v>1711.66065</v>
      </c>
      <c r="T31" s="80">
        <f t="shared" ca="1" si="1"/>
        <v>17.838523529700645</v>
      </c>
      <c r="U31" s="80">
        <f t="shared" ca="1" si="19"/>
        <v>13.859282385768845</v>
      </c>
      <c r="V31" s="58"/>
      <c r="W31" s="80">
        <f>'EDB data_trans'!N27</f>
        <v>26.434909455323027</v>
      </c>
      <c r="X31" s="80">
        <f>'EDB data_trans'!F27*(1+$AA$5)^3</f>
        <v>28.122287956747371</v>
      </c>
      <c r="Y31" s="80">
        <f t="shared" si="20"/>
        <v>21.654161726695477</v>
      </c>
      <c r="Z31" s="435">
        <f>(1-$AA$6*'EDB data_trans'!H27)*Y31</f>
        <v>20.622662545123525</v>
      </c>
      <c r="AA31" s="219">
        <f t="shared" ca="1" si="2"/>
        <v>-6.6011481488240861E-2</v>
      </c>
      <c r="AB31" s="346">
        <f t="shared" ca="1" si="3"/>
        <v>7.0076206066092467E-2</v>
      </c>
      <c r="AC31" s="325">
        <f t="shared" ca="1" si="4"/>
        <v>47.884955905346189</v>
      </c>
      <c r="AD31" s="219">
        <f t="shared" ca="1" si="5"/>
        <v>-6.6011481488240861E-2</v>
      </c>
      <c r="AE31" s="116">
        <f t="shared" ca="1" si="6"/>
        <v>0</v>
      </c>
      <c r="AF31" s="79">
        <f t="shared" ca="1" si="21"/>
        <v>0</v>
      </c>
      <c r="AG31" s="371">
        <f t="shared" ca="1" si="7"/>
        <v>10.9819929229204</v>
      </c>
      <c r="AH31" s="219">
        <f t="shared" ca="1" si="8"/>
        <v>-6.4563967623543314E-2</v>
      </c>
      <c r="AJ31" s="372">
        <f t="shared" ca="1" si="9"/>
        <v>0</v>
      </c>
      <c r="AK31" s="79">
        <f t="shared" ca="1" si="22"/>
        <v>0</v>
      </c>
      <c r="AL31" s="371">
        <f t="shared" ca="1" si="10"/>
        <v>10.9819929229204</v>
      </c>
      <c r="AM31" s="219">
        <f t="shared" ca="1" si="11"/>
        <v>-6.4563967623543314E-2</v>
      </c>
      <c r="AN31" s="440"/>
      <c r="AO31" s="153">
        <v>-1.3315700978551019E-2</v>
      </c>
      <c r="AQ31" s="219">
        <f t="shared" ca="1" si="12"/>
        <v>5.1363363387360278E-2</v>
      </c>
      <c r="AR31" s="347">
        <f t="shared" si="13"/>
        <v>3.5000000000000003E-2</v>
      </c>
      <c r="AS31" s="66"/>
      <c r="AT31" s="169" t="str">
        <f t="shared" si="23"/>
        <v>Unison</v>
      </c>
      <c r="AU31" s="453">
        <f t="shared" si="24"/>
        <v>-1.3315700978551019E-2</v>
      </c>
      <c r="AV31" s="453"/>
      <c r="AW31" s="453">
        <f t="shared" ca="1" si="25"/>
        <v>-6.4563967623543314E-2</v>
      </c>
      <c r="AX31" s="373"/>
      <c r="AY31" s="70" t="str">
        <f t="shared" si="26"/>
        <v>Unison</v>
      </c>
      <c r="AZ31" s="166">
        <v>30.533498779887701</v>
      </c>
      <c r="BA31" s="166">
        <v>24.79537082073757</v>
      </c>
      <c r="BB31" s="166">
        <f t="shared" ca="1" si="14"/>
        <v>24.258903181213327</v>
      </c>
      <c r="BC31" s="374"/>
      <c r="BD31" s="374"/>
      <c r="BE31" s="70" t="str">
        <f t="shared" si="27"/>
        <v>Unison</v>
      </c>
      <c r="BF31" s="166">
        <f t="shared" ca="1" si="28"/>
        <v>17.838523529700648</v>
      </c>
      <c r="BG31" s="166">
        <f ca="1">VLOOKUP(D31,'Geographic sort_trans'!C$11:O$61,13,0)</f>
        <v>15.210456209164155</v>
      </c>
      <c r="BH31" s="166">
        <f t="shared" ca="1" si="28"/>
        <v>14.172729379046791</v>
      </c>
      <c r="BI31" s="450"/>
      <c r="BJ31" s="451"/>
      <c r="BK31" s="70" t="str">
        <f t="shared" si="29"/>
        <v>Unison</v>
      </c>
      <c r="BL31" s="453">
        <f t="shared" ca="1" si="16"/>
        <v>8.6631286366855159E-2</v>
      </c>
      <c r="BM31" s="453">
        <f t="shared" ca="1" si="30"/>
        <v>7.4823267302059723E-2</v>
      </c>
      <c r="BN31" s="453">
        <f t="shared" ca="1" si="17"/>
        <v>7.0076206066092467E-2</v>
      </c>
      <c r="BO31" s="74"/>
      <c r="BP31" s="488"/>
    </row>
    <row r="32" spans="1:68" x14ac:dyDescent="0.3">
      <c r="A32" s="370" t="str">
        <f t="shared" si="18"/>
        <v>Vector</v>
      </c>
      <c r="C32" s="116" t="s">
        <v>37</v>
      </c>
      <c r="D32" s="128" t="s">
        <v>37</v>
      </c>
      <c r="E32" s="129">
        <f ca="1">'Charges to party by investment'!AL33</f>
        <v>100.18590102615401</v>
      </c>
      <c r="F32" s="129">
        <f ca="1">'Charges to party by investment'!AM33</f>
        <v>66.469220114876777</v>
      </c>
      <c r="H32" s="129">
        <f>'Charges to party by investment'!AN33</f>
        <v>10.274301060000003</v>
      </c>
      <c r="I32" s="129">
        <f ca="1">'Charges to party by investment'!AO33</f>
        <v>1.7355143745363915</v>
      </c>
      <c r="J32" s="130">
        <f ca="1">'Charges to party by investment'!AP33</f>
        <v>0.46988433448863409</v>
      </c>
      <c r="K32" s="130">
        <f ca="1">'Charges to party by investment'!AQ33</f>
        <v>0.25806819171729373</v>
      </c>
      <c r="L32" s="129">
        <f ca="1">'Charges to party by investment'!AR33</f>
        <v>48.516820042851222</v>
      </c>
      <c r="M32" s="264"/>
      <c r="N32" s="79">
        <f>'Charges to party by investment'!AS33</f>
        <v>2191.1693999999979</v>
      </c>
      <c r="O32" s="79">
        <f t="shared" ca="1" si="0"/>
        <v>216.90745555841841</v>
      </c>
      <c r="Q32" s="79">
        <v>178.79932141221201</v>
      </c>
      <c r="R32" s="79"/>
      <c r="S32" s="8">
        <f ca="1">_xlfn.IFNA(OFFSET(Volumes!$C$1,MATCH($D32,Volumes!$A$2:$A$46,0),0),0)*$S$5+_xlfn.IFNA(OFFSET(Volumes!$C$1,MATCH($B32,Volumes!$A$2:$A$46,0),0),0)</f>
        <v>8834.7808499999992</v>
      </c>
      <c r="T32" s="80">
        <f t="shared" ca="1" si="1"/>
        <v>20.238116196420652</v>
      </c>
      <c r="U32" s="80">
        <f t="shared" ca="1" si="19"/>
        <v>24.551537750754559</v>
      </c>
      <c r="V32" s="58"/>
      <c r="W32" s="80">
        <f>'EDB data_trans'!N28</f>
        <v>23.896811773758618</v>
      </c>
      <c r="X32" s="80">
        <f>'EDB data_trans'!F28*(1+$AA$5)^3</f>
        <v>24.897300731933328</v>
      </c>
      <c r="Y32" s="80">
        <f t="shared" si="20"/>
        <v>19.170921563588664</v>
      </c>
      <c r="Z32" s="435">
        <f>(1-$AA$6*'EDB data_trans'!H28)*Y32</f>
        <v>18.316552210743843</v>
      </c>
      <c r="AA32" s="219">
        <f t="shared" ca="1" si="2"/>
        <v>-2.2066085660424652E-2</v>
      </c>
      <c r="AB32" s="346">
        <f t="shared" ca="1" si="3"/>
        <v>0.13301746781508986</v>
      </c>
      <c r="AC32" s="325">
        <f t="shared" ca="1" si="4"/>
        <v>163.12255768946929</v>
      </c>
      <c r="AD32" s="219">
        <f t="shared" ca="1" si="5"/>
        <v>-2.2066085660424652E-2</v>
      </c>
      <c r="AE32" s="116">
        <f t="shared" ca="1" si="6"/>
        <v>0</v>
      </c>
      <c r="AF32" s="79">
        <f t="shared" ca="1" si="21"/>
        <v>0</v>
      </c>
      <c r="AG32" s="371">
        <f t="shared" ca="1" si="7"/>
        <v>69.883302821711638</v>
      </c>
      <c r="AH32" s="219">
        <f t="shared" ca="1" si="8"/>
        <v>-2.0050342168383826E-2</v>
      </c>
      <c r="AJ32" s="372">
        <f t="shared" ca="1" si="9"/>
        <v>0</v>
      </c>
      <c r="AK32" s="79">
        <f t="shared" ca="1" si="22"/>
        <v>0</v>
      </c>
      <c r="AL32" s="371">
        <f t="shared" ca="1" si="10"/>
        <v>69.883302821711638</v>
      </c>
      <c r="AM32" s="219">
        <f t="shared" ca="1" si="11"/>
        <v>-2.0050342168383826E-2</v>
      </c>
      <c r="AN32" s="440"/>
      <c r="AO32" s="153">
        <v>3.8825121530571022E-2</v>
      </c>
      <c r="AQ32" s="219">
        <f t="shared" ca="1" si="12"/>
        <v>5.1363363387360403E-2</v>
      </c>
      <c r="AR32" s="347">
        <f t="shared" si="13"/>
        <v>3.5000000000000003E-2</v>
      </c>
      <c r="AS32" s="66"/>
      <c r="AT32" s="169" t="str">
        <f t="shared" si="23"/>
        <v>Vector</v>
      </c>
      <c r="AU32" s="453">
        <f t="shared" si="24"/>
        <v>3.8825121530571022E-2</v>
      </c>
      <c r="AV32" s="453"/>
      <c r="AW32" s="453">
        <f t="shared" ca="1" si="25"/>
        <v>-2.0050342168383826E-2</v>
      </c>
      <c r="AX32" s="373"/>
      <c r="AY32" s="70" t="str">
        <f t="shared" si="26"/>
        <v>Vector</v>
      </c>
      <c r="AZ32" s="166">
        <v>178.79932141221201</v>
      </c>
      <c r="BA32" s="166">
        <v>256.86484353257987</v>
      </c>
      <c r="BB32" s="166">
        <f t="shared" ca="1" si="14"/>
        <v>220.32153826525325</v>
      </c>
      <c r="BC32" s="374"/>
      <c r="BD32" s="374"/>
      <c r="BE32" s="70" t="str">
        <f t="shared" si="27"/>
        <v>Vector</v>
      </c>
      <c r="BF32" s="166">
        <f t="shared" ca="1" si="28"/>
        <v>20.238116196420656</v>
      </c>
      <c r="BG32" s="166">
        <f ca="1">VLOOKUP(D32,'Geographic sort_trans'!C$11:O$61,13,0)</f>
        <v>30.527988219335271</v>
      </c>
      <c r="BH32" s="166">
        <f t="shared" ca="1" si="28"/>
        <v>24.937974354536848</v>
      </c>
      <c r="BI32" s="450"/>
      <c r="BJ32" s="451"/>
      <c r="BK32" s="70" t="str">
        <f t="shared" si="29"/>
        <v>Vector</v>
      </c>
      <c r="BL32" s="453">
        <f t="shared" ca="1" si="16"/>
        <v>0.1107244635821084</v>
      </c>
      <c r="BM32" s="453">
        <f t="shared" ca="1" si="30"/>
        <v>0.1581196097520437</v>
      </c>
      <c r="BN32" s="453">
        <f t="shared" ca="1" si="17"/>
        <v>0.13301746781508986</v>
      </c>
      <c r="BO32" s="74"/>
      <c r="BP32" s="488"/>
    </row>
    <row r="33" spans="1:68" x14ac:dyDescent="0.3">
      <c r="A33" s="370" t="str">
        <f t="shared" si="18"/>
        <v>Waipa Power</v>
      </c>
      <c r="C33" s="116" t="s">
        <v>38</v>
      </c>
      <c r="D33" s="128" t="s">
        <v>38</v>
      </c>
      <c r="E33" s="129">
        <f ca="1">'Charges to party by investment'!AL34</f>
        <v>1.7144400358804828</v>
      </c>
      <c r="F33" s="129">
        <f ca="1">'Charges to party by investment'!AM34</f>
        <v>2.350917372317618</v>
      </c>
      <c r="H33" s="129">
        <f>'Charges to party by investment'!AN34</f>
        <v>1.6865973000000007</v>
      </c>
      <c r="I33" s="129">
        <f ca="1">'Charges to party by investment'!AO34</f>
        <v>3.6177975132871312E-2</v>
      </c>
      <c r="J33" s="130">
        <f ca="1">'Charges to party by investment'!AP34</f>
        <v>0.30092257527957406</v>
      </c>
      <c r="K33" s="130">
        <f ca="1">'Charges to party by investment'!AQ34</f>
        <v>9.1274877921275911E-3</v>
      </c>
      <c r="L33" s="129">
        <f ca="1">'Charges to party by investment'!AR34</f>
        <v>1.7159677049199871</v>
      </c>
      <c r="M33" s="264"/>
      <c r="N33" s="79">
        <f>'Charges to party by investment'!AS34</f>
        <v>77.498400000000004</v>
      </c>
      <c r="O33" s="79">
        <f t="shared" ca="1" si="0"/>
        <v>5.8175030882509589</v>
      </c>
      <c r="Q33" s="79">
        <v>6.4477400565579899</v>
      </c>
      <c r="R33" s="79"/>
      <c r="S33" s="8">
        <f ca="1">_xlfn.IFNA(OFFSET(Volumes!$C$1,MATCH($D33,Volumes!$A$2:$A$46,0),0),0)*$S$5+_xlfn.IFNA(OFFSET(Volumes!$C$1,MATCH($B33,Volumes!$A$2:$A$46,0),0),0)</f>
        <v>395.66435999999999</v>
      </c>
      <c r="T33" s="80">
        <f t="shared" ca="1" si="1"/>
        <v>16.295983940929101</v>
      </c>
      <c r="U33" s="80">
        <f t="shared" ca="1" si="19"/>
        <v>14.703126377748452</v>
      </c>
      <c r="V33" s="58"/>
      <c r="W33" s="80">
        <f>'EDB data_trans'!N29</f>
        <v>22.031981922884874</v>
      </c>
      <c r="X33" s="80">
        <f>'EDB data_trans'!F29*(1+$AA$5)^3</f>
        <v>23.443439365724814</v>
      </c>
      <c r="Y33" s="80">
        <f t="shared" si="20"/>
        <v>18.051448311608105</v>
      </c>
      <c r="Z33" s="435">
        <f>(1-$AA$6*'EDB data_trans'!H29)*Y33</f>
        <v>17.434930930054065</v>
      </c>
      <c r="AA33" s="219">
        <f t="shared" ca="1" si="2"/>
        <v>-4.2977334808820822E-2</v>
      </c>
      <c r="AB33" s="346">
        <f t="shared" ca="1" si="3"/>
        <v>8.6875550644423163E-2</v>
      </c>
      <c r="AC33" s="325">
        <f t="shared" ca="1" si="4"/>
        <v>7.920304052789124</v>
      </c>
      <c r="AD33" s="219">
        <f t="shared" ca="1" si="5"/>
        <v>-4.2977334808820822E-2</v>
      </c>
      <c r="AE33" s="116">
        <f t="shared" ca="1" si="6"/>
        <v>0</v>
      </c>
      <c r="AF33" s="79">
        <f t="shared" ca="1" si="21"/>
        <v>0</v>
      </c>
      <c r="AG33" s="371">
        <f t="shared" ca="1" si="7"/>
        <v>2.4716683956056262</v>
      </c>
      <c r="AH33" s="219">
        <f t="shared" ca="1" si="8"/>
        <v>-4.1286692102245524E-2</v>
      </c>
      <c r="AJ33" s="372">
        <f t="shared" ca="1" si="9"/>
        <v>0</v>
      </c>
      <c r="AK33" s="79">
        <f t="shared" ca="1" si="22"/>
        <v>0</v>
      </c>
      <c r="AL33" s="371">
        <f t="shared" ca="1" si="10"/>
        <v>2.4716683956056262</v>
      </c>
      <c r="AM33" s="219">
        <f t="shared" ca="1" si="11"/>
        <v>-4.1286692102245524E-2</v>
      </c>
      <c r="AN33" s="440"/>
      <c r="AO33" s="153">
        <v>-5.6622767425169949E-3</v>
      </c>
      <c r="AQ33" s="219">
        <f t="shared" ca="1" si="12"/>
        <v>5.1363363387360396E-2</v>
      </c>
      <c r="AR33" s="347">
        <f t="shared" si="13"/>
        <v>3.5000000000000003E-2</v>
      </c>
      <c r="AS33" s="66"/>
      <c r="AT33" s="169" t="str">
        <f t="shared" si="23"/>
        <v>Waipa Power</v>
      </c>
      <c r="AU33" s="453">
        <f t="shared" si="24"/>
        <v>-5.6622767425169949E-3</v>
      </c>
      <c r="AV33" s="453"/>
      <c r="AW33" s="453">
        <f t="shared" ca="1" si="25"/>
        <v>-4.1286692102245524E-2</v>
      </c>
      <c r="AX33" s="373"/>
      <c r="AY33" s="70" t="str">
        <f t="shared" si="26"/>
        <v>Waipa Power</v>
      </c>
      <c r="AZ33" s="166">
        <v>6.4477400565579899</v>
      </c>
      <c r="BA33" s="166">
        <v>5.9776486724398508</v>
      </c>
      <c r="BB33" s="166">
        <f t="shared" ca="1" si="14"/>
        <v>5.938254111538968</v>
      </c>
      <c r="BC33" s="374"/>
      <c r="BD33" s="374"/>
      <c r="BE33" s="70" t="str">
        <f t="shared" si="27"/>
        <v>Waipa Power</v>
      </c>
      <c r="BF33" s="166">
        <f t="shared" ca="1" si="28"/>
        <v>16.295983940929098</v>
      </c>
      <c r="BG33" s="166">
        <f ca="1">VLOOKUP(D33,'Geographic sort_trans'!C$11:O$61,13,0)</f>
        <v>15.863271349640499</v>
      </c>
      <c r="BH33" s="166">
        <f t="shared" ca="1" si="28"/>
        <v>15.008311872059865</v>
      </c>
      <c r="BI33" s="450"/>
      <c r="BJ33" s="451"/>
      <c r="BK33" s="70" t="str">
        <f t="shared" si="29"/>
        <v>Waipa Power</v>
      </c>
      <c r="BL33" s="453">
        <f t="shared" ca="1" si="16"/>
        <v>9.3631336609055038E-2</v>
      </c>
      <c r="BM33" s="453">
        <f t="shared" ca="1" si="30"/>
        <v>9.1372285027974801E-2</v>
      </c>
      <c r="BN33" s="453">
        <f t="shared" ca="1" si="17"/>
        <v>8.6875550644423163E-2</v>
      </c>
      <c r="BO33" s="74"/>
      <c r="BP33" s="488"/>
    </row>
    <row r="34" spans="1:68" x14ac:dyDescent="0.3">
      <c r="A34" s="370" t="str">
        <f t="shared" si="18"/>
        <v>WEL</v>
      </c>
      <c r="C34" s="116" t="s">
        <v>503</v>
      </c>
      <c r="D34" s="128" t="s">
        <v>39</v>
      </c>
      <c r="E34" s="129">
        <f ca="1">'Charges to party by investment'!AL35</f>
        <v>6.0613231487602066</v>
      </c>
      <c r="F34" s="129">
        <f ca="1">'Charges to party by investment'!AM35</f>
        <v>8.7351002874908978</v>
      </c>
      <c r="H34" s="129">
        <f>'Charges to party by investment'!AN35</f>
        <v>1.3707663100000005</v>
      </c>
      <c r="I34" s="129">
        <f ca="1">'Charges to party by investment'!AO35</f>
        <v>0.13517439447518953</v>
      </c>
      <c r="J34" s="130">
        <f ca="1">'Charges to party by investment'!AP35</f>
        <v>0.29081338031750703</v>
      </c>
      <c r="K34" s="130">
        <f ca="1">'Charges to party by investment'!AQ35</f>
        <v>3.3914216712126799E-2</v>
      </c>
      <c r="L34" s="129">
        <f ca="1">'Charges to party by investment'!AR35</f>
        <v>6.3758727418798387</v>
      </c>
      <c r="M34" s="264"/>
      <c r="N34" s="79">
        <f>'Charges to party by investment'!AS35</f>
        <v>287.95409999999998</v>
      </c>
      <c r="O34" s="79">
        <f t="shared" ca="1" si="0"/>
        <v>21.307470572606132</v>
      </c>
      <c r="Q34" s="79">
        <v>19.7154639366371</v>
      </c>
      <c r="R34" s="79"/>
      <c r="S34" s="8">
        <f ca="1">_xlfn.IFNA(OFFSET(Volumes!$C$1,MATCH($D34,Volumes!$A$2:$A$46,0),0),0)*$S$5+_xlfn.IFNA(OFFSET(Volumes!$C$1,MATCH($B34,Volumes!$A$2:$A$46,0),0),0)</f>
        <v>1306.9045500000002</v>
      </c>
      <c r="T34" s="80">
        <f t="shared" ca="1" si="1"/>
        <v>15.085618866838514</v>
      </c>
      <c r="U34" s="80">
        <f t="shared" ca="1" si="19"/>
        <v>16.303769523647407</v>
      </c>
      <c r="V34" s="58"/>
      <c r="W34" s="80">
        <f>'EDB data_trans'!N30</f>
        <v>24.8344041356284</v>
      </c>
      <c r="X34" s="80">
        <f>'EDB data_trans'!F30*(1+$AA$5)^3</f>
        <v>26.310773014531701</v>
      </c>
      <c r="Y34" s="80">
        <f t="shared" si="20"/>
        <v>20.259295221189412</v>
      </c>
      <c r="Z34" s="435">
        <f>(1-$AA$6*'EDB data_trans'!H30)*Y34</f>
        <v>19.249583574460893</v>
      </c>
      <c r="AA34" s="219">
        <f t="shared" ca="1" si="2"/>
        <v>-4.3826627301376667E-2</v>
      </c>
      <c r="AB34" s="346">
        <f t="shared" ca="1" si="3"/>
        <v>8.5936347391386211E-2</v>
      </c>
      <c r="AC34" s="325">
        <f t="shared" ca="1" si="4"/>
        <v>29.605998891024811</v>
      </c>
      <c r="AD34" s="219">
        <f t="shared" ca="1" si="5"/>
        <v>-4.3826627301376667E-2</v>
      </c>
      <c r="AE34" s="116">
        <f t="shared" ca="1" si="6"/>
        <v>0</v>
      </c>
      <c r="AF34" s="79">
        <f t="shared" ca="1" si="21"/>
        <v>0</v>
      </c>
      <c r="AG34" s="371">
        <f t="shared" ca="1" si="7"/>
        <v>9.1837644177823279</v>
      </c>
      <c r="AH34" s="219">
        <f t="shared" ca="1" si="8"/>
        <v>-4.2132082142885476E-2</v>
      </c>
      <c r="AJ34" s="372">
        <f t="shared" ca="1" si="9"/>
        <v>0</v>
      </c>
      <c r="AK34" s="79">
        <f t="shared" ca="1" si="22"/>
        <v>0</v>
      </c>
      <c r="AL34" s="371">
        <f t="shared" ca="1" si="10"/>
        <v>9.1837644177823279</v>
      </c>
      <c r="AM34" s="219">
        <f t="shared" ca="1" si="11"/>
        <v>-4.2132082142885476E-2</v>
      </c>
      <c r="AN34" s="440"/>
      <c r="AO34" s="153">
        <v>7.8155007656281073E-3</v>
      </c>
      <c r="AQ34" s="219">
        <f t="shared" ca="1" si="12"/>
        <v>5.1363363387360257E-2</v>
      </c>
      <c r="AR34" s="347">
        <f t="shared" si="13"/>
        <v>3.5000000000000003E-2</v>
      </c>
      <c r="AS34" s="66"/>
      <c r="AT34" s="169" t="str">
        <f t="shared" si="23"/>
        <v>WEL Networks</v>
      </c>
      <c r="AU34" s="453">
        <f t="shared" si="24"/>
        <v>7.8155007656281073E-3</v>
      </c>
      <c r="AV34" s="453"/>
      <c r="AW34" s="453">
        <f t="shared" ca="1" si="25"/>
        <v>-4.2132082142885476E-2</v>
      </c>
      <c r="AX34" s="373"/>
      <c r="AY34" s="70" t="str">
        <f t="shared" si="26"/>
        <v>WEL Networks</v>
      </c>
      <c r="AZ34" s="166">
        <v>19.7154639366371</v>
      </c>
      <c r="BA34" s="166">
        <v>22.131287011137399</v>
      </c>
      <c r="BB34" s="166">
        <f t="shared" ca="1" si="14"/>
        <v>21.756134702897562</v>
      </c>
      <c r="BC34" s="374"/>
      <c r="BD34" s="374"/>
      <c r="BE34" s="70" t="str">
        <f t="shared" si="27"/>
        <v>WEL Networks</v>
      </c>
      <c r="BF34" s="166">
        <f t="shared" ca="1" si="28"/>
        <v>15.085618866838512</v>
      </c>
      <c r="BG34" s="166">
        <f ca="1">VLOOKUP(D34,'Geographic sort_trans'!C$11:O$61,13,0)</f>
        <v>17.780832855539657</v>
      </c>
      <c r="BH34" s="166">
        <f t="shared" ca="1" si="28"/>
        <v>16.64707242996251</v>
      </c>
      <c r="BI34" s="450"/>
      <c r="BJ34" s="451"/>
      <c r="BK34" s="70" t="str">
        <f t="shared" si="29"/>
        <v>WEL Networks</v>
      </c>
      <c r="BL34" s="453">
        <f t="shared" ca="1" si="16"/>
        <v>7.8508561110322866E-2</v>
      </c>
      <c r="BM34" s="453">
        <f t="shared" ca="1" si="30"/>
        <v>9.1255008821463215E-2</v>
      </c>
      <c r="BN34" s="453">
        <f t="shared" ca="1" si="17"/>
        <v>8.5936347391386211E-2</v>
      </c>
      <c r="BO34" s="74"/>
      <c r="BP34" s="488"/>
    </row>
    <row r="35" spans="1:68" x14ac:dyDescent="0.3">
      <c r="A35" s="370" t="str">
        <f t="shared" si="18"/>
        <v>Wellington Electricity</v>
      </c>
      <c r="C35" s="116" t="s">
        <v>40</v>
      </c>
      <c r="D35" s="128" t="s">
        <v>40</v>
      </c>
      <c r="E35" s="129">
        <f ca="1">'Charges to party by investment'!AL36</f>
        <v>10.322324924255835</v>
      </c>
      <c r="F35" s="129">
        <f ca="1">'Charges to party by investment'!AM36</f>
        <v>17.886057625883851</v>
      </c>
      <c r="H35" s="129">
        <f>'Charges to party by investment'!AN36</f>
        <v>7.8649419500000022</v>
      </c>
      <c r="I35" s="129">
        <f ca="1">'Charges to party by investment'!AO36</f>
        <v>0.13216755131205385</v>
      </c>
      <c r="J35" s="130">
        <f ca="1">'Charges to party by investment'!AP36</f>
        <v>0.25254937720623599</v>
      </c>
      <c r="K35" s="130">
        <f ca="1">'Charges to party by investment'!AQ36</f>
        <v>6.9443007462488174E-2</v>
      </c>
      <c r="L35" s="129">
        <f ca="1">'Charges to party by investment'!AR36</f>
        <v>13.055285402947776</v>
      </c>
      <c r="M35" s="264"/>
      <c r="N35" s="79">
        <f>'Charges to party by investment'!AS36</f>
        <v>589.61699999999996</v>
      </c>
      <c r="O35" s="79">
        <f t="shared" ca="1" si="0"/>
        <v>41.395835504399514</v>
      </c>
      <c r="Q35" s="79">
        <v>55.243123664533599</v>
      </c>
      <c r="R35" s="79"/>
      <c r="S35" s="8">
        <f ca="1">_xlfn.IFNA(OFFSET(Volumes!$C$1,MATCH($D35,Volumes!$A$2:$A$46,0),0),0)*$S$5+_xlfn.IFNA(OFFSET(Volumes!$C$1,MATCH($B35,Volumes!$A$2:$A$46,0),0),0)</f>
        <v>2587.683</v>
      </c>
      <c r="T35" s="80">
        <f t="shared" ca="1" si="1"/>
        <v>21.348489619684326</v>
      </c>
      <c r="U35" s="80">
        <f t="shared" ca="1" si="19"/>
        <v>15.997259132745205</v>
      </c>
      <c r="V35" s="58"/>
      <c r="W35" s="80">
        <f>'EDB data_trans'!N31</f>
        <v>23.43425727945699</v>
      </c>
      <c r="X35" s="80">
        <f>'EDB data_trans'!F31*(1+$AA$5)^3</f>
        <v>24.579163035493803</v>
      </c>
      <c r="Y35" s="80">
        <f t="shared" si="20"/>
        <v>18.925955537330228</v>
      </c>
      <c r="Z35" s="435">
        <f>(1-$AA$6*'EDB data_trans'!H31)*Y35</f>
        <v>18.079225969430507</v>
      </c>
      <c r="AA35" s="219">
        <f t="shared" ca="1" si="2"/>
        <v>-7.3013624800503121E-2</v>
      </c>
      <c r="AB35" s="346">
        <f t="shared" ca="1" si="3"/>
        <v>9.3206718120907514E-2</v>
      </c>
      <c r="AC35" s="325">
        <f t="shared" ca="1" si="4"/>
        <v>70.785053561479344</v>
      </c>
      <c r="AD35" s="219">
        <f t="shared" ca="1" si="5"/>
        <v>-7.3013624800503121E-2</v>
      </c>
      <c r="AE35" s="116">
        <f t="shared" ca="1" si="6"/>
        <v>0</v>
      </c>
      <c r="AF35" s="79">
        <f t="shared" ca="1" si="21"/>
        <v>0</v>
      </c>
      <c r="AG35" s="371">
        <f t="shared" ca="1" si="7"/>
        <v>18.804745703289392</v>
      </c>
      <c r="AH35" s="219">
        <f t="shared" ca="1" si="8"/>
        <v>-7.1137770116561846E-2</v>
      </c>
      <c r="AJ35" s="372">
        <f t="shared" ca="1" si="9"/>
        <v>0</v>
      </c>
      <c r="AK35" s="79">
        <f t="shared" ca="1" si="22"/>
        <v>0</v>
      </c>
      <c r="AL35" s="371">
        <f t="shared" ca="1" si="10"/>
        <v>18.804745703289392</v>
      </c>
      <c r="AM35" s="219">
        <f t="shared" ca="1" si="11"/>
        <v>-7.1137770116561846E-2</v>
      </c>
      <c r="AN35" s="440"/>
      <c r="AO35" s="153">
        <v>-2.0879527414256235E-2</v>
      </c>
      <c r="AQ35" s="219">
        <f t="shared" ca="1" si="12"/>
        <v>5.136336338736041E-2</v>
      </c>
      <c r="AR35" s="347">
        <f t="shared" si="13"/>
        <v>3.5000000000000003E-2</v>
      </c>
      <c r="AS35" s="66"/>
      <c r="AT35" s="169" t="str">
        <f t="shared" si="23"/>
        <v>Wellington Electricity</v>
      </c>
      <c r="AU35" s="453">
        <f t="shared" si="24"/>
        <v>-2.0879527414256235E-2</v>
      </c>
      <c r="AV35" s="453"/>
      <c r="AW35" s="453">
        <f t="shared" ca="1" si="25"/>
        <v>-7.1137770116561846E-2</v>
      </c>
      <c r="AX35" s="373"/>
      <c r="AY35" s="70" t="str">
        <f t="shared" si="26"/>
        <v>Wellington Electricity</v>
      </c>
      <c r="AZ35" s="166">
        <v>55.243123664533599</v>
      </c>
      <c r="BA35" s="166">
        <v>43.184614107682812</v>
      </c>
      <c r="BB35" s="166">
        <f t="shared" ca="1" si="14"/>
        <v>42.314523581805055</v>
      </c>
      <c r="BC35" s="374"/>
      <c r="BD35" s="374"/>
      <c r="BE35" s="70" t="str">
        <f t="shared" si="27"/>
        <v>Wellington Electricity</v>
      </c>
      <c r="BF35" s="166">
        <f t="shared" ca="1" si="28"/>
        <v>21.348489619684326</v>
      </c>
      <c r="BG35" s="166">
        <f ca="1">VLOOKUP(D35,'Geographic sort_trans'!C$11:O$61,13,0)</f>
        <v>17.522951927676981</v>
      </c>
      <c r="BH35" s="166">
        <f t="shared" ca="1" si="28"/>
        <v>16.35228255617286</v>
      </c>
      <c r="BI35" s="450"/>
      <c r="BJ35" s="451"/>
      <c r="BK35" s="70" t="str">
        <f t="shared" si="29"/>
        <v>Wellington Electricity</v>
      </c>
      <c r="BL35" s="453">
        <f t="shared" ca="1" si="16"/>
        <v>0.1183153214984704</v>
      </c>
      <c r="BM35" s="453">
        <f t="shared" ca="1" si="30"/>
        <v>9.9217390856199142E-2</v>
      </c>
      <c r="BN35" s="453">
        <f t="shared" ca="1" si="17"/>
        <v>9.3206718120907514E-2</v>
      </c>
      <c r="BO35" s="74"/>
      <c r="BP35" s="488"/>
    </row>
    <row r="36" spans="1:68" x14ac:dyDescent="0.3">
      <c r="A36" s="370" t="str">
        <f t="shared" si="18"/>
        <v>Westpower</v>
      </c>
      <c r="C36" s="116" t="s">
        <v>41</v>
      </c>
      <c r="D36" s="128" t="s">
        <v>41</v>
      </c>
      <c r="E36" s="129">
        <f ca="1">'Charges to party by investment'!AL37</f>
        <v>0.43120824429848742</v>
      </c>
      <c r="F36" s="129">
        <f ca="1">'Charges to party by investment'!AM37</f>
        <v>1.8629357208506181</v>
      </c>
      <c r="H36" s="129">
        <f>'Charges to party by investment'!AN37</f>
        <v>0.59358858999999986</v>
      </c>
      <c r="I36" s="129">
        <f ca="1">'Charges to party by investment'!AO37</f>
        <v>0</v>
      </c>
      <c r="J36" s="130">
        <f ca="1">'Charges to party by investment'!AP37</f>
        <v>0.11801227709208106</v>
      </c>
      <c r="K36" s="130">
        <f ca="1">'Charges to party by investment'!AQ37</f>
        <v>7.2328884246660513E-3</v>
      </c>
      <c r="L36" s="129">
        <f ca="1">'Charges to party by investment'!AR37</f>
        <v>1.3597830238372177</v>
      </c>
      <c r="M36" s="264"/>
      <c r="N36" s="79">
        <f>'Charges to party by investment'!AS37</f>
        <v>61.411999999999999</v>
      </c>
      <c r="O36" s="79">
        <f t="shared" ca="1" si="0"/>
        <v>3.6539269889863233</v>
      </c>
      <c r="Q36" s="79">
        <v>1.60316629528984</v>
      </c>
      <c r="R36" s="79"/>
      <c r="S36" s="8">
        <f ca="1">_xlfn.IFNA(OFFSET(Volumes!$C$1,MATCH($D36,Volumes!$A$2:$A$46,0),0),0)*$S$5+_xlfn.IFNA(OFFSET(Volumes!$C$1,MATCH($B36,Volumes!$A$2:$A$46,0),0),0)</f>
        <v>260.84100000000001</v>
      </c>
      <c r="T36" s="80">
        <f t="shared" ca="1" si="1"/>
        <v>6.1461438013573018</v>
      </c>
      <c r="U36" s="80">
        <f t="shared" ca="1" si="19"/>
        <v>14.008254028263666</v>
      </c>
      <c r="V36" s="58"/>
      <c r="W36" s="80">
        <f>'EDB data_trans'!N32</f>
        <v>28.743162235846775</v>
      </c>
      <c r="X36" s="80">
        <f>'EDB data_trans'!F32*(1+$AA$5)^3</f>
        <v>30.234855320106099</v>
      </c>
      <c r="Y36" s="80">
        <f t="shared" si="20"/>
        <v>23.280838596481697</v>
      </c>
      <c r="Z36" s="435">
        <f>(1-$AA$6*'EDB data_trans'!H32)*Y36</f>
        <v>22.33024562171272</v>
      </c>
      <c r="AA36" s="219">
        <f t="shared" ca="1" si="2"/>
        <v>-7.0608260693488349E-3</v>
      </c>
      <c r="AB36" s="346">
        <f t="shared" ca="1" si="3"/>
        <v>6.2185538301929154E-2</v>
      </c>
      <c r="AC36" s="325">
        <f t="shared" ca="1" si="4"/>
        <v>4.4171202755919916</v>
      </c>
      <c r="AD36" s="219">
        <f t="shared" ca="1" si="5"/>
        <v>-7.0608260693488349E-3</v>
      </c>
      <c r="AE36" s="116">
        <f t="shared" ca="1" si="6"/>
        <v>0</v>
      </c>
      <c r="AF36" s="79">
        <f t="shared" ca="1" si="21"/>
        <v>0</v>
      </c>
      <c r="AG36" s="371">
        <f t="shared" ca="1" si="7"/>
        <v>1.9586223652479624</v>
      </c>
      <c r="AH36" s="219">
        <f t="shared" ca="1" si="8"/>
        <v>-5.4851140481930799E-3</v>
      </c>
      <c r="AJ36" s="372">
        <f t="shared" ca="1" si="9"/>
        <v>0</v>
      </c>
      <c r="AK36" s="79">
        <f t="shared" ca="1" si="22"/>
        <v>0</v>
      </c>
      <c r="AL36" s="371">
        <f t="shared" ca="1" si="10"/>
        <v>1.9586223652479624</v>
      </c>
      <c r="AM36" s="219">
        <f t="shared" ca="1" si="11"/>
        <v>-5.4851140481930799E-3</v>
      </c>
      <c r="AN36" s="440"/>
      <c r="AO36" s="153">
        <v>3.7520621942183321E-2</v>
      </c>
      <c r="AQ36" s="219">
        <f t="shared" ca="1" si="12"/>
        <v>5.1363363387360306E-2</v>
      </c>
      <c r="AR36" s="347">
        <f t="shared" si="13"/>
        <v>3.5000000000000003E-2</v>
      </c>
      <c r="AS36" s="66"/>
      <c r="AT36" s="169" t="str">
        <f t="shared" si="23"/>
        <v>Westpower</v>
      </c>
      <c r="AU36" s="453">
        <f t="shared" si="24"/>
        <v>3.7520621942183321E-2</v>
      </c>
      <c r="AV36" s="453"/>
      <c r="AW36" s="453">
        <f t="shared" ca="1" si="25"/>
        <v>-5.4851140481930799E-3</v>
      </c>
      <c r="AX36" s="373"/>
      <c r="AY36" s="70" t="str">
        <f t="shared" si="26"/>
        <v>Westpower</v>
      </c>
      <c r="AZ36" s="166">
        <v>1.60316629528984</v>
      </c>
      <c r="BA36" s="166">
        <v>4.6598060865262463</v>
      </c>
      <c r="BB36" s="166">
        <f t="shared" ca="1" si="14"/>
        <v>3.7496136333836674</v>
      </c>
      <c r="BC36" s="374"/>
      <c r="BD36" s="374"/>
      <c r="BE36" s="70" t="str">
        <f t="shared" si="27"/>
        <v>Westpower</v>
      </c>
      <c r="BF36" s="166">
        <f t="shared" ca="1" si="28"/>
        <v>6.1461438013573018</v>
      </c>
      <c r="BG36" s="166">
        <f ca="1">VLOOKUP(D36,'Geographic sort_trans'!C$11:O$61,13,0)</f>
        <v>16.440997249815638</v>
      </c>
      <c r="BH36" s="166">
        <f t="shared" ca="1" si="28"/>
        <v>14.375093000654296</v>
      </c>
      <c r="BI36" s="450"/>
      <c r="BJ36" s="451"/>
      <c r="BK36" s="70" t="str">
        <f t="shared" si="29"/>
        <v>Westpower</v>
      </c>
      <c r="BL36" s="453">
        <f t="shared" ca="1" si="16"/>
        <v>2.7569142505435209E-2</v>
      </c>
      <c r="BM36" s="453">
        <f t="shared" ca="1" si="30"/>
        <v>7.0492492687385999E-2</v>
      </c>
      <c r="BN36" s="453">
        <f t="shared" ca="1" si="17"/>
        <v>6.2185538301929154E-2</v>
      </c>
      <c r="BO36" s="74"/>
      <c r="BP36" s="488"/>
    </row>
    <row r="37" spans="1:68" x14ac:dyDescent="0.3">
      <c r="A37" s="370"/>
      <c r="B37" s="351"/>
      <c r="C37" s="351"/>
      <c r="D37" s="376"/>
      <c r="E37" s="377"/>
      <c r="F37" s="377"/>
      <c r="H37" s="377"/>
      <c r="I37" s="377"/>
      <c r="J37" s="378"/>
      <c r="K37" s="378"/>
      <c r="L37" s="379"/>
      <c r="M37" s="380"/>
      <c r="N37" s="381"/>
      <c r="O37" s="381"/>
      <c r="P37" s="351"/>
      <c r="Q37" s="381"/>
      <c r="R37" s="381"/>
      <c r="S37" s="8"/>
      <c r="T37" s="351"/>
      <c r="U37" s="351"/>
      <c r="V37" s="382"/>
      <c r="W37" s="351"/>
      <c r="X37" s="351"/>
      <c r="Y37" s="351"/>
      <c r="Z37" s="351"/>
      <c r="AA37" s="383"/>
      <c r="AC37" s="325">
        <f t="shared" ref="AC37:AC52" si="31">(((($AC$5*Y37)*10)+T37)*S37/1000)-E37-I37-L37</f>
        <v>0</v>
      </c>
      <c r="AG37" s="384"/>
      <c r="AH37" s="219"/>
      <c r="AL37" s="371"/>
      <c r="AM37" s="219"/>
      <c r="AR37" s="347">
        <f t="shared" si="13"/>
        <v>3.5000000000000003E-2</v>
      </c>
      <c r="AS37" s="66"/>
      <c r="AT37" s="70"/>
      <c r="AU37" s="454"/>
      <c r="AV37" s="453"/>
      <c r="AW37" s="453"/>
      <c r="AX37" s="373"/>
      <c r="AY37" s="166"/>
      <c r="AZ37" s="166"/>
      <c r="BA37" s="166"/>
      <c r="BB37" s="166"/>
      <c r="BC37" s="374"/>
      <c r="BD37" s="374"/>
      <c r="BE37" s="70"/>
      <c r="BF37" s="166"/>
      <c r="BG37" s="166"/>
      <c r="BH37" s="166"/>
      <c r="BI37" s="450"/>
      <c r="BJ37" s="451"/>
      <c r="BK37" s="70"/>
      <c r="BL37" s="454"/>
      <c r="BM37" s="454"/>
      <c r="BN37" s="454"/>
      <c r="BO37" s="74"/>
      <c r="BP37" s="488"/>
    </row>
    <row r="38" spans="1:68" x14ac:dyDescent="0.3">
      <c r="A38" s="370"/>
      <c r="B38" s="351"/>
      <c r="C38" s="351"/>
      <c r="D38" s="376"/>
      <c r="E38" s="377"/>
      <c r="F38" s="377"/>
      <c r="H38" s="377"/>
      <c r="I38" s="377"/>
      <c r="J38" s="378"/>
      <c r="K38" s="378"/>
      <c r="L38" s="379"/>
      <c r="M38" s="380"/>
      <c r="N38" s="381"/>
      <c r="O38" s="381"/>
      <c r="P38" s="351"/>
      <c r="Q38" s="381"/>
      <c r="R38" s="381"/>
      <c r="S38" s="8"/>
      <c r="T38" s="351"/>
      <c r="U38" s="351"/>
      <c r="V38" s="382"/>
      <c r="W38" s="351"/>
      <c r="X38" s="351"/>
      <c r="Y38" s="351"/>
      <c r="Z38" s="351"/>
      <c r="AA38" s="383"/>
      <c r="AC38" s="325">
        <f t="shared" si="31"/>
        <v>0</v>
      </c>
      <c r="AG38" s="384"/>
      <c r="AH38" s="219"/>
      <c r="AL38" s="371"/>
      <c r="AM38" s="219"/>
      <c r="AR38" s="347">
        <f t="shared" si="13"/>
        <v>3.5000000000000003E-2</v>
      </c>
      <c r="AS38" s="66"/>
      <c r="AT38" s="169" t="str">
        <f>C51</f>
        <v>Oji Fibre</v>
      </c>
      <c r="AU38" s="166"/>
      <c r="AV38" s="75"/>
      <c r="AW38" s="466">
        <f ca="1">AW26</f>
        <v>-4.3169227080387791E-2</v>
      </c>
      <c r="AX38" s="513">
        <v>-2.8000000000000001E-2</v>
      </c>
      <c r="AY38" s="463" t="str">
        <f t="shared" ref="AY38:AY49" si="32">AT38</f>
        <v>Oji Fibre</v>
      </c>
      <c r="AZ38" s="464">
        <f>AZ1*$BZ$4/($BY$4+$BZ$4)</f>
        <v>6.0396052161096163</v>
      </c>
      <c r="BA38" s="464">
        <f>BA$1*$BZ$3/($BY$3+$BZ$3)</f>
        <v>6.6670646396223532</v>
      </c>
      <c r="BB38" s="464">
        <f ca="1">BB$1*$BZ$3/($BY$3+$BZ$3)</f>
        <v>7.2468250081828689</v>
      </c>
      <c r="BC38" s="464"/>
      <c r="BD38" s="464"/>
      <c r="BE38" s="463" t="str">
        <f t="shared" si="27"/>
        <v>Oji Fibre</v>
      </c>
      <c r="BF38" s="464">
        <f ca="1">AZ38/$S51*1000</f>
        <v>10.318188663856914</v>
      </c>
      <c r="BG38" s="166">
        <f ca="1">VLOOKUP(D51,'Geographic sort_trans'!C$11:O$61,13,0)</f>
        <v>10.427605292386106</v>
      </c>
      <c r="BH38" s="464">
        <f t="shared" ref="BH38:BH49" ca="1" si="33">BB38/$S51*1000</f>
        <v>12.380628364407011</v>
      </c>
      <c r="BI38" s="457"/>
      <c r="BJ38" s="465"/>
      <c r="BK38" s="463" t="str">
        <f t="shared" ref="BK38:BK49" si="34">BE38</f>
        <v>Oji Fibre</v>
      </c>
      <c r="BL38" s="466">
        <f ca="1">BF38/(Z51*10+U51-T51+BF38-BH38)</f>
        <v>0.14146605153085626</v>
      </c>
      <c r="BM38" s="466">
        <f ca="1">BG38/(Z51*10+U51-T51+BG38-BH38)</f>
        <v>0.14275204438189468</v>
      </c>
      <c r="BN38" s="466">
        <f t="shared" ref="BN38:BN49" ca="1" si="35">BH38/(Z51*10+U51-T51)</f>
        <v>0.16507504485876018</v>
      </c>
      <c r="BO38" s="74"/>
      <c r="BP38" s="488"/>
    </row>
    <row r="39" spans="1:68" x14ac:dyDescent="0.3">
      <c r="A39" s="370" t="str">
        <f t="shared" si="18"/>
        <v>Contact</v>
      </c>
      <c r="C39" s="116" t="s">
        <v>4</v>
      </c>
      <c r="D39" s="128" t="s">
        <v>4</v>
      </c>
      <c r="E39" s="129">
        <f ca="1">'Charges to party by investment'!AL40</f>
        <v>13.581773279368164</v>
      </c>
      <c r="F39" s="129">
        <f ca="1">'Charges to party by investment'!AM40</f>
        <v>1.2423474581329446</v>
      </c>
      <c r="H39" s="129">
        <f>'Charges to party by investment'!AN40</f>
        <v>3.3737188699999994</v>
      </c>
      <c r="I39" s="129">
        <f ca="1">'Charges to party by investment'!AO40</f>
        <v>9.8327030786068484E-2</v>
      </c>
      <c r="J39" s="130">
        <f ca="1">'Charges to party by investment'!AP40</f>
        <v>0.91674640263957563</v>
      </c>
      <c r="K39" s="318"/>
      <c r="L39" s="385"/>
      <c r="M39" s="264"/>
      <c r="N39" s="79"/>
      <c r="O39" s="79">
        <f t="shared" ref="O39:O48" ca="1" si="36">L39+I39+F39+E39</f>
        <v>14.922447768287178</v>
      </c>
      <c r="Q39" s="79">
        <v>32.633689604366353</v>
      </c>
      <c r="R39" s="79"/>
      <c r="S39" s="8">
        <f ca="1">_xlfn.IFNA(OFFSET(Volumes!$F$1,MATCH($D39,Volumes!$E$2:$E$17,0),0),0)+_xlfn.IFNA(OFFSET(Volumes!$F$1,MATCH($B39,Volumes!$E$2:$E$17,0),0),0)</f>
        <v>10651.012025451901</v>
      </c>
      <c r="T39" s="80">
        <f t="shared" ref="T39:T48" ca="1" si="37">1000*Q39/$S39</f>
        <v>3.0639050567574375</v>
      </c>
      <c r="U39" s="80">
        <f t="shared" ref="U39:U48" ca="1" si="38">1000*O39/$S39</f>
        <v>1.4010356699089399</v>
      </c>
      <c r="V39" s="58"/>
      <c r="W39" s="62">
        <f t="shared" ref="W39:W48" ca="1" si="39">$T39/10+$W$5+($H39*1000000*100)/($S39*1000*1000)</f>
        <v>7.8380656071772545</v>
      </c>
      <c r="Y39" s="79">
        <f t="shared" ref="Y39:Y48" ca="1" si="40">W39</f>
        <v>7.8380656071772545</v>
      </c>
      <c r="Z39" s="436">
        <f t="shared" ref="Z39:Z48" ca="1" si="41">W39</f>
        <v>7.8380656071772545</v>
      </c>
      <c r="AA39" s="219">
        <f t="shared" ref="AA39:AA48" ca="1" si="42">((U39-T39)/10)/Y39</f>
        <v>-2.1215303241731241E-2</v>
      </c>
      <c r="AC39" s="325">
        <f t="shared" ca="1" si="31"/>
        <v>48.172755157626192</v>
      </c>
      <c r="AD39" s="219">
        <f t="shared" ref="AD39:AD48" ca="1" si="43">IF(AA39&gt;$AC$5,$AC$5,AA39)</f>
        <v>-2.1215303241731241E-2</v>
      </c>
      <c r="AE39" s="116">
        <f t="shared" ref="AE39:AE48" ca="1" si="44">IF(AA39&gt;$AC$5,AC39,0)</f>
        <v>0</v>
      </c>
      <c r="AF39" s="79">
        <f t="shared" ref="AF39:AF48" ca="1" si="45">IF(AE39=0,0,$F39-AE39)</f>
        <v>0</v>
      </c>
      <c r="AG39" s="371">
        <f t="shared" ref="AG39:AG48" ca="1" si="46">IF(AE39=0,F39+(F39*$AF$6/(SUMIF($AE$8:$AE$62,"=0",$F$8:$F$62))),AE39)</f>
        <v>1.3061586020783904</v>
      </c>
      <c r="AH39" s="219">
        <f t="shared" ref="AH39:AH48" ca="1" si="47">((((AG39+E39+I39+L39)*1000/S39)-T39)/10)/Y39</f>
        <v>-2.1138867451314408E-2</v>
      </c>
      <c r="AJ39" s="372">
        <f t="shared" ref="AJ39:AJ48" ca="1" si="48">IF(AH39&gt;=$AC$5,AC39,0)</f>
        <v>0</v>
      </c>
      <c r="AK39" s="79">
        <f t="shared" ref="AK39:AK48" ca="1" si="49">IF(AJ39=0,0,$AG39-AJ39)</f>
        <v>0</v>
      </c>
      <c r="AL39" s="371">
        <f t="shared" ref="AL39:AL48" ca="1" si="50">IF(AJ39=0,AG39+(F39*$AK$6/(SUMIF($AJ$8:$AJ$62,"=0",$F$8:$F$62))),AJ39)</f>
        <v>1.3061586020783904</v>
      </c>
      <c r="AM39" s="219">
        <f t="shared" ref="AM39:AM48" ca="1" si="51">((((AL39+E39+I39+L39)*1000/S39)-T39)/10)/Y39</f>
        <v>-2.1138867451314408E-2</v>
      </c>
      <c r="AQ39" s="219">
        <f ca="1">IF(AM39&lt;$AC$5,(AL39-F39)/F39,"")</f>
        <v>5.1363363387360327E-2</v>
      </c>
      <c r="AR39" s="347">
        <f t="shared" si="13"/>
        <v>3.5000000000000003E-2</v>
      </c>
      <c r="AS39" s="66"/>
      <c r="AT39" s="169" t="str">
        <f>C52</f>
        <v>Daiken MDF</v>
      </c>
      <c r="AU39" s="166"/>
      <c r="AV39" s="75"/>
      <c r="AW39" s="453">
        <f t="shared" ref="AW39:AW49" ca="1" si="52">AM52</f>
        <v>-1.8562740967691432E-2</v>
      </c>
      <c r="AX39" s="513"/>
      <c r="AY39" s="70" t="str">
        <f t="shared" si="32"/>
        <v>Daiken MDF</v>
      </c>
      <c r="AZ39" s="166">
        <v>0.885456565309233</v>
      </c>
      <c r="BA39" s="166">
        <v>0.75204029380451254</v>
      </c>
      <c r="BB39" s="166">
        <f t="shared" ref="BB39:BB49" ca="1" si="53">AL52+E52+I52+L52</f>
        <v>0.7741882973044405</v>
      </c>
      <c r="BC39" s="374"/>
      <c r="BD39" s="374"/>
      <c r="BE39" s="70" t="str">
        <f t="shared" si="27"/>
        <v>Daiken MDF</v>
      </c>
      <c r="BF39" s="166">
        <f t="shared" ref="BF39:BF49" ca="1" si="54">AZ39/$S52*1000</f>
        <v>12.999204819370208</v>
      </c>
      <c r="BG39" s="166">
        <f ca="1">VLOOKUP(D52,'Geographic sort_trans'!C$11:O$61,13,0)</f>
        <v>11.040548113356754</v>
      </c>
      <c r="BH39" s="166">
        <f t="shared" ca="1" si="33"/>
        <v>11.365698374945413</v>
      </c>
      <c r="BI39" s="450"/>
      <c r="BJ39" s="451"/>
      <c r="BK39" s="70" t="str">
        <f t="shared" si="34"/>
        <v>Daiken MDF</v>
      </c>
      <c r="BL39" s="453">
        <f ca="1">BF39/(Z52*10+U52-T52+BF39-BH39)</f>
        <v>0.14815758814032717</v>
      </c>
      <c r="BM39" s="453">
        <f ca="1">BG39/(Z52*10+U52-T52+BG39-BH39)</f>
        <v>0.12870714092495505</v>
      </c>
      <c r="BN39" s="453">
        <f t="shared" ca="1" si="35"/>
        <v>0.13199730223533673</v>
      </c>
      <c r="BO39" s="74"/>
      <c r="BP39" s="488"/>
    </row>
    <row r="40" spans="1:68" x14ac:dyDescent="0.3">
      <c r="A40" s="370" t="str">
        <f t="shared" si="18"/>
        <v>Genesis</v>
      </c>
      <c r="C40" s="116" t="s">
        <v>10</v>
      </c>
      <c r="D40" s="128" t="s">
        <v>10</v>
      </c>
      <c r="E40" s="129">
        <f ca="1">'Charges to party by investment'!AL41</f>
        <v>3.5800748439528887</v>
      </c>
      <c r="F40" s="129">
        <f ca="1">'Charges to party by investment'!AM41</f>
        <v>0.7822164105432482</v>
      </c>
      <c r="H40" s="129">
        <f>'Charges to party by investment'!AN41</f>
        <v>4.6878067800000043</v>
      </c>
      <c r="I40" s="129">
        <f ca="1">'Charges to party by investment'!AO41</f>
        <v>2.1498004262153113E-2</v>
      </c>
      <c r="J40" s="130">
        <f ca="1">'Charges to party by investment'!AP41</f>
        <v>0.82156614646097026</v>
      </c>
      <c r="K40" s="318"/>
      <c r="L40" s="385"/>
      <c r="M40" s="264"/>
      <c r="N40" s="79"/>
      <c r="O40" s="79">
        <f t="shared" ca="1" si="36"/>
        <v>4.3837892587582896</v>
      </c>
      <c r="Q40" s="79">
        <v>6.8211952010486119</v>
      </c>
      <c r="R40" s="79"/>
      <c r="S40" s="8">
        <f ca="1">_xlfn.IFNA(OFFSET(Volumes!$F$1,MATCH($D40,Volumes!$E$2:$E$17,0),0),0)+_xlfn.IFNA(OFFSET(Volumes!$F$1,MATCH($B40,Volumes!$E$2:$E$17,0),0),0)</f>
        <v>7423.6117405591003</v>
      </c>
      <c r="T40" s="80">
        <f t="shared" ca="1" si="37"/>
        <v>0.91885128687170292</v>
      </c>
      <c r="U40" s="80">
        <f t="shared" ca="1" si="38"/>
        <v>0.59051973782617695</v>
      </c>
      <c r="V40" s="58"/>
      <c r="W40" s="62">
        <f t="shared" ca="1" si="39"/>
        <v>7.6550323802384348</v>
      </c>
      <c r="Y40" s="79">
        <f t="shared" ca="1" si="40"/>
        <v>7.6550323802384348</v>
      </c>
      <c r="Z40" s="436">
        <f t="shared" ca="1" si="41"/>
        <v>7.6550323802384348</v>
      </c>
      <c r="AA40" s="219">
        <f t="shared" ca="1" si="42"/>
        <v>-4.2890941897661744E-3</v>
      </c>
      <c r="AC40" s="325">
        <f t="shared" ca="1" si="31"/>
        <v>23.109418241137913</v>
      </c>
      <c r="AD40" s="219">
        <f t="shared" ca="1" si="43"/>
        <v>-4.2890941897661744E-3</v>
      </c>
      <c r="AE40" s="116">
        <f t="shared" ca="1" si="44"/>
        <v>0</v>
      </c>
      <c r="AF40" s="79">
        <f t="shared" ca="1" si="45"/>
        <v>0</v>
      </c>
      <c r="AG40" s="371">
        <f t="shared" ca="1" si="46"/>
        <v>0.82239367628553772</v>
      </c>
      <c r="AH40" s="219">
        <f t="shared" ca="1" si="47"/>
        <v>-4.2183944043648032E-3</v>
      </c>
      <c r="AJ40" s="372">
        <f t="shared" ca="1" si="48"/>
        <v>0</v>
      </c>
      <c r="AK40" s="79">
        <f t="shared" ca="1" si="49"/>
        <v>0</v>
      </c>
      <c r="AL40" s="371">
        <f t="shared" ca="1" si="50"/>
        <v>0.82239367628553772</v>
      </c>
      <c r="AM40" s="219">
        <f t="shared" ca="1" si="51"/>
        <v>-4.2183944043648032E-3</v>
      </c>
      <c r="AQ40" s="219">
        <f ca="1">IF(AM40&lt;$AC$5,(AL40-F40)/F40,"")</f>
        <v>5.1363363387360375E-2</v>
      </c>
      <c r="AR40" s="347">
        <f t="shared" ref="AR40:AR62" si="55">$AC$5</f>
        <v>3.5000000000000003E-2</v>
      </c>
      <c r="AS40" s="66"/>
      <c r="AT40" s="169" t="str">
        <f t="shared" ref="AT40:AT49" si="56">C53</f>
        <v>Juken</v>
      </c>
      <c r="AU40" s="166"/>
      <c r="AV40" s="75"/>
      <c r="AW40" s="466">
        <f ca="1">AW30</f>
        <v>-3.8317610779147908E-2</v>
      </c>
      <c r="AX40" s="513">
        <v>-0.04</v>
      </c>
      <c r="AY40" s="463" t="str">
        <f t="shared" si="32"/>
        <v>Juken</v>
      </c>
      <c r="AZ40" s="464">
        <f>AZ3*$BX$4/($BW$4+$BX$4)</f>
        <v>0.44291825952585628</v>
      </c>
      <c r="BA40" s="464">
        <f>BA3*$BX$3/($BW$3+$BX$3)</f>
        <v>1.1315729114070905</v>
      </c>
      <c r="BB40" s="464">
        <f ca="1">BB3*$BX$3/($BW$3+$BX$3)</f>
        <v>0.72383231488560695</v>
      </c>
      <c r="BC40" s="457"/>
      <c r="BD40" s="464"/>
      <c r="BE40" s="463" t="str">
        <f t="shared" si="27"/>
        <v>Juken</v>
      </c>
      <c r="BF40" s="464">
        <f t="shared" ca="1" si="54"/>
        <v>8.0342347380496868</v>
      </c>
      <c r="BG40" s="166">
        <f ca="1">VLOOKUP(D53,'Geographic sort_trans'!C$11:O$61,13,0)</f>
        <v>18.293888220114507</v>
      </c>
      <c r="BH40" s="464">
        <f t="shared" ca="1" si="33"/>
        <v>13.129823852830738</v>
      </c>
      <c r="BI40" s="457"/>
      <c r="BJ40" s="465"/>
      <c r="BK40" s="463" t="str">
        <f t="shared" si="34"/>
        <v>Juken</v>
      </c>
      <c r="BL40" s="466">
        <f ca="1">BF40/(Z30*10+U30-T30+BF40-BH40)</f>
        <v>3.2090321092987595E-2</v>
      </c>
      <c r="BM40" s="466">
        <f ca="1">BG40/(Z30*10+U30-T30+BG40-BH40)</f>
        <v>7.0192961184884287E-2</v>
      </c>
      <c r="BN40" s="466">
        <f ca="1">BH40/(Z30*10+U30-T30)</f>
        <v>5.1397037789337241E-2</v>
      </c>
      <c r="BO40" s="74"/>
      <c r="BP40" s="488"/>
    </row>
    <row r="41" spans="1:68" x14ac:dyDescent="0.3">
      <c r="A41" s="370" t="str">
        <f t="shared" si="18"/>
        <v>Meridian</v>
      </c>
      <c r="C41" s="116" t="s">
        <v>14</v>
      </c>
      <c r="D41" s="128" t="s">
        <v>14</v>
      </c>
      <c r="E41" s="129">
        <f ca="1">'Charges to party by investment'!AL42</f>
        <v>34.342732451096353</v>
      </c>
      <c r="F41" s="129">
        <f ca="1">'Charges to party by investment'!AM42</f>
        <v>1.1058943633057079</v>
      </c>
      <c r="H41" s="129">
        <f>'Charges to party by investment'!AN42</f>
        <v>14.581880569999997</v>
      </c>
      <c r="I41" s="129">
        <f ca="1">'Charges to party by investment'!AO42</f>
        <v>0.27472849752642614</v>
      </c>
      <c r="J41" s="130">
        <f ca="1">'Charges to party by investment'!AP42</f>
        <v>0.96904281936427072</v>
      </c>
      <c r="K41" s="318"/>
      <c r="L41" s="385"/>
      <c r="M41" s="264"/>
      <c r="N41" s="79"/>
      <c r="O41" s="79">
        <f t="shared" ca="1" si="36"/>
        <v>35.723355311928486</v>
      </c>
      <c r="Q41" s="79">
        <v>96.671854352502805</v>
      </c>
      <c r="R41" s="79"/>
      <c r="S41" s="8">
        <f ca="1">_xlfn.IFNA(OFFSET(Volumes!$F$1,MATCH($D41,Volumes!$E$2:$E$17,0),0),0)+_xlfn.IFNA(OFFSET(Volumes!$F$1,MATCH($B41,Volumes!$E$2:$E$17,0),0),0)</f>
        <v>13468.672578574731</v>
      </c>
      <c r="T41" s="80">
        <f t="shared" ca="1" si="37"/>
        <v>7.1775339246336269</v>
      </c>
      <c r="U41" s="80">
        <f t="shared" ca="1" si="38"/>
        <v>2.6523293296739094</v>
      </c>
      <c r="V41" s="58"/>
      <c r="W41" s="62">
        <f t="shared" ca="1" si="39"/>
        <v>8.3260185573111301</v>
      </c>
      <c r="Y41" s="79">
        <f t="shared" ca="1" si="40"/>
        <v>8.3260185573111301</v>
      </c>
      <c r="Z41" s="436">
        <f t="shared" ca="1" si="41"/>
        <v>8.3260185573111301</v>
      </c>
      <c r="AA41" s="219">
        <f t="shared" ca="1" si="42"/>
        <v>-5.435016225115312E-2</v>
      </c>
      <c r="AC41" s="325">
        <f t="shared" ca="1" si="31"/>
        <v>101.3035396449263</v>
      </c>
      <c r="AD41" s="219">
        <f t="shared" ca="1" si="43"/>
        <v>-5.435016225115312E-2</v>
      </c>
      <c r="AE41" s="116">
        <f t="shared" ca="1" si="44"/>
        <v>0</v>
      </c>
      <c r="AF41" s="79">
        <f t="shared" ca="1" si="45"/>
        <v>0</v>
      </c>
      <c r="AG41" s="371">
        <f t="shared" ca="1" si="46"/>
        <v>1.1626968173562124</v>
      </c>
      <c r="AH41" s="219">
        <f t="shared" ca="1" si="47"/>
        <v>-5.4299509279504811E-2</v>
      </c>
      <c r="AJ41" s="372">
        <f t="shared" ca="1" si="48"/>
        <v>0</v>
      </c>
      <c r="AK41" s="79">
        <f t="shared" ca="1" si="49"/>
        <v>0</v>
      </c>
      <c r="AL41" s="371">
        <f t="shared" ca="1" si="50"/>
        <v>1.1626968173562124</v>
      </c>
      <c r="AM41" s="219">
        <f t="shared" ca="1" si="51"/>
        <v>-5.4299509279504811E-2</v>
      </c>
      <c r="AQ41" s="219">
        <f ca="1">IF(AM41&lt;$AC$5,(AL41-F41)/F41,"")</f>
        <v>5.136336338736032E-2</v>
      </c>
      <c r="AR41" s="347">
        <f t="shared" si="55"/>
        <v>3.5000000000000003E-2</v>
      </c>
      <c r="AS41" s="66"/>
      <c r="AT41" s="169" t="str">
        <f t="shared" si="56"/>
        <v>Kiwirail</v>
      </c>
      <c r="AU41" s="166"/>
      <c r="AV41" s="453"/>
      <c r="AW41" s="453">
        <f t="shared" ca="1" si="52"/>
        <v>3.4999999999999996E-2</v>
      </c>
      <c r="AX41" s="513"/>
      <c r="AY41" s="70" t="str">
        <f t="shared" si="32"/>
        <v>Kiwirail</v>
      </c>
      <c r="AZ41" s="166">
        <v>0.54555788504299096</v>
      </c>
      <c r="BA41" s="166">
        <v>2.2829323807711197</v>
      </c>
      <c r="BB41" s="166">
        <f t="shared" ca="1" si="53"/>
        <v>0.72825138256949562</v>
      </c>
      <c r="BC41" s="374"/>
      <c r="BD41" s="374"/>
      <c r="BE41" s="70" t="str">
        <f t="shared" si="27"/>
        <v>Kiwirail</v>
      </c>
      <c r="BF41" s="166">
        <f t="shared" ca="1" si="54"/>
        <v>13.657603412336025</v>
      </c>
      <c r="BG41" s="464">
        <v>57.15137830203858</v>
      </c>
      <c r="BH41" s="166">
        <f t="shared" ca="1" si="33"/>
        <v>18.23118836754746</v>
      </c>
      <c r="BI41" s="450"/>
      <c r="BJ41" s="451"/>
      <c r="BK41" s="70" t="str">
        <f t="shared" si="34"/>
        <v>Kiwirail</v>
      </c>
      <c r="BL41" s="453">
        <f t="shared" ref="BL41:BL49" ca="1" si="57">BF41/(Z54*10+U54-T54+BF41-BH41)</f>
        <v>8.2489869300695892E-2</v>
      </c>
      <c r="BM41" s="453">
        <f t="shared" ref="BM41:BM49" ca="1" si="58">BG41/(Z54*10+U54-T54+BG41-BH41)</f>
        <v>0.27337202617291734</v>
      </c>
      <c r="BN41" s="453">
        <f t="shared" ca="1" si="35"/>
        <v>0.1071536470103215</v>
      </c>
      <c r="BO41" s="74"/>
      <c r="BP41" s="488"/>
    </row>
    <row r="42" spans="1:68" x14ac:dyDescent="0.3">
      <c r="A42" s="370" t="str">
        <f t="shared" si="18"/>
        <v>Mokai JV</v>
      </c>
      <c r="C42" s="116" t="s">
        <v>621</v>
      </c>
      <c r="D42" s="128" t="s">
        <v>16</v>
      </c>
      <c r="E42" s="129">
        <f ca="1">'Charges to party by investment'!AL43</f>
        <v>0.10596062231342553</v>
      </c>
      <c r="F42" s="129">
        <f>'Charges to party by investment'!AM43</f>
        <v>0</v>
      </c>
      <c r="H42" s="129">
        <f>'Charges to party by investment'!AN43</f>
        <v>0.19051899</v>
      </c>
      <c r="I42" s="129">
        <f ca="1">'Charges to party by investment'!AO43</f>
        <v>0</v>
      </c>
      <c r="J42" s="130">
        <f ca="1">'Charges to party by investment'!AP43</f>
        <v>1</v>
      </c>
      <c r="K42" s="318"/>
      <c r="L42" s="385"/>
      <c r="M42" s="264"/>
      <c r="N42" s="79"/>
      <c r="O42" s="79">
        <f t="shared" ca="1" si="36"/>
        <v>0.10596062231342553</v>
      </c>
      <c r="Q42" s="79">
        <v>0</v>
      </c>
      <c r="R42" s="79"/>
      <c r="S42" s="8">
        <f ca="1">_xlfn.IFNA(OFFSET(Volumes!$F$1,MATCH($D42,Volumes!$E$2:$E$17,0),0),0)+_xlfn.IFNA(OFFSET(Volumes!$F$1,MATCH($B42,Volumes!$E$2:$E$17,0),0),0)</f>
        <v>915.048</v>
      </c>
      <c r="T42" s="80">
        <f t="shared" ca="1" si="37"/>
        <v>0</v>
      </c>
      <c r="U42" s="80">
        <f t="shared" ca="1" si="38"/>
        <v>0.11579788416938296</v>
      </c>
      <c r="V42" s="58"/>
      <c r="W42" s="62">
        <f t="shared" ca="1" si="39"/>
        <v>7.5208206553098851</v>
      </c>
      <c r="Y42" s="79">
        <f t="shared" ca="1" si="40"/>
        <v>7.5208206553098851</v>
      </c>
      <c r="Z42" s="436">
        <f t="shared" ca="1" si="41"/>
        <v>7.5208206553098851</v>
      </c>
      <c r="AA42" s="219">
        <f t="shared" ca="1" si="42"/>
        <v>1.5396974542615477E-3</v>
      </c>
      <c r="AC42" s="325">
        <f t="shared" ca="1" si="31"/>
        <v>2.3027085423365747</v>
      </c>
      <c r="AD42" s="219">
        <f t="shared" ca="1" si="43"/>
        <v>1.5396974542615477E-3</v>
      </c>
      <c r="AE42" s="116">
        <f t="shared" ca="1" si="44"/>
        <v>0</v>
      </c>
      <c r="AF42" s="79">
        <f t="shared" ca="1" si="45"/>
        <v>0</v>
      </c>
      <c r="AG42" s="371">
        <f t="shared" ca="1" si="46"/>
        <v>0</v>
      </c>
      <c r="AH42" s="219">
        <f t="shared" ca="1" si="47"/>
        <v>1.5396974542615477E-3</v>
      </c>
      <c r="AJ42" s="372">
        <f t="shared" ca="1" si="48"/>
        <v>0</v>
      </c>
      <c r="AK42" s="79">
        <f t="shared" ca="1" si="49"/>
        <v>0</v>
      </c>
      <c r="AL42" s="371">
        <f t="shared" ca="1" si="50"/>
        <v>0</v>
      </c>
      <c r="AM42" s="219">
        <f t="shared" ca="1" si="51"/>
        <v>1.5396974542615477E-3</v>
      </c>
      <c r="AQ42" s="219"/>
      <c r="AR42" s="347">
        <f t="shared" si="55"/>
        <v>3.5000000000000003E-2</v>
      </c>
      <c r="AS42" s="66"/>
      <c r="AT42" s="169" t="str">
        <f t="shared" si="56"/>
        <v>Methanex</v>
      </c>
      <c r="AU42" s="166"/>
      <c r="AV42" s="453"/>
      <c r="AW42" s="453">
        <f t="shared" ca="1" si="52"/>
        <v>9.6212661966621413E-3</v>
      </c>
      <c r="AX42" s="513"/>
      <c r="AY42" s="70" t="str">
        <f t="shared" si="32"/>
        <v>Methanex</v>
      </c>
      <c r="AZ42" s="166">
        <v>0.66503186341368803</v>
      </c>
      <c r="BA42" s="166">
        <v>0.70812382822333286</v>
      </c>
      <c r="BB42" s="166">
        <f t="shared" ca="1" si="53"/>
        <v>0.71474835498793676</v>
      </c>
      <c r="BC42" s="374"/>
      <c r="BD42" s="374"/>
      <c r="BE42" s="70" t="str">
        <f t="shared" si="27"/>
        <v>Methanex</v>
      </c>
      <c r="BF42" s="166">
        <f t="shared" ca="1" si="54"/>
        <v>12.38556451375557</v>
      </c>
      <c r="BG42" s="166">
        <f ca="1">VLOOKUP(D55,'Geographic sort_trans'!C$11:O$61,13,0)</f>
        <v>13.188109984937505</v>
      </c>
      <c r="BH42" s="166">
        <f t="shared" ca="1" si="33"/>
        <v>13.311485281866796</v>
      </c>
      <c r="BI42" s="450"/>
      <c r="BJ42" s="451"/>
      <c r="BK42" s="70" t="str">
        <f t="shared" si="34"/>
        <v>Methanex</v>
      </c>
      <c r="BL42" s="453">
        <f t="shared" ca="1" si="57"/>
        <v>0.12906853318660985</v>
      </c>
      <c r="BM42" s="453">
        <f t="shared" ca="1" si="58"/>
        <v>0.13629192540127372</v>
      </c>
      <c r="BN42" s="453">
        <f t="shared" ca="1" si="35"/>
        <v>0.13739176506392126</v>
      </c>
      <c r="BO42" s="74"/>
      <c r="BP42" s="488"/>
    </row>
    <row r="43" spans="1:68" x14ac:dyDescent="0.3">
      <c r="A43" s="370" t="str">
        <f t="shared" si="18"/>
        <v>MRP</v>
      </c>
      <c r="B43" s="116" t="s">
        <v>680</v>
      </c>
      <c r="C43" s="116" t="s">
        <v>616</v>
      </c>
      <c r="D43" s="128" t="s">
        <v>17</v>
      </c>
      <c r="E43" s="129">
        <f ca="1">'Charges to party by investment'!AL44</f>
        <v>0.85928703243682203</v>
      </c>
      <c r="F43" s="129">
        <f ca="1">'Charges to party by investment'!AM44</f>
        <v>1.6162875452645407</v>
      </c>
      <c r="H43" s="129">
        <f>'Charges to party by investment'!AN44</f>
        <v>3.5951406100000005</v>
      </c>
      <c r="I43" s="129">
        <f ca="1">'Charges to party by investment'!AO44</f>
        <v>1.4885111218288644E-2</v>
      </c>
      <c r="J43" s="130">
        <f ca="1">'Charges to party by investment'!AP44</f>
        <v>0.3510083489985425</v>
      </c>
      <c r="K43" s="318"/>
      <c r="L43" s="385"/>
      <c r="M43" s="264"/>
      <c r="N43" s="79"/>
      <c r="O43" s="79">
        <f t="shared" ca="1" si="36"/>
        <v>2.4904596889196515</v>
      </c>
      <c r="Q43" s="79">
        <v>0</v>
      </c>
      <c r="R43" s="79"/>
      <c r="S43" s="8">
        <f ca="1">_xlfn.IFNA(OFFSET(Volumes!$F$1,MATCH($D43,Volumes!$E$2:$E$17,0),0),0)+_xlfn.IFNA(OFFSET(Volumes!$F$1,MATCH($B43,Volumes!$E$2:$E$17,0),0),0)</f>
        <v>4421.4036502775998</v>
      </c>
      <c r="T43" s="80">
        <f t="shared" ca="1" si="37"/>
        <v>0</v>
      </c>
      <c r="U43" s="80">
        <f t="shared" ca="1" si="38"/>
        <v>0.56327354069183133</v>
      </c>
      <c r="V43" s="58"/>
      <c r="W43" s="62">
        <f t="shared" ca="1" si="39"/>
        <v>7.5813122007029214</v>
      </c>
      <c r="Y43" s="79">
        <f t="shared" ca="1" si="40"/>
        <v>7.5813122007029214</v>
      </c>
      <c r="Z43" s="436">
        <f t="shared" ca="1" si="41"/>
        <v>7.5813122007029214</v>
      </c>
      <c r="AA43" s="219">
        <f t="shared" ca="1" si="42"/>
        <v>7.4297631568266765E-3</v>
      </c>
      <c r="AC43" s="325">
        <f t="shared" ca="1" si="31"/>
        <v>10.857842359673592</v>
      </c>
      <c r="AD43" s="219">
        <f t="shared" ca="1" si="43"/>
        <v>7.4297631568266765E-3</v>
      </c>
      <c r="AE43" s="116">
        <f t="shared" ca="1" si="44"/>
        <v>0</v>
      </c>
      <c r="AF43" s="79">
        <f t="shared" ca="1" si="45"/>
        <v>0</v>
      </c>
      <c r="AG43" s="371">
        <f t="shared" ca="1" si="46"/>
        <v>1.6993055097904279</v>
      </c>
      <c r="AH43" s="219">
        <f t="shared" ca="1" si="47"/>
        <v>7.6774298092657485E-3</v>
      </c>
      <c r="AJ43" s="372">
        <f t="shared" ca="1" si="48"/>
        <v>0</v>
      </c>
      <c r="AK43" s="79">
        <f t="shared" ca="1" si="49"/>
        <v>0</v>
      </c>
      <c r="AL43" s="371">
        <f t="shared" ca="1" si="50"/>
        <v>1.6993055097904279</v>
      </c>
      <c r="AM43" s="219">
        <f t="shared" ca="1" si="51"/>
        <v>7.6774298092657485E-3</v>
      </c>
      <c r="AQ43" s="219">
        <f ca="1">IF(AM43&lt;$AC$5,(AL43-F43)/F43,"")</f>
        <v>5.1363363387360375E-2</v>
      </c>
      <c r="AR43" s="347">
        <f t="shared" si="55"/>
        <v>3.5000000000000003E-2</v>
      </c>
      <c r="AS43" s="66"/>
      <c r="AT43" s="169" t="str">
        <f t="shared" si="56"/>
        <v>Norske Skog</v>
      </c>
      <c r="AU43" s="166"/>
      <c r="AV43" s="453"/>
      <c r="AW43" s="453">
        <f t="shared" ca="1" si="52"/>
        <v>3.500000000000001E-2</v>
      </c>
      <c r="AX43" s="513"/>
      <c r="AY43" s="70" t="str">
        <f t="shared" si="32"/>
        <v>Norske Skog</v>
      </c>
      <c r="AZ43" s="166">
        <v>0</v>
      </c>
      <c r="BA43" s="166">
        <v>6.7902954119436645</v>
      </c>
      <c r="BB43" s="166">
        <f t="shared" ca="1" si="53"/>
        <v>1.2706267885500004</v>
      </c>
      <c r="BC43" s="374"/>
      <c r="BD43" s="374"/>
      <c r="BE43" s="70" t="str">
        <f t="shared" si="27"/>
        <v>Norske Skog</v>
      </c>
      <c r="BF43" s="166">
        <f t="shared" ca="1" si="54"/>
        <v>0</v>
      </c>
      <c r="BG43" s="166">
        <f ca="1">VLOOKUP(D56,'Geographic sort_trans'!C$11:O$61,13,0)</f>
        <v>14.25455173157698</v>
      </c>
      <c r="BH43" s="166">
        <f t="shared" ca="1" si="33"/>
        <v>2.6673677933150537</v>
      </c>
      <c r="BI43" s="450"/>
      <c r="BJ43" s="451"/>
      <c r="BK43" s="70" t="str">
        <f t="shared" si="34"/>
        <v>Norske Skog</v>
      </c>
      <c r="BL43" s="453">
        <f t="shared" ca="1" si="57"/>
        <v>0</v>
      </c>
      <c r="BM43" s="453">
        <f t="shared" ca="1" si="58"/>
        <v>0.14268257688384098</v>
      </c>
      <c r="BN43" s="453">
        <f t="shared" ca="1" si="35"/>
        <v>3.0202284191792633E-2</v>
      </c>
      <c r="BO43" s="74"/>
      <c r="BP43" s="488"/>
    </row>
    <row r="44" spans="1:68" x14ac:dyDescent="0.3">
      <c r="A44" s="370" t="str">
        <f t="shared" si="18"/>
        <v>NAP JV</v>
      </c>
      <c r="C44" s="116" t="s">
        <v>617</v>
      </c>
      <c r="D44" s="128" t="s">
        <v>18</v>
      </c>
      <c r="E44" s="129">
        <f ca="1">'Charges to party by investment'!AL45</f>
        <v>0.44480183982018912</v>
      </c>
      <c r="F44" s="129">
        <f>'Charges to party by investment'!AM45</f>
        <v>0</v>
      </c>
      <c r="H44" s="129">
        <f>'Charges to party by investment'!AN45</f>
        <v>0.24736537000000006</v>
      </c>
      <c r="I44" s="129">
        <f ca="1">'Charges to party by investment'!AO45</f>
        <v>0</v>
      </c>
      <c r="J44" s="130">
        <f ca="1">'Charges to party by investment'!AP45</f>
        <v>1</v>
      </c>
      <c r="K44" s="318"/>
      <c r="L44" s="385"/>
      <c r="M44" s="264"/>
      <c r="N44" s="79"/>
      <c r="O44" s="79">
        <f t="shared" ca="1" si="36"/>
        <v>0.44480183982018912</v>
      </c>
      <c r="Q44" s="79">
        <v>0</v>
      </c>
      <c r="R44" s="79"/>
      <c r="S44" s="8">
        <f ca="1">_xlfn.IFNA(OFFSET(Volumes!$F$1,MATCH($D44,Volumes!$E$2:$E$17,0),0),0)+_xlfn.IFNA(OFFSET(Volumes!$F$1,MATCH($B44,Volumes!$E$2:$E$17,0),0),0)</f>
        <v>1078.7414304141901</v>
      </c>
      <c r="T44" s="80">
        <f t="shared" ca="1" si="37"/>
        <v>0</v>
      </c>
      <c r="U44" s="80">
        <f t="shared" ca="1" si="38"/>
        <v>0.41233406568004388</v>
      </c>
      <c r="V44" s="58"/>
      <c r="W44" s="62">
        <f t="shared" ca="1" si="39"/>
        <v>7.5229309232987394</v>
      </c>
      <c r="Y44" s="79">
        <f t="shared" ca="1" si="40"/>
        <v>7.5229309232987394</v>
      </c>
      <c r="Z44" s="436">
        <f t="shared" ca="1" si="41"/>
        <v>7.5229309232987394</v>
      </c>
      <c r="AA44" s="219">
        <f t="shared" ca="1" si="42"/>
        <v>5.4810295333569143E-3</v>
      </c>
      <c r="AC44" s="325">
        <f t="shared" ca="1" si="31"/>
        <v>2.39555220296706</v>
      </c>
      <c r="AD44" s="219">
        <f t="shared" ca="1" si="43"/>
        <v>5.4810295333569143E-3</v>
      </c>
      <c r="AE44" s="116">
        <f t="shared" ca="1" si="44"/>
        <v>0</v>
      </c>
      <c r="AF44" s="79">
        <f t="shared" ca="1" si="45"/>
        <v>0</v>
      </c>
      <c r="AG44" s="371">
        <f t="shared" ca="1" si="46"/>
        <v>0</v>
      </c>
      <c r="AH44" s="219">
        <f t="shared" ca="1" si="47"/>
        <v>5.4810295333569143E-3</v>
      </c>
      <c r="AJ44" s="372">
        <f t="shared" ca="1" si="48"/>
        <v>0</v>
      </c>
      <c r="AK44" s="79">
        <f t="shared" ca="1" si="49"/>
        <v>0</v>
      </c>
      <c r="AL44" s="371">
        <f t="shared" ca="1" si="50"/>
        <v>0</v>
      </c>
      <c r="AM44" s="219">
        <f t="shared" ca="1" si="51"/>
        <v>5.4810295333569143E-3</v>
      </c>
      <c r="AQ44" s="219"/>
      <c r="AR44" s="347">
        <f t="shared" si="55"/>
        <v>3.5000000000000003E-2</v>
      </c>
      <c r="AS44" s="66"/>
      <c r="AT44" s="169" t="str">
        <f t="shared" si="56"/>
        <v>NZ Steel</v>
      </c>
      <c r="AU44" s="166"/>
      <c r="AV44" s="453"/>
      <c r="AW44" s="453">
        <f t="shared" ca="1" si="52"/>
        <v>3.5000000000000017E-2</v>
      </c>
      <c r="AX44" s="513"/>
      <c r="AY44" s="70" t="str">
        <f t="shared" si="32"/>
        <v>NZ Steel</v>
      </c>
      <c r="AZ44" s="166">
        <v>4.6071233586564801</v>
      </c>
      <c r="BA44" s="166">
        <v>16.644311607403363</v>
      </c>
      <c r="BB44" s="166">
        <f t="shared" ca="1" si="53"/>
        <v>7.6438172968594582</v>
      </c>
      <c r="BC44" s="374"/>
      <c r="BD44" s="374"/>
      <c r="BE44" s="70" t="str">
        <f t="shared" si="27"/>
        <v>NZ Steel</v>
      </c>
      <c r="BF44" s="166">
        <f t="shared" ca="1" si="54"/>
        <v>4.3243376240681659</v>
      </c>
      <c r="BG44" s="166">
        <f ca="1">VLOOKUP(D57,'Geographic sort_trans'!C$11:O$61,13,0)</f>
        <v>15.62268194433549</v>
      </c>
      <c r="BH44" s="166">
        <f t="shared" ca="1" si="33"/>
        <v>7.174638956911207</v>
      </c>
      <c r="BI44" s="450"/>
      <c r="BJ44" s="451"/>
      <c r="BK44" s="70" t="str">
        <f t="shared" si="34"/>
        <v>NZ Steel</v>
      </c>
      <c r="BL44" s="453">
        <f t="shared" ca="1" si="57"/>
        <v>4.9204857028443939E-2</v>
      </c>
      <c r="BM44" s="453">
        <f t="shared" ca="1" si="58"/>
        <v>0.15751416776097144</v>
      </c>
      <c r="BN44" s="453">
        <f t="shared" ca="1" si="35"/>
        <v>7.9072742889643832E-2</v>
      </c>
      <c r="BO44" s="74"/>
      <c r="BP44" s="488"/>
    </row>
    <row r="45" spans="1:68" x14ac:dyDescent="0.3">
      <c r="A45" s="370" t="str">
        <f t="shared" si="18"/>
        <v>Ngatamariki</v>
      </c>
      <c r="C45" s="116" t="s">
        <v>21</v>
      </c>
      <c r="D45" s="128" t="s">
        <v>21</v>
      </c>
      <c r="E45" s="129">
        <f ca="1">'Charges to party by investment'!AL46</f>
        <v>0.26759683881789809</v>
      </c>
      <c r="F45" s="129">
        <f>'Charges to party by investment'!AM46</f>
        <v>0</v>
      </c>
      <c r="H45" s="129">
        <f>'Charges to party by investment'!AN46</f>
        <v>0.13821997</v>
      </c>
      <c r="I45" s="129">
        <f ca="1">'Charges to party by investment'!AO46</f>
        <v>0</v>
      </c>
      <c r="J45" s="130">
        <f ca="1">'Charges to party by investment'!AP46</f>
        <v>1</v>
      </c>
      <c r="K45" s="318"/>
      <c r="L45" s="385"/>
      <c r="M45" s="264"/>
      <c r="N45" s="79"/>
      <c r="O45" s="79">
        <f t="shared" ca="1" si="36"/>
        <v>0.26759683881789809</v>
      </c>
      <c r="Q45" s="79">
        <v>0</v>
      </c>
      <c r="R45" s="79"/>
      <c r="S45" s="8">
        <f ca="1">_xlfn.IFNA(OFFSET(Volumes!$F$1,MATCH($D45,Volumes!$E$2:$E$17,0),0),0)+_xlfn.IFNA(OFFSET(Volumes!$F$1,MATCH($B45,Volumes!$E$2:$E$17,0),0),0)</f>
        <v>655.45440152937101</v>
      </c>
      <c r="T45" s="80">
        <f t="shared" ca="1" si="37"/>
        <v>0</v>
      </c>
      <c r="U45" s="80">
        <f t="shared" ca="1" si="38"/>
        <v>0.4082615635710351</v>
      </c>
      <c r="V45" s="58"/>
      <c r="W45" s="62">
        <f t="shared" ca="1" si="39"/>
        <v>7.5210876560867534</v>
      </c>
      <c r="Y45" s="79">
        <f t="shared" ca="1" si="40"/>
        <v>7.5210876560867534</v>
      </c>
      <c r="Z45" s="436">
        <f t="shared" ca="1" si="41"/>
        <v>7.5210876560867534</v>
      </c>
      <c r="AA45" s="219">
        <f t="shared" ca="1" si="42"/>
        <v>5.4282250419011198E-3</v>
      </c>
      <c r="AC45" s="325">
        <f t="shared" ca="1" si="31"/>
        <v>1.4578086641467007</v>
      </c>
      <c r="AD45" s="219">
        <f t="shared" ca="1" si="43"/>
        <v>5.4282250419011198E-3</v>
      </c>
      <c r="AE45" s="116">
        <f t="shared" ca="1" si="44"/>
        <v>0</v>
      </c>
      <c r="AF45" s="79">
        <f t="shared" ca="1" si="45"/>
        <v>0</v>
      </c>
      <c r="AG45" s="371">
        <f t="shared" ca="1" si="46"/>
        <v>0</v>
      </c>
      <c r="AH45" s="219">
        <f t="shared" ca="1" si="47"/>
        <v>5.4282250419011198E-3</v>
      </c>
      <c r="AJ45" s="372">
        <f t="shared" ca="1" si="48"/>
        <v>0</v>
      </c>
      <c r="AK45" s="79">
        <f t="shared" ca="1" si="49"/>
        <v>0</v>
      </c>
      <c r="AL45" s="371">
        <f t="shared" ca="1" si="50"/>
        <v>0</v>
      </c>
      <c r="AM45" s="219">
        <f t="shared" ca="1" si="51"/>
        <v>5.4282250419011198E-3</v>
      </c>
      <c r="AQ45" s="219"/>
      <c r="AR45" s="347">
        <f t="shared" si="55"/>
        <v>3.5000000000000003E-2</v>
      </c>
      <c r="AS45" s="66"/>
      <c r="AT45" s="169" t="str">
        <f t="shared" si="56"/>
        <v>NZ Aluminium Smelter</v>
      </c>
      <c r="AU45" s="166"/>
      <c r="AV45" s="453"/>
      <c r="AW45" s="453">
        <f t="shared" ca="1" si="52"/>
        <v>-4.3481992431398005E-2</v>
      </c>
      <c r="AX45" s="513"/>
      <c r="AY45" s="70" t="str">
        <f t="shared" si="32"/>
        <v>NZ Aluminium Smelter</v>
      </c>
      <c r="AZ45" s="166">
        <v>60.844865743536097</v>
      </c>
      <c r="BA45" s="166">
        <v>39.975736995246649</v>
      </c>
      <c r="BB45" s="166">
        <f ca="1">AL58+E58+I58+L58</f>
        <v>41.886578430527692</v>
      </c>
      <c r="BC45" s="374"/>
      <c r="BD45" s="374"/>
      <c r="BE45" s="70" t="str">
        <f t="shared" si="27"/>
        <v>NZ Aluminium Smelter</v>
      </c>
      <c r="BF45" s="166">
        <f t="shared" ca="1" si="54"/>
        <v>12.204713431520082</v>
      </c>
      <c r="BG45" s="166">
        <f ca="1">VLOOKUP(D58,'Geographic sort_trans'!C$11:O$61,13,0)</f>
        <v>8.0186291526599778</v>
      </c>
      <c r="BH45" s="166">
        <f t="shared" ca="1" si="33"/>
        <v>8.4019198682477132</v>
      </c>
      <c r="BI45" s="450"/>
      <c r="BJ45" s="451"/>
      <c r="BK45" s="70" t="str">
        <f t="shared" si="34"/>
        <v>NZ Aluminium Smelter</v>
      </c>
      <c r="BL45" s="453">
        <f t="shared" ca="1" si="57"/>
        <v>0.13984238174622568</v>
      </c>
      <c r="BM45" s="453">
        <f t="shared" ca="1" si="58"/>
        <v>9.650685758595752E-2</v>
      </c>
      <c r="BN45" s="453">
        <f t="shared" ca="1" si="35"/>
        <v>0.1006555610981064</v>
      </c>
      <c r="BO45" s="74"/>
      <c r="BP45" s="488"/>
    </row>
    <row r="46" spans="1:68" x14ac:dyDescent="0.3">
      <c r="A46" s="370" t="str">
        <f t="shared" si="18"/>
        <v>Pioneer</v>
      </c>
      <c r="C46" s="116" t="s">
        <v>27</v>
      </c>
      <c r="D46" s="128" t="s">
        <v>27</v>
      </c>
      <c r="E46" s="129">
        <f ca="1">'Charges to party by investment'!AL47</f>
        <v>8.9274737697279394E-2</v>
      </c>
      <c r="F46" s="129">
        <f>'Charges to party by investment'!AM47</f>
        <v>0</v>
      </c>
      <c r="H46" s="129">
        <f>'Charges to party by investment'!AN47</f>
        <v>0.30017046000000003</v>
      </c>
      <c r="I46" s="129">
        <f ca="1">'Charges to party by investment'!AO47</f>
        <v>6.6327453979439109E-4</v>
      </c>
      <c r="J46" s="130">
        <f ca="1">'Charges to party by investment'!AP47</f>
        <v>1</v>
      </c>
      <c r="K46" s="318"/>
      <c r="L46" s="385"/>
      <c r="M46" s="264"/>
      <c r="N46" s="79"/>
      <c r="O46" s="79">
        <f t="shared" ca="1" si="36"/>
        <v>8.9938012237073789E-2</v>
      </c>
      <c r="Q46" s="79">
        <v>0.38253490700876602</v>
      </c>
      <c r="R46" s="79"/>
      <c r="S46" s="8">
        <f ca="1">_xlfn.IFNA(OFFSET(Volumes!$F$1,MATCH($D46,Volumes!$E$2:$E$17,0),0),0)+_xlfn.IFNA(OFFSET(Volumes!$F$1,MATCH($B46,Volumes!$E$2:$E$17,0),0),0)</f>
        <v>47.479281498189003</v>
      </c>
      <c r="T46" s="80">
        <f t="shared" ca="1" si="37"/>
        <v>8.0568807053947733</v>
      </c>
      <c r="U46" s="80">
        <f t="shared" ca="1" si="38"/>
        <v>1.8942580721341431</v>
      </c>
      <c r="V46" s="58"/>
      <c r="W46" s="62">
        <f t="shared" ca="1" si="39"/>
        <v>8.9379016393388486</v>
      </c>
      <c r="Y46" s="79">
        <f t="shared" ca="1" si="40"/>
        <v>8.9379016393388486</v>
      </c>
      <c r="Z46" s="436">
        <f t="shared" ca="1" si="41"/>
        <v>8.9379016393388486</v>
      </c>
      <c r="AA46" s="219">
        <f t="shared" ca="1" si="42"/>
        <v>-6.8949322580780709E-2</v>
      </c>
      <c r="AC46" s="325">
        <f t="shared" ca="1" si="31"/>
        <v>0.44112469654974518</v>
      </c>
      <c r="AD46" s="219">
        <f t="shared" ca="1" si="43"/>
        <v>-6.8949322580780709E-2</v>
      </c>
      <c r="AE46" s="116">
        <f t="shared" ca="1" si="44"/>
        <v>0</v>
      </c>
      <c r="AF46" s="79">
        <f t="shared" ca="1" si="45"/>
        <v>0</v>
      </c>
      <c r="AG46" s="371">
        <f t="shared" ca="1" si="46"/>
        <v>0</v>
      </c>
      <c r="AH46" s="219">
        <f t="shared" ca="1" si="47"/>
        <v>-6.8949322580780709E-2</v>
      </c>
      <c r="AJ46" s="372">
        <f t="shared" ca="1" si="48"/>
        <v>0</v>
      </c>
      <c r="AK46" s="79">
        <f t="shared" ca="1" si="49"/>
        <v>0</v>
      </c>
      <c r="AL46" s="371">
        <f t="shared" ca="1" si="50"/>
        <v>0</v>
      </c>
      <c r="AM46" s="219">
        <f t="shared" ca="1" si="51"/>
        <v>-6.8949322580780709E-2</v>
      </c>
      <c r="AQ46" s="219"/>
      <c r="AR46" s="347">
        <f t="shared" si="55"/>
        <v>3.5000000000000003E-2</v>
      </c>
      <c r="AS46" s="66"/>
      <c r="AT46" s="169" t="str">
        <f t="shared" si="56"/>
        <v>Pan Pac</v>
      </c>
      <c r="AU46" s="166"/>
      <c r="AV46" s="453"/>
      <c r="AW46" s="453">
        <f t="shared" ca="1" si="52"/>
        <v>3.4999999999999976E-2</v>
      </c>
      <c r="AX46" s="513"/>
      <c r="AY46" s="70" t="str">
        <f t="shared" si="32"/>
        <v>Pan Pac</v>
      </c>
      <c r="AZ46" s="166">
        <v>4.2536832649312801</v>
      </c>
      <c r="BA46" s="166">
        <v>6.1514081931756097</v>
      </c>
      <c r="BB46" s="166">
        <f t="shared" ca="1" si="53"/>
        <v>5.8256357276038733</v>
      </c>
      <c r="BC46" s="374"/>
      <c r="BD46" s="374"/>
      <c r="BE46" s="70" t="str">
        <f t="shared" si="27"/>
        <v>Pan Pac</v>
      </c>
      <c r="BF46" s="166">
        <f t="shared" ca="1" si="54"/>
        <v>8.042234260713105</v>
      </c>
      <c r="BG46" s="166">
        <f ca="1">VLOOKUP(D59,'Geographic sort_trans'!C$11:O$61,13,0)</f>
        <v>11.630171463550992</v>
      </c>
      <c r="BH46" s="166">
        <f t="shared" ca="1" si="33"/>
        <v>11.014249139146255</v>
      </c>
      <c r="BI46" s="450"/>
      <c r="BJ46" s="451"/>
      <c r="BK46" s="70" t="str">
        <f t="shared" si="34"/>
        <v>Pan Pac</v>
      </c>
      <c r="BL46" s="453">
        <f t="shared" ca="1" si="57"/>
        <v>9.4386523316940515E-2</v>
      </c>
      <c r="BM46" s="453">
        <f t="shared" ca="1" si="58"/>
        <v>0.13098033973694231</v>
      </c>
      <c r="BN46" s="453">
        <f t="shared" ca="1" si="35"/>
        <v>0.12491020178011047</v>
      </c>
      <c r="BO46" s="74"/>
      <c r="BP46" s="488"/>
    </row>
    <row r="47" spans="1:68" x14ac:dyDescent="0.3">
      <c r="A47" s="370" t="str">
        <f t="shared" si="18"/>
        <v>Todd</v>
      </c>
      <c r="C47" s="116" t="s">
        <v>33</v>
      </c>
      <c r="D47" s="128" t="s">
        <v>33</v>
      </c>
      <c r="E47" s="129">
        <f ca="1">'Charges to party by investment'!AL48</f>
        <v>7.0805585343409139E-2</v>
      </c>
      <c r="F47" s="129">
        <f ca="1">'Charges to party by investment'!AM48</f>
        <v>2.6373287235516307E-2</v>
      </c>
      <c r="H47" s="129">
        <f>'Charges to party by investment'!AN48</f>
        <v>0</v>
      </c>
      <c r="I47" s="129">
        <f ca="1">'Charges to party by investment'!AO48</f>
        <v>2.6088431186913004E-4</v>
      </c>
      <c r="J47" s="130">
        <f ca="1">'Charges to party by investment'!AP48</f>
        <v>0.72933750989265989</v>
      </c>
      <c r="K47" s="318"/>
      <c r="L47" s="385"/>
      <c r="M47" s="264"/>
      <c r="N47" s="79"/>
      <c r="O47" s="79">
        <f t="shared" ca="1" si="36"/>
        <v>9.7439756890794579E-2</v>
      </c>
      <c r="Q47" s="79">
        <v>0</v>
      </c>
      <c r="R47" s="79"/>
      <c r="S47" s="8">
        <f ca="1">_xlfn.IFNA(OFFSET(Volumes!$F$1,MATCH($D47,Volumes!$E$2:$E$17,0),0),0)+_xlfn.IFNA(OFFSET(Volumes!$F$1,MATCH($B47,Volumes!$E$2:$E$17,0),0),0)</f>
        <v>971.44171391737405</v>
      </c>
      <c r="T47" s="80">
        <f t="shared" ca="1" si="37"/>
        <v>0</v>
      </c>
      <c r="U47" s="80">
        <f t="shared" ca="1" si="38"/>
        <v>0.10030427507365854</v>
      </c>
      <c r="V47" s="58"/>
      <c r="W47" s="62">
        <f t="shared" ca="1" si="39"/>
        <v>7.5</v>
      </c>
      <c r="Y47" s="79">
        <f t="shared" ca="1" si="40"/>
        <v>7.5</v>
      </c>
      <c r="Z47" s="436">
        <f t="shared" ca="1" si="41"/>
        <v>7.5</v>
      </c>
      <c r="AA47" s="219">
        <f t="shared" ca="1" si="42"/>
        <v>1.3373903343154472E-3</v>
      </c>
      <c r="AC47" s="325">
        <f t="shared" ca="1" si="31"/>
        <v>2.4789680293778287</v>
      </c>
      <c r="AD47" s="219">
        <f t="shared" ca="1" si="43"/>
        <v>1.3373903343154472E-3</v>
      </c>
      <c r="AE47" s="116">
        <f t="shared" ca="1" si="44"/>
        <v>0</v>
      </c>
      <c r="AF47" s="79">
        <f t="shared" ca="1" si="45"/>
        <v>0</v>
      </c>
      <c r="AG47" s="371">
        <f t="shared" ca="1" si="46"/>
        <v>2.7727907971513362E-2</v>
      </c>
      <c r="AH47" s="219">
        <f t="shared" ca="1" si="47"/>
        <v>1.35598291640713E-3</v>
      </c>
      <c r="AJ47" s="372">
        <f t="shared" ca="1" si="48"/>
        <v>0</v>
      </c>
      <c r="AK47" s="79">
        <f t="shared" ca="1" si="49"/>
        <v>0</v>
      </c>
      <c r="AL47" s="371">
        <f t="shared" ca="1" si="50"/>
        <v>2.7727907971513362E-2</v>
      </c>
      <c r="AM47" s="219">
        <f t="shared" ca="1" si="51"/>
        <v>1.35598291640713E-3</v>
      </c>
      <c r="AQ47" s="219">
        <f ca="1">IF(AM47&lt;$AC$5,(AL47-F47)/F47,"")</f>
        <v>5.1363363387360327E-2</v>
      </c>
      <c r="AR47" s="347">
        <f t="shared" si="55"/>
        <v>3.5000000000000003E-2</v>
      </c>
      <c r="AS47" s="66"/>
      <c r="AT47" s="169" t="str">
        <f t="shared" si="56"/>
        <v>Rayonier</v>
      </c>
      <c r="AU47" s="166"/>
      <c r="AV47" s="453"/>
      <c r="AW47" s="453">
        <f t="shared" ca="1" si="52"/>
        <v>-2.5001458272455906E-2</v>
      </c>
      <c r="AX47" s="513"/>
      <c r="AY47" s="70" t="str">
        <f t="shared" si="32"/>
        <v>Rayonier</v>
      </c>
      <c r="AZ47" s="166">
        <v>0.74426647291580394</v>
      </c>
      <c r="BA47" s="166">
        <v>0.61755180536242227</v>
      </c>
      <c r="BB47" s="166">
        <f t="shared" ca="1" si="53"/>
        <v>0.62523906227209758</v>
      </c>
      <c r="BC47" s="374"/>
      <c r="BD47" s="374"/>
      <c r="BE47" s="70" t="str">
        <f t="shared" si="27"/>
        <v>Rayonier</v>
      </c>
      <c r="BF47" s="166">
        <f t="shared" ca="1" si="54"/>
        <v>13.897487694498508</v>
      </c>
      <c r="BG47" s="166">
        <f ca="1">VLOOKUP(D60,'Geographic sort_trans'!C$11:O$61,13,0)</f>
        <v>11.531378784424295</v>
      </c>
      <c r="BH47" s="166">
        <f t="shared" ca="1" si="33"/>
        <v>11.67492086537834</v>
      </c>
      <c r="BI47" s="450"/>
      <c r="BJ47" s="451"/>
      <c r="BK47" s="70" t="str">
        <f t="shared" si="34"/>
        <v>Rayonier</v>
      </c>
      <c r="BL47" s="453">
        <f t="shared" ca="1" si="57"/>
        <v>0.156799532186332</v>
      </c>
      <c r="BM47" s="453">
        <f t="shared" ca="1" si="58"/>
        <v>0.13367220503515331</v>
      </c>
      <c r="BN47" s="453">
        <f t="shared" ca="1" si="35"/>
        <v>0.13511133268907752</v>
      </c>
      <c r="BO47" s="74"/>
      <c r="BP47" s="488"/>
    </row>
    <row r="48" spans="1:68" x14ac:dyDescent="0.3">
      <c r="A48" s="370" t="str">
        <f t="shared" si="18"/>
        <v>Trustpower</v>
      </c>
      <c r="C48" s="116" t="s">
        <v>35</v>
      </c>
      <c r="D48" s="128" t="s">
        <v>35</v>
      </c>
      <c r="E48" s="129">
        <f ca="1">'Charges to party by investment'!AL49</f>
        <v>2.2195020315126643</v>
      </c>
      <c r="F48" s="129">
        <f ca="1">'Charges to party by investment'!AM49</f>
        <v>0.25010030359091007</v>
      </c>
      <c r="H48" s="129">
        <f>'Charges to party by investment'!AN49</f>
        <v>1.8845370200000009</v>
      </c>
      <c r="I48" s="129">
        <f ca="1">'Charges to party by investment'!AO49</f>
        <v>1.2491950333937315E-2</v>
      </c>
      <c r="J48" s="130">
        <f ca="1">'Charges to party by investment'!AP49</f>
        <v>0.89923819370672076</v>
      </c>
      <c r="K48" s="318"/>
      <c r="L48" s="385"/>
      <c r="M48" s="264"/>
      <c r="N48" s="79"/>
      <c r="O48" s="79">
        <f t="shared" ca="1" si="36"/>
        <v>2.4820942854375119</v>
      </c>
      <c r="Q48" s="79">
        <v>3.6590118583837001</v>
      </c>
      <c r="R48" s="79"/>
      <c r="S48" s="8">
        <f ca="1">_xlfn.IFNA(OFFSET(Volumes!$F$1,MATCH($D48,Volumes!$E$2:$E$17,0),0),0)+_xlfn.IFNA(OFFSET(Volumes!$F$1,MATCH($B48,Volumes!$E$2:$E$17,0),0),0)</f>
        <v>2034.6312177831451</v>
      </c>
      <c r="T48" s="80">
        <f t="shared" ca="1" si="37"/>
        <v>1.7983661247321354</v>
      </c>
      <c r="U48" s="80">
        <f t="shared" ca="1" si="38"/>
        <v>1.2199234257999367</v>
      </c>
      <c r="V48" s="58"/>
      <c r="W48" s="62">
        <f t="shared" ca="1" si="39"/>
        <v>7.7724596393651986</v>
      </c>
      <c r="Y48" s="79">
        <f t="shared" ca="1" si="40"/>
        <v>7.7724596393651986</v>
      </c>
      <c r="Z48" s="436">
        <f t="shared" ca="1" si="41"/>
        <v>7.7724596393651986</v>
      </c>
      <c r="AA48" s="219">
        <f t="shared" ca="1" si="42"/>
        <v>-7.4422091046000205E-3</v>
      </c>
      <c r="AC48" s="325">
        <f t="shared" ca="1" si="31"/>
        <v>6.9619490339612833</v>
      </c>
      <c r="AD48" s="219">
        <f t="shared" ca="1" si="43"/>
        <v>-7.4422091046000205E-3</v>
      </c>
      <c r="AE48" s="116">
        <f t="shared" ca="1" si="44"/>
        <v>0</v>
      </c>
      <c r="AF48" s="79">
        <f t="shared" ca="1" si="45"/>
        <v>0</v>
      </c>
      <c r="AG48" s="371">
        <f t="shared" ca="1" si="46"/>
        <v>0.26294629636753913</v>
      </c>
      <c r="AH48" s="219">
        <f t="shared" ca="1" si="47"/>
        <v>-7.3609777876433606E-3</v>
      </c>
      <c r="AJ48" s="372">
        <f t="shared" ca="1" si="48"/>
        <v>0</v>
      </c>
      <c r="AK48" s="79">
        <f t="shared" ca="1" si="49"/>
        <v>0</v>
      </c>
      <c r="AL48" s="371">
        <f t="shared" ca="1" si="50"/>
        <v>0.26294629636753913</v>
      </c>
      <c r="AM48" s="219">
        <f t="shared" ca="1" si="51"/>
        <v>-7.3609777876433606E-3</v>
      </c>
      <c r="AQ48" s="219">
        <f ca="1">IF(AM48&lt;$AC$5,(AL48-F48)/F48,"")</f>
        <v>5.1363363387360382E-2</v>
      </c>
      <c r="AR48" s="347">
        <f t="shared" si="55"/>
        <v>3.5000000000000003E-2</v>
      </c>
      <c r="AS48" s="66"/>
      <c r="AT48" s="169" t="str">
        <f t="shared" si="56"/>
        <v>Refining NZ</v>
      </c>
      <c r="AU48" s="166"/>
      <c r="AV48" s="466"/>
      <c r="AW48" s="466">
        <f ca="1">AW23</f>
        <v>-1.3150701494405146E-2</v>
      </c>
      <c r="AX48" s="513">
        <v>-0.03</v>
      </c>
      <c r="AY48" s="463" t="str">
        <f t="shared" si="32"/>
        <v>Refining NZ</v>
      </c>
      <c r="AZ48" s="464">
        <f>AZ2*$BV$4/($BU$4+$BV$4)</f>
        <v>3.3868122211395582</v>
      </c>
      <c r="BA48" s="464">
        <f>BA2*($BV$3/($BU$3+$BV$3))</f>
        <v>4.7990225832939615</v>
      </c>
      <c r="BB48" s="464">
        <f ca="1">BB2*($BV$3/($BU$3+$BV$3))</f>
        <v>4.0626155042748895</v>
      </c>
      <c r="BC48" s="464"/>
      <c r="BD48" s="464"/>
      <c r="BE48" s="463" t="str">
        <f t="shared" si="27"/>
        <v>Refining NZ</v>
      </c>
      <c r="BF48" s="464">
        <f t="shared" ca="1" si="54"/>
        <v>12.91439201810311</v>
      </c>
      <c r="BG48" s="166">
        <f ca="1">VLOOKUP(D61,'Geographic sort_trans'!C$11:O$61,13,0)</f>
        <v>22.290932365323357</v>
      </c>
      <c r="BH48" s="464">
        <f t="shared" ca="1" si="33"/>
        <v>15.491325120876144</v>
      </c>
      <c r="BI48" s="457"/>
      <c r="BJ48" s="465"/>
      <c r="BK48" s="463" t="str">
        <f t="shared" si="34"/>
        <v>Refining NZ</v>
      </c>
      <c r="BL48" s="466">
        <f ca="1">BF48/(Z23*10+U23-T23+BF48-BH48)</f>
        <v>6.5250477473702384E-2</v>
      </c>
      <c r="BM48" s="466">
        <f ca="1">BG48/(Z23*10+U23-T23+BG48-BH48)</f>
        <v>0.10753147863023847</v>
      </c>
      <c r="BN48" s="466">
        <f ca="1">BH48/(Z23*10+U23-T23)</f>
        <v>7.7264545344680163E-2</v>
      </c>
      <c r="BO48" s="74"/>
      <c r="BP48" s="488"/>
    </row>
    <row r="49" spans="1:68" x14ac:dyDescent="0.3">
      <c r="A49" s="370"/>
      <c r="B49" s="351"/>
      <c r="C49" s="351"/>
      <c r="D49" s="376"/>
      <c r="E49" s="377"/>
      <c r="F49" s="377"/>
      <c r="H49" s="377"/>
      <c r="I49" s="377"/>
      <c r="J49" s="378"/>
      <c r="K49" s="378"/>
      <c r="L49" s="379"/>
      <c r="M49" s="380"/>
      <c r="N49" s="381"/>
      <c r="O49" s="381"/>
      <c r="P49" s="351"/>
      <c r="Q49" s="381"/>
      <c r="R49" s="381"/>
      <c r="S49" s="8"/>
      <c r="T49" s="351"/>
      <c r="U49" s="351"/>
      <c r="V49" s="382"/>
      <c r="W49" s="351"/>
      <c r="X49" s="351"/>
      <c r="Y49" s="351"/>
      <c r="Z49" s="381"/>
      <c r="AA49" s="383"/>
      <c r="AC49" s="325">
        <f t="shared" si="31"/>
        <v>0</v>
      </c>
      <c r="AG49" s="384"/>
      <c r="AH49" s="219"/>
      <c r="AL49" s="371"/>
      <c r="AM49" s="219"/>
      <c r="AQ49" s="219"/>
      <c r="AR49" s="347">
        <f t="shared" si="55"/>
        <v>3.5000000000000003E-2</v>
      </c>
      <c r="AS49" s="66"/>
      <c r="AT49" s="169" t="str">
        <f t="shared" si="56"/>
        <v>Winstones</v>
      </c>
      <c r="AU49" s="166"/>
      <c r="AV49" s="453"/>
      <c r="AW49" s="453">
        <f t="shared" ca="1" si="52"/>
        <v>-1.5513827573435442E-2</v>
      </c>
      <c r="AX49" s="373"/>
      <c r="AY49" s="70" t="str">
        <f t="shared" si="32"/>
        <v>Winstones</v>
      </c>
      <c r="AZ49" s="166">
        <v>3.1605549518476299</v>
      </c>
      <c r="BA49" s="166">
        <v>2.7739731554495881</v>
      </c>
      <c r="BB49" s="166">
        <f t="shared" ca="1" si="53"/>
        <v>2.8206828045970553</v>
      </c>
      <c r="BC49" s="374"/>
      <c r="BD49" s="374"/>
      <c r="BE49" s="70" t="str">
        <f t="shared" si="27"/>
        <v>Winstones</v>
      </c>
      <c r="BF49" s="166">
        <f t="shared" ca="1" si="54"/>
        <v>13.413177031538476</v>
      </c>
      <c r="BG49" s="166">
        <f ca="1">VLOOKUP(D62,'Geographic sort_trans'!C$11:O$61,13,0)</f>
        <v>11.772550574711381</v>
      </c>
      <c r="BH49" s="166">
        <f t="shared" ca="1" si="33"/>
        <v>11.970783101163667</v>
      </c>
      <c r="BI49" s="450"/>
      <c r="BJ49" s="451"/>
      <c r="BK49" s="70" t="str">
        <f t="shared" si="34"/>
        <v>Winstones</v>
      </c>
      <c r="BL49" s="453">
        <f t="shared" ca="1" si="57"/>
        <v>0.1446680648410624</v>
      </c>
      <c r="BM49" s="453">
        <f t="shared" ca="1" si="58"/>
        <v>0.12926032056154327</v>
      </c>
      <c r="BN49" s="453">
        <f t="shared" ca="1" si="35"/>
        <v>0.13115141700119273</v>
      </c>
      <c r="BO49" s="74"/>
      <c r="BP49" s="488"/>
    </row>
    <row r="50" spans="1:68" x14ac:dyDescent="0.3">
      <c r="A50" s="370"/>
      <c r="B50" s="351"/>
      <c r="C50" s="351"/>
      <c r="D50" s="376"/>
      <c r="E50" s="377"/>
      <c r="F50" s="377"/>
      <c r="H50" s="377"/>
      <c r="I50" s="377"/>
      <c r="J50" s="378"/>
      <c r="K50" s="378"/>
      <c r="L50" s="379"/>
      <c r="M50" s="380"/>
      <c r="N50" s="381"/>
      <c r="O50" s="381"/>
      <c r="P50" s="351"/>
      <c r="Q50" s="381"/>
      <c r="R50" s="381"/>
      <c r="S50" s="8"/>
      <c r="T50" s="351"/>
      <c r="U50" s="351"/>
      <c r="V50" s="382"/>
      <c r="W50" s="351"/>
      <c r="X50" s="351"/>
      <c r="Y50" s="351"/>
      <c r="Z50" s="381"/>
      <c r="AA50" s="383"/>
      <c r="AC50" s="325">
        <f t="shared" si="31"/>
        <v>0</v>
      </c>
      <c r="AG50" s="384"/>
      <c r="AH50" s="219"/>
      <c r="AL50" s="371"/>
      <c r="AM50" s="219"/>
      <c r="AQ50" s="219"/>
      <c r="AR50" s="347">
        <f t="shared" si="55"/>
        <v>3.5000000000000003E-2</v>
      </c>
      <c r="AS50" s="347"/>
      <c r="AV50" s="487"/>
      <c r="AW50" s="487"/>
      <c r="AX50" s="373"/>
      <c r="AY50" s="373"/>
      <c r="AZ50" s="373"/>
      <c r="BA50" s="373"/>
      <c r="BB50" s="118"/>
      <c r="BC50" s="118"/>
    </row>
    <row r="51" spans="1:68" x14ac:dyDescent="0.3">
      <c r="A51" s="370" t="s">
        <v>3</v>
      </c>
      <c r="C51" s="497" t="s">
        <v>788</v>
      </c>
      <c r="D51" s="331" t="s">
        <v>3</v>
      </c>
      <c r="E51" s="332"/>
      <c r="F51" s="332"/>
      <c r="H51" s="129">
        <f>'Charges to party by investment'!AN52</f>
        <v>0</v>
      </c>
      <c r="I51" s="332"/>
      <c r="J51" s="130">
        <f>'Charges to party by investment'!AP52</f>
        <v>0</v>
      </c>
      <c r="K51" s="130">
        <f ca="1">'Charges to party by investment'!AQ52</f>
        <v>0</v>
      </c>
      <c r="L51" s="332"/>
      <c r="M51" s="264"/>
      <c r="N51" s="79">
        <f>'Charges to party by investment'!AS52</f>
        <v>0</v>
      </c>
      <c r="O51" s="79">
        <f t="shared" ref="O51:O62" si="59">L51+I51+F51+E51</f>
        <v>0</v>
      </c>
      <c r="Q51" s="79">
        <v>4.0652026313854099</v>
      </c>
      <c r="R51" s="79"/>
      <c r="S51" s="439">
        <f ca="1">_xlfn.IFNA(OFFSET(Volumes!$C$1,MATCH($D51,Volumes!$A$2:$A$46,0),0),0)+_xlfn.IFNA(OFFSET(Volumes!$C$1,MATCH($B51,Volumes!$A$2:$A$46,0),0),0)</f>
        <v>585.33579999999995</v>
      </c>
      <c r="T51" s="80">
        <f t="shared" ref="T51:T62" ca="1" si="60">1000*Q51/$S51</f>
        <v>6.9450777338160599</v>
      </c>
      <c r="U51" s="80">
        <f t="shared" ref="U51:U62" ca="1" si="61">1000*O51/$S51</f>
        <v>0</v>
      </c>
      <c r="V51" s="58"/>
      <c r="W51" s="62">
        <f ca="1">$T51/10+$W$5+($H51*1000000*100)/($S51*1000*1000)</f>
        <v>8.1945077733816056</v>
      </c>
      <c r="Y51" s="79">
        <f t="shared" ref="Y51:Y62" ca="1" si="62">W51</f>
        <v>8.1945077733816056</v>
      </c>
      <c r="Z51" s="436">
        <f t="shared" ref="Z51:Z62" ca="1" si="63">W51</f>
        <v>8.1945077733816056</v>
      </c>
      <c r="AA51" s="219"/>
      <c r="AC51" s="325">
        <f t="shared" ca="1" si="31"/>
        <v>5.7439911984838989</v>
      </c>
      <c r="AD51" s="219">
        <f t="shared" ref="AD51:AD62" si="64">IF(AA51&gt;$AC$5,$AC$5,AA51)</f>
        <v>0</v>
      </c>
      <c r="AE51" s="116">
        <f>IF(AA51&gt;$AC$5,AC51,0)</f>
        <v>0</v>
      </c>
      <c r="AF51" s="79">
        <f t="shared" ref="AF51:AF62" si="65">IF(AE51=0,0,$F51-AE51)</f>
        <v>0</v>
      </c>
      <c r="AG51" s="371">
        <f ca="1">IF(AE51=0,F51+(F51*$AF$6/(SUMIF($AE$8:$AE$62,"=0",$F$8:$F$62))),AE51)</f>
        <v>0</v>
      </c>
      <c r="AH51" s="219">
        <f t="shared" ref="AH51:AH62" ca="1" si="66">((((AG51+E51+I51+L51)*1000/S51)-T51)/10)/Y51</f>
        <v>-8.4752835995542078E-2</v>
      </c>
      <c r="AJ51" s="372">
        <f ca="1">IF(AH51&gt;=$AC$5,AC51,0)</f>
        <v>0</v>
      </c>
      <c r="AK51" s="79">
        <f t="shared" ref="AK51:AK62" ca="1" si="67">IF(AJ51=0,0,$AG51-AJ51)</f>
        <v>0</v>
      </c>
      <c r="AL51" s="371">
        <f ca="1">IF(AJ51=0,AG51+(F51*$AK$6/(SUMIF($AJ$8:$AJ$62,"=0",$F$8:$F$62))),AJ51)</f>
        <v>0</v>
      </c>
      <c r="AM51" s="219">
        <f t="shared" ref="AM51:AM62" ca="1" si="68">((((AL51+E51+I51+L51)*1000/S51)-T51)/10)/Y51</f>
        <v>-8.4752835995542078E-2</v>
      </c>
      <c r="AQ51" s="219"/>
      <c r="AR51" s="347">
        <f t="shared" si="55"/>
        <v>3.5000000000000003E-2</v>
      </c>
      <c r="AS51" s="347"/>
      <c r="AX51" s="373"/>
      <c r="AY51" s="118"/>
      <c r="AZ51" s="118"/>
      <c r="BA51" s="514"/>
      <c r="BB51" s="375"/>
      <c r="BC51" s="375"/>
    </row>
    <row r="52" spans="1:68" x14ac:dyDescent="0.3">
      <c r="A52" s="370" t="str">
        <f t="shared" si="18"/>
        <v>Daiken MDF</v>
      </c>
      <c r="C52" s="116" t="s">
        <v>6</v>
      </c>
      <c r="D52" s="128" t="s">
        <v>6</v>
      </c>
      <c r="E52" s="507">
        <f ca="1">'Charges to party by investment'!AL53</f>
        <v>0.14641186912461449</v>
      </c>
      <c r="F52" s="507">
        <f ca="1">'Charges to party by investment'!AM53</f>
        <v>0.34501865620182687</v>
      </c>
      <c r="H52" s="129">
        <f>'Charges to party by investment'!AN53</f>
        <v>0</v>
      </c>
      <c r="I52" s="507">
        <f ca="1">'Charges to party by investment'!AO53</f>
        <v>1.3202476292585554E-2</v>
      </c>
      <c r="J52" s="512">
        <f ca="1">'Charges to party by investment'!AP53</f>
        <v>0.21099975268384938</v>
      </c>
      <c r="K52" s="512">
        <f ca="1">'Charges to party by investment'!AQ53</f>
        <v>1.339542431231385E-3</v>
      </c>
      <c r="L52" s="507">
        <f ca="1">'Charges to party by investment'!AR53</f>
        <v>0.2518339770715004</v>
      </c>
      <c r="M52" s="264"/>
      <c r="N52" s="79">
        <f>'Charges to party by investment'!AS53</f>
        <v>11.3736</v>
      </c>
      <c r="O52" s="79">
        <f t="shared" ca="1" si="59"/>
        <v>0.75646697869052726</v>
      </c>
      <c r="Q52" s="79">
        <v>0.885456565309233</v>
      </c>
      <c r="R52" s="79"/>
      <c r="S52" s="8">
        <f ca="1">_xlfn.IFNA(OFFSET(Volumes!$C$1,MATCH($D52,Volumes!$A$2:$A$46,0),0),0)+_xlfn.IFNA(OFFSET(Volumes!$C$1,MATCH($B52,Volumes!$A$2:$A$46,0),0),0)</f>
        <v>68.116209999999995</v>
      </c>
      <c r="T52" s="80">
        <f t="shared" ca="1" si="60"/>
        <v>12.999204819370208</v>
      </c>
      <c r="U52" s="80">
        <f t="shared" ca="1" si="61"/>
        <v>11.105535359212254</v>
      </c>
      <c r="V52" s="58"/>
      <c r="W52" s="62">
        <f ca="1">$T52/10+$W$5+($H52*1000000*100)/($S52*1000*1000)</f>
        <v>8.7999204819370203</v>
      </c>
      <c r="Y52" s="79">
        <f t="shared" ca="1" si="62"/>
        <v>8.7999204819370203</v>
      </c>
      <c r="Z52" s="436">
        <f t="shared" ca="1" si="63"/>
        <v>8.7999204819370203</v>
      </c>
      <c r="AA52" s="219">
        <f t="shared" ref="AA52:AA62" ca="1" si="69">((U52-T52)/10)/Y52</f>
        <v>-2.1519165588427258E-2</v>
      </c>
      <c r="AC52" s="325">
        <f t="shared" ca="1" si="31"/>
        <v>0.68380427385635567</v>
      </c>
      <c r="AD52" s="219">
        <f t="shared" ca="1" si="64"/>
        <v>-2.1519165588427258E-2</v>
      </c>
      <c r="AE52" s="79">
        <f ca="1">IF(AA52&gt;$AC$5,AC52,0)</f>
        <v>0</v>
      </c>
      <c r="AF52" s="79">
        <f t="shared" ca="1" si="65"/>
        <v>0</v>
      </c>
      <c r="AG52" s="371">
        <f ca="1">IF(AE52=0,F52+(F52*$AF$6/(SUMIF($AE$8:$AE$62,"=0",$F$8:$F$62))),AE52)</f>
        <v>0.36273997481574005</v>
      </c>
      <c r="AH52" s="219">
        <f t="shared" ca="1" si="66"/>
        <v>-1.8562740967691432E-2</v>
      </c>
      <c r="AJ52" s="372">
        <f ca="1">IF(AH52&gt;=$AC$5,AC52,0)</f>
        <v>0</v>
      </c>
      <c r="AK52" s="79">
        <f t="shared" ca="1" si="67"/>
        <v>0</v>
      </c>
      <c r="AL52" s="371">
        <f ca="1">IF(AJ52=0,AG52+(F52*$AK$6/(SUMIF($AJ$8:$AJ$62,"=0",$F$8:$F$62))),AJ52)</f>
        <v>0.36273997481574005</v>
      </c>
      <c r="AM52" s="219">
        <f t="shared" ca="1" si="68"/>
        <v>-1.8562740967691432E-2</v>
      </c>
      <c r="AQ52" s="219">
        <f ca="1">IF(AM52&lt;$AC$5,(AL52-F52)/F52,"")</f>
        <v>5.1363363387360354E-2</v>
      </c>
      <c r="AR52" s="347">
        <f t="shared" si="55"/>
        <v>3.5000000000000003E-2</v>
      </c>
      <c r="AS52" s="347"/>
      <c r="AX52" s="373"/>
      <c r="AY52" s="118"/>
      <c r="AZ52" s="118"/>
      <c r="BA52" s="514"/>
      <c r="BB52" s="375"/>
      <c r="BC52" s="375"/>
    </row>
    <row r="53" spans="1:68" x14ac:dyDescent="0.3">
      <c r="A53" s="370" t="str">
        <f t="shared" si="18"/>
        <v>Juken</v>
      </c>
      <c r="C53" s="330" t="s">
        <v>677</v>
      </c>
      <c r="D53" s="505" t="s">
        <v>677</v>
      </c>
      <c r="E53" s="508"/>
      <c r="F53" s="508"/>
      <c r="H53" s="509"/>
      <c r="I53" s="508"/>
      <c r="J53" s="264">
        <f>'Charges to party by investment'!AP54</f>
        <v>0</v>
      </c>
      <c r="K53" s="264">
        <f ca="1">'Charges to party by investment'!AQ54</f>
        <v>0</v>
      </c>
      <c r="L53" s="508"/>
      <c r="M53" s="264"/>
      <c r="N53" s="79">
        <f>'Charges to party by investment'!AS54</f>
        <v>0</v>
      </c>
      <c r="O53" s="79">
        <f t="shared" si="59"/>
        <v>0</v>
      </c>
      <c r="Q53" s="386"/>
      <c r="R53" s="79"/>
      <c r="S53" s="439">
        <f ca="1">_xlfn.IFNA(OFFSET(Volumes!$C$1,MATCH($D53,Volumes!$A$2:$A$46,0),0),0)+_xlfn.IFNA(OFFSET(Volumes!$C$1,MATCH($B53,Volumes!$A$2:$A$46,0),0),0)</f>
        <v>55.128867150000005</v>
      </c>
      <c r="T53" s="80">
        <f ca="1">1000*Q53/$S53</f>
        <v>0</v>
      </c>
      <c r="U53" s="80">
        <f t="shared" ca="1" si="61"/>
        <v>0</v>
      </c>
      <c r="V53" s="58"/>
      <c r="W53" s="62"/>
      <c r="Y53" s="79">
        <f t="shared" si="62"/>
        <v>0</v>
      </c>
      <c r="Z53" s="436">
        <f t="shared" si="63"/>
        <v>0</v>
      </c>
      <c r="AA53" s="219"/>
      <c r="AC53" s="325"/>
      <c r="AD53" s="219">
        <f t="shared" si="64"/>
        <v>0</v>
      </c>
      <c r="AF53" s="79"/>
      <c r="AG53" s="371"/>
      <c r="AH53" s="219"/>
      <c r="AJ53" s="372"/>
      <c r="AK53" s="79"/>
      <c r="AL53" s="371"/>
      <c r="AM53" s="219"/>
      <c r="AQ53" s="219"/>
      <c r="AR53" s="347">
        <f t="shared" si="55"/>
        <v>3.5000000000000003E-2</v>
      </c>
      <c r="AS53" s="347"/>
      <c r="AT53"/>
      <c r="AX53" s="373"/>
      <c r="AY53" s="484"/>
      <c r="AZ53" s="485"/>
      <c r="BA53" s="485"/>
      <c r="BB53" s="485"/>
      <c r="BC53" s="375"/>
    </row>
    <row r="54" spans="1:68" x14ac:dyDescent="0.3">
      <c r="A54" s="370" t="str">
        <f t="shared" si="18"/>
        <v>Kiwirail</v>
      </c>
      <c r="C54" s="116" t="s">
        <v>49</v>
      </c>
      <c r="D54" s="506" t="s">
        <v>49</v>
      </c>
      <c r="E54" s="118">
        <f ca="1">'Charges to party by investment'!AL55</f>
        <v>0.15613527734640251</v>
      </c>
      <c r="F54" s="118">
        <f ca="1">'Charges to party by investment'!AM55</f>
        <v>1.1292735817004773</v>
      </c>
      <c r="H54" s="510">
        <f>'Charges to party by investment'!AN55</f>
        <v>1.6783543299999997</v>
      </c>
      <c r="I54" s="118">
        <f ca="1">'Charges to party by investment'!AO55</f>
        <v>1.2390593600108316E-2</v>
      </c>
      <c r="J54" s="264">
        <f ca="1">'Charges to party by investment'!AP55</f>
        <v>7.9415712232234495E-2</v>
      </c>
      <c r="K54" s="264">
        <f ca="1">'Charges to party by investment'!AQ55</f>
        <v>4.3844292242316771E-3</v>
      </c>
      <c r="L54" s="118">
        <f ca="1">'Charges to party by investment'!AR55</f>
        <v>0.82427269415555526</v>
      </c>
      <c r="M54" s="264"/>
      <c r="N54" s="79">
        <f>'Charges to party by investment'!AS55</f>
        <v>37.226700000000001</v>
      </c>
      <c r="O54" s="79">
        <f t="shared" ca="1" si="59"/>
        <v>2.1220721468025436</v>
      </c>
      <c r="Q54" s="79">
        <v>0.54555788504299096</v>
      </c>
      <c r="R54" s="79"/>
      <c r="S54" s="8">
        <f ca="1">_xlfn.IFNA(OFFSET(Volumes!$C$1,MATCH($D54,Volumes!$A$2:$A$46,0),0),0)+_xlfn.IFNA(OFFSET(Volumes!$C$1,MATCH($B54,Volumes!$A$2:$A$46,0),0),0)</f>
        <v>39.945360000000001</v>
      </c>
      <c r="T54" s="80">
        <f t="shared" ca="1" si="60"/>
        <v>13.657603412336025</v>
      </c>
      <c r="U54" s="80">
        <f t="shared" ca="1" si="61"/>
        <v>53.124371561616755</v>
      </c>
      <c r="V54" s="58"/>
      <c r="W54" s="62">
        <f t="shared" ref="W54:W60" ca="1" si="70">$T54/10+$W$5+($H54*1000000*100)/($S54*1000*1000)</f>
        <v>13.067385586318387</v>
      </c>
      <c r="Y54" s="79">
        <f t="shared" ca="1" si="62"/>
        <v>13.067385586318387</v>
      </c>
      <c r="Z54" s="436">
        <f t="shared" ca="1" si="63"/>
        <v>13.067385586318387</v>
      </c>
      <c r="AA54" s="219">
        <f t="shared" ca="1" si="69"/>
        <v>0.30202497575798648</v>
      </c>
      <c r="AC54" s="325">
        <f t="shared" ref="AC54:AC62" ca="1" si="71">(((($AC$5*Y54)*10)+T54)*S54/1000)-E54-I54-L54</f>
        <v>-0.26454718253257048</v>
      </c>
      <c r="AD54" s="219">
        <f t="shared" ca="1" si="64"/>
        <v>3.5000000000000003E-2</v>
      </c>
      <c r="AE54" s="116">
        <f t="shared" ref="AE54:AE60" ca="1" si="72">IF(AA54&gt;$AC$5,AC54,0)</f>
        <v>-0.26454718253257048</v>
      </c>
      <c r="AF54" s="79">
        <f t="shared" ca="1" si="65"/>
        <v>1.3938207642330478</v>
      </c>
      <c r="AG54" s="371">
        <f t="shared" ref="AG54:AG60" ca="1" si="73">IF(AE54=0,F54+(F54*$AF$6/(SUMIF($AE$8:$AE$62,"=0",$F$8:$F$62))),AE54)</f>
        <v>-0.26454718253257048</v>
      </c>
      <c r="AH54" s="219">
        <f t="shared" ca="1" si="66"/>
        <v>3.4999999999999996E-2</v>
      </c>
      <c r="AJ54" s="372">
        <f t="shared" ref="AJ54:AJ60" ca="1" si="74">IF(AH54&gt;=$AC$5,AC54,0)</f>
        <v>-0.26454718253257048</v>
      </c>
      <c r="AK54" s="79">
        <f t="shared" ca="1" si="67"/>
        <v>0</v>
      </c>
      <c r="AL54" s="371">
        <f t="shared" ref="AL54:AL60" ca="1" si="75">IF(AJ54=0,AG54+(F54*$AK$6/(SUMIF($AJ$8:$AJ$62,"=0",$F$8:$F$62))),AJ54)</f>
        <v>-0.26454718253257048</v>
      </c>
      <c r="AM54" s="219">
        <f t="shared" ca="1" si="68"/>
        <v>3.4999999999999996E-2</v>
      </c>
      <c r="AQ54" s="219" t="str">
        <f t="shared" ref="AQ54:AQ60" ca="1" si="76">IF(AM54&lt;$AC$5,(AL54-F54)/F54,"")</f>
        <v/>
      </c>
      <c r="AR54" s="347">
        <f t="shared" si="55"/>
        <v>3.5000000000000003E-2</v>
      </c>
      <c r="AS54" s="347"/>
      <c r="AX54" s="373"/>
      <c r="AY54" s="292"/>
      <c r="AZ54" s="292"/>
      <c r="BA54" s="292"/>
      <c r="BB54" s="292"/>
      <c r="BC54" s="375"/>
      <c r="BD54" s="79"/>
    </row>
    <row r="55" spans="1:68" x14ac:dyDescent="0.3">
      <c r="A55" s="370" t="str">
        <f t="shared" si="18"/>
        <v>Methanex</v>
      </c>
      <c r="C55" s="116" t="s">
        <v>15</v>
      </c>
      <c r="D55" s="506" t="s">
        <v>15</v>
      </c>
      <c r="E55" s="118">
        <f ca="1">'Charges to party by investment'!AL56</f>
        <v>0.19692132481027499</v>
      </c>
      <c r="F55" s="118">
        <f ca="1">'Charges to party by investment'!AM56</f>
        <v>0.28825875541234608</v>
      </c>
      <c r="H55" s="510">
        <f>'Charges to party by investment'!AN56</f>
        <v>0.47526422000000001</v>
      </c>
      <c r="I55" s="118">
        <f ca="1">'Charges to party by investment'!AO56</f>
        <v>4.3582095924028135E-3</v>
      </c>
      <c r="J55" s="264">
        <f ca="1">'Charges to party by investment'!AP56</f>
        <v>0.2875658480807971</v>
      </c>
      <c r="K55" s="264">
        <f ca="1">'Charges to party by investment'!AQ56</f>
        <v>1.1191708828142571E-3</v>
      </c>
      <c r="L55" s="118">
        <f ca="1">'Charges to party by investment'!AR56</f>
        <v>0.21040412596908034</v>
      </c>
      <c r="M55" s="264"/>
      <c r="N55" s="79">
        <f>'Charges to party by investment'!AS56</f>
        <v>9.5024999999999995</v>
      </c>
      <c r="O55" s="79">
        <f t="shared" ca="1" si="59"/>
        <v>0.69994241578410432</v>
      </c>
      <c r="Q55" s="79">
        <v>0.66503186341368803</v>
      </c>
      <c r="R55" s="79"/>
      <c r="S55" s="8">
        <f ca="1">_xlfn.IFNA(OFFSET(Volumes!$C$1,MATCH($D55,Volumes!$A$2:$A$46,0),0),0)+_xlfn.IFNA(OFFSET(Volumes!$C$1,MATCH($B55,Volumes!$A$2:$A$46,0),0),0)</f>
        <v>53.694110000000002</v>
      </c>
      <c r="T55" s="80">
        <f t="shared" ca="1" si="60"/>
        <v>12.385564513755568</v>
      </c>
      <c r="U55" s="80">
        <f t="shared" ca="1" si="61"/>
        <v>13.035739223242629</v>
      </c>
      <c r="V55" s="58"/>
      <c r="W55" s="62">
        <f t="shared" ca="1" si="70"/>
        <v>9.6236893272161286</v>
      </c>
      <c r="Y55" s="79">
        <f t="shared" ca="1" si="62"/>
        <v>9.6236893272161286</v>
      </c>
      <c r="Z55" s="436">
        <f t="shared" ca="1" si="63"/>
        <v>9.6236893272161286</v>
      </c>
      <c r="AA55" s="219">
        <f t="shared" ca="1" si="69"/>
        <v>6.7559819044484765E-3</v>
      </c>
      <c r="AC55" s="325">
        <f t="shared" ca="1" si="71"/>
        <v>0.4342056047114089</v>
      </c>
      <c r="AD55" s="219">
        <f t="shared" ca="1" si="64"/>
        <v>6.7559819044484765E-3</v>
      </c>
      <c r="AE55" s="116">
        <f t="shared" ca="1" si="72"/>
        <v>0</v>
      </c>
      <c r="AF55" s="79">
        <f t="shared" ca="1" si="65"/>
        <v>0</v>
      </c>
      <c r="AG55" s="371">
        <f t="shared" ca="1" si="73"/>
        <v>0.30306469461617863</v>
      </c>
      <c r="AH55" s="219">
        <f t="shared" ca="1" si="66"/>
        <v>9.6212661966621413E-3</v>
      </c>
      <c r="AJ55" s="372">
        <f t="shared" ca="1" si="74"/>
        <v>0</v>
      </c>
      <c r="AK55" s="79">
        <f t="shared" ca="1" si="67"/>
        <v>0</v>
      </c>
      <c r="AL55" s="371">
        <f t="shared" ca="1" si="75"/>
        <v>0.30306469461617863</v>
      </c>
      <c r="AM55" s="219">
        <f t="shared" ca="1" si="68"/>
        <v>9.6212661966621413E-3</v>
      </c>
      <c r="AQ55" s="219">
        <f t="shared" ca="1" si="76"/>
        <v>5.1363363387360327E-2</v>
      </c>
      <c r="AR55" s="347">
        <f t="shared" si="55"/>
        <v>3.5000000000000003E-2</v>
      </c>
      <c r="AS55" s="347"/>
      <c r="AX55" s="373"/>
      <c r="AY55" s="292"/>
      <c r="AZ55" s="292"/>
      <c r="BA55" s="292"/>
      <c r="BB55" s="292"/>
      <c r="BC55" s="375"/>
      <c r="BD55" s="79"/>
    </row>
    <row r="56" spans="1:68" x14ac:dyDescent="0.3">
      <c r="A56" s="370" t="str">
        <f t="shared" si="18"/>
        <v>Norske Skog</v>
      </c>
      <c r="C56" s="116" t="s">
        <v>22</v>
      </c>
      <c r="D56" s="506" t="s">
        <v>22</v>
      </c>
      <c r="E56" s="118">
        <f ca="1">'Charges to party by investment'!AL57</f>
        <v>0.8848524487176721</v>
      </c>
      <c r="F56" s="118">
        <f ca="1">'Charges to party by investment'!AM57</f>
        <v>2.8209164097137482</v>
      </c>
      <c r="H56" s="510">
        <f>'Charges to party by investment'!AN57</f>
        <v>0.57663752999999995</v>
      </c>
      <c r="I56" s="118">
        <f ca="1">'Charges to party by investment'!AO57</f>
        <v>2.1346822166888376E-3</v>
      </c>
      <c r="J56" s="264">
        <f ca="1">'Charges to party by investment'!AP57</f>
        <v>0.1538057694149117</v>
      </c>
      <c r="K56" s="264">
        <f ca="1">'Charges to party by investment'!AQ57</f>
        <v>1.0952269269630456E-2</v>
      </c>
      <c r="L56" s="118">
        <f ca="1">'Charges to party by investment'!AR57</f>
        <v>2.0590266226905256</v>
      </c>
      <c r="M56" s="264"/>
      <c r="N56" s="79">
        <f>'Charges to party by investment'!AS57</f>
        <v>92.992000000000004</v>
      </c>
      <c r="O56" s="79">
        <f t="shared" ca="1" si="59"/>
        <v>5.7669301633386345</v>
      </c>
      <c r="Q56" s="79">
        <v>0</v>
      </c>
      <c r="R56" s="79"/>
      <c r="S56" s="8">
        <f ca="1">_xlfn.IFNA(OFFSET(Volumes!$C$1,MATCH($D56,Volumes!$A$2:$A$46,0),0),0)+_xlfn.IFNA(OFFSET(Volumes!$C$1,MATCH($B56,Volumes!$A$2:$A$46,0),0),0)</f>
        <v>476.35980000000001</v>
      </c>
      <c r="T56" s="80">
        <f t="shared" ca="1" si="60"/>
        <v>0</v>
      </c>
      <c r="U56" s="80">
        <f t="shared" ca="1" si="61"/>
        <v>12.106248603132832</v>
      </c>
      <c r="V56" s="58"/>
      <c r="W56" s="62">
        <f t="shared" ca="1" si="70"/>
        <v>7.6210508380430086</v>
      </c>
      <c r="Y56" s="79">
        <f t="shared" ca="1" si="62"/>
        <v>7.6210508380430086</v>
      </c>
      <c r="Z56" s="436">
        <f t="shared" ca="1" si="63"/>
        <v>7.6210508380430086</v>
      </c>
      <c r="AA56" s="219">
        <f t="shared" ca="1" si="69"/>
        <v>0.15885274695584586</v>
      </c>
      <c r="AC56" s="325">
        <f t="shared" ca="1" si="71"/>
        <v>-1.6753869650748863</v>
      </c>
      <c r="AD56" s="219">
        <f t="shared" ca="1" si="64"/>
        <v>3.5000000000000003E-2</v>
      </c>
      <c r="AE56" s="116">
        <f t="shared" ca="1" si="72"/>
        <v>-1.6753869650748863</v>
      </c>
      <c r="AF56" s="79">
        <f t="shared" ca="1" si="65"/>
        <v>4.496303374788635</v>
      </c>
      <c r="AG56" s="371">
        <f t="shared" ca="1" si="73"/>
        <v>-1.6753869650748863</v>
      </c>
      <c r="AH56" s="219">
        <f t="shared" ca="1" si="66"/>
        <v>3.500000000000001E-2</v>
      </c>
      <c r="AJ56" s="372">
        <f t="shared" ca="1" si="74"/>
        <v>-1.6753869650748863</v>
      </c>
      <c r="AK56" s="79">
        <f t="shared" ca="1" si="67"/>
        <v>0</v>
      </c>
      <c r="AL56" s="371">
        <f t="shared" ca="1" si="75"/>
        <v>-1.6753869650748863</v>
      </c>
      <c r="AM56" s="219">
        <f t="shared" ca="1" si="68"/>
        <v>3.500000000000001E-2</v>
      </c>
      <c r="AQ56" s="219" t="str">
        <f t="shared" ca="1" si="76"/>
        <v/>
      </c>
      <c r="AR56" s="347">
        <f t="shared" si="55"/>
        <v>3.5000000000000003E-2</v>
      </c>
      <c r="AS56" s="347"/>
      <c r="AX56" s="373"/>
      <c r="AY56" s="292"/>
      <c r="AZ56" s="292"/>
      <c r="BA56" s="292"/>
      <c r="BB56" s="292"/>
      <c r="BC56" s="375"/>
      <c r="BD56" s="79"/>
    </row>
    <row r="57" spans="1:68" x14ac:dyDescent="0.3">
      <c r="A57" s="370" t="str">
        <f t="shared" si="18"/>
        <v>NZ Steel</v>
      </c>
      <c r="C57" s="116" t="s">
        <v>24</v>
      </c>
      <c r="D57" s="506" t="s">
        <v>24</v>
      </c>
      <c r="E57" s="118">
        <f ca="1">'Charges to party by investment'!AL58</f>
        <v>6.3257943335782345</v>
      </c>
      <c r="F57" s="118">
        <f ca="1">'Charges to party by investment'!AM58</f>
        <v>4.6572614421803316</v>
      </c>
      <c r="H57" s="510">
        <f>'Charges to party by investment'!AN58</f>
        <v>2.2510105900000013</v>
      </c>
      <c r="I57" s="118">
        <f ca="1">'Charges to party by investment'!AO58</f>
        <v>0.13015220809740016</v>
      </c>
      <c r="J57" s="264">
        <f ca="1">'Charges to party by investment'!AP58</f>
        <v>0.44485086517694616</v>
      </c>
      <c r="K57" s="264">
        <f ca="1">'Charges to party by investment'!AQ58</f>
        <v>1.8081918768731772E-2</v>
      </c>
      <c r="L57" s="118">
        <f ca="1">'Charges to party by investment'!AR58</f>
        <v>3.3994007285215733</v>
      </c>
      <c r="M57" s="264"/>
      <c r="N57" s="79">
        <f>'Charges to party by investment'!AS58</f>
        <v>153.52743333333333</v>
      </c>
      <c r="O57" s="79">
        <f t="shared" ca="1" si="59"/>
        <v>14.512608712377538</v>
      </c>
      <c r="Q57" s="79">
        <v>4.6071233586564801</v>
      </c>
      <c r="R57" s="79"/>
      <c r="S57" s="8">
        <f ca="1">_xlfn.IFNA(OFFSET(Volumes!$C$1,MATCH($D57,Volumes!$A$2:$A$46,0),0),0)+_xlfn.IFNA(OFFSET(Volumes!$C$1,MATCH($B57,Volumes!$A$2:$A$46,0),0),0)</f>
        <v>1065.394</v>
      </c>
      <c r="T57" s="80">
        <f t="shared" ca="1" si="60"/>
        <v>4.3243376240681668</v>
      </c>
      <c r="U57" s="80">
        <f t="shared" ca="1" si="61"/>
        <v>13.621823205666201</v>
      </c>
      <c r="V57" s="58"/>
      <c r="W57" s="62">
        <f t="shared" ca="1" si="70"/>
        <v>8.1437180938372542</v>
      </c>
      <c r="Y57" s="79">
        <f t="shared" ca="1" si="62"/>
        <v>8.1437180938372542</v>
      </c>
      <c r="Z57" s="436">
        <f t="shared" ca="1" si="63"/>
        <v>8.1437180938372542</v>
      </c>
      <c r="AA57" s="219">
        <f t="shared" ca="1" si="69"/>
        <v>0.11416757646159059</v>
      </c>
      <c r="AC57" s="325">
        <f t="shared" ca="1" si="71"/>
        <v>-2.2115299733377505</v>
      </c>
      <c r="AD57" s="219">
        <f t="shared" ca="1" si="64"/>
        <v>3.5000000000000003E-2</v>
      </c>
      <c r="AE57" s="116">
        <f t="shared" ca="1" si="72"/>
        <v>-2.2115299733377505</v>
      </c>
      <c r="AF57" s="79">
        <f t="shared" ca="1" si="65"/>
        <v>6.868791415518082</v>
      </c>
      <c r="AG57" s="371">
        <f t="shared" ca="1" si="73"/>
        <v>-2.2115299733377505</v>
      </c>
      <c r="AH57" s="219">
        <f t="shared" ca="1" si="66"/>
        <v>3.5000000000000017E-2</v>
      </c>
      <c r="AJ57" s="372">
        <f t="shared" ca="1" si="74"/>
        <v>-2.2115299733377505</v>
      </c>
      <c r="AK57" s="79">
        <f t="shared" ca="1" si="67"/>
        <v>0</v>
      </c>
      <c r="AL57" s="371">
        <f t="shared" ca="1" si="75"/>
        <v>-2.2115299733377505</v>
      </c>
      <c r="AM57" s="219">
        <f t="shared" ca="1" si="68"/>
        <v>3.5000000000000017E-2</v>
      </c>
      <c r="AQ57" s="219" t="str">
        <f t="shared" ca="1" si="76"/>
        <v/>
      </c>
      <c r="AR57" s="347">
        <f t="shared" si="55"/>
        <v>3.5000000000000003E-2</v>
      </c>
      <c r="AS57" s="347"/>
      <c r="AX57" s="373"/>
      <c r="AY57" s="292"/>
      <c r="AZ57" s="292"/>
      <c r="BA57" s="292"/>
      <c r="BB57" s="292"/>
      <c r="BC57" s="375"/>
      <c r="BD57" s="79"/>
    </row>
    <row r="58" spans="1:68" x14ac:dyDescent="0.3">
      <c r="A58" s="370" t="str">
        <f t="shared" si="18"/>
        <v>NZAS</v>
      </c>
      <c r="C58" s="116" t="s">
        <v>620</v>
      </c>
      <c r="D58" s="116" t="s">
        <v>43</v>
      </c>
      <c r="E58" s="118">
        <f ca="1">'Charges to party by investment'!AL59</f>
        <v>10.426569389935629</v>
      </c>
      <c r="F58" s="118">
        <f ca="1">'Charges to party by investment'!AM59</f>
        <v>17.661487295305836</v>
      </c>
      <c r="H58" s="510">
        <f>'Charges to party by investment'!AN59</f>
        <v>1.25647208</v>
      </c>
      <c r="I58" s="118">
        <f ca="1">'Charges to party by investment'!AO59</f>
        <v>0</v>
      </c>
      <c r="J58" s="264">
        <f ca="1">'Charges to party by investment'!AP59</f>
        <v>0.25443425278907911</v>
      </c>
      <c r="K58" s="264">
        <f ca="1">'Charges to party by investment'!AQ59</f>
        <v>6.8571108273277559E-2</v>
      </c>
      <c r="L58" s="118">
        <f ca="1">'Charges to party by investment'!AR59</f>
        <v>12.891368355376182</v>
      </c>
      <c r="M58" s="264"/>
      <c r="N58" s="79">
        <f>'Charges to party by investment'!AS59</f>
        <v>582.21400000000006</v>
      </c>
      <c r="O58" s="79">
        <f t="shared" ca="1" si="59"/>
        <v>40.979425040617649</v>
      </c>
      <c r="Q58" s="79">
        <v>60.844865743536097</v>
      </c>
      <c r="R58" s="79"/>
      <c r="S58" s="8">
        <f ca="1">_xlfn.IFNA(OFFSET(Volumes!$C$1,MATCH($D58,Volumes!$A$2:$A$46,0),0),0)+_xlfn.IFNA(OFFSET(Volumes!$C$1,MATCH($B58,Volumes!$A$2:$A$46,0),0),0)</f>
        <v>4985.3580000000002</v>
      </c>
      <c r="T58" s="80">
        <f t="shared" ca="1" si="60"/>
        <v>12.204713431520082</v>
      </c>
      <c r="U58" s="80">
        <f t="shared" ca="1" si="61"/>
        <v>8.2199563282351331</v>
      </c>
      <c r="V58" s="58"/>
      <c r="W58" s="62">
        <f t="shared" ca="1" si="70"/>
        <v>8.7456745899399024</v>
      </c>
      <c r="Y58" s="79">
        <f t="shared" ca="1" si="62"/>
        <v>8.7456745899399024</v>
      </c>
      <c r="Z58" s="436">
        <f t="shared" ca="1" si="63"/>
        <v>8.7456745899399024</v>
      </c>
      <c r="AA58" s="219">
        <f t="shared" ca="1" si="69"/>
        <v>-4.55626042600372E-2</v>
      </c>
      <c r="AC58" s="325">
        <f t="shared" ca="1" si="71"/>
        <v>52.787039572048066</v>
      </c>
      <c r="AD58" s="219">
        <f t="shared" ca="1" si="64"/>
        <v>-4.55626042600372E-2</v>
      </c>
      <c r="AE58" s="116">
        <f t="shared" ca="1" si="72"/>
        <v>0</v>
      </c>
      <c r="AF58" s="79">
        <f t="shared" ca="1" si="65"/>
        <v>0</v>
      </c>
      <c r="AG58" s="371">
        <f t="shared" ca="1" si="73"/>
        <v>18.568640685215879</v>
      </c>
      <c r="AH58" s="219">
        <f t="shared" ca="1" si="66"/>
        <v>-4.3481992431398005E-2</v>
      </c>
      <c r="AJ58" s="372">
        <f t="shared" ca="1" si="74"/>
        <v>0</v>
      </c>
      <c r="AK58" s="79">
        <f t="shared" ca="1" si="67"/>
        <v>0</v>
      </c>
      <c r="AL58" s="371">
        <f t="shared" ca="1" si="75"/>
        <v>18.568640685215879</v>
      </c>
      <c r="AM58" s="219">
        <f t="shared" ca="1" si="68"/>
        <v>-4.3481992431398005E-2</v>
      </c>
      <c r="AQ58" s="219">
        <f t="shared" ca="1" si="76"/>
        <v>5.1363363387360424E-2</v>
      </c>
      <c r="AR58" s="347">
        <f t="shared" si="55"/>
        <v>3.5000000000000003E-2</v>
      </c>
      <c r="AS58" s="347"/>
      <c r="AX58" s="373"/>
      <c r="AY58" s="292"/>
      <c r="AZ58" s="292"/>
      <c r="BA58" s="292"/>
      <c r="BB58" s="292"/>
      <c r="BC58" s="375"/>
      <c r="BD58" s="79"/>
    </row>
    <row r="59" spans="1:68" x14ac:dyDescent="0.3">
      <c r="A59" s="370" t="str">
        <f t="shared" si="18"/>
        <v>PanPac</v>
      </c>
      <c r="B59" s="116" t="s">
        <v>52</v>
      </c>
      <c r="C59" s="116" t="s">
        <v>618</v>
      </c>
      <c r="D59" s="506" t="s">
        <v>26</v>
      </c>
      <c r="E59" s="118">
        <f ca="1">'Charges to party by investment'!AL60</f>
        <v>1.492786720993698</v>
      </c>
      <c r="F59" s="118">
        <f ca="1">'Charges to party by investment'!AM60</f>
        <v>2.5827347449022651</v>
      </c>
      <c r="H59" s="510">
        <f>'Charges to party by investment'!AN60</f>
        <v>0.99038674000000038</v>
      </c>
      <c r="I59" s="118">
        <f ca="1">'Charges to party by investment'!AO60</f>
        <v>1.865014351253853E-2</v>
      </c>
      <c r="J59" s="264">
        <f ca="1">'Charges to party by investment'!AP60</f>
        <v>0.25277628093419846</v>
      </c>
      <c r="K59" s="264">
        <f ca="1">'Charges to party by investment'!AQ60</f>
        <v>1.0027523779433908E-2</v>
      </c>
      <c r="L59" s="118">
        <f ca="1">'Charges to party by investment'!AR60</f>
        <v>1.8851744705335747</v>
      </c>
      <c r="M59" s="264"/>
      <c r="N59" s="79">
        <f>'Charges to party by investment'!AS60</f>
        <v>85.140299999999996</v>
      </c>
      <c r="O59" s="79">
        <f t="shared" ca="1" si="59"/>
        <v>5.9793460799420766</v>
      </c>
      <c r="Q59" s="79">
        <v>4.2536832649312801</v>
      </c>
      <c r="R59" s="79"/>
      <c r="S59" s="8">
        <f ca="1">_xlfn.IFNA(OFFSET(Volumes!$C$1,MATCH($D59,Volumes!$A$2:$A$46,0),0),0)+_xlfn.IFNA(OFFSET(Volumes!$C$1,MATCH($B59,Volumes!$A$2:$A$46,0),0),0)</f>
        <v>528.91809999999998</v>
      </c>
      <c r="T59" s="80">
        <f t="shared" ca="1" si="60"/>
        <v>8.042234260713105</v>
      </c>
      <c r="U59" s="80">
        <f t="shared" ca="1" si="61"/>
        <v>11.304861905731864</v>
      </c>
      <c r="V59" s="58"/>
      <c r="W59" s="62">
        <f t="shared" ca="1" si="70"/>
        <v>8.4914710812375827</v>
      </c>
      <c r="Y59" s="79">
        <f t="shared" ca="1" si="62"/>
        <v>8.4914710812375827</v>
      </c>
      <c r="Z59" s="436">
        <f t="shared" ca="1" si="63"/>
        <v>8.4914710812375827</v>
      </c>
      <c r="AA59" s="219">
        <f t="shared" ca="1" si="69"/>
        <v>3.8422407776053442E-2</v>
      </c>
      <c r="AC59" s="325">
        <f t="shared" ca="1" si="71"/>
        <v>2.4290243925640622</v>
      </c>
      <c r="AD59" s="219">
        <f t="shared" ca="1" si="64"/>
        <v>3.5000000000000003E-2</v>
      </c>
      <c r="AE59" s="116">
        <f t="shared" ca="1" si="72"/>
        <v>2.4290243925640622</v>
      </c>
      <c r="AF59" s="79">
        <f t="shared" ca="1" si="65"/>
        <v>0.15371035233820285</v>
      </c>
      <c r="AG59" s="371">
        <f t="shared" ca="1" si="73"/>
        <v>2.4290243925640622</v>
      </c>
      <c r="AH59" s="219">
        <f t="shared" ca="1" si="66"/>
        <v>3.4999999999999976E-2</v>
      </c>
      <c r="AJ59" s="372">
        <f t="shared" ca="1" si="74"/>
        <v>2.4290243925640622</v>
      </c>
      <c r="AK59" s="79">
        <f t="shared" ca="1" si="67"/>
        <v>0</v>
      </c>
      <c r="AL59" s="371">
        <f t="shared" ca="1" si="75"/>
        <v>2.4290243925640622</v>
      </c>
      <c r="AM59" s="219">
        <f t="shared" ca="1" si="68"/>
        <v>3.4999999999999976E-2</v>
      </c>
      <c r="AQ59" s="219" t="str">
        <f t="shared" ca="1" si="76"/>
        <v/>
      </c>
      <c r="AR59" s="347">
        <f t="shared" si="55"/>
        <v>3.5000000000000003E-2</v>
      </c>
      <c r="AS59" s="347"/>
      <c r="AX59" s="373"/>
      <c r="AY59" s="292"/>
      <c r="AZ59" s="292"/>
      <c r="BA59" s="292"/>
      <c r="BB59" s="292"/>
      <c r="BC59" s="375"/>
      <c r="BD59" s="79"/>
    </row>
    <row r="60" spans="1:68" x14ac:dyDescent="0.3">
      <c r="A60" s="370" t="str">
        <f t="shared" si="18"/>
        <v>Rayonier</v>
      </c>
      <c r="C60" s="116" t="s">
        <v>30</v>
      </c>
      <c r="D60" s="506" t="s">
        <v>30</v>
      </c>
      <c r="E60" s="118">
        <f ca="1">'Charges to party by investment'!AL61</f>
        <v>0.12095458694468263</v>
      </c>
      <c r="F60" s="118">
        <f ca="1">'Charges to party by investment'!AM61</f>
        <v>0.27660099801113963</v>
      </c>
      <c r="H60" s="510">
        <f>'Charges to party by investment'!AN61</f>
        <v>0</v>
      </c>
      <c r="I60" s="118">
        <f ca="1">'Charges to party by investment'!AO61</f>
        <v>1.1581355110576404E-2</v>
      </c>
      <c r="J60" s="264">
        <f ca="1">'Charges to party by investment'!AP61</f>
        <v>0.21690510926884635</v>
      </c>
      <c r="K60" s="264">
        <f ca="1">'Charges to party by investment'!AQ61</f>
        <v>1.073909386338012E-3</v>
      </c>
      <c r="L60" s="118">
        <f ca="1">'Charges to party by investment'!AR61</f>
        <v>0.20189496463154624</v>
      </c>
      <c r="M60" s="264"/>
      <c r="N60" s="79">
        <f>'Charges to party by investment'!AS61</f>
        <v>9.1181999999999999</v>
      </c>
      <c r="O60" s="79">
        <f t="shared" ca="1" si="59"/>
        <v>0.61103190469794488</v>
      </c>
      <c r="Q60" s="79">
        <v>0.74426647291580394</v>
      </c>
      <c r="R60" s="79"/>
      <c r="S60" s="8">
        <f ca="1">_xlfn.IFNA(OFFSET(Volumes!$C$1,MATCH($D60,Volumes!$A$2:$A$46,0),0),0)+_xlfn.IFNA(OFFSET(Volumes!$C$1,MATCH($B60,Volumes!$A$2:$A$46,0),0),0)</f>
        <v>53.554029999999997</v>
      </c>
      <c r="T60" s="80">
        <f t="shared" ca="1" si="60"/>
        <v>13.897487694498508</v>
      </c>
      <c r="U60" s="80">
        <f t="shared" ca="1" si="61"/>
        <v>11.409634432701797</v>
      </c>
      <c r="V60" s="58"/>
      <c r="W60" s="62">
        <f t="shared" ca="1" si="70"/>
        <v>8.8897487694498505</v>
      </c>
      <c r="Y60" s="79">
        <f t="shared" ca="1" si="62"/>
        <v>8.8897487694498505</v>
      </c>
      <c r="Z60" s="436">
        <f t="shared" ca="1" si="63"/>
        <v>8.8897487694498505</v>
      </c>
      <c r="AA60" s="219">
        <f t="shared" ca="1" si="69"/>
        <v>-2.7985641960393381E-2</v>
      </c>
      <c r="AC60" s="325">
        <f t="shared" ca="1" si="71"/>
        <v>0.5764642215310517</v>
      </c>
      <c r="AD60" s="219">
        <f t="shared" ca="1" si="64"/>
        <v>-2.7985641960393381E-2</v>
      </c>
      <c r="AE60" s="116">
        <f t="shared" ca="1" si="72"/>
        <v>0</v>
      </c>
      <c r="AF60" s="79">
        <f t="shared" ca="1" si="65"/>
        <v>0</v>
      </c>
      <c r="AG60" s="371">
        <f t="shared" ca="1" si="73"/>
        <v>0.29080815558529233</v>
      </c>
      <c r="AH60" s="219">
        <f t="shared" ca="1" si="66"/>
        <v>-2.5001458272455906E-2</v>
      </c>
      <c r="AJ60" s="372">
        <f t="shared" ca="1" si="74"/>
        <v>0</v>
      </c>
      <c r="AK60" s="79">
        <f t="shared" ca="1" si="67"/>
        <v>0</v>
      </c>
      <c r="AL60" s="371">
        <f t="shared" ca="1" si="75"/>
        <v>0.29080815558529233</v>
      </c>
      <c r="AM60" s="219">
        <f t="shared" ca="1" si="68"/>
        <v>-2.5001458272455906E-2</v>
      </c>
      <c r="AQ60" s="219">
        <f t="shared" ca="1" si="76"/>
        <v>5.1363363387360327E-2</v>
      </c>
      <c r="AR60" s="347">
        <f t="shared" si="55"/>
        <v>3.5000000000000003E-2</v>
      </c>
      <c r="AS60" s="347"/>
      <c r="AX60" s="373"/>
      <c r="AY60" s="292"/>
      <c r="AZ60" s="292"/>
      <c r="BA60" s="292"/>
      <c r="BB60" s="292"/>
      <c r="BC60" s="375"/>
      <c r="BD60" s="79"/>
    </row>
    <row r="61" spans="1:68" x14ac:dyDescent="0.3">
      <c r="A61" s="370" t="str">
        <f t="shared" si="18"/>
        <v>Refinery</v>
      </c>
      <c r="C61" s="330" t="s">
        <v>619</v>
      </c>
      <c r="D61" s="505" t="s">
        <v>556</v>
      </c>
      <c r="E61" s="489"/>
      <c r="F61" s="489"/>
      <c r="H61" s="511">
        <f>'Charges to party by investment'!AN62</f>
        <v>0</v>
      </c>
      <c r="I61" s="489"/>
      <c r="J61" s="264">
        <f>'Charges to party by investment'!AP62</f>
        <v>0</v>
      </c>
      <c r="K61" s="264">
        <f ca="1">'Charges to party by investment'!AQ62</f>
        <v>0</v>
      </c>
      <c r="L61" s="489"/>
      <c r="M61" s="264"/>
      <c r="N61" s="79">
        <f>'Charges to party by investment'!AS62</f>
        <v>0</v>
      </c>
      <c r="O61" s="79">
        <f t="shared" si="59"/>
        <v>0</v>
      </c>
      <c r="Q61" s="79">
        <v>3.20120186496698</v>
      </c>
      <c r="R61" s="79"/>
      <c r="S61" s="8">
        <f ca="1">_xlfn.IFNA(OFFSET(Volumes!$C$1,MATCH($D61,Volumes!$A$2:$A$46,0),0),0)+_xlfn.IFNA(OFFSET(Volumes!$C$1,MATCH($B61,Volumes!$A$2:$A$46,0),0),0)</f>
        <v>262.25099999999998</v>
      </c>
      <c r="T61" s="80">
        <f t="shared" ca="1" si="60"/>
        <v>12.206633587543919</v>
      </c>
      <c r="U61" s="80">
        <f t="shared" ca="1" si="61"/>
        <v>0</v>
      </c>
      <c r="V61" s="58"/>
      <c r="W61" s="627"/>
      <c r="Y61" s="79">
        <f t="shared" si="62"/>
        <v>0</v>
      </c>
      <c r="Z61" s="436">
        <f t="shared" si="63"/>
        <v>0</v>
      </c>
      <c r="AA61" s="219"/>
      <c r="AC61" s="325">
        <f t="shared" ca="1" si="71"/>
        <v>3.20120186496698</v>
      </c>
      <c r="AD61" s="219">
        <f t="shared" si="64"/>
        <v>0</v>
      </c>
      <c r="AF61" s="79"/>
      <c r="AG61" s="371"/>
      <c r="AH61" s="219"/>
      <c r="AJ61" s="372"/>
      <c r="AK61" s="79"/>
      <c r="AL61" s="371"/>
      <c r="AM61" s="219"/>
      <c r="AQ61" s="219"/>
      <c r="AR61" s="347">
        <f t="shared" si="55"/>
        <v>3.5000000000000003E-2</v>
      </c>
      <c r="AS61" s="347"/>
      <c r="AX61" s="373"/>
      <c r="AY61" s="292"/>
      <c r="AZ61" s="292"/>
      <c r="BA61" s="292"/>
      <c r="BB61" s="292"/>
      <c r="BC61" s="375"/>
      <c r="BD61" s="79"/>
    </row>
    <row r="62" spans="1:68" x14ac:dyDescent="0.3">
      <c r="A62" s="370" t="str">
        <f t="shared" si="18"/>
        <v>Winstones</v>
      </c>
      <c r="C62" s="116" t="s">
        <v>42</v>
      </c>
      <c r="D62" s="128" t="s">
        <v>42</v>
      </c>
      <c r="E62" s="472">
        <f ca="1">'Charges to party by investment'!AL63</f>
        <v>0.69156798131059061</v>
      </c>
      <c r="F62" s="472">
        <f ca="1">'Charges to party by investment'!AM63</f>
        <v>1.1827208956874293</v>
      </c>
      <c r="H62" s="129">
        <f>'Charges to party by investment'!AN63</f>
        <v>1.0748414700000002</v>
      </c>
      <c r="I62" s="472">
        <f ca="1">'Charges to party by investment'!AO63</f>
        <v>2.2360762958084902E-2</v>
      </c>
      <c r="J62" s="473">
        <f ca="1">'Charges to party by investment'!AP63</f>
        <v>0.25867599423223231</v>
      </c>
      <c r="K62" s="473">
        <f ca="1">'Charges to party by investment'!AQ63</f>
        <v>4.5919395823932592E-3</v>
      </c>
      <c r="L62" s="472">
        <f ca="1">'Charges to party by investment'!AR63</f>
        <v>0.86328464148993278</v>
      </c>
      <c r="M62" s="264"/>
      <c r="N62" s="79">
        <f>'Charges to party by investment'!AS63</f>
        <v>38.988599999999998</v>
      </c>
      <c r="O62" s="79">
        <f t="shared" ca="1" si="59"/>
        <v>2.7599342814460375</v>
      </c>
      <c r="Q62" s="79">
        <v>3.1605549518476299</v>
      </c>
      <c r="R62" s="79"/>
      <c r="S62" s="8">
        <f ca="1">_xlfn.IFNA(OFFSET(Volumes!$C$1,MATCH($D62,Volumes!$A$2:$A$46,0),0),0)+_xlfn.IFNA(OFFSET(Volumes!$C$1,MATCH($B62,Volumes!$A$2:$A$46,0),0),0)</f>
        <v>235.63059999999999</v>
      </c>
      <c r="T62" s="80">
        <f t="shared" ca="1" si="60"/>
        <v>13.413177031538476</v>
      </c>
      <c r="U62" s="80">
        <f t="shared" ca="1" si="61"/>
        <v>11.712970562592623</v>
      </c>
      <c r="V62" s="58"/>
      <c r="W62" s="62">
        <f ca="1">$T62/10+$W$5+($H62*1000000*100)/($S62*1000*1000)</f>
        <v>9.297473003017279</v>
      </c>
      <c r="Y62" s="79">
        <f t="shared" ca="1" si="62"/>
        <v>9.297473003017279</v>
      </c>
      <c r="Z62" s="436">
        <f t="shared" ca="1" si="63"/>
        <v>9.297473003017279</v>
      </c>
      <c r="AA62" s="219">
        <f t="shared" ca="1" si="69"/>
        <v>-1.828675886871723E-2</v>
      </c>
      <c r="AC62" s="325">
        <f t="shared" ca="1" si="71"/>
        <v>2.3501107658536884</v>
      </c>
      <c r="AD62" s="219">
        <f t="shared" ca="1" si="64"/>
        <v>-1.828675886871723E-2</v>
      </c>
      <c r="AE62" s="116">
        <f ca="1">IF(AA62&gt;$AC$5,AC62,0)</f>
        <v>0</v>
      </c>
      <c r="AF62" s="79">
        <f t="shared" ca="1" si="65"/>
        <v>0</v>
      </c>
      <c r="AG62" s="371">
        <f ca="1">IF(AE62=0,F62+(F62*$AF$6/(SUMIF($AE$8:$AE$62,"=0",$F$8:$F$62))),AE62)</f>
        <v>1.243469418838447</v>
      </c>
      <c r="AH62" s="219">
        <f t="shared" ca="1" si="66"/>
        <v>-1.5513827573435442E-2</v>
      </c>
      <c r="AJ62" s="372">
        <f ca="1">IF(AH62&gt;=$AC$5,AC62,0)</f>
        <v>0</v>
      </c>
      <c r="AK62" s="79">
        <f t="shared" ca="1" si="67"/>
        <v>0</v>
      </c>
      <c r="AL62" s="371">
        <f ca="1">IF(AJ62=0,AG62+(F62*$AK$6/(SUMIF($AJ$8:$AJ$62,"=0",$F$8:$F$62))),AJ62)</f>
        <v>1.243469418838447</v>
      </c>
      <c r="AM62" s="219">
        <f t="shared" ca="1" si="68"/>
        <v>-1.5513827573435442E-2</v>
      </c>
      <c r="AQ62" s="219">
        <f ca="1">IF(AM62&lt;$AC$5,(AL62-F62)/F62,"")</f>
        <v>5.1363363387360257E-2</v>
      </c>
      <c r="AR62" s="347">
        <f t="shared" si="55"/>
        <v>3.5000000000000003E-2</v>
      </c>
      <c r="AS62" s="347"/>
      <c r="AX62" s="373"/>
      <c r="AY62" s="292"/>
      <c r="AZ62" s="292"/>
      <c r="BA62" s="292"/>
      <c r="BB62" s="292"/>
      <c r="BC62" s="375"/>
      <c r="BD62" s="79"/>
    </row>
    <row r="63" spans="1:68" ht="15" thickBot="1" x14ac:dyDescent="0.35">
      <c r="AG63" s="387">
        <f ca="1">(SUM(AG8:AG62))</f>
        <v>262.58777884579388</v>
      </c>
      <c r="AL63" s="387">
        <f ca="1">(SUM(AL8:AL62))</f>
        <v>262.58777884579388</v>
      </c>
      <c r="AY63" s="292"/>
      <c r="AZ63" s="292"/>
      <c r="BA63" s="292"/>
      <c r="BB63" s="292"/>
      <c r="BD63" s="79"/>
    </row>
    <row r="64" spans="1:68" ht="15" thickTop="1" x14ac:dyDescent="0.3">
      <c r="F64" s="503">
        <f ca="1">SUM(F8:F63)</f>
        <v>262.58777884579376</v>
      </c>
      <c r="G64" s="504"/>
      <c r="H64" s="504"/>
      <c r="I64" s="503">
        <f ca="1">SUM(I8:I63)</f>
        <v>5.0209695607686946</v>
      </c>
      <c r="AG64" s="388">
        <f ca="1">F64</f>
        <v>262.58777884579376</v>
      </c>
      <c r="AL64" s="388">
        <f ca="1">AG64</f>
        <v>262.58777884579376</v>
      </c>
      <c r="AY64" s="292"/>
      <c r="AZ64" s="292"/>
      <c r="BA64" s="292"/>
      <c r="BB64" s="292"/>
      <c r="BD64" s="79"/>
    </row>
    <row r="65" spans="5:56" x14ac:dyDescent="0.3">
      <c r="E65" s="67"/>
      <c r="F65" s="67"/>
      <c r="AG65" s="67" t="s">
        <v>475</v>
      </c>
      <c r="AL65" s="67" t="s">
        <v>475</v>
      </c>
      <c r="AY65" s="292"/>
      <c r="AZ65" s="292"/>
      <c r="BA65" s="292"/>
      <c r="BB65" s="292"/>
      <c r="BD65" s="79"/>
    </row>
    <row r="66" spans="5:56" x14ac:dyDescent="0.3">
      <c r="AG66" s="79"/>
      <c r="AY66" s="292"/>
      <c r="AZ66" s="292"/>
      <c r="BA66" s="292"/>
      <c r="BB66" s="292"/>
      <c r="BD66" s="79"/>
    </row>
    <row r="67" spans="5:56" x14ac:dyDescent="0.3">
      <c r="AY67" s="292"/>
      <c r="AZ67" s="292"/>
      <c r="BA67" s="292"/>
      <c r="BB67" s="292"/>
      <c r="BD67" s="79"/>
    </row>
    <row r="68" spans="5:56" x14ac:dyDescent="0.3">
      <c r="AY68" s="292"/>
      <c r="AZ68" s="292"/>
      <c r="BA68" s="292"/>
      <c r="BB68" s="292"/>
      <c r="BD68" s="79"/>
    </row>
    <row r="69" spans="5:56" x14ac:dyDescent="0.3">
      <c r="AY69" s="292"/>
      <c r="AZ69" s="292"/>
      <c r="BA69" s="292"/>
      <c r="BB69" s="292"/>
      <c r="BD69" s="79"/>
    </row>
    <row r="70" spans="5:56" x14ac:dyDescent="0.3">
      <c r="AY70" s="292"/>
      <c r="AZ70" s="292"/>
      <c r="BA70" s="292"/>
      <c r="BB70" s="292"/>
      <c r="BD70" s="79"/>
    </row>
    <row r="71" spans="5:56" x14ac:dyDescent="0.3">
      <c r="AY71" s="292"/>
      <c r="AZ71" s="292"/>
      <c r="BA71" s="292"/>
      <c r="BB71" s="292"/>
      <c r="BD71" s="79"/>
    </row>
    <row r="72" spans="5:56" x14ac:dyDescent="0.3">
      <c r="AY72" s="292"/>
      <c r="AZ72" s="292"/>
      <c r="BA72" s="292"/>
      <c r="BB72" s="292"/>
      <c r="BD72" s="79"/>
    </row>
    <row r="73" spans="5:56" x14ac:dyDescent="0.3">
      <c r="AY73" s="292"/>
      <c r="AZ73" s="292"/>
      <c r="BA73" s="292"/>
      <c r="BB73" s="292"/>
      <c r="BD73" s="79"/>
    </row>
    <row r="74" spans="5:56" x14ac:dyDescent="0.3">
      <c r="AY74" s="292"/>
      <c r="AZ74" s="292"/>
      <c r="BA74" s="292"/>
      <c r="BB74" s="292"/>
      <c r="BD74" s="79"/>
    </row>
    <row r="75" spans="5:56" x14ac:dyDescent="0.3">
      <c r="AY75" s="292"/>
      <c r="AZ75" s="292"/>
      <c r="BA75" s="292"/>
      <c r="BB75" s="292"/>
      <c r="BD75" s="79"/>
    </row>
    <row r="76" spans="5:56" x14ac:dyDescent="0.3">
      <c r="AY76" s="292"/>
      <c r="AZ76" s="292"/>
      <c r="BA76" s="292"/>
      <c r="BB76" s="292"/>
      <c r="BD76" s="79"/>
    </row>
    <row r="77" spans="5:56" x14ac:dyDescent="0.3">
      <c r="AY77" s="292"/>
      <c r="AZ77" s="292"/>
      <c r="BA77" s="292"/>
      <c r="BB77" s="292"/>
      <c r="BD77" s="79"/>
    </row>
    <row r="78" spans="5:56" x14ac:dyDescent="0.3">
      <c r="AY78" s="292"/>
      <c r="AZ78" s="292"/>
      <c r="BA78" s="292"/>
      <c r="BB78" s="292"/>
      <c r="BD78" s="79"/>
    </row>
    <row r="79" spans="5:56" x14ac:dyDescent="0.3">
      <c r="AY79" s="292"/>
      <c r="AZ79" s="292"/>
      <c r="BA79" s="292"/>
      <c r="BB79" s="292"/>
      <c r="BD79" s="79"/>
    </row>
    <row r="80" spans="5:56" x14ac:dyDescent="0.3">
      <c r="AY80" s="292"/>
      <c r="AZ80" s="292"/>
      <c r="BA80" s="292"/>
      <c r="BB80" s="292"/>
      <c r="BD80" s="79"/>
    </row>
    <row r="81" spans="51:69" x14ac:dyDescent="0.3">
      <c r="AY81" s="292"/>
      <c r="AZ81" s="292"/>
      <c r="BA81" s="292"/>
      <c r="BB81" s="292"/>
      <c r="BD81" s="79"/>
      <c r="BQ81" s="120"/>
    </row>
    <row r="82" spans="51:69" x14ac:dyDescent="0.3">
      <c r="AY82" s="292"/>
      <c r="AZ82" s="292"/>
      <c r="BA82" s="292"/>
      <c r="BB82" s="292"/>
      <c r="BD82" s="79"/>
    </row>
    <row r="83" spans="51:69" x14ac:dyDescent="0.3">
      <c r="AY83" s="292"/>
      <c r="AZ83" s="486"/>
      <c r="BA83" s="486"/>
      <c r="BB83" s="292"/>
      <c r="BD83" s="79"/>
    </row>
    <row r="84" spans="51:69" x14ac:dyDescent="0.3">
      <c r="AY84" s="292"/>
      <c r="AZ84" s="292"/>
      <c r="BA84" s="292"/>
      <c r="BB84" s="292"/>
      <c r="BD84" s="79"/>
    </row>
    <row r="85" spans="51:69" x14ac:dyDescent="0.3">
      <c r="AY85" s="292"/>
      <c r="AZ85" s="292"/>
      <c r="BA85" s="292"/>
      <c r="BB85" s="292"/>
      <c r="BD85" s="79"/>
    </row>
    <row r="86" spans="51:69" x14ac:dyDescent="0.3">
      <c r="AY86" s="292"/>
      <c r="AZ86" s="292"/>
      <c r="BA86" s="292"/>
      <c r="BB86" s="292"/>
      <c r="BD86" s="79"/>
    </row>
    <row r="87" spans="51:69" x14ac:dyDescent="0.3">
      <c r="AY87" s="292"/>
      <c r="AZ87" s="292"/>
      <c r="BA87" s="292"/>
      <c r="BB87" s="292"/>
      <c r="BD87" s="79"/>
    </row>
    <row r="88" spans="51:69" x14ac:dyDescent="0.3">
      <c r="AY88" s="292"/>
      <c r="AZ88" s="292"/>
      <c r="BA88" s="292"/>
      <c r="BB88" s="292"/>
      <c r="BD88" s="79"/>
    </row>
    <row r="89" spans="51:69" x14ac:dyDescent="0.3">
      <c r="AY89" s="292"/>
      <c r="AZ89" s="292"/>
      <c r="BA89" s="292"/>
      <c r="BB89" s="292"/>
      <c r="BD89" s="79"/>
    </row>
    <row r="90" spans="51:69" x14ac:dyDescent="0.3">
      <c r="AY90" s="292"/>
      <c r="AZ90" s="292"/>
      <c r="BA90" s="292"/>
      <c r="BB90" s="292"/>
      <c r="BD90" s="79"/>
    </row>
    <row r="91" spans="51:69" x14ac:dyDescent="0.3">
      <c r="AY91" s="292"/>
      <c r="AZ91" s="292"/>
      <c r="BA91" s="292"/>
      <c r="BB91" s="292"/>
      <c r="BD91" s="79"/>
    </row>
    <row r="92" spans="51:69" x14ac:dyDescent="0.3">
      <c r="AY92" s="292"/>
      <c r="AZ92" s="292"/>
      <c r="BA92" s="292"/>
      <c r="BB92" s="292"/>
      <c r="BD92" s="79"/>
    </row>
    <row r="93" spans="51:69" x14ac:dyDescent="0.3">
      <c r="AY93" s="292"/>
      <c r="AZ93" s="292"/>
      <c r="BA93" s="292"/>
      <c r="BB93" s="292"/>
      <c r="BD93" s="79"/>
    </row>
    <row r="94" spans="51:69" x14ac:dyDescent="0.3">
      <c r="AY94" s="292"/>
      <c r="AZ94" s="292"/>
      <c r="BA94" s="292"/>
      <c r="BB94" s="292"/>
      <c r="BD94" s="79"/>
    </row>
    <row r="95" spans="51:69" x14ac:dyDescent="0.3">
      <c r="AY95" s="292"/>
      <c r="AZ95" s="292"/>
      <c r="BA95" s="292"/>
      <c r="BB95" s="292"/>
      <c r="BD95" s="79"/>
    </row>
    <row r="96" spans="51:69" x14ac:dyDescent="0.3">
      <c r="AY96" s="17"/>
      <c r="AZ96" s="373"/>
      <c r="BA96" s="373"/>
      <c r="BB96" s="373"/>
      <c r="BD96" s="79"/>
    </row>
    <row r="97" spans="51:56" x14ac:dyDescent="0.3">
      <c r="AY97" s="17"/>
      <c r="AZ97" s="373"/>
      <c r="BA97" s="373"/>
      <c r="BB97" s="373"/>
      <c r="BD97" s="79"/>
    </row>
    <row r="98" spans="51:56" x14ac:dyDescent="0.3">
      <c r="AY98" s="17"/>
      <c r="AZ98" s="373"/>
      <c r="BA98" s="373"/>
      <c r="BB98" s="373"/>
      <c r="BD98" s="79"/>
    </row>
    <row r="99" spans="51:56" x14ac:dyDescent="0.3">
      <c r="AY99" s="17"/>
      <c r="AZ99" s="373"/>
      <c r="BA99" s="373"/>
      <c r="BB99" s="373"/>
      <c r="BD99" s="79"/>
    </row>
    <row r="100" spans="51:56" x14ac:dyDescent="0.3">
      <c r="AY100" s="17"/>
      <c r="AZ100" s="373"/>
      <c r="BA100" s="373"/>
      <c r="BB100" s="373"/>
      <c r="BD100" s="79"/>
    </row>
    <row r="101" spans="51:56" x14ac:dyDescent="0.3">
      <c r="AY101" s="17"/>
      <c r="AZ101" s="373"/>
      <c r="BA101" s="373"/>
      <c r="BB101" s="373"/>
      <c r="BD101" s="79"/>
    </row>
    <row r="102" spans="51:56" x14ac:dyDescent="0.3">
      <c r="AY102" s="17"/>
      <c r="AZ102" s="373"/>
      <c r="BA102" s="373"/>
      <c r="BB102" s="373"/>
      <c r="BD102" s="79"/>
    </row>
    <row r="103" spans="51:56" x14ac:dyDescent="0.3">
      <c r="AY103" s="17"/>
      <c r="AZ103" s="373"/>
      <c r="BA103" s="373"/>
      <c r="BB103" s="373"/>
      <c r="BD103" s="79"/>
    </row>
    <row r="104" spans="51:56" x14ac:dyDescent="0.3">
      <c r="AY104" s="17"/>
      <c r="AZ104" s="373"/>
      <c r="BA104" s="373"/>
      <c r="BB104" s="373"/>
      <c r="BD104" s="79"/>
    </row>
    <row r="105" spans="51:56" x14ac:dyDescent="0.3">
      <c r="AY105" s="17"/>
      <c r="AZ105" s="373"/>
      <c r="BA105" s="373"/>
      <c r="BB105" s="373"/>
      <c r="BD105" s="79"/>
    </row>
    <row r="106" spans="51:56" x14ac:dyDescent="0.3">
      <c r="AY106" s="17"/>
      <c r="AZ106" s="373"/>
      <c r="BA106" s="373"/>
      <c r="BB106" s="373"/>
      <c r="BD106" s="79"/>
    </row>
    <row r="107" spans="51:56" x14ac:dyDescent="0.3">
      <c r="AY107" s="17"/>
      <c r="AZ107" s="373"/>
      <c r="BA107" s="373"/>
      <c r="BB107" s="373"/>
      <c r="BD107" s="79"/>
    </row>
    <row r="108" spans="51:56" x14ac:dyDescent="0.3">
      <c r="AY108" s="17"/>
      <c r="AZ108" s="373"/>
      <c r="BA108" s="373"/>
      <c r="BB108" s="373"/>
      <c r="BD108" s="79"/>
    </row>
    <row r="109" spans="51:56" x14ac:dyDescent="0.3">
      <c r="AY109" s="17"/>
      <c r="AZ109" s="373"/>
      <c r="BA109" s="373"/>
      <c r="BB109" s="373"/>
      <c r="BD109" s="79"/>
    </row>
    <row r="110" spans="51:56" x14ac:dyDescent="0.3">
      <c r="AY110" s="17"/>
      <c r="AZ110" s="373"/>
      <c r="BA110" s="373"/>
      <c r="BB110" s="373"/>
      <c r="BD110" s="79"/>
    </row>
    <row r="111" spans="51:56" x14ac:dyDescent="0.3">
      <c r="AY111" s="17"/>
      <c r="AZ111" s="373"/>
      <c r="BA111" s="373"/>
      <c r="BB111" s="373"/>
      <c r="BD111" s="79"/>
    </row>
    <row r="112" spans="51:56" x14ac:dyDescent="0.3">
      <c r="AY112" s="17"/>
      <c r="AZ112" s="373"/>
      <c r="BA112" s="373"/>
      <c r="BB112" s="373"/>
      <c r="BD112" s="79"/>
    </row>
    <row r="113" spans="51:56" x14ac:dyDescent="0.3">
      <c r="AY113" s="17"/>
      <c r="AZ113" s="373"/>
      <c r="BA113" s="373"/>
      <c r="BB113" s="373"/>
      <c r="BD113" s="79"/>
    </row>
    <row r="114" spans="51:56" x14ac:dyDescent="0.3">
      <c r="AY114" s="17"/>
      <c r="AZ114" s="373"/>
      <c r="BA114" s="373"/>
      <c r="BB114" s="373"/>
      <c r="BD114" s="79"/>
    </row>
    <row r="115" spans="51:56" x14ac:dyDescent="0.3">
      <c r="AY115" s="17"/>
      <c r="AZ115" s="373"/>
      <c r="BA115" s="373"/>
      <c r="BB115" s="373"/>
      <c r="BD115" s="79"/>
    </row>
    <row r="116" spans="51:56" x14ac:dyDescent="0.3">
      <c r="AY116" s="17"/>
      <c r="AZ116" s="373"/>
      <c r="BA116" s="373"/>
      <c r="BB116" s="373"/>
      <c r="BD116" s="79"/>
    </row>
    <row r="117" spans="51:56" x14ac:dyDescent="0.3">
      <c r="AY117" s="373"/>
      <c r="AZ117" s="373"/>
      <c r="BA117" s="373"/>
      <c r="BB117" s="373"/>
    </row>
    <row r="118" spans="51:56" x14ac:dyDescent="0.3">
      <c r="AY118" s="17"/>
      <c r="AZ118" s="373"/>
      <c r="BA118" s="373"/>
      <c r="BB118" s="373"/>
    </row>
    <row r="119" spans="51:56" x14ac:dyDescent="0.3">
      <c r="AY119" s="17"/>
      <c r="AZ119" s="373"/>
      <c r="BA119" s="373"/>
      <c r="BB119" s="373"/>
    </row>
    <row r="120" spans="51:56" x14ac:dyDescent="0.3">
      <c r="AY120" s="17"/>
      <c r="AZ120" s="373"/>
      <c r="BA120" s="373"/>
      <c r="BB120" s="373"/>
    </row>
    <row r="121" spans="51:56" x14ac:dyDescent="0.3">
      <c r="AY121" s="17"/>
      <c r="AZ121" s="373"/>
      <c r="BA121" s="373"/>
      <c r="BB121" s="373"/>
    </row>
    <row r="122" spans="51:56" x14ac:dyDescent="0.3">
      <c r="AY122" s="17"/>
      <c r="AZ122" s="373"/>
      <c r="BA122" s="373"/>
      <c r="BB122" s="373"/>
    </row>
    <row r="123" spans="51:56" x14ac:dyDescent="0.3">
      <c r="AY123" s="17"/>
      <c r="AZ123" s="373"/>
      <c r="BA123" s="373"/>
      <c r="BB123" s="373"/>
    </row>
    <row r="124" spans="51:56" x14ac:dyDescent="0.3">
      <c r="AY124" s="17"/>
      <c r="AZ124" s="373"/>
      <c r="BA124" s="373"/>
      <c r="BB124" s="373"/>
    </row>
    <row r="125" spans="51:56" x14ac:dyDescent="0.3">
      <c r="AY125" s="17"/>
      <c r="AZ125" s="373"/>
      <c r="BA125" s="373"/>
      <c r="BB125" s="373"/>
    </row>
    <row r="126" spans="51:56" x14ac:dyDescent="0.3">
      <c r="AY126" s="17"/>
      <c r="AZ126" s="373"/>
      <c r="BA126" s="373"/>
      <c r="BB126" s="373"/>
    </row>
    <row r="127" spans="51:56" x14ac:dyDescent="0.3">
      <c r="AY127" s="17"/>
      <c r="AZ127" s="373"/>
      <c r="BA127" s="373"/>
      <c r="BB127" s="373"/>
    </row>
    <row r="128" spans="51:56" x14ac:dyDescent="0.3">
      <c r="AY128" s="17"/>
      <c r="AZ128" s="373"/>
      <c r="BA128" s="373"/>
      <c r="BB128" s="373"/>
    </row>
    <row r="129" spans="51:54" x14ac:dyDescent="0.3">
      <c r="AY129" s="17"/>
      <c r="AZ129" s="373"/>
      <c r="BA129" s="373"/>
      <c r="BB129" s="373"/>
    </row>
  </sheetData>
  <mergeCells count="7">
    <mergeCell ref="BL6:BP6"/>
    <mergeCell ref="BF6:BJ6"/>
    <mergeCell ref="AE5:AH5"/>
    <mergeCell ref="AJ5:AM5"/>
    <mergeCell ref="AY5:AZ5"/>
    <mergeCell ref="AT6:AW6"/>
    <mergeCell ref="AZ6:BD6"/>
  </mergeCell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3"/>
  <sheetViews>
    <sheetView topLeftCell="B1" zoomScaleNormal="100" workbookViewId="0">
      <pane ySplit="3396" topLeftCell="A3" activePane="bottomLeft"/>
      <selection activeCell="AW117" sqref="AW117"/>
      <selection pane="bottomLeft" activeCell="B3" sqref="B3"/>
    </sheetView>
  </sheetViews>
  <sheetFormatPr defaultColWidth="9.109375" defaultRowHeight="14.4" x14ac:dyDescent="0.3"/>
  <cols>
    <col min="1" max="1" width="20.33203125" style="94" customWidth="1"/>
    <col min="2" max="2" width="20.33203125" style="116" customWidth="1"/>
    <col min="3" max="3" width="11.33203125" style="116" customWidth="1"/>
    <col min="4" max="4" width="15.5546875" style="116" customWidth="1"/>
    <col min="5" max="5" width="12.33203125" style="116" customWidth="1"/>
    <col min="6" max="6" width="14.33203125" style="116" customWidth="1"/>
    <col min="7" max="7" width="9.109375" style="116"/>
    <col min="8" max="8" width="11.6640625" style="116" customWidth="1"/>
    <col min="9" max="9" width="11.44140625" style="116" customWidth="1"/>
    <col min="10" max="10" width="9.109375" style="116"/>
    <col min="11" max="11" width="13.88671875" style="116" customWidth="1"/>
    <col min="12" max="14" width="9.109375" style="116"/>
    <col min="15" max="15" width="11.109375" style="116" customWidth="1"/>
    <col min="16" max="16" width="11.44140625" style="116" customWidth="1"/>
    <col min="17" max="17" width="12.5546875" style="116" customWidth="1"/>
    <col min="18" max="16384" width="9.109375" style="116"/>
  </cols>
  <sheetData>
    <row r="1" spans="1:21" x14ac:dyDescent="0.3">
      <c r="B1" s="116" t="s">
        <v>781</v>
      </c>
    </row>
    <row r="2" spans="1:21" x14ac:dyDescent="0.3">
      <c r="F2" s="67"/>
    </row>
    <row r="3" spans="1:21" s="391" customFormat="1" ht="63" customHeight="1" x14ac:dyDescent="0.3">
      <c r="A3" s="390" t="s">
        <v>614</v>
      </c>
      <c r="C3" s="391" t="s">
        <v>612</v>
      </c>
      <c r="D3" s="200" t="s">
        <v>725</v>
      </c>
      <c r="E3" s="200" t="s">
        <v>726</v>
      </c>
      <c r="F3" s="200" t="str">
        <f>"Refined Proposal (capped at "&amp;'Residential Cap'!AC5*100&amp;"%)"</f>
        <v>Refined Proposal (capped at 3.5%)</v>
      </c>
      <c r="G3" s="391" t="s">
        <v>623</v>
      </c>
      <c r="I3" s="392" t="s">
        <v>727</v>
      </c>
      <c r="J3" s="392" t="s">
        <v>728</v>
      </c>
      <c r="K3" s="393" t="s">
        <v>729</v>
      </c>
      <c r="M3" s="392" t="s">
        <v>612</v>
      </c>
      <c r="N3" s="394" t="str">
        <f>K3</f>
        <v>ACOT + Status quo ($/MWh)</v>
      </c>
      <c r="O3" s="200" t="str">
        <f>F3</f>
        <v>Refined Proposal (capped at 3.5%)</v>
      </c>
      <c r="P3" s="392" t="s">
        <v>730</v>
      </c>
      <c r="Q3" s="392" t="s">
        <v>731</v>
      </c>
    </row>
    <row r="4" spans="1:21" ht="15" thickBot="1" x14ac:dyDescent="0.35">
      <c r="B4" s="116" t="s">
        <v>62</v>
      </c>
      <c r="C4" s="116" t="s">
        <v>540</v>
      </c>
      <c r="D4" s="116" t="s">
        <v>540</v>
      </c>
      <c r="E4" s="116" t="s">
        <v>540</v>
      </c>
      <c r="F4" s="116" t="s">
        <v>540</v>
      </c>
      <c r="H4" s="395">
        <f ca="1">SUM(H5:H33)</f>
        <v>33176.626735349993</v>
      </c>
      <c r="I4" s="395">
        <f>SUM(I5:I33)</f>
        <v>59.189268873304144</v>
      </c>
      <c r="J4" s="395">
        <f ca="1">I4*1000000/(H4*1000)</f>
        <v>1.7840653103601232</v>
      </c>
      <c r="M4" s="340" t="s">
        <v>542</v>
      </c>
      <c r="N4" s="340"/>
      <c r="O4" s="340" t="s">
        <v>542</v>
      </c>
    </row>
    <row r="5" spans="1:21" ht="15" thickTop="1" x14ac:dyDescent="0.3">
      <c r="A5" s="94" t="s">
        <v>0</v>
      </c>
      <c r="B5" s="116" t="s">
        <v>0</v>
      </c>
      <c r="C5" s="79">
        <f ca="1">OFFSET('Other Options'!$B$4,MATCH(ACOT_trans!$B5,'Other Options'!$A$5:$A$58,0),0)/ACOT_trans!G5*1000</f>
        <v>13.25388193840117</v>
      </c>
      <c r="D5" s="79">
        <f ca="1">OFFSET('Other Options'!$H$4,MATCH(ACOT_trans!$B5,'Other Options'!$E$5:$E$55,0),0)</f>
        <v>12.503869675834416</v>
      </c>
      <c r="E5" s="79">
        <f ca="1">'Residential Cap'!U8</f>
        <v>11.651159964182169</v>
      </c>
      <c r="F5" s="79">
        <f ca="1">'Residential Cap'!BH8</f>
        <v>11.947824798407179</v>
      </c>
      <c r="G5" s="679">
        <f ca="1">H5/1.05</f>
        <v>793.7586</v>
      </c>
      <c r="H5" s="79">
        <f ca="1">OFFSET(Volumes!$C$1,MATCH($B5,Volumes!$A$2:$A$46,0),0)*'Residential Cap'!$S$5</f>
        <v>833.44653000000005</v>
      </c>
      <c r="I5" s="79">
        <f>ACOT!B4</f>
        <v>0</v>
      </c>
      <c r="J5" s="79">
        <f ca="1">I5*1000000/(H5*1000)</f>
        <v>0</v>
      </c>
      <c r="K5" s="79">
        <f t="shared" ref="K5:K33" ca="1" si="0">J5+C5</f>
        <v>13.25388193840117</v>
      </c>
      <c r="M5" s="79">
        <f ca="1">C5*Volumes!$M2/1000</f>
        <v>110.52982065356088</v>
      </c>
      <c r="N5" s="79">
        <f ca="1">K5*Volumes!$M2/1000</f>
        <v>110.52982065356088</v>
      </c>
      <c r="O5" s="79">
        <f ca="1">(F5+('Residential Cap'!Z8-'Residential Cap'!Y8)*10)*Volumes!$M2/1000</f>
        <v>35.067377076316532</v>
      </c>
      <c r="P5" s="79">
        <f ca="1">O5-M5</f>
        <v>-75.462443577244343</v>
      </c>
      <c r="Q5" s="79">
        <f ca="1">O5-N5</f>
        <v>-75.462443577244343</v>
      </c>
      <c r="R5" s="80"/>
      <c r="S5" s="80"/>
      <c r="T5" s="80"/>
      <c r="U5" s="80"/>
    </row>
    <row r="6" spans="1:21" x14ac:dyDescent="0.3">
      <c r="A6" s="94" t="s">
        <v>1</v>
      </c>
      <c r="B6" s="116" t="s">
        <v>1</v>
      </c>
      <c r="C6" s="79">
        <f ca="1">OFFSET('Other Options'!$B$4,MATCH(ACOT_trans!$B6,'Other Options'!$A$5:$A$58,0),0)/ACOT_trans!G6*1000</f>
        <v>15.962835547725652</v>
      </c>
      <c r="D6" s="79">
        <f ca="1">OFFSET('Other Options'!$H$4,MATCH(ACOT_trans!$B6,'Other Options'!$E$5:$E$55,0),0)</f>
        <v>14.297802800940541</v>
      </c>
      <c r="E6" s="79">
        <f ca="1">'Residential Cap'!U9</f>
        <v>13.125726588244461</v>
      </c>
      <c r="F6" s="79">
        <f ca="1">'Residential Cap'!BH9</f>
        <v>13.474962809808597</v>
      </c>
      <c r="G6" s="679">
        <f t="shared" ref="G6:G32" ca="1" si="1">H6/1.05</f>
        <v>1350.32</v>
      </c>
      <c r="H6" s="79">
        <f ca="1">OFFSET(Volumes!$C$1,MATCH($B6,Volumes!$A$2:$A$46,0),0)*'Residential Cap'!$S$5</f>
        <v>1417.836</v>
      </c>
      <c r="I6" s="79">
        <f>ACOT!B5</f>
        <v>7.1595000000000004</v>
      </c>
      <c r="J6" s="79">
        <f t="shared" ref="J6:J33" ca="1" si="2">I6*1000000/(H6*1000)</f>
        <v>5.0495967093514338</v>
      </c>
      <c r="K6" s="79">
        <f t="shared" ca="1" si="0"/>
        <v>21.012432257077087</v>
      </c>
      <c r="M6" s="79">
        <f ca="1">C6*Volumes!$M3/1000</f>
        <v>131.42420665195013</v>
      </c>
      <c r="N6" s="79">
        <f ca="1">K6*Volumes!$M3/1000</f>
        <v>172.99822647159078</v>
      </c>
      <c r="O6" s="79">
        <f ca="1">(F6+('Residential Cap'!Z9-'Residential Cap'!Y9)*10)*Volumes!$M3/1000</f>
        <v>41.72060250251802</v>
      </c>
      <c r="P6" s="79">
        <f t="shared" ref="P6:P33" ca="1" si="3">O6-M6</f>
        <v>-89.70360414943211</v>
      </c>
      <c r="Q6" s="79">
        <f t="shared" ref="Q6:Q33" ca="1" si="4">O6-N6</f>
        <v>-131.27762396907275</v>
      </c>
      <c r="R6" s="80"/>
      <c r="S6" s="80"/>
      <c r="T6" s="80"/>
      <c r="U6" s="80"/>
    </row>
    <row r="7" spans="1:21" x14ac:dyDescent="0.3">
      <c r="A7" s="94" t="s">
        <v>2</v>
      </c>
      <c r="B7" s="116" t="s">
        <v>2</v>
      </c>
      <c r="C7" s="79">
        <f ca="1">OFFSET('Other Options'!$B$4,MATCH(ACOT_trans!$B7,'Other Options'!$A$5:$A$58,0),0)/ACOT_trans!G7*1000</f>
        <v>11.921712117720167</v>
      </c>
      <c r="D7" s="79">
        <f ca="1">OFFSET('Other Options'!$H$4,MATCH(ACOT_trans!$B7,'Other Options'!$E$5:$E$55,0),0)</f>
        <v>16.752481616071904</v>
      </c>
      <c r="E7" s="79">
        <f ca="1">'Residential Cap'!U10</f>
        <v>12.294180296067365</v>
      </c>
      <c r="F7" s="79">
        <f ca="1">'Residential Cap'!BH10</f>
        <v>12.591052717260537</v>
      </c>
      <c r="G7" s="680">
        <v>107.1</v>
      </c>
      <c r="H7" s="79">
        <f ca="1">OFFSET(Volumes!$C$1,MATCH($B7,Volumes!$A$2:$A$46,0),0)*'Residential Cap'!$S$5</f>
        <v>66.786929999999998</v>
      </c>
      <c r="I7" s="79">
        <f>ACOT!B6</f>
        <v>0</v>
      </c>
      <c r="J7" s="79">
        <f t="shared" ca="1" si="2"/>
        <v>0</v>
      </c>
      <c r="K7" s="79">
        <f t="shared" ca="1" si="0"/>
        <v>11.921712117720167</v>
      </c>
      <c r="M7" s="79">
        <f ca="1">C7*Volumes!$M4/1000</f>
        <v>65.34361941995131</v>
      </c>
      <c r="N7" s="79">
        <f ca="1">K7*Volumes!$M4/1000</f>
        <v>65.34361941995131</v>
      </c>
      <c r="O7" s="79">
        <f ca="1">(F7+('Residential Cap'!Z10-'Residential Cap'!Y10)*10)*Volumes!$M4/1000</f>
        <v>1.1164836808597831</v>
      </c>
      <c r="P7" s="79">
        <f t="shared" ca="1" si="3"/>
        <v>-64.227135739091523</v>
      </c>
      <c r="Q7" s="79">
        <f t="shared" ca="1" si="4"/>
        <v>-64.227135739091523</v>
      </c>
      <c r="R7" s="80"/>
      <c r="S7" s="80"/>
      <c r="T7" s="80"/>
      <c r="U7" s="80"/>
    </row>
    <row r="8" spans="1:21" x14ac:dyDescent="0.3">
      <c r="A8" s="94" t="s">
        <v>68</v>
      </c>
      <c r="B8" s="116" t="s">
        <v>68</v>
      </c>
      <c r="C8" s="79">
        <f ca="1">OFFSET('Other Options'!$B$4,MATCH(ACOT_trans!$B8,'Other Options'!$A$5:$A$58,0),0)/ACOT_trans!G8*1000</f>
        <v>18.096082146493622</v>
      </c>
      <c r="D8" s="79">
        <f ca="1">OFFSET('Other Options'!$H$4,MATCH(ACOT_trans!$B8,'Other Options'!$E$5:$E$55,0),0)</f>
        <v>13.985627090062998</v>
      </c>
      <c r="E8" s="79">
        <f ca="1">'Residential Cap'!U11</f>
        <v>13.006913733511761</v>
      </c>
      <c r="F8" s="79">
        <f ca="1">'Residential Cap'!BH11</f>
        <v>13.274610064784275</v>
      </c>
      <c r="G8" s="679">
        <f t="shared" ca="1" si="1"/>
        <v>113.2308</v>
      </c>
      <c r="H8" s="79">
        <f ca="1">OFFSET(Volumes!$C$1,MATCH($B8,Volumes!$A$2:$A$46,0),0)*'Residential Cap'!$S$5</f>
        <v>118.89234</v>
      </c>
      <c r="I8" s="79">
        <f>ACOT!B7</f>
        <v>0</v>
      </c>
      <c r="J8" s="79">
        <f t="shared" ca="1" si="2"/>
        <v>0</v>
      </c>
      <c r="K8" s="79">
        <f t="shared" ca="1" si="0"/>
        <v>18.096082146493622</v>
      </c>
      <c r="M8" s="79">
        <f ca="1">C8*Volumes!$M5/1000</f>
        <v>125.8801475882604</v>
      </c>
      <c r="N8" s="79">
        <f ca="1">K8*Volumes!$M5/1000</f>
        <v>125.8801475882604</v>
      </c>
      <c r="O8" s="79">
        <f ca="1">(F8+('Residential Cap'!Z11-'Residential Cap'!Y11)*10)*Volumes!$M5/1000</f>
        <v>-3.2286360151823859</v>
      </c>
      <c r="P8" s="79">
        <f t="shared" ca="1" si="3"/>
        <v>-129.10878360344279</v>
      </c>
      <c r="Q8" s="79">
        <f t="shared" ca="1" si="4"/>
        <v>-129.10878360344279</v>
      </c>
      <c r="R8" s="80"/>
      <c r="S8" s="80"/>
      <c r="T8" s="80"/>
      <c r="U8" s="80"/>
    </row>
    <row r="9" spans="1:21" x14ac:dyDescent="0.3">
      <c r="A9" s="94" t="s">
        <v>5</v>
      </c>
      <c r="B9" s="116" t="s">
        <v>5</v>
      </c>
      <c r="C9" s="79">
        <f ca="1">OFFSET('Other Options'!$B$4,MATCH(ACOT_trans!$B9,'Other Options'!$A$5:$A$58,0),0)/ACOT_trans!G9*1000</f>
        <v>17.96692160816341</v>
      </c>
      <c r="D9" s="79">
        <f ca="1">OFFSET('Other Options'!$H$4,MATCH(ACOT_trans!$B9,'Other Options'!$E$5:$E$55,0),0)</f>
        <v>22.035015877098701</v>
      </c>
      <c r="E9" s="79">
        <f ca="1">'Residential Cap'!U12</f>
        <v>18.898390664087447</v>
      </c>
      <c r="F9" s="79">
        <f ca="1">'Residential Cap'!BH12</f>
        <v>19.231928575729096</v>
      </c>
      <c r="G9" s="679">
        <f t="shared" ca="1" si="1"/>
        <v>566.40549999999996</v>
      </c>
      <c r="H9" s="79">
        <f ca="1">OFFSET(Volumes!$C$1,MATCH($B9,Volumes!$A$2:$A$46,0),0)*'Residential Cap'!$S$5</f>
        <v>594.725775</v>
      </c>
      <c r="I9" s="79">
        <f>ACOT!B8</f>
        <v>0</v>
      </c>
      <c r="J9" s="79">
        <f t="shared" ca="1" si="2"/>
        <v>0</v>
      </c>
      <c r="K9" s="79">
        <f t="shared" ca="1" si="0"/>
        <v>17.96692160816341</v>
      </c>
      <c r="M9" s="79">
        <f ca="1">C9*Volumes!$M6/1000</f>
        <v>143.69764232993012</v>
      </c>
      <c r="N9" s="79">
        <f ca="1">K9*Volumes!$M6/1000</f>
        <v>143.69764232993012</v>
      </c>
      <c r="O9" s="79">
        <f ca="1">(F9+('Residential Cap'!Z12-'Residential Cap'!Y12)*10)*Volumes!$M6/1000</f>
        <v>80.228642787580256</v>
      </c>
      <c r="P9" s="79">
        <f t="shared" ca="1" si="3"/>
        <v>-63.468999542349863</v>
      </c>
      <c r="Q9" s="79">
        <f t="shared" ca="1" si="4"/>
        <v>-63.468999542349863</v>
      </c>
      <c r="R9" s="80"/>
      <c r="S9" s="80"/>
      <c r="T9" s="80"/>
      <c r="U9" s="80"/>
    </row>
    <row r="10" spans="1:21" x14ac:dyDescent="0.3">
      <c r="A10" s="94" t="s">
        <v>7</v>
      </c>
      <c r="B10" s="116" t="s">
        <v>7</v>
      </c>
      <c r="C10" s="79">
        <f ca="1">OFFSET('Other Options'!$B$4,MATCH(ACOT_trans!$B10,'Other Options'!$A$5:$A$58,0),0)/ACOT_trans!G10*1000</f>
        <v>17.573854476978823</v>
      </c>
      <c r="D10" s="79">
        <f ca="1">OFFSET('Other Options'!$H$4,MATCH(ACOT_trans!$B10,'Other Options'!$E$5:$E$55,0),0)</f>
        <v>13.760954731542073</v>
      </c>
      <c r="E10" s="79">
        <f ca="1">'Residential Cap'!U13</f>
        <v>12.6275000241888</v>
      </c>
      <c r="F10" s="79">
        <f ca="1">'Residential Cap'!BH13</f>
        <v>12.912667284395855</v>
      </c>
      <c r="G10" s="679">
        <f t="shared" ca="1" si="1"/>
        <v>302.40199999999999</v>
      </c>
      <c r="H10" s="79">
        <f ca="1">OFFSET(Volumes!$C$1,MATCH($B10,Volumes!$A$2:$A$46,0),0)*'Residential Cap'!$S$5</f>
        <v>317.52210000000002</v>
      </c>
      <c r="I10" s="79">
        <f>ACOT!B9</f>
        <v>2.64550537</v>
      </c>
      <c r="J10" s="79">
        <f t="shared" ca="1" si="2"/>
        <v>8.3317204377270109</v>
      </c>
      <c r="K10" s="79">
        <f t="shared" ca="1" si="0"/>
        <v>25.905574914705834</v>
      </c>
      <c r="M10" s="79">
        <f ca="1">C10*Volumes!$M7/1000</f>
        <v>111.05164677965597</v>
      </c>
      <c r="N10" s="79">
        <f ca="1">K10*Volumes!$M7/1000</f>
        <v>163.70095466651424</v>
      </c>
      <c r="O10" s="79">
        <f ca="1">(F10+('Residential Cap'!Z13-'Residential Cap'!Y13)*10)*Volumes!$M7/1000</f>
        <v>9.5418790080798708</v>
      </c>
      <c r="P10" s="79">
        <f t="shared" ca="1" si="3"/>
        <v>-101.50976777157609</v>
      </c>
      <c r="Q10" s="79">
        <f t="shared" ca="1" si="4"/>
        <v>-154.15907565843438</v>
      </c>
      <c r="R10" s="80"/>
      <c r="S10" s="80"/>
      <c r="T10" s="80"/>
      <c r="U10" s="80"/>
    </row>
    <row r="11" spans="1:21" x14ac:dyDescent="0.3">
      <c r="A11" s="94" t="s">
        <v>8</v>
      </c>
      <c r="B11" s="116" t="s">
        <v>8</v>
      </c>
      <c r="C11" s="79">
        <f ca="1">OFFSET('Other Options'!$B$4,MATCH(ACOT_trans!$B11,'Other Options'!$A$5:$A$58,0),0)/ACOT_trans!G11*1000</f>
        <v>14.676760590703418</v>
      </c>
      <c r="D11" s="79">
        <f ca="1">OFFSET('Other Options'!$H$4,MATCH(ACOT_trans!$B11,'Other Options'!$E$5:$E$55,0),0)</f>
        <v>16.894646429145627</v>
      </c>
      <c r="E11" s="79">
        <f ca="1">'Residential Cap'!U14</f>
        <v>15.551237802039461</v>
      </c>
      <c r="F11" s="79">
        <f ca="1">'Residential Cap'!BH14</f>
        <v>15.882668056266859</v>
      </c>
      <c r="G11" s="679">
        <f t="shared" ca="1" si="1"/>
        <v>433.24099999999999</v>
      </c>
      <c r="H11" s="79">
        <f ca="1">OFFSET(Volumes!$C$1,MATCH($B11,Volumes!$A$2:$A$46,0),0)*'Residential Cap'!$S$5</f>
        <v>454.90305000000001</v>
      </c>
      <c r="I11" s="79">
        <f>ACOT!B10</f>
        <v>1.3814254999999998</v>
      </c>
      <c r="J11" s="79">
        <f t="shared" ca="1" si="2"/>
        <v>3.0367470607198608</v>
      </c>
      <c r="K11" s="79">
        <f t="shared" ca="1" si="0"/>
        <v>17.713507651423278</v>
      </c>
      <c r="M11" s="79">
        <f ca="1">C11*Volumes!$M8/1000</f>
        <v>94.890834387922069</v>
      </c>
      <c r="N11" s="79">
        <f ca="1">K11*Volumes!$M8/1000</f>
        <v>114.52455809935904</v>
      </c>
      <c r="O11" s="79">
        <f ca="1">(F11+('Residential Cap'!Z14-'Residential Cap'!Y14)*10)*Volumes!$M8/1000</f>
        <v>48.217611998264772</v>
      </c>
      <c r="P11" s="79">
        <f t="shared" ca="1" si="3"/>
        <v>-46.673222389657298</v>
      </c>
      <c r="Q11" s="79">
        <f t="shared" ca="1" si="4"/>
        <v>-66.306946101094269</v>
      </c>
      <c r="R11" s="80"/>
      <c r="S11" s="80"/>
      <c r="T11" s="80"/>
      <c r="U11" s="80"/>
    </row>
    <row r="12" spans="1:21" x14ac:dyDescent="0.3">
      <c r="A12" s="94" t="s">
        <v>9</v>
      </c>
      <c r="B12" s="116" t="s">
        <v>9</v>
      </c>
      <c r="C12" s="79">
        <f ca="1">OFFSET('Other Options'!$B$4,MATCH(ACOT_trans!$B12,'Other Options'!$A$5:$A$58,0),0)/ACOT_trans!G12*1000</f>
        <v>5.7932009059769261</v>
      </c>
      <c r="D12" s="79">
        <f ca="1">OFFSET('Other Options'!$H$4,MATCH(ACOT_trans!$B12,'Other Options'!$E$5:$E$55,0),0)</f>
        <v>19.203714789533379</v>
      </c>
      <c r="E12" s="79">
        <f ca="1">'Residential Cap'!U15</f>
        <v>14.660554412870825</v>
      </c>
      <c r="F12" s="79">
        <f ca="1">'Residential Cap'!BH15</f>
        <v>15.052674399668803</v>
      </c>
      <c r="G12" s="679">
        <f t="shared" ca="1" si="1"/>
        <v>627.16189999999995</v>
      </c>
      <c r="H12" s="79">
        <f ca="1">OFFSET(Volumes!$C$1,MATCH($B12,Volumes!$A$2:$A$46,0),0)*'Residential Cap'!$S$5</f>
        <v>658.51999499999999</v>
      </c>
      <c r="I12" s="79">
        <f>ACOT!B11</f>
        <v>1.0925</v>
      </c>
      <c r="J12" s="79">
        <f t="shared" ca="1" si="2"/>
        <v>1.6590232768862243</v>
      </c>
      <c r="K12" s="79">
        <f t="shared" ca="1" si="0"/>
        <v>7.4522241828631506</v>
      </c>
      <c r="M12" s="79">
        <f ca="1">C12*Volumes!$M9/1000</f>
        <v>50.543882012367831</v>
      </c>
      <c r="N12" s="79">
        <f ca="1">K12*Volumes!$M9/1000</f>
        <v>65.018345805984296</v>
      </c>
      <c r="O12" s="79">
        <f ca="1">(F12+('Residential Cap'!Z15-'Residential Cap'!Y15)*10)*Volumes!$M9/1000</f>
        <v>80.577181880027211</v>
      </c>
      <c r="P12" s="79">
        <f t="shared" ca="1" si="3"/>
        <v>30.03329986765938</v>
      </c>
      <c r="Q12" s="79">
        <f t="shared" ca="1" si="4"/>
        <v>15.558836074042915</v>
      </c>
      <c r="R12" s="80"/>
      <c r="S12" s="80"/>
      <c r="T12" s="80"/>
      <c r="U12" s="80"/>
    </row>
    <row r="13" spans="1:21" x14ac:dyDescent="0.3">
      <c r="A13" s="94" t="s">
        <v>69</v>
      </c>
      <c r="B13" s="116" t="s">
        <v>69</v>
      </c>
      <c r="C13" s="79">
        <f ca="1">OFFSET('Other Options'!$B$4,MATCH(ACOT_trans!$B13,'Other Options'!$A$5:$A$58,0),0)/ACOT_trans!G13*1000</f>
        <v>21.451836124558053</v>
      </c>
      <c r="D13" s="79">
        <f ca="1">OFFSET('Other Options'!$H$4,MATCH(ACOT_trans!$B13,'Other Options'!$E$5:$E$55,0),0)</f>
        <v>13.920780720118639</v>
      </c>
      <c r="E13" s="79">
        <f ca="1">'Residential Cap'!U16</f>
        <v>13.945690551817266</v>
      </c>
      <c r="F13" s="79">
        <f ca="1">'Residential Cap'!BH16</f>
        <v>14.298454285228313</v>
      </c>
      <c r="G13" s="679">
        <f t="shared" ca="1" si="1"/>
        <v>257.96260000000001</v>
      </c>
      <c r="H13" s="79">
        <f ca="1">OFFSET(Volumes!$C$1,MATCH($B13,Volumes!$A$2:$A$46,0),0)*'Residential Cap'!$S$5</f>
        <v>270.86073000000005</v>
      </c>
      <c r="I13" s="79">
        <f>ACOT!B12</f>
        <v>0</v>
      </c>
      <c r="J13" s="79">
        <f t="shared" ca="1" si="2"/>
        <v>0</v>
      </c>
      <c r="K13" s="79">
        <f t="shared" ca="1" si="0"/>
        <v>21.451836124558053</v>
      </c>
      <c r="M13" s="79">
        <f ca="1">C13*Volumes!$M10/1000</f>
        <v>181.90148797327376</v>
      </c>
      <c r="N13" s="79">
        <f ca="1">K13*Volumes!$M10/1000</f>
        <v>181.90148797327376</v>
      </c>
      <c r="O13" s="79">
        <f ca="1">(F13+('Residential Cap'!Z16-'Residential Cap'!Y16)*10)*Volumes!$M10/1000</f>
        <v>57.269244001885959</v>
      </c>
      <c r="P13" s="79">
        <f t="shared" ca="1" si="3"/>
        <v>-124.63224397138779</v>
      </c>
      <c r="Q13" s="79">
        <f t="shared" ca="1" si="4"/>
        <v>-124.63224397138779</v>
      </c>
      <c r="R13" s="80"/>
      <c r="S13" s="80"/>
      <c r="T13" s="80"/>
      <c r="U13" s="80"/>
    </row>
    <row r="14" spans="1:21" x14ac:dyDescent="0.3">
      <c r="A14" s="94" t="s">
        <v>11</v>
      </c>
      <c r="B14" s="116" t="s">
        <v>11</v>
      </c>
      <c r="C14" s="79">
        <f ca="1">OFFSET('Other Options'!$B$4,MATCH(ACOT_trans!$B14,'Other Options'!$A$5:$A$58,0),0)/ACOT_trans!G14*1000</f>
        <v>6.5134486019781992</v>
      </c>
      <c r="D14" s="79">
        <f ca="1">OFFSET('Other Options'!$H$4,MATCH(ACOT_trans!$B14,'Other Options'!$E$5:$E$55,0),0)</f>
        <v>13.750816937495191</v>
      </c>
      <c r="E14" s="79">
        <f ca="1">'Residential Cap'!U17</f>
        <v>12.572662423229811</v>
      </c>
      <c r="F14" s="79">
        <f ca="1">'Residential Cap'!BH17</f>
        <v>12.855088101656936</v>
      </c>
      <c r="G14" s="679">
        <f t="shared" ca="1" si="1"/>
        <v>498.60500000000002</v>
      </c>
      <c r="H14" s="79">
        <f ca="1">OFFSET(Volumes!$C$1,MATCH($B14,Volumes!$A$2:$A$46,0),0)*'Residential Cap'!$S$5</f>
        <v>523.53525000000002</v>
      </c>
      <c r="I14" s="79">
        <f>ACOT!B13</f>
        <v>3.3949570199999997</v>
      </c>
      <c r="J14" s="79">
        <f t="shared" ca="1" si="2"/>
        <v>6.4846770489666161</v>
      </c>
      <c r="K14" s="79">
        <f t="shared" ca="1" si="0"/>
        <v>12.998125650944814</v>
      </c>
      <c r="M14" s="79">
        <f ca="1">C14*Volumes!$M11/1000</f>
        <v>41.175807489181508</v>
      </c>
      <c r="N14" s="79">
        <f ca="1">K14*Volumes!$M11/1000</f>
        <v>82.169731002551799</v>
      </c>
      <c r="O14" s="79">
        <f ca="1">(F14+('Residential Cap'!Z17-'Residential Cap'!Y17)*10)*Volumes!$M11/1000</f>
        <v>22.500685630349263</v>
      </c>
      <c r="P14" s="79">
        <f t="shared" ca="1" si="3"/>
        <v>-18.675121858832245</v>
      </c>
      <c r="Q14" s="79">
        <f t="shared" ca="1" si="4"/>
        <v>-59.669045372202532</v>
      </c>
      <c r="R14" s="80"/>
      <c r="S14" s="80"/>
      <c r="T14" s="80"/>
      <c r="U14" s="80"/>
    </row>
    <row r="15" spans="1:21" x14ac:dyDescent="0.3">
      <c r="A15" s="94" t="s">
        <v>70</v>
      </c>
      <c r="B15" s="116" t="s">
        <v>70</v>
      </c>
      <c r="C15" s="79">
        <f ca="1">OFFSET('Other Options'!$B$4,MATCH(ACOT_trans!$B15,'Other Options'!$A$5:$A$58,0),0)/ACOT_trans!G15*1000</f>
        <v>18.542891445609651</v>
      </c>
      <c r="D15" s="79">
        <f ca="1">OFFSET('Other Options'!$H$4,MATCH(ACOT_trans!$B15,'Other Options'!$E$5:$E$55,0),0)</f>
        <v>14.935131314303556</v>
      </c>
      <c r="E15" s="79">
        <f ca="1">'Residential Cap'!U18</f>
        <v>13.737992114846984</v>
      </c>
      <c r="F15" s="79">
        <f ca="1">'Residential Cap'!BH18</f>
        <v>14.109205617347021</v>
      </c>
      <c r="G15" s="679">
        <f t="shared" ca="1" si="1"/>
        <v>11.131349999999999</v>
      </c>
      <c r="H15" s="79">
        <f ca="1">OFFSET(Volumes!$C$1,MATCH($B15,Volumes!$A$2:$A$46,0),0)*'Residential Cap'!$S$5</f>
        <v>11.687917499999999</v>
      </c>
      <c r="I15" s="79">
        <f>ACOT!B14</f>
        <v>0</v>
      </c>
      <c r="J15" s="79">
        <f t="shared" ca="1" si="2"/>
        <v>0</v>
      </c>
      <c r="K15" s="79">
        <f t="shared" ca="1" si="0"/>
        <v>18.542891445609651</v>
      </c>
      <c r="M15" s="79">
        <f ca="1">C15*Volumes!$M12/1000</f>
        <v>171.5148850020544</v>
      </c>
      <c r="N15" s="79">
        <f ca="1">K15*Volumes!$M12/1000</f>
        <v>171.5148850020544</v>
      </c>
      <c r="O15" s="79">
        <f ca="1">(F15+('Residential Cap'!Z18-'Residential Cap'!Y18)*10)*Volumes!$M12/1000</f>
        <v>52.738092830628496</v>
      </c>
      <c r="P15" s="79">
        <f t="shared" ca="1" si="3"/>
        <v>-118.77679217142591</v>
      </c>
      <c r="Q15" s="79">
        <f t="shared" ca="1" si="4"/>
        <v>-118.77679217142591</v>
      </c>
      <c r="R15" s="80"/>
      <c r="S15" s="80"/>
      <c r="T15" s="80"/>
      <c r="U15" s="80"/>
    </row>
    <row r="16" spans="1:21" x14ac:dyDescent="0.3">
      <c r="A16" s="94" t="s">
        <v>12</v>
      </c>
      <c r="B16" s="116" t="s">
        <v>12</v>
      </c>
      <c r="C16" s="79">
        <f ca="1">OFFSET('Other Options'!$B$4,MATCH(ACOT_trans!$B16,'Other Options'!$A$5:$A$58,0),0)/ACOT_trans!G16*1000</f>
        <v>17.259365788961254</v>
      </c>
      <c r="D16" s="79">
        <f ca="1">OFFSET('Other Options'!$H$4,MATCH(ACOT_trans!$B16,'Other Options'!$E$5:$E$55,0),0)</f>
        <v>15.107373794189924</v>
      </c>
      <c r="E16" s="79">
        <f ca="1">'Residential Cap'!U19</f>
        <v>13.88838331525881</v>
      </c>
      <c r="F16" s="79">
        <f ca="1">'Residential Cap'!BH19</f>
        <v>14.233396367414034</v>
      </c>
      <c r="G16" s="679">
        <f t="shared" ca="1" si="1"/>
        <v>547.63909999999998</v>
      </c>
      <c r="H16" s="79">
        <f ca="1">OFFSET(Volumes!$C$1,MATCH($B16,Volumes!$A$2:$A$46,0),0)*'Residential Cap'!$S$5</f>
        <v>575.02105500000005</v>
      </c>
      <c r="I16" s="79">
        <f>ACOT!B15</f>
        <v>0.91449999999999998</v>
      </c>
      <c r="J16" s="79">
        <f t="shared" ca="1" si="2"/>
        <v>1.5903765471683466</v>
      </c>
      <c r="K16" s="79">
        <f t="shared" ca="1" si="0"/>
        <v>18.849742336129601</v>
      </c>
      <c r="M16" s="79">
        <f ca="1">C16*Volumes!$M13/1000</f>
        <v>153.38536451576178</v>
      </c>
      <c r="N16" s="79">
        <f ca="1">K16*Volumes!$M13/1000</f>
        <v>167.51916812057067</v>
      </c>
      <c r="O16" s="79">
        <f ca="1">(F16+('Residential Cap'!Z19-'Residential Cap'!Y19)*10)*Volumes!$M13/1000</f>
        <v>56.8602548174022</v>
      </c>
      <c r="P16" s="79">
        <f t="shared" ca="1" si="3"/>
        <v>-96.525109698359586</v>
      </c>
      <c r="Q16" s="79">
        <f t="shared" ca="1" si="4"/>
        <v>-110.65891330316848</v>
      </c>
      <c r="R16" s="80"/>
      <c r="S16" s="80"/>
      <c r="T16" s="80"/>
      <c r="U16" s="80"/>
    </row>
    <row r="17" spans="1:21" x14ac:dyDescent="0.3">
      <c r="A17" s="94" t="s">
        <v>13</v>
      </c>
      <c r="B17" s="116" t="s">
        <v>13</v>
      </c>
      <c r="C17" s="79">
        <f ca="1">OFFSET('Other Options'!$B$4,MATCH(ACOT_trans!$B17,'Other Options'!$A$5:$A$58,0),0)/ACOT_trans!G17*1000</f>
        <v>16.853410902389928</v>
      </c>
      <c r="D17" s="79">
        <f ca="1">OFFSET('Other Options'!$H$4,MATCH(ACOT_trans!$B17,'Other Options'!$E$5:$E$55,0),0)</f>
        <v>12.599034485958807</v>
      </c>
      <c r="E17" s="79">
        <f ca="1">'Residential Cap'!U20</f>
        <v>11.793420176208835</v>
      </c>
      <c r="F17" s="79">
        <f ca="1">'Residential Cap'!BH20</f>
        <v>12.082224054737162</v>
      </c>
      <c r="G17" s="679">
        <f t="shared" ca="1" si="1"/>
        <v>391.85289999999998</v>
      </c>
      <c r="H17" s="79">
        <f ca="1">OFFSET(Volumes!$C$1,MATCH($B17,Volumes!$A$2:$A$46,0),0)*'Residential Cap'!$S$5</f>
        <v>411.44554499999998</v>
      </c>
      <c r="I17" s="79">
        <f>ACOT!B16</f>
        <v>0.15587799999999999</v>
      </c>
      <c r="J17" s="79">
        <f t="shared" ca="1" si="2"/>
        <v>0.37885450916718522</v>
      </c>
      <c r="K17" s="79">
        <f t="shared" ca="1" si="0"/>
        <v>17.232265411557112</v>
      </c>
      <c r="M17" s="79">
        <f ca="1">C17*Volumes!$M14/1000</f>
        <v>121.59095536460042</v>
      </c>
      <c r="N17" s="79">
        <f ca="1">K17*Volumes!$M14/1000</f>
        <v>124.32424668352817</v>
      </c>
      <c r="O17" s="79">
        <f ca="1">(F17+('Residential Cap'!Z20-'Residential Cap'!Y20)*10)*Volumes!$M14/1000</f>
        <v>12.036231145775709</v>
      </c>
      <c r="P17" s="79">
        <f t="shared" ca="1" si="3"/>
        <v>-109.5547242188247</v>
      </c>
      <c r="Q17" s="79">
        <f t="shared" ca="1" si="4"/>
        <v>-112.28801553775247</v>
      </c>
      <c r="R17" s="80"/>
      <c r="S17" s="80"/>
      <c r="T17" s="80"/>
      <c r="U17" s="80"/>
    </row>
    <row r="18" spans="1:21" x14ac:dyDescent="0.3">
      <c r="A18" s="94" t="s">
        <v>19</v>
      </c>
      <c r="B18" s="116" t="s">
        <v>19</v>
      </c>
      <c r="C18" s="79">
        <f ca="1">OFFSET('Other Options'!$B$4,MATCH(ACOT_trans!$B18,'Other Options'!$A$5:$A$58,0),0)/ACOT_trans!G18*1000</f>
        <v>14.697353395219173</v>
      </c>
      <c r="D18" s="79">
        <f ca="1">OFFSET('Other Options'!$H$4,MATCH(ACOT_trans!$B18,'Other Options'!$E$5:$E$55,0),0)</f>
        <v>14.11759200386442</v>
      </c>
      <c r="E18" s="79">
        <f ca="1">'Residential Cap'!U21</f>
        <v>13.107180020786908</v>
      </c>
      <c r="F18" s="79">
        <f ca="1">'Residential Cap'!BH21</f>
        <v>13.433837363919714</v>
      </c>
      <c r="G18" s="679">
        <f t="shared" ca="1" si="1"/>
        <v>729.90309999999999</v>
      </c>
      <c r="H18" s="79">
        <f ca="1">OFFSET(Volumes!$C$1,MATCH($B18,Volumes!$A$2:$A$46,0),0)*'Residential Cap'!$S$5</f>
        <v>766.39825500000006</v>
      </c>
      <c r="I18" s="79">
        <f>ACOT!B17</f>
        <v>7.2999999999999995E-2</v>
      </c>
      <c r="J18" s="79">
        <f t="shared" ca="1" si="2"/>
        <v>9.5250738795066792E-2</v>
      </c>
      <c r="K18" s="79">
        <f t="shared" ca="1" si="0"/>
        <v>14.792604134014239</v>
      </c>
      <c r="M18" s="79">
        <f ca="1">C18*Volumes!$M15/1000</f>
        <v>102.56996336132255</v>
      </c>
      <c r="N18" s="79">
        <f ca="1">K18*Volumes!$M15/1000</f>
        <v>103.23469969347924</v>
      </c>
      <c r="O18" s="79">
        <f ca="1">(F18+('Residential Cap'!Z21-'Residential Cap'!Y21)*10)*Volumes!$M15/1000</f>
        <v>46.887792519834377</v>
      </c>
      <c r="P18" s="79">
        <f t="shared" ca="1" si="3"/>
        <v>-55.682170841488173</v>
      </c>
      <c r="Q18" s="79">
        <f t="shared" ca="1" si="4"/>
        <v>-56.346907173644865</v>
      </c>
      <c r="R18" s="80"/>
      <c r="S18" s="80"/>
      <c r="T18" s="80"/>
      <c r="U18" s="80"/>
    </row>
    <row r="19" spans="1:21" x14ac:dyDescent="0.3">
      <c r="A19" s="94" t="s">
        <v>20</v>
      </c>
      <c r="B19" s="116" t="s">
        <v>20</v>
      </c>
      <c r="C19" s="79">
        <f ca="1">OFFSET('Other Options'!$B$4,MATCH(ACOT_trans!$B19,'Other Options'!$A$5:$A$58,0),0)/ACOT_trans!G19*1000</f>
        <v>11.907872195541891</v>
      </c>
      <c r="D19" s="79">
        <f ca="1">OFFSET('Other Options'!$H$4,MATCH(ACOT_trans!$B19,'Other Options'!$E$5:$E$55,0),0)</f>
        <v>14.716951229569919</v>
      </c>
      <c r="E19" s="79">
        <f ca="1">'Residential Cap'!U22</f>
        <v>13.401714804534308</v>
      </c>
      <c r="F19" s="79">
        <f ca="1">'Residential Cap'!BH22</f>
        <v>13.754030849194493</v>
      </c>
      <c r="G19" s="679">
        <f t="shared" ca="1" si="1"/>
        <v>268.9751</v>
      </c>
      <c r="H19" s="79">
        <f ca="1">OFFSET(Volumes!$C$1,MATCH($B19,Volumes!$A$2:$A$46,0),0)*'Residential Cap'!$S$5</f>
        <v>282.423855</v>
      </c>
      <c r="I19" s="79">
        <f>ACOT!B18</f>
        <v>0</v>
      </c>
      <c r="J19" s="79">
        <f t="shared" ca="1" si="2"/>
        <v>0</v>
      </c>
      <c r="K19" s="79">
        <f t="shared" ca="1" si="0"/>
        <v>11.907872195541891</v>
      </c>
      <c r="M19" s="79">
        <f ca="1">C19*Volumes!$M16/1000</f>
        <v>90.223923287347674</v>
      </c>
      <c r="N19" s="79">
        <f ca="1">K19*Volumes!$M16/1000</f>
        <v>90.223923287347674</v>
      </c>
      <c r="O19" s="79">
        <f ca="1">(F19+('Residential Cap'!Z22-'Residential Cap'!Y22)*10)*Volumes!$M16/1000</f>
        <v>50.469424260854346</v>
      </c>
      <c r="P19" s="79">
        <f t="shared" ca="1" si="3"/>
        <v>-39.754499026493328</v>
      </c>
      <c r="Q19" s="79">
        <f t="shared" ca="1" si="4"/>
        <v>-39.754499026493328</v>
      </c>
      <c r="R19" s="80"/>
      <c r="S19" s="80"/>
      <c r="T19" s="80"/>
      <c r="U19" s="80"/>
    </row>
    <row r="20" spans="1:21" x14ac:dyDescent="0.3">
      <c r="A20" s="94" t="s">
        <v>23</v>
      </c>
      <c r="B20" s="116" t="s">
        <v>23</v>
      </c>
      <c r="C20" s="79">
        <f ca="1">OFFSET('Other Options'!$B$4,MATCH(ACOT_trans!$B20,'Other Options'!$A$5:$A$58,0),0)/ACOT_trans!G20*1000</f>
        <v>17.16868881388719</v>
      </c>
      <c r="D20" s="79">
        <f ca="1">OFFSET('Other Options'!$H$4,MATCH(ACOT_trans!$B20,'Other Options'!$E$5:$E$55,0),0)</f>
        <v>27.094973065396491</v>
      </c>
      <c r="E20" s="79">
        <f ca="1">'Residential Cap'!U23</f>
        <v>20.854075838394667</v>
      </c>
      <c r="F20" s="79">
        <f ca="1">'Residential Cap'!BH23</f>
        <v>22.957291854939665</v>
      </c>
      <c r="G20" s="679">
        <f t="shared" ca="1" si="1"/>
        <v>758.77530000000002</v>
      </c>
      <c r="H20" s="79">
        <f ca="1">OFFSET(Volumes!$C$1,MATCH($B20,Volumes!$A$2:$A$46,0),0)*'Residential Cap'!$S$5</f>
        <v>796.71406500000001</v>
      </c>
      <c r="I20" s="79">
        <f>ACOT!B19</f>
        <v>3.298</v>
      </c>
      <c r="J20" s="79">
        <f t="shared" ca="1" si="2"/>
        <v>4.1395026708860723</v>
      </c>
      <c r="K20" s="79">
        <f t="shared" ca="1" si="0"/>
        <v>21.308191484773261</v>
      </c>
      <c r="M20" s="79">
        <f ca="1">C20*Volumes!$M17/1000</f>
        <v>109.33948145879312</v>
      </c>
      <c r="N20" s="79">
        <f ca="1">K20*Volumes!$M17/1000</f>
        <v>135.70206979843792</v>
      </c>
      <c r="O20" s="79">
        <f ca="1">(F20+('Residential Cap'!Z23-'Residential Cap'!Y23)*10)*Volumes!$M17/1000</f>
        <v>92.334180553019152</v>
      </c>
      <c r="P20" s="79">
        <f t="shared" ca="1" si="3"/>
        <v>-17.005300905773964</v>
      </c>
      <c r="Q20" s="79">
        <f t="shared" ca="1" si="4"/>
        <v>-43.367889245418766</v>
      </c>
      <c r="R20" s="80"/>
      <c r="S20" s="80"/>
      <c r="T20" s="80"/>
      <c r="U20" s="80"/>
    </row>
    <row r="21" spans="1:21" x14ac:dyDescent="0.3">
      <c r="A21" s="94" t="s">
        <v>25</v>
      </c>
      <c r="B21" s="116" t="s">
        <v>25</v>
      </c>
      <c r="C21" s="79">
        <f ca="1">OFFSET('Other Options'!$B$4,MATCH(ACOT_trans!$B21,'Other Options'!$A$5:$A$58,0),0)/ACOT_trans!G21*1000</f>
        <v>19.714557302656988</v>
      </c>
      <c r="D21" s="79">
        <f ca="1">OFFSET('Other Options'!$H$4,MATCH(ACOT_trans!$B21,'Other Options'!$E$5:$E$55,0),0)</f>
        <v>14.678284616844643</v>
      </c>
      <c r="E21" s="79">
        <f ca="1">'Residential Cap'!U24</f>
        <v>13.476413888376085</v>
      </c>
      <c r="F21" s="79">
        <f ca="1">'Residential Cap'!BH24</f>
        <v>13.812626440243555</v>
      </c>
      <c r="G21" s="679">
        <f t="shared" ca="1" si="1"/>
        <v>3241.8319999999999</v>
      </c>
      <c r="H21" s="79">
        <f ca="1">OFFSET(Volumes!$C$1,MATCH($B21,Volumes!$A$2:$A$46,0),0)*'Residential Cap'!$S$5</f>
        <v>3403.9236000000001</v>
      </c>
      <c r="I21" s="79">
        <f>ACOT!B20</f>
        <v>1.2258154999999999</v>
      </c>
      <c r="J21" s="79">
        <f t="shared" ca="1" si="2"/>
        <v>0.36011839396160361</v>
      </c>
      <c r="K21" s="79">
        <f t="shared" ca="1" si="0"/>
        <v>20.074675696618591</v>
      </c>
      <c r="M21" s="79">
        <f ca="1">C21*Volumes!$M18/1000</f>
        <v>173.2907615447819</v>
      </c>
      <c r="N21" s="79">
        <f ca="1">K21*Volumes!$M18/1000</f>
        <v>176.45619862652046</v>
      </c>
      <c r="O21" s="79">
        <f ca="1">(F21+('Residential Cap'!Z24-'Residential Cap'!Y24)*10)*Volumes!$M18/1000</f>
        <v>49.313916167458416</v>
      </c>
      <c r="P21" s="79">
        <f t="shared" ca="1" si="3"/>
        <v>-123.97684537732349</v>
      </c>
      <c r="Q21" s="79">
        <f t="shared" ca="1" si="4"/>
        <v>-127.14228245906205</v>
      </c>
      <c r="R21" s="80"/>
      <c r="S21" s="80"/>
      <c r="T21" s="80"/>
      <c r="U21" s="80"/>
    </row>
    <row r="22" spans="1:21" x14ac:dyDescent="0.3">
      <c r="A22" s="94" t="s">
        <v>71</v>
      </c>
      <c r="B22" s="116" t="s">
        <v>71</v>
      </c>
      <c r="C22" s="79">
        <f ca="1">OFFSET('Other Options'!$B$4,MATCH(ACOT_trans!$B22,'Other Options'!$A$5:$A$58,0),0)/ACOT_trans!G22*1000</f>
        <v>9.3559409689177979</v>
      </c>
      <c r="D22" s="79">
        <f ca="1">OFFSET('Other Options'!$H$4,MATCH(ACOT_trans!$B22,'Other Options'!$E$5:$E$55,0),0)</f>
        <v>11.112889384313535</v>
      </c>
      <c r="E22" s="79">
        <f ca="1">'Residential Cap'!U25</f>
        <v>10.521830385970913</v>
      </c>
      <c r="F22" s="79">
        <f ca="1">'Residential Cap'!BH25</f>
        <v>10.777909187606557</v>
      </c>
      <c r="G22" s="679">
        <f t="shared" ca="1" si="1"/>
        <v>424.68549999999999</v>
      </c>
      <c r="H22" s="79">
        <f ca="1">OFFSET(Volumes!$C$1,MATCH($B22,Volumes!$A$2:$A$46,0),0)*'Residential Cap'!$S$5</f>
        <v>445.91977500000002</v>
      </c>
      <c r="I22" s="79">
        <f>ACOT!B21</f>
        <v>1.0174785</v>
      </c>
      <c r="J22" s="79">
        <f t="shared" ca="1" si="2"/>
        <v>2.2817523622943163</v>
      </c>
      <c r="K22" s="79">
        <f t="shared" ca="1" si="0"/>
        <v>11.637693331212114</v>
      </c>
      <c r="M22" s="79">
        <f ca="1">C22*Volumes!$M19/1000</f>
        <v>65.325986627274744</v>
      </c>
      <c r="N22" s="79">
        <f ca="1">K22*Volumes!$M19/1000</f>
        <v>81.257866146522346</v>
      </c>
      <c r="O22" s="79">
        <f ca="1">(F22+('Residential Cap'!Z25-'Residential Cap'!Y25)*10)*Volumes!$M19/1000</f>
        <v>-27.934071697597513</v>
      </c>
      <c r="P22" s="79">
        <f t="shared" ca="1" si="3"/>
        <v>-93.260058324872261</v>
      </c>
      <c r="Q22" s="79">
        <f t="shared" ca="1" si="4"/>
        <v>-109.19193784411986</v>
      </c>
      <c r="R22" s="80"/>
      <c r="S22" s="80"/>
      <c r="T22" s="80"/>
      <c r="U22" s="80"/>
    </row>
    <row r="23" spans="1:21" x14ac:dyDescent="0.3">
      <c r="A23" s="94" t="s">
        <v>28</v>
      </c>
      <c r="B23" s="116" t="s">
        <v>28</v>
      </c>
      <c r="C23" s="79">
        <f ca="1">OFFSET('Other Options'!$B$4,MATCH(ACOT_trans!$B23,'Other Options'!$A$5:$A$58,0),0)/ACOT_trans!G23*1000</f>
        <v>16.933916275753671</v>
      </c>
      <c r="D23" s="79">
        <f ca="1">OFFSET('Other Options'!$H$4,MATCH(ACOT_trans!$B23,'Other Options'!$E$5:$E$55,0),0)</f>
        <v>16.550368676238417</v>
      </c>
      <c r="E23" s="79">
        <f ca="1">'Residential Cap'!U26</f>
        <v>14.870906621876969</v>
      </c>
      <c r="F23" s="79">
        <f ca="1">'Residential Cap'!BH26</f>
        <v>13.802854918730274</v>
      </c>
      <c r="G23" s="679">
        <f t="shared" ca="1" si="1"/>
        <v>4383.1869999999999</v>
      </c>
      <c r="H23" s="79">
        <f ca="1">OFFSET(Volumes!$C$1,MATCH($B23,Volumes!$A$2:$A$46,0),0)*'Residential Cap'!$S$5</f>
        <v>4602.3463499999998</v>
      </c>
      <c r="I23" s="79">
        <f>ACOT!B22</f>
        <v>9.2052942900000012</v>
      </c>
      <c r="J23" s="79">
        <f t="shared" ca="1" si="2"/>
        <v>2.0001307137608193</v>
      </c>
      <c r="K23" s="79">
        <f t="shared" ca="1" si="0"/>
        <v>18.934046989514489</v>
      </c>
      <c r="M23" s="79">
        <f ca="1">C23*Volumes!$M20/1000</f>
        <v>107.8817188905639</v>
      </c>
      <c r="N23" s="79">
        <f ca="1">K23*Volumes!$M20/1000</f>
        <v>120.62404830170443</v>
      </c>
      <c r="O23" s="79">
        <f ca="1">(F23+('Residential Cap'!Z26-'Residential Cap'!Y26)*10)*Volumes!$M20/1000</f>
        <v>29.225106266186771</v>
      </c>
      <c r="P23" s="79">
        <f t="shared" ca="1" si="3"/>
        <v>-78.656612624377132</v>
      </c>
      <c r="Q23" s="79">
        <f t="shared" ca="1" si="4"/>
        <v>-91.398942035517663</v>
      </c>
      <c r="R23" s="80"/>
      <c r="S23" s="80"/>
      <c r="T23" s="80"/>
      <c r="U23" s="80"/>
    </row>
    <row r="24" spans="1:21" x14ac:dyDescent="0.3">
      <c r="A24" s="94" t="s">
        <v>31</v>
      </c>
      <c r="B24" s="116" t="s">
        <v>31</v>
      </c>
      <c r="C24" s="79">
        <f ca="1">OFFSET('Other Options'!$B$4,MATCH(ACOT_trans!$B24,'Other Options'!$A$5:$A$58,0),0)/ACOT_trans!G24*1000</f>
        <v>18.15965357724091</v>
      </c>
      <c r="D24" s="79">
        <f ca="1">OFFSET('Other Options'!$H$4,MATCH(ACOT_trans!$B24,'Other Options'!$E$5:$E$55,0),0)</f>
        <v>14.238863313471661</v>
      </c>
      <c r="E24" s="79">
        <f ca="1">'Residential Cap'!U27</f>
        <v>13.187104955510781</v>
      </c>
      <c r="F24" s="79">
        <f ca="1">'Residential Cap'!BH27</f>
        <v>13.460623255527254</v>
      </c>
      <c r="G24" s="679">
        <f t="shared" ca="1" si="1"/>
        <v>83.397450000000006</v>
      </c>
      <c r="H24" s="79">
        <f ca="1">OFFSET(Volumes!$C$1,MATCH($B24,Volumes!$A$2:$A$46,0),0)*'Residential Cap'!$S$5</f>
        <v>87.567322500000017</v>
      </c>
      <c r="I24" s="79">
        <f>ACOT!B23</f>
        <v>0</v>
      </c>
      <c r="J24" s="79">
        <f t="shared" ca="1" si="2"/>
        <v>0</v>
      </c>
      <c r="K24" s="79">
        <f t="shared" ca="1" si="0"/>
        <v>18.15965357724091</v>
      </c>
      <c r="M24" s="79">
        <f ca="1">C24*Volumes!$M21/1000</f>
        <v>129.12040323372025</v>
      </c>
      <c r="N24" s="79">
        <f ca="1">K24*Volumes!$M21/1000</f>
        <v>129.12040323372025</v>
      </c>
      <c r="O24" s="79">
        <f ca="1">(F24+('Residential Cap'!Z27-'Residential Cap'!Y27)*10)*Volumes!$M21/1000</f>
        <v>21.042270860616316</v>
      </c>
      <c r="P24" s="79">
        <f t="shared" ca="1" si="3"/>
        <v>-108.07813237310394</v>
      </c>
      <c r="Q24" s="79">
        <f t="shared" ca="1" si="4"/>
        <v>-108.07813237310394</v>
      </c>
      <c r="R24" s="80"/>
      <c r="S24" s="80"/>
      <c r="T24" s="80"/>
      <c r="U24" s="80"/>
    </row>
    <row r="25" spans="1:21" x14ac:dyDescent="0.3">
      <c r="A25" s="94" t="s">
        <v>32</v>
      </c>
      <c r="B25" s="116" t="s">
        <v>32</v>
      </c>
      <c r="C25" s="79">
        <f ca="1">OFFSET('Other Options'!$B$4,MATCH(ACOT_trans!$B25,'Other Options'!$A$5:$A$58,0),0)/ACOT_trans!G25*1000</f>
        <v>12.646163993604523</v>
      </c>
      <c r="D25" s="79">
        <f ca="1">OFFSET('Other Options'!$H$4,MATCH(ACOT_trans!$B25,'Other Options'!$E$5:$E$55,0),0)</f>
        <v>17.798961111696013</v>
      </c>
      <c r="E25" s="79">
        <f ca="1">'Residential Cap'!U28</f>
        <v>16.148356986129244</v>
      </c>
      <c r="F25" s="79">
        <f ca="1">'Residential Cap'!BH28</f>
        <v>16.536707508491908</v>
      </c>
      <c r="G25" s="679">
        <f t="shared" ca="1" si="1"/>
        <v>291.24799999999999</v>
      </c>
      <c r="H25" s="79">
        <f ca="1">OFFSET(Volumes!$C$1,MATCH($B25,Volumes!$A$2:$A$46,0),0)*'Residential Cap'!$S$5</f>
        <v>305.81040000000002</v>
      </c>
      <c r="I25" s="79">
        <f>ACOT!B24</f>
        <v>1.3505178599999998</v>
      </c>
      <c r="J25" s="79">
        <f t="shared" ca="1" si="2"/>
        <v>4.4161933668704521</v>
      </c>
      <c r="K25" s="79">
        <f t="shared" ca="1" si="0"/>
        <v>17.062357360474977</v>
      </c>
      <c r="M25" s="79">
        <f ca="1">C25*Volumes!$M22/1000</f>
        <v>101.58157689502769</v>
      </c>
      <c r="N25" s="79">
        <f ca="1">K25*Volumes!$M22/1000</f>
        <v>137.05509173375128</v>
      </c>
      <c r="O25" s="79">
        <f ca="1">(F25+('Residential Cap'!Z28-'Residential Cap'!Y28)*10)*Volumes!$M22/1000</f>
        <v>49.094187770907531</v>
      </c>
      <c r="P25" s="79">
        <f t="shared" ca="1" si="3"/>
        <v>-52.487389124120163</v>
      </c>
      <c r="Q25" s="79">
        <f t="shared" ca="1" si="4"/>
        <v>-87.960903962843759</v>
      </c>
      <c r="R25" s="80"/>
      <c r="S25" s="80"/>
      <c r="T25" s="80"/>
      <c r="U25" s="80"/>
    </row>
    <row r="26" spans="1:21" x14ac:dyDescent="0.3">
      <c r="A26" s="94" t="s">
        <v>73</v>
      </c>
      <c r="B26" s="116" t="s">
        <v>73</v>
      </c>
      <c r="C26" s="79">
        <f ca="1">OFFSET('Other Options'!$B$4,MATCH(ACOT_trans!$B26,'Other Options'!$A$5:$A$58,0),0)/ACOT_trans!G26*1000</f>
        <v>12.550152669445314</v>
      </c>
      <c r="D26" s="79">
        <f ca="1">OFFSET('Other Options'!$H$4,MATCH(ACOT_trans!$B26,'Other Options'!$E$5:$E$55,0),0)</f>
        <v>13.014451625869663</v>
      </c>
      <c r="E26" s="79">
        <f ca="1">'Residential Cap'!U29</f>
        <v>12.195070891052767</v>
      </c>
      <c r="F26" s="79">
        <f ca="1">'Residential Cap'!BH29</f>
        <v>12.498626931287008</v>
      </c>
      <c r="G26" s="679">
        <f t="shared" ca="1" si="1"/>
        <v>773.01859999999999</v>
      </c>
      <c r="H26" s="79">
        <f ca="1">OFFSET(Volumes!$C$1,MATCH($B26,Volumes!$A$2:$A$46,0),0)*'Residential Cap'!$S$5</f>
        <v>811.66953000000001</v>
      </c>
      <c r="I26" s="79">
        <f>ACOT!B25</f>
        <v>2.1408615000000002</v>
      </c>
      <c r="J26" s="79">
        <f t="shared" ca="1" si="2"/>
        <v>2.6376023995874283</v>
      </c>
      <c r="K26" s="79">
        <f t="shared" ca="1" si="0"/>
        <v>15.187755069032743</v>
      </c>
      <c r="M26" s="79">
        <f ca="1">C26*Volumes!$M23/1000</f>
        <v>106.88626174444498</v>
      </c>
      <c r="N26" s="79">
        <f ca="1">K26*Volumes!$M23/1000</f>
        <v>129.35000922908321</v>
      </c>
      <c r="O26" s="79">
        <f ca="1">(F26+('Residential Cap'!Z29-'Residential Cap'!Y29)*10)*Volumes!$M23/1000</f>
        <v>26.036028302268445</v>
      </c>
      <c r="P26" s="79">
        <f t="shared" ca="1" si="3"/>
        <v>-80.850233442176531</v>
      </c>
      <c r="Q26" s="79">
        <f t="shared" ca="1" si="4"/>
        <v>-103.31398092681476</v>
      </c>
      <c r="R26" s="80"/>
      <c r="S26" s="80"/>
      <c r="T26" s="80"/>
      <c r="U26" s="80"/>
    </row>
    <row r="27" spans="1:21" x14ac:dyDescent="0.3">
      <c r="A27" s="94" t="s">
        <v>34</v>
      </c>
      <c r="B27" s="116" t="s">
        <v>34</v>
      </c>
      <c r="C27" s="79">
        <f ca="1">OFFSET('Other Options'!$B$4,MATCH(ACOT_trans!$B27,'Other Options'!$A$5:$A$58,0),0)/ACOT_trans!G27*1000</f>
        <v>11.884291645826746</v>
      </c>
      <c r="D27" s="79">
        <f ca="1">OFFSET('Other Options'!$H$4,MATCH(ACOT_trans!$B27,'Other Options'!$E$5:$E$55,0),0)</f>
        <v>26.323624469272957</v>
      </c>
      <c r="E27" s="79">
        <f ca="1">'Residential Cap'!U30</f>
        <v>15.835424473896449</v>
      </c>
      <c r="F27" s="79">
        <f ca="1">'Residential Cap'!BH30</f>
        <v>16.535583045756532</v>
      </c>
      <c r="G27" s="500">
        <f ca="1">Volumes!$C$46+H27/1.05</f>
        <v>360.97263415000003</v>
      </c>
      <c r="H27" s="79">
        <f ca="1">OFFSET(Volumes!$C$1,MATCH($B27,Volumes!$A$2:$A$46,0),0)*'Residential Cap'!$S$5</f>
        <v>321.13595535000002</v>
      </c>
      <c r="I27" s="79">
        <f>ACOT!B26</f>
        <v>3.9469162283041488</v>
      </c>
      <c r="J27" s="79">
        <f t="shared" ca="1" si="2"/>
        <v>12.290483711182322</v>
      </c>
      <c r="K27" s="79">
        <f t="shared" ca="1" si="0"/>
        <v>24.174775357009068</v>
      </c>
      <c r="M27" s="79">
        <f ca="1">C27*Volumes!$M24/1000</f>
        <v>72.072405529032764</v>
      </c>
      <c r="N27" s="79">
        <f ca="1">K27*Volumes!$M24/1000</f>
        <v>146.60816690033505</v>
      </c>
      <c r="O27" s="79">
        <f ca="1">(F27+('Residential Cap'!Z30-'Residential Cap'!Y30)*10)*Volumes!$M24/1000</f>
        <v>10.392653890830127</v>
      </c>
      <c r="P27" s="79">
        <f t="shared" ca="1" si="3"/>
        <v>-61.679751638202639</v>
      </c>
      <c r="Q27" s="79">
        <f t="shared" ca="1" si="4"/>
        <v>-136.21551300950492</v>
      </c>
      <c r="R27" s="80"/>
      <c r="S27" s="80"/>
      <c r="T27" s="80"/>
      <c r="U27" s="80"/>
    </row>
    <row r="28" spans="1:21" x14ac:dyDescent="0.3">
      <c r="A28" s="94" t="s">
        <v>36</v>
      </c>
      <c r="B28" s="116" t="s">
        <v>36</v>
      </c>
      <c r="C28" s="79">
        <f ca="1">OFFSET('Other Options'!$B$4,MATCH(ACOT_trans!$B28,'Other Options'!$A$5:$A$58,0),0)/ACOT_trans!G28*1000</f>
        <v>18.730449706185681</v>
      </c>
      <c r="D28" s="79">
        <f ca="1">OFFSET('Other Options'!$H$4,MATCH(ACOT_trans!$B28,'Other Options'!$E$5:$E$55,0),0)</f>
        <v>15.210456209164155</v>
      </c>
      <c r="E28" s="79">
        <f ca="1">'Residential Cap'!U31</f>
        <v>13.859282385768845</v>
      </c>
      <c r="F28" s="79">
        <f ca="1">'Residential Cap'!BH31</f>
        <v>14.172729379046791</v>
      </c>
      <c r="G28" s="679">
        <f t="shared" ca="1" si="1"/>
        <v>1630.153</v>
      </c>
      <c r="H28" s="79">
        <f ca="1">OFFSET(Volumes!$C$1,MATCH($B28,Volumes!$A$2:$A$46,0),0)*'Residential Cap'!$S$5</f>
        <v>1711.66065</v>
      </c>
      <c r="I28" s="79">
        <f>ACOT!B27</f>
        <v>5.9971291649999952</v>
      </c>
      <c r="J28" s="79">
        <f t="shared" ca="1" si="2"/>
        <v>3.5036905037222157</v>
      </c>
      <c r="K28" s="79">
        <f t="shared" ca="1" si="0"/>
        <v>22.234140209907896</v>
      </c>
      <c r="M28" s="79">
        <f ca="1">C28*Volumes!$M25/1000</f>
        <v>133.01222823900991</v>
      </c>
      <c r="N28" s="79">
        <f ca="1">K28*Volumes!$M25/1000</f>
        <v>157.8933009452378</v>
      </c>
      <c r="O28" s="79">
        <f ca="1">(F28+('Residential Cap'!Z31-'Residential Cap'!Y31)*10)*Volumes!$M25/1000</f>
        <v>27.395298954836623</v>
      </c>
      <c r="P28" s="79">
        <f t="shared" ca="1" si="3"/>
        <v>-105.6169292841733</v>
      </c>
      <c r="Q28" s="79">
        <f t="shared" ca="1" si="4"/>
        <v>-130.49800199040118</v>
      </c>
      <c r="R28" s="80"/>
      <c r="S28" s="80"/>
      <c r="T28" s="80"/>
      <c r="U28" s="80"/>
    </row>
    <row r="29" spans="1:21" x14ac:dyDescent="0.3">
      <c r="A29" s="94" t="s">
        <v>37</v>
      </c>
      <c r="B29" s="116" t="s">
        <v>37</v>
      </c>
      <c r="C29" s="79">
        <f ca="1">OFFSET('Other Options'!$B$4,MATCH(ACOT_trans!$B29,'Other Options'!$A$5:$A$58,0),0)/ACOT_trans!G29*1000</f>
        <v>21.250022006241686</v>
      </c>
      <c r="D29" s="79">
        <f ca="1">OFFSET('Other Options'!$H$4,MATCH(ACOT_trans!$B29,'Other Options'!$E$5:$E$55,0),0)</f>
        <v>30.527988219335271</v>
      </c>
      <c r="E29" s="79">
        <f ca="1">'Residential Cap'!U32</f>
        <v>24.551537750754559</v>
      </c>
      <c r="F29" s="79">
        <f ca="1">'Residential Cap'!BH32</f>
        <v>24.937974354536848</v>
      </c>
      <c r="G29" s="679">
        <f t="shared" ca="1" si="1"/>
        <v>8414.0769999999993</v>
      </c>
      <c r="H29" s="79">
        <f ca="1">OFFSET(Volumes!$C$1,MATCH($B29,Volumes!$A$2:$A$46,0),0)*'Residential Cap'!$S$5</f>
        <v>8834.7808499999992</v>
      </c>
      <c r="I29" s="79">
        <f>ACOT!B28</f>
        <v>9.4745000000000008</v>
      </c>
      <c r="J29" s="79">
        <f t="shared" ca="1" si="2"/>
        <v>1.0724091701720027</v>
      </c>
      <c r="K29" s="79">
        <f t="shared" ca="1" si="0"/>
        <v>22.322431176413687</v>
      </c>
      <c r="M29" s="79">
        <f ca="1">C29*Volumes!$M26/1000</f>
        <v>151.28198791562548</v>
      </c>
      <c r="N29" s="79">
        <f ca="1">K29*Volumes!$M26/1000</f>
        <v>158.91662429740964</v>
      </c>
      <c r="O29" s="79">
        <f ca="1">(F29+('Residential Cap'!Z32-'Residential Cap'!Y32)*10)*Volumes!$M26/1000</f>
        <v>116.71326237164486</v>
      </c>
      <c r="P29" s="79">
        <f t="shared" ca="1" si="3"/>
        <v>-34.568725543980619</v>
      </c>
      <c r="Q29" s="79">
        <f t="shared" ca="1" si="4"/>
        <v>-42.203361925764781</v>
      </c>
      <c r="R29" s="80"/>
      <c r="S29" s="80"/>
      <c r="T29" s="80"/>
      <c r="U29" s="80"/>
    </row>
    <row r="30" spans="1:21" x14ac:dyDescent="0.3">
      <c r="A30" s="94" t="s">
        <v>38</v>
      </c>
      <c r="B30" s="116" t="s">
        <v>38</v>
      </c>
      <c r="C30" s="79">
        <f ca="1">OFFSET('Other Options'!$B$4,MATCH(ACOT_trans!$B30,'Other Options'!$A$5:$A$58,0),0)/ACOT_trans!G30*1000</f>
        <v>17.110783137975556</v>
      </c>
      <c r="D30" s="79">
        <f ca="1">OFFSET('Other Options'!$H$4,MATCH(ACOT_trans!$B30,'Other Options'!$E$5:$E$55,0),0)</f>
        <v>15.863271349640499</v>
      </c>
      <c r="E30" s="79">
        <f ca="1">'Residential Cap'!U33</f>
        <v>14.703126377748452</v>
      </c>
      <c r="F30" s="79">
        <f ca="1">'Residential Cap'!BH33</f>
        <v>15.008311872059865</v>
      </c>
      <c r="G30" s="679">
        <f t="shared" ca="1" si="1"/>
        <v>376.82319999999999</v>
      </c>
      <c r="H30" s="79">
        <f ca="1">OFFSET(Volumes!$C$1,MATCH($B30,Volumes!$A$2:$A$46,0),0)*'Residential Cap'!$S$5</f>
        <v>395.66435999999999</v>
      </c>
      <c r="I30" s="79">
        <f>ACOT!B29</f>
        <v>0</v>
      </c>
      <c r="J30" s="79">
        <f t="shared" ca="1" si="2"/>
        <v>0</v>
      </c>
      <c r="K30" s="79">
        <f t="shared" ca="1" si="0"/>
        <v>17.110783137975556</v>
      </c>
      <c r="M30" s="79">
        <f ca="1">C30*Volumes!$M27/1000</f>
        <v>130.86806045851569</v>
      </c>
      <c r="N30" s="79">
        <f ca="1">K30*Volumes!$M27/1000</f>
        <v>130.86806045851569</v>
      </c>
      <c r="O30" s="79">
        <f ca="1">(F30+('Residential Cap'!Z33-'Residential Cap'!Y33)*10)*Volumes!$M27/1000</f>
        <v>67.63479593491671</v>
      </c>
      <c r="P30" s="79">
        <f t="shared" ca="1" si="3"/>
        <v>-63.233264523598976</v>
      </c>
      <c r="Q30" s="79">
        <f t="shared" ca="1" si="4"/>
        <v>-63.233264523598976</v>
      </c>
      <c r="R30" s="80"/>
      <c r="S30" s="80"/>
      <c r="T30" s="80"/>
      <c r="U30" s="80"/>
    </row>
    <row r="31" spans="1:21" x14ac:dyDescent="0.3">
      <c r="A31" s="94" t="s">
        <v>503</v>
      </c>
      <c r="B31" s="116" t="s">
        <v>39</v>
      </c>
      <c r="C31" s="79">
        <f ca="1">OFFSET('Other Options'!$B$4,MATCH(ACOT_trans!$B31,'Other Options'!$A$5:$A$58,0),0)/ACOT_trans!G31*1000</f>
        <v>15.839899810180441</v>
      </c>
      <c r="D31" s="79">
        <f ca="1">OFFSET('Other Options'!$H$4,MATCH(ACOT_trans!$B31,'Other Options'!$E$5:$E$55,0),0)</f>
        <v>17.780832855539657</v>
      </c>
      <c r="E31" s="79">
        <f ca="1">'Residential Cap'!U34</f>
        <v>16.303769523647407</v>
      </c>
      <c r="F31" s="79">
        <f ca="1">'Residential Cap'!BH34</f>
        <v>16.64707242996251</v>
      </c>
      <c r="G31" s="679">
        <f t="shared" ca="1" si="1"/>
        <v>1244.671</v>
      </c>
      <c r="H31" s="79">
        <f ca="1">OFFSET(Volumes!$C$1,MATCH($B31,Volumes!$A$2:$A$46,0),0)*'Residential Cap'!$S$5</f>
        <v>1306.9045500000002</v>
      </c>
      <c r="I31" s="79">
        <f>ACOT!B30</f>
        <v>3.7228957350000003</v>
      </c>
      <c r="J31" s="79">
        <f t="shared" ca="1" si="2"/>
        <v>2.8486362948235198</v>
      </c>
      <c r="K31" s="79">
        <f t="shared" ca="1" si="0"/>
        <v>18.688536105003962</v>
      </c>
      <c r="M31" s="79">
        <f ca="1">C31*Volumes!$M28/1000</f>
        <v>111.28796808636574</v>
      </c>
      <c r="N31" s="79">
        <f ca="1">K31*Volumes!$M28/1000</f>
        <v>131.30191696653685</v>
      </c>
      <c r="O31" s="79">
        <f ca="1">(F31+('Residential Cap'!Z34-'Residential Cap'!Y34)*10)*Volumes!$M28/1000</f>
        <v>46.018680602578314</v>
      </c>
      <c r="P31" s="79">
        <f t="shared" ca="1" si="3"/>
        <v>-65.269287483787423</v>
      </c>
      <c r="Q31" s="79">
        <f t="shared" ca="1" si="4"/>
        <v>-85.283236363958537</v>
      </c>
      <c r="R31" s="80"/>
      <c r="S31" s="80"/>
      <c r="T31" s="80"/>
      <c r="U31" s="80"/>
    </row>
    <row r="32" spans="1:21" x14ac:dyDescent="0.3">
      <c r="A32" s="94" t="s">
        <v>40</v>
      </c>
      <c r="B32" s="116" t="s">
        <v>40</v>
      </c>
      <c r="C32" s="79">
        <f ca="1">OFFSET('Other Options'!$B$4,MATCH(ACOT_trans!$B32,'Other Options'!$A$5:$A$58,0),0)/ACOT_trans!G32*1000</f>
        <v>22.415914100668541</v>
      </c>
      <c r="D32" s="79">
        <f ca="1">OFFSET('Other Options'!$H$4,MATCH(ACOT_trans!$B32,'Other Options'!$E$5:$E$55,0),0)</f>
        <v>17.522951927676981</v>
      </c>
      <c r="E32" s="79">
        <f ca="1">'Residential Cap'!U35</f>
        <v>15.997259132745205</v>
      </c>
      <c r="F32" s="79">
        <f ca="1">'Residential Cap'!BH35</f>
        <v>16.35228255617286</v>
      </c>
      <c r="G32" s="679">
        <f t="shared" ca="1" si="1"/>
        <v>2464.46</v>
      </c>
      <c r="H32" s="79">
        <f ca="1">OFFSET(Volumes!$C$1,MATCH($B32,Volumes!$A$2:$A$46,0),0)*'Residential Cap'!$S$5</f>
        <v>2587.683</v>
      </c>
      <c r="I32" s="79">
        <f>ACOT!B31</f>
        <v>0.17559420499999998</v>
      </c>
      <c r="J32" s="79">
        <f t="shared" ca="1" si="2"/>
        <v>6.7857695475063984E-2</v>
      </c>
      <c r="K32" s="79">
        <f t="shared" ca="1" si="0"/>
        <v>22.483771796143603</v>
      </c>
      <c r="M32" s="79">
        <f ca="1">C32*Volumes!$M29/1000</f>
        <v>160.49077186827455</v>
      </c>
      <c r="N32" s="79">
        <f ca="1">K32*Volumes!$M29/1000</f>
        <v>160.97661125341344</v>
      </c>
      <c r="O32" s="79">
        <f ca="1">(F32+('Residential Cap'!Z35-'Residential Cap'!Y35)*10)*Volumes!$M29/1000</f>
        <v>56.453982844776903</v>
      </c>
      <c r="P32" s="79">
        <f t="shared" ca="1" si="3"/>
        <v>-104.03678902349765</v>
      </c>
      <c r="Q32" s="79">
        <f t="shared" ca="1" si="4"/>
        <v>-104.52262840863654</v>
      </c>
      <c r="R32" s="80"/>
      <c r="S32" s="80"/>
      <c r="T32" s="80"/>
      <c r="U32" s="80"/>
    </row>
    <row r="33" spans="1:21" x14ac:dyDescent="0.3">
      <c r="A33" s="94" t="s">
        <v>41</v>
      </c>
      <c r="B33" s="116" t="s">
        <v>41</v>
      </c>
      <c r="C33" s="79">
        <f ca="1">OFFSET('Other Options'!$B$4,MATCH(ACOT_trans!$B33,'Other Options'!$A$5:$A$58,0),0)/ACOT_trans!G33*1000</f>
        <v>5.6563840130751597</v>
      </c>
      <c r="D33" s="79">
        <f ca="1">OFFSET('Other Options'!$H$4,MATCH(ACOT_trans!$B33,'Other Options'!$E$5:$E$55,0),0)</f>
        <v>16.440997249815638</v>
      </c>
      <c r="E33" s="79">
        <f ca="1">'Residential Cap'!U36</f>
        <v>14.008254028263666</v>
      </c>
      <c r="F33" s="79">
        <f ca="1">'Residential Cap'!BH36</f>
        <v>14.375093000654296</v>
      </c>
      <c r="G33" s="500">
        <f>Volumes!B42</f>
        <v>283.42599999999999</v>
      </c>
      <c r="H33" s="79">
        <f ca="1">OFFSET(Volumes!$C$1,MATCH($B33,Volumes!$A$2:$A$46,0),0)*'Residential Cap'!$S$5</f>
        <v>260.84100000000001</v>
      </c>
      <c r="I33" s="79">
        <f>ACOT!B32</f>
        <v>0.81699999999999995</v>
      </c>
      <c r="J33" s="79">
        <f t="shared" ca="1" si="2"/>
        <v>3.1321763066389101</v>
      </c>
      <c r="K33" s="79">
        <f t="shared" ca="1" si="0"/>
        <v>8.7885603197140689</v>
      </c>
      <c r="M33" s="79">
        <f ca="1">C33*Volumes!$M30/1000</f>
        <v>34.792304936745047</v>
      </c>
      <c r="N33" s="79">
        <f ca="1">K33*Volumes!$M30/1000</f>
        <v>54.058258755354835</v>
      </c>
      <c r="O33" s="79">
        <f ca="1">(F33+('Residential Cap'!Z36-'Residential Cap'!Y36)*10)*Volumes!$M30/1000</f>
        <v>29.950125785719738</v>
      </c>
      <c r="P33" s="79">
        <f t="shared" ca="1" si="3"/>
        <v>-4.8421791510253094</v>
      </c>
      <c r="Q33" s="79">
        <f t="shared" ca="1" si="4"/>
        <v>-24.108132969635097</v>
      </c>
      <c r="R33" s="80"/>
      <c r="S33" s="80"/>
      <c r="T33" s="80"/>
      <c r="U33" s="80"/>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election activeCell="AW117" sqref="AW117"/>
    </sheetView>
  </sheetViews>
  <sheetFormatPr defaultColWidth="9.109375" defaultRowHeight="14.4" x14ac:dyDescent="0.3"/>
  <cols>
    <col min="1" max="16384" width="9.109375" style="116"/>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43"/>
  <sheetViews>
    <sheetView topLeftCell="A88" zoomScale="55" zoomScaleNormal="55" workbookViewId="0">
      <selection activeCell="AW117" sqref="AW117"/>
    </sheetView>
  </sheetViews>
  <sheetFormatPr defaultColWidth="9.109375" defaultRowHeight="14.4" x14ac:dyDescent="0.3"/>
  <cols>
    <col min="1" max="1" width="21" style="17" bestFit="1" customWidth="1"/>
    <col min="2" max="2" width="23.44140625" style="17" customWidth="1"/>
    <col min="3" max="3" width="21" style="17" customWidth="1"/>
    <col min="4" max="5" width="22.6640625" style="17" customWidth="1"/>
    <col min="6" max="7" width="22.88671875" style="17" customWidth="1"/>
    <col min="8" max="8" width="23.109375" style="183" customWidth="1"/>
    <col min="9" max="9" width="26.5546875" style="17" customWidth="1"/>
    <col min="10" max="10" width="30.6640625" style="17" customWidth="1"/>
    <col min="11" max="17" width="9.109375" style="17"/>
    <col min="18" max="18" width="20.88671875" style="17" customWidth="1"/>
    <col min="19" max="26" width="9.109375" style="17"/>
    <col min="27" max="27" width="10" style="17" customWidth="1"/>
    <col min="28" max="28" width="9.109375" style="17"/>
    <col min="29" max="30" width="14.6640625" style="17" customWidth="1"/>
    <col min="31" max="31" width="9.109375" style="28"/>
    <col min="32" max="32" width="9.109375" style="17"/>
    <col min="33" max="33" width="11.6640625" style="17" customWidth="1"/>
    <col min="34" max="34" width="9.109375" style="17"/>
    <col min="35" max="35" width="10.6640625" style="17" customWidth="1"/>
    <col min="36" max="16384" width="9.109375" style="17"/>
  </cols>
  <sheetData>
    <row r="1" spans="1:31" x14ac:dyDescent="0.3">
      <c r="A1" s="695"/>
      <c r="B1" s="696" t="s">
        <v>58</v>
      </c>
      <c r="C1" s="697"/>
      <c r="D1" s="695" t="str">
        <f>D2&amp;" as per "&amp;C3</f>
        <v>Proposal assuming ACOT discontinued as per Second Issues paper</v>
      </c>
      <c r="E1" s="698" t="str">
        <f>E2&amp;" "&amp;E3</f>
        <v>Proposal assuming continuation of ACOT Refined Residual &amp; Capped at (3.5%)</v>
      </c>
      <c r="F1" s="695" t="str">
        <f>F2&amp;" "&amp;E3</f>
        <v>Proposal assuming ACOT discontinued Refined Residual &amp; Capped at (3.5%)</v>
      </c>
      <c r="G1" s="695"/>
      <c r="H1" s="695"/>
      <c r="I1" s="695"/>
      <c r="J1" s="699" t="s">
        <v>61</v>
      </c>
    </row>
    <row r="2" spans="1:31" s="49" customFormat="1" ht="45.75" customHeight="1" x14ac:dyDescent="0.3">
      <c r="A2" s="752" t="s">
        <v>823</v>
      </c>
      <c r="B2" s="413"/>
      <c r="C2" s="700" t="s">
        <v>625</v>
      </c>
      <c r="D2" s="701" t="s">
        <v>624</v>
      </c>
      <c r="E2" s="700" t="s">
        <v>625</v>
      </c>
      <c r="F2" s="701" t="s">
        <v>624</v>
      </c>
      <c r="G2" s="702"/>
      <c r="H2" s="702"/>
      <c r="I2" s="702"/>
      <c r="J2" s="703"/>
      <c r="AE2" s="34"/>
    </row>
    <row r="3" spans="1:31" s="49" customFormat="1" ht="24.75" customHeight="1" x14ac:dyDescent="0.3">
      <c r="A3" s="752"/>
      <c r="B3" s="413"/>
      <c r="C3" s="753" t="s">
        <v>732</v>
      </c>
      <c r="D3" s="754"/>
      <c r="E3" s="755" t="str">
        <f>"Refined Residual &amp; Capped at ("&amp;'Residential Cap'!AC5*100&amp;"%)"</f>
        <v>Refined Residual &amp; Capped at (3.5%)</v>
      </c>
      <c r="F3" s="755"/>
      <c r="G3" s="704"/>
      <c r="H3" s="705" t="s">
        <v>733</v>
      </c>
      <c r="I3" s="702"/>
      <c r="J3" s="703"/>
      <c r="AE3" s="34"/>
    </row>
    <row r="4" spans="1:31" x14ac:dyDescent="0.3">
      <c r="A4" s="752"/>
      <c r="B4" s="697" t="s">
        <v>0</v>
      </c>
      <c r="C4" s="451">
        <f ca="1">(ACOT_trans!D5-ACOT_trans!C5)/10</f>
        <v>-7.5001226256675407E-2</v>
      </c>
      <c r="D4" s="451">
        <f ca="1">(ACOT_trans!D5-ACOT_trans!K5)/10</f>
        <v>-7.5001226256675407E-2</v>
      </c>
      <c r="E4" s="706">
        <f ca="1">(ACOT_trans!F5-ACOT_trans!C5)/10</f>
        <v>-0.13060571399939908</v>
      </c>
      <c r="F4" s="706">
        <f ca="1">(ACOT_trans!F5-ACOT_trans!K5)/10</f>
        <v>-0.13060571399939908</v>
      </c>
      <c r="G4" s="707"/>
      <c r="H4" s="708"/>
      <c r="I4" s="708"/>
      <c r="J4" s="708"/>
    </row>
    <row r="5" spans="1:31" x14ac:dyDescent="0.3">
      <c r="A5" s="752"/>
      <c r="B5" s="697" t="s">
        <v>1</v>
      </c>
      <c r="C5" s="451">
        <f ca="1">(ACOT_trans!D6-ACOT_trans!C6)/10</f>
        <v>-0.16650327467851103</v>
      </c>
      <c r="D5" s="451">
        <f ca="1">(ACOT_trans!D6-ACOT_trans!K6)/10</f>
        <v>-0.6714629456136546</v>
      </c>
      <c r="E5" s="706">
        <f ca="1">(ACOT_trans!F6-ACOT_trans!C6)/10</f>
        <v>-0.24878727379170548</v>
      </c>
      <c r="F5" s="706">
        <f ca="1">(ACOT_trans!F6-ACOT_trans!K6)/10</f>
        <v>-0.753746944726849</v>
      </c>
      <c r="G5" s="707"/>
      <c r="H5" s="708"/>
      <c r="I5" s="708"/>
      <c r="J5" s="708"/>
    </row>
    <row r="6" spans="1:31" x14ac:dyDescent="0.3">
      <c r="A6" s="752"/>
      <c r="B6" s="697" t="s">
        <v>2</v>
      </c>
      <c r="C6" s="451">
        <f ca="1">(ACOT_trans!D7-ACOT_trans!C7)/10</f>
        <v>0.48307694983517369</v>
      </c>
      <c r="D6" s="451">
        <f ca="1">(ACOT_trans!D7-ACOT_trans!K7)/10</f>
        <v>0.48307694983517369</v>
      </c>
      <c r="E6" s="706">
        <f ca="1">(ACOT_trans!F7-ACOT_trans!C7)/10</f>
        <v>6.6934059954036937E-2</v>
      </c>
      <c r="F6" s="706">
        <f ca="1">(ACOT_trans!F7-ACOT_trans!K7)/10</f>
        <v>6.6934059954036937E-2</v>
      </c>
      <c r="G6" s="707"/>
      <c r="H6" s="708" t="s">
        <v>734</v>
      </c>
      <c r="I6" s="708"/>
      <c r="J6" s="708"/>
    </row>
    <row r="7" spans="1:31" x14ac:dyDescent="0.3">
      <c r="A7" s="752"/>
      <c r="B7" s="697" t="s">
        <v>68</v>
      </c>
      <c r="C7" s="451">
        <f ca="1">(ACOT_trans!D8-ACOT_trans!C8)/10</f>
        <v>-0.41104550564306236</v>
      </c>
      <c r="D7" s="451">
        <f ca="1">(ACOT_trans!D8-ACOT_trans!K8)/10</f>
        <v>-0.41104550564306236</v>
      </c>
      <c r="E7" s="706">
        <f ca="1">(ACOT_trans!F8-ACOT_trans!C8)/10</f>
        <v>-0.4821472081709347</v>
      </c>
      <c r="F7" s="706">
        <f ca="1">(ACOT_trans!F8-ACOT_trans!K8)/10</f>
        <v>-0.4821472081709347</v>
      </c>
      <c r="G7" s="707"/>
      <c r="H7" s="708"/>
      <c r="I7" s="708"/>
      <c r="J7" s="708"/>
    </row>
    <row r="8" spans="1:31" x14ac:dyDescent="0.3">
      <c r="A8" s="752"/>
      <c r="B8" s="697" t="s">
        <v>5</v>
      </c>
      <c r="C8" s="451">
        <f ca="1">(ACOT_trans!D9-ACOT_trans!C9)/10</f>
        <v>0.40680942689352906</v>
      </c>
      <c r="D8" s="451">
        <f ca="1">(ACOT_trans!D9-ACOT_trans!K9)/10</f>
        <v>0.40680942689352906</v>
      </c>
      <c r="E8" s="706">
        <f ca="1">(ACOT_trans!F9-ACOT_trans!C9)/10</f>
        <v>0.12650069675656858</v>
      </c>
      <c r="F8" s="706">
        <f ca="1">(ACOT_trans!F9-ACOT_trans!K9)/10</f>
        <v>0.12650069675656858</v>
      </c>
      <c r="G8" s="707"/>
      <c r="H8" s="709"/>
      <c r="I8" s="708"/>
      <c r="J8" s="708"/>
    </row>
    <row r="9" spans="1:31" x14ac:dyDescent="0.3">
      <c r="A9" s="752"/>
      <c r="B9" s="697" t="s">
        <v>7</v>
      </c>
      <c r="C9" s="451">
        <f ca="1">(ACOT_trans!D10-ACOT_trans!C10)/10</f>
        <v>-0.38128997454367503</v>
      </c>
      <c r="D9" s="451">
        <f ca="1">(ACOT_trans!D10-ACOT_trans!K10)/10</f>
        <v>-1.2144620183163761</v>
      </c>
      <c r="E9" s="706">
        <f ca="1">(ACOT_trans!F10-ACOT_trans!C10)/10</f>
        <v>-0.46611871925829684</v>
      </c>
      <c r="F9" s="706">
        <f ca="1">(ACOT_trans!F10-ACOT_trans!K10)/10</f>
        <v>-1.299290763030998</v>
      </c>
      <c r="G9" s="707"/>
      <c r="H9" s="708"/>
      <c r="I9" s="708"/>
      <c r="J9" s="708"/>
    </row>
    <row r="10" spans="1:31" x14ac:dyDescent="0.3">
      <c r="A10" s="752"/>
      <c r="B10" s="697" t="s">
        <v>8</v>
      </c>
      <c r="C10" s="451">
        <f ca="1">(ACOT_trans!D11-ACOT_trans!C11)/10</f>
        <v>0.2217885838442209</v>
      </c>
      <c r="D10" s="451">
        <f ca="1">(ACOT_trans!D11-ACOT_trans!K11)/10</f>
        <v>-8.1886122227765062E-2</v>
      </c>
      <c r="E10" s="706">
        <f ca="1">(ACOT_trans!F11-ACOT_trans!C11)/10</f>
        <v>0.12059074655634401</v>
      </c>
      <c r="F10" s="706">
        <f ca="1">(ACOT_trans!F11-ACOT_trans!K11)/10</f>
        <v>-0.18308395951564194</v>
      </c>
      <c r="G10" s="707"/>
      <c r="H10" s="708"/>
      <c r="I10" s="708"/>
      <c r="J10" s="708"/>
    </row>
    <row r="11" spans="1:31" x14ac:dyDescent="0.3">
      <c r="A11" s="752"/>
      <c r="B11" s="697" t="s">
        <v>9</v>
      </c>
      <c r="C11" s="451">
        <f ca="1">(ACOT_trans!D12-ACOT_trans!C12)/10</f>
        <v>1.3410513883556452</v>
      </c>
      <c r="D11" s="451">
        <f ca="1">(ACOT_trans!D12-ACOT_trans!K12)/10</f>
        <v>1.1751490606670227</v>
      </c>
      <c r="E11" s="706">
        <f ca="1">(ACOT_trans!F12-ACOT_trans!C12)/10</f>
        <v>0.92594734936918766</v>
      </c>
      <c r="F11" s="706">
        <f ca="1">(ACOT_trans!F12-ACOT_trans!K12)/10</f>
        <v>0.7600450216805652</v>
      </c>
      <c r="G11" s="707"/>
      <c r="H11" s="708" t="s">
        <v>735</v>
      </c>
      <c r="I11" s="708"/>
      <c r="J11" s="708"/>
    </row>
    <row r="12" spans="1:31" x14ac:dyDescent="0.3">
      <c r="A12" s="752"/>
      <c r="B12" s="697" t="s">
        <v>69</v>
      </c>
      <c r="C12" s="451">
        <f ca="1">(ACOT_trans!D13-ACOT_trans!C13)/10</f>
        <v>-0.7531055404439414</v>
      </c>
      <c r="D12" s="451">
        <f ca="1">(ACOT_trans!D13-ACOT_trans!K13)/10</f>
        <v>-0.7531055404439414</v>
      </c>
      <c r="E12" s="706">
        <f ca="1">(ACOT_trans!F13-ACOT_trans!C13)/10</f>
        <v>-0.71533818393297399</v>
      </c>
      <c r="F12" s="706">
        <f ca="1">(ACOT_trans!F13-ACOT_trans!K13)/10</f>
        <v>-0.71533818393297399</v>
      </c>
      <c r="G12" s="707"/>
      <c r="H12" s="708"/>
      <c r="I12" s="708"/>
      <c r="J12" s="708"/>
    </row>
    <row r="13" spans="1:31" x14ac:dyDescent="0.3">
      <c r="A13" s="752"/>
      <c r="B13" s="697" t="s">
        <v>11</v>
      </c>
      <c r="C13" s="451">
        <f ca="1">(ACOT_trans!D14-ACOT_trans!C14)/10</f>
        <v>0.72373683355169915</v>
      </c>
      <c r="D13" s="451">
        <f ca="1">(ACOT_trans!D14-ACOT_trans!K14)/10</f>
        <v>7.5269128655037681E-2</v>
      </c>
      <c r="E13" s="706">
        <f ca="1">(ACOT_trans!F14-ACOT_trans!C14)/10</f>
        <v>0.63416394996787362</v>
      </c>
      <c r="F13" s="706">
        <f ca="1">(ACOT_trans!F14-ACOT_trans!K14)/10</f>
        <v>-1.4303754928787882E-2</v>
      </c>
      <c r="G13" s="707"/>
      <c r="H13" s="708"/>
      <c r="I13" s="708"/>
      <c r="J13" s="708"/>
    </row>
    <row r="14" spans="1:31" x14ac:dyDescent="0.3">
      <c r="A14" s="752"/>
      <c r="B14" s="697" t="s">
        <v>70</v>
      </c>
      <c r="C14" s="451">
        <f ca="1">(ACOT_trans!D15-ACOT_trans!C15)/10</f>
        <v>-0.36077601313060959</v>
      </c>
      <c r="D14" s="451">
        <f ca="1">(ACOT_trans!D15-ACOT_trans!K15)/10</f>
        <v>-0.36077601313060959</v>
      </c>
      <c r="E14" s="706">
        <f ca="1">(ACOT_trans!F15-ACOT_trans!C15)/10</f>
        <v>-0.44336858282626307</v>
      </c>
      <c r="F14" s="706">
        <f ca="1">(ACOT_trans!F15-ACOT_trans!K15)/10</f>
        <v>-0.44336858282626307</v>
      </c>
      <c r="G14" s="707"/>
      <c r="H14" s="708"/>
      <c r="I14" s="708"/>
      <c r="J14" s="708"/>
    </row>
    <row r="15" spans="1:31" x14ac:dyDescent="0.3">
      <c r="A15" s="752"/>
      <c r="B15" s="697" t="s">
        <v>12</v>
      </c>
      <c r="C15" s="451">
        <f ca="1">(ACOT_trans!D16-ACOT_trans!C16)/10</f>
        <v>-0.21519919947713309</v>
      </c>
      <c r="D15" s="451">
        <f ca="1">(ACOT_trans!D16-ACOT_trans!K16)/10</f>
        <v>-0.37423685419396779</v>
      </c>
      <c r="E15" s="706">
        <f ca="1">(ACOT_trans!F16-ACOT_trans!C16)/10</f>
        <v>-0.30259694215472199</v>
      </c>
      <c r="F15" s="706">
        <f ca="1">(ACOT_trans!F16-ACOT_trans!K16)/10</f>
        <v>-0.46163459687155672</v>
      </c>
      <c r="G15" s="707"/>
      <c r="H15" s="708"/>
      <c r="I15" s="708"/>
      <c r="J15" s="708"/>
    </row>
    <row r="16" spans="1:31" x14ac:dyDescent="0.3">
      <c r="A16" s="752"/>
      <c r="B16" s="697" t="s">
        <v>13</v>
      </c>
      <c r="C16" s="451">
        <f ca="1">(ACOT_trans!D17-ACOT_trans!C17)/10</f>
        <v>-0.42543764164311215</v>
      </c>
      <c r="D16" s="451">
        <f ca="1">(ACOT_trans!D17-ACOT_trans!K17)/10</f>
        <v>-0.46332309255983051</v>
      </c>
      <c r="E16" s="706">
        <f ca="1">(ACOT_trans!F17-ACOT_trans!C17)/10</f>
        <v>-0.47711868476527658</v>
      </c>
      <c r="F16" s="706">
        <f ca="1">(ACOT_trans!F17-ACOT_trans!K17)/10</f>
        <v>-0.51500413568199499</v>
      </c>
      <c r="G16" s="707"/>
      <c r="H16" s="708"/>
      <c r="I16" s="708"/>
      <c r="J16" s="708"/>
    </row>
    <row r="17" spans="1:45" x14ac:dyDescent="0.3">
      <c r="A17" s="752"/>
      <c r="B17" s="697" t="s">
        <v>19</v>
      </c>
      <c r="C17" s="451">
        <f ca="1">(ACOT_trans!D18-ACOT_trans!C18)/10</f>
        <v>-5.7976139135475259E-2</v>
      </c>
      <c r="D17" s="451">
        <f ca="1">(ACOT_trans!D18-ACOT_trans!K18)/10</f>
        <v>-6.7501213014981867E-2</v>
      </c>
      <c r="E17" s="706">
        <f ca="1">(ACOT_trans!F18-ACOT_trans!C18)/10</f>
        <v>-0.12635160312994581</v>
      </c>
      <c r="F17" s="706">
        <f ca="1">(ACOT_trans!F18-ACOT_trans!K18)/10</f>
        <v>-0.13587667700945244</v>
      </c>
      <c r="G17" s="707"/>
      <c r="H17" s="708"/>
      <c r="I17" s="708"/>
      <c r="J17" s="708"/>
    </row>
    <row r="18" spans="1:45" x14ac:dyDescent="0.3">
      <c r="A18" s="752"/>
      <c r="B18" s="697" t="s">
        <v>20</v>
      </c>
      <c r="C18" s="451">
        <f ca="1">(ACOT_trans!D19-ACOT_trans!C19)/10</f>
        <v>0.28090790340280269</v>
      </c>
      <c r="D18" s="451">
        <f ca="1">(ACOT_trans!D19-ACOT_trans!K19)/10</f>
        <v>0.28090790340280269</v>
      </c>
      <c r="E18" s="706">
        <f ca="1">(ACOT_trans!F19-ACOT_trans!C19)/10</f>
        <v>0.18461586536526015</v>
      </c>
      <c r="F18" s="706">
        <f ca="1">(ACOT_trans!F19-ACOT_trans!K19)/10</f>
        <v>0.18461586536526015</v>
      </c>
      <c r="G18" s="707"/>
      <c r="H18" s="708"/>
      <c r="I18" s="708"/>
      <c r="J18" s="708"/>
    </row>
    <row r="19" spans="1:45" x14ac:dyDescent="0.3">
      <c r="A19" s="752"/>
      <c r="B19" s="697" t="s">
        <v>23</v>
      </c>
      <c r="C19" s="451">
        <f ca="1">(ACOT_trans!D20-ACOT_trans!C20)/10</f>
        <v>0.99262842515093008</v>
      </c>
      <c r="D19" s="451">
        <f ca="1">(ACOT_trans!D20-ACOT_trans!K20)/10</f>
        <v>0.57867815806232303</v>
      </c>
      <c r="E19" s="706">
        <f ca="1">(ACOT_trans!F20-ACOT_trans!C20)/10</f>
        <v>0.57886030410524758</v>
      </c>
      <c r="F19" s="706">
        <f ca="1">(ACOT_trans!F20-ACOT_trans!K20)/10</f>
        <v>0.16491003701664048</v>
      </c>
      <c r="G19" s="707"/>
      <c r="H19" s="708"/>
      <c r="I19" s="708"/>
      <c r="J19" s="708"/>
    </row>
    <row r="20" spans="1:45" x14ac:dyDescent="0.3">
      <c r="A20" s="752"/>
      <c r="B20" s="697" t="s">
        <v>25</v>
      </c>
      <c r="C20" s="451">
        <f ca="1">(ACOT_trans!D21-ACOT_trans!C21)/10</f>
        <v>-0.50362726858123463</v>
      </c>
      <c r="D20" s="451">
        <f ca="1">(ACOT_trans!D21-ACOT_trans!K21)/10</f>
        <v>-0.53963910797739489</v>
      </c>
      <c r="E20" s="706">
        <f ca="1">(ACOT_trans!F21-ACOT_trans!C21)/10</f>
        <v>-0.59019308624134337</v>
      </c>
      <c r="F20" s="706">
        <f ca="1">(ACOT_trans!F21-ACOT_trans!K21)/10</f>
        <v>-0.62620492563750363</v>
      </c>
      <c r="G20" s="707"/>
      <c r="H20" s="708"/>
      <c r="I20" s="708"/>
      <c r="J20" s="708"/>
    </row>
    <row r="21" spans="1:45" x14ac:dyDescent="0.3">
      <c r="A21" s="752"/>
      <c r="B21" s="697" t="s">
        <v>71</v>
      </c>
      <c r="C21" s="451">
        <f ca="1">(ACOT_trans!D22-ACOT_trans!C22)/10</f>
        <v>0.17569484153957368</v>
      </c>
      <c r="D21" s="451">
        <f ca="1">(ACOT_trans!D22-ACOT_trans!K22)/10</f>
        <v>-5.2480394689857948E-2</v>
      </c>
      <c r="E21" s="706">
        <f ca="1">(ACOT_trans!F22-ACOT_trans!C22)/10</f>
        <v>0.14219682186887592</v>
      </c>
      <c r="F21" s="706">
        <f ca="1">(ACOT_trans!F22-ACOT_trans!K22)/10</f>
        <v>-8.5978414360555713E-2</v>
      </c>
      <c r="G21" s="707"/>
      <c r="H21" s="708"/>
      <c r="I21" s="708"/>
      <c r="J21" s="708"/>
    </row>
    <row r="22" spans="1:45" x14ac:dyDescent="0.3">
      <c r="A22" s="752"/>
      <c r="B22" s="697" t="s">
        <v>28</v>
      </c>
      <c r="C22" s="451">
        <f ca="1">(ACOT_trans!D23-ACOT_trans!C23)/10</f>
        <v>-3.8354759951525354E-2</v>
      </c>
      <c r="D22" s="451">
        <f ca="1">(ACOT_trans!D23-ACOT_trans!K23)/10</f>
        <v>-0.23836783132760714</v>
      </c>
      <c r="E22" s="706">
        <f ca="1">(ACOT_trans!F23-ACOT_trans!C23)/10</f>
        <v>-0.31310613570233964</v>
      </c>
      <c r="F22" s="706">
        <f ca="1">(ACOT_trans!F23-ACOT_trans!K23)/10</f>
        <v>-0.5131192070784214</v>
      </c>
      <c r="G22" s="707"/>
      <c r="H22" s="708"/>
      <c r="I22" s="708"/>
      <c r="J22" s="708"/>
    </row>
    <row r="23" spans="1:45" x14ac:dyDescent="0.3">
      <c r="A23" s="752"/>
      <c r="B23" s="697" t="s">
        <v>31</v>
      </c>
      <c r="C23" s="451">
        <f ca="1">(ACOT_trans!D24-ACOT_trans!C24)/10</f>
        <v>-0.39207902637692482</v>
      </c>
      <c r="D23" s="451">
        <f ca="1">(ACOT_trans!D24-ACOT_trans!K24)/10</f>
        <v>-0.39207902637692482</v>
      </c>
      <c r="E23" s="706">
        <f ca="1">(ACOT_trans!F24-ACOT_trans!C24)/10</f>
        <v>-0.46990303217136553</v>
      </c>
      <c r="F23" s="706">
        <f ca="1">(ACOT_trans!F24-ACOT_trans!K24)/10</f>
        <v>-0.46990303217136553</v>
      </c>
      <c r="G23" s="707"/>
      <c r="H23" s="708"/>
      <c r="I23" s="708"/>
      <c r="J23" s="708"/>
    </row>
    <row r="24" spans="1:45" x14ac:dyDescent="0.3">
      <c r="A24" s="752"/>
      <c r="B24" s="697" t="s">
        <v>32</v>
      </c>
      <c r="C24" s="451">
        <f ca="1">(ACOT_trans!D25-ACOT_trans!C25)/10</f>
        <v>0.515279711809149</v>
      </c>
      <c r="D24" s="451">
        <f ca="1">(ACOT_trans!D25-ACOT_trans!K25)/10</f>
        <v>7.3660375122103619E-2</v>
      </c>
      <c r="E24" s="706">
        <f ca="1">(ACOT_trans!F25-ACOT_trans!C25)/10</f>
        <v>0.38905435148873851</v>
      </c>
      <c r="F24" s="706">
        <f ca="1">(ACOT_trans!F25-ACOT_trans!K25)/10</f>
        <v>-5.2564985198306859E-2</v>
      </c>
      <c r="G24" s="707"/>
      <c r="H24" s="708"/>
      <c r="I24" s="708"/>
      <c r="J24" s="708"/>
    </row>
    <row r="25" spans="1:45" x14ac:dyDescent="0.3">
      <c r="A25" s="752"/>
      <c r="B25" s="697" t="s">
        <v>73</v>
      </c>
      <c r="C25" s="451">
        <f ca="1">(ACOT_trans!D26-ACOT_trans!C26)/10</f>
        <v>4.6429895642434896E-2</v>
      </c>
      <c r="D25" s="451">
        <f ca="1">(ACOT_trans!D26-ACOT_trans!K26)/10</f>
        <v>-0.21733034431630802</v>
      </c>
      <c r="E25" s="706">
        <f ca="1">(ACOT_trans!F26-ACOT_trans!C26)/10</f>
        <v>-5.1525738158305859E-3</v>
      </c>
      <c r="F25" s="706">
        <f ca="1">(ACOT_trans!F26-ACOT_trans!K26)/10</f>
        <v>-0.26891281377457349</v>
      </c>
      <c r="G25" s="707"/>
      <c r="H25" s="708"/>
      <c r="I25" s="708"/>
      <c r="J25" s="708"/>
    </row>
    <row r="26" spans="1:45" x14ac:dyDescent="0.3">
      <c r="A26" s="752"/>
      <c r="B26" s="697" t="s">
        <v>34</v>
      </c>
      <c r="C26" s="451">
        <f ca="1">(ACOT_trans!D27-ACOT_trans!C27)/10</f>
        <v>1.4439332823446211</v>
      </c>
      <c r="D26" s="451">
        <f ca="1">(ACOT_trans!D27-ACOT_trans!K27)/10</f>
        <v>0.21488491122638892</v>
      </c>
      <c r="E26" s="706">
        <f ca="1">(ACOT_trans!F27-ACOT_trans!C27)/10</f>
        <v>0.46512913999297856</v>
      </c>
      <c r="F26" s="706">
        <f ca="1">(ACOT_trans!F27-ACOT_trans!K27)/10</f>
        <v>-0.76391923112525362</v>
      </c>
      <c r="G26" s="707"/>
      <c r="H26" s="708"/>
      <c r="I26" s="708"/>
      <c r="J26" s="708"/>
    </row>
    <row r="27" spans="1:45" x14ac:dyDescent="0.3">
      <c r="A27" s="752"/>
      <c r="B27" s="697" t="s">
        <v>36</v>
      </c>
      <c r="C27" s="451">
        <f ca="1">(ACOT_trans!D28-ACOT_trans!C28)/10</f>
        <v>-0.35199934970215258</v>
      </c>
      <c r="D27" s="451">
        <f ca="1">(ACOT_trans!D28-ACOT_trans!K28)/10</f>
        <v>-0.70236840007437407</v>
      </c>
      <c r="E27" s="706">
        <f ca="1">(ACOT_trans!F28-ACOT_trans!C28)/10</f>
        <v>-0.455772032713889</v>
      </c>
      <c r="F27" s="706">
        <f ca="1">(ACOT_trans!F28-ACOT_trans!K28)/10</f>
        <v>-0.80614108308611043</v>
      </c>
      <c r="G27" s="707"/>
      <c r="H27" s="708"/>
      <c r="I27" s="708"/>
      <c r="J27" s="708"/>
      <c r="AC27" s="22"/>
      <c r="AD27" s="22"/>
      <c r="AE27" s="141"/>
      <c r="AF27" s="22"/>
      <c r="AG27" s="22"/>
      <c r="AH27" s="22"/>
      <c r="AI27" s="22"/>
      <c r="AJ27" s="22"/>
      <c r="AK27" s="22"/>
      <c r="AL27" s="22"/>
      <c r="AM27" s="22"/>
      <c r="AN27" s="22"/>
      <c r="AO27" s="22"/>
      <c r="AP27" s="22"/>
      <c r="AQ27" s="22"/>
      <c r="AR27" s="22"/>
      <c r="AS27" s="22"/>
    </row>
    <row r="28" spans="1:45" x14ac:dyDescent="0.3">
      <c r="A28" s="752"/>
      <c r="B28" s="697" t="s">
        <v>37</v>
      </c>
      <c r="C28" s="451">
        <f ca="1">(ACOT_trans!D29-ACOT_trans!C29)/10</f>
        <v>0.92779662130935847</v>
      </c>
      <c r="D28" s="451">
        <f ca="1">(ACOT_trans!D29-ACOT_trans!K29)/10</f>
        <v>0.82055570429215829</v>
      </c>
      <c r="E28" s="706">
        <f ca="1">(ACOT_trans!F29-ACOT_trans!C29)/10</f>
        <v>0.36879523482951626</v>
      </c>
      <c r="F28" s="706">
        <f ca="1">(ACOT_trans!F29-ACOT_trans!K29)/10</f>
        <v>0.26155431781231614</v>
      </c>
      <c r="G28" s="707"/>
      <c r="H28" s="708"/>
      <c r="I28" s="708"/>
      <c r="J28" s="708"/>
      <c r="AC28" s="22"/>
      <c r="AD28" s="22"/>
      <c r="AE28" s="141"/>
      <c r="AF28" s="22"/>
      <c r="AG28" s="22"/>
      <c r="AH28" s="22"/>
      <c r="AI28" s="22"/>
      <c r="AJ28" s="22"/>
      <c r="AK28" s="22"/>
      <c r="AL28" s="22"/>
      <c r="AM28" s="22"/>
      <c r="AN28" s="22"/>
      <c r="AO28" s="22"/>
      <c r="AP28" s="22"/>
      <c r="AQ28" s="22"/>
      <c r="AR28" s="22"/>
      <c r="AS28" s="22"/>
    </row>
    <row r="29" spans="1:45" x14ac:dyDescent="0.3">
      <c r="A29" s="752"/>
      <c r="B29" s="697" t="s">
        <v>38</v>
      </c>
      <c r="C29" s="451">
        <f ca="1">(ACOT_trans!D30-ACOT_trans!C30)/10</f>
        <v>-0.1247511788335057</v>
      </c>
      <c r="D29" s="451">
        <f ca="1">(ACOT_trans!D30-ACOT_trans!K30)/10</f>
        <v>-0.1247511788335057</v>
      </c>
      <c r="E29" s="706">
        <f ca="1">(ACOT_trans!F30-ACOT_trans!C30)/10</f>
        <v>-0.21024712659156908</v>
      </c>
      <c r="F29" s="706">
        <f ca="1">(ACOT_trans!F30-ACOT_trans!K30)/10</f>
        <v>-0.21024712659156908</v>
      </c>
      <c r="G29" s="707"/>
      <c r="H29" s="708"/>
      <c r="I29" s="708"/>
      <c r="J29" s="708"/>
      <c r="AC29" s="22"/>
      <c r="AD29" s="22"/>
      <c r="AE29" s="141"/>
      <c r="AF29" s="22"/>
      <c r="AG29" s="22"/>
      <c r="AH29" s="22"/>
      <c r="AI29" s="22"/>
      <c r="AJ29" s="22"/>
      <c r="AK29" s="22"/>
      <c r="AL29" s="22"/>
      <c r="AM29" s="22"/>
      <c r="AN29" s="22"/>
      <c r="AO29" s="22"/>
      <c r="AP29" s="22"/>
      <c r="AQ29" s="22"/>
      <c r="AR29" s="22"/>
      <c r="AS29" s="22"/>
    </row>
    <row r="30" spans="1:45" x14ac:dyDescent="0.3">
      <c r="A30" s="752"/>
      <c r="B30" s="697" t="s">
        <v>39</v>
      </c>
      <c r="C30" s="451">
        <f ca="1">(ACOT_trans!D31-ACOT_trans!C31)/10</f>
        <v>0.19409330453592161</v>
      </c>
      <c r="D30" s="451">
        <f ca="1">(ACOT_trans!D31-ACOT_trans!K31)/10</f>
        <v>-9.0770324946430489E-2</v>
      </c>
      <c r="E30" s="706">
        <f ca="1">(ACOT_trans!F31-ACOT_trans!C31)/10</f>
        <v>8.0717261978206875E-2</v>
      </c>
      <c r="F30" s="706">
        <f ca="1">(ACOT_trans!F31-ACOT_trans!K31)/10</f>
        <v>-0.20414636750414522</v>
      </c>
      <c r="G30" s="707"/>
      <c r="H30" s="708"/>
      <c r="I30" s="708"/>
      <c r="J30" s="708"/>
      <c r="R30" s="17" t="s">
        <v>537</v>
      </c>
      <c r="AC30" s="22"/>
      <c r="AD30" s="22"/>
      <c r="AE30" s="141"/>
      <c r="AF30" s="22"/>
      <c r="AG30" s="22"/>
      <c r="AH30" s="22"/>
      <c r="AI30" s="22"/>
      <c r="AJ30" s="22"/>
      <c r="AK30" s="22"/>
      <c r="AL30" s="22"/>
      <c r="AM30" s="22"/>
      <c r="AN30" s="22"/>
      <c r="AO30" s="22"/>
      <c r="AP30" s="22"/>
      <c r="AQ30" s="22"/>
      <c r="AR30" s="22"/>
      <c r="AS30" s="22"/>
    </row>
    <row r="31" spans="1:45" x14ac:dyDescent="0.3">
      <c r="A31" s="752"/>
      <c r="B31" s="697" t="s">
        <v>40</v>
      </c>
      <c r="C31" s="451">
        <f ca="1">(ACOT_trans!D32-ACOT_trans!C32)/10</f>
        <v>-0.48929621729915596</v>
      </c>
      <c r="D31" s="451">
        <f ca="1">(ACOT_trans!D32-ACOT_trans!K32)/10</f>
        <v>-0.49608198684666222</v>
      </c>
      <c r="E31" s="706">
        <f ca="1">(ACOT_trans!F32-ACOT_trans!C32)/10</f>
        <v>-0.60636315444956812</v>
      </c>
      <c r="F31" s="706">
        <f ca="1">(ACOT_trans!F32-ACOT_trans!K32)/10</f>
        <v>-0.61314892399707444</v>
      </c>
      <c r="G31" s="707"/>
      <c r="H31" s="708"/>
      <c r="I31" s="708"/>
      <c r="J31" s="708"/>
      <c r="R31" s="108"/>
      <c r="AC31" s="22"/>
      <c r="AD31" s="22"/>
      <c r="AE31" s="141"/>
      <c r="AF31" s="22"/>
      <c r="AG31" s="22"/>
      <c r="AH31" s="22"/>
      <c r="AI31" s="22"/>
      <c r="AJ31" s="22"/>
      <c r="AK31" s="22"/>
      <c r="AL31" s="205"/>
      <c r="AM31" s="22"/>
      <c r="AN31" s="22"/>
      <c r="AO31" s="22"/>
      <c r="AP31" s="22"/>
      <c r="AQ31" s="22"/>
      <c r="AR31" s="22"/>
      <c r="AS31" s="22"/>
    </row>
    <row r="32" spans="1:45" x14ac:dyDescent="0.3">
      <c r="A32" s="752"/>
      <c r="B32" s="697" t="s">
        <v>41</v>
      </c>
      <c r="C32" s="451">
        <f ca="1">(ACOT_trans!D33-ACOT_trans!C33)/10</f>
        <v>1.0784613236740479</v>
      </c>
      <c r="D32" s="451">
        <f ca="1">(ACOT_trans!D33-ACOT_trans!K33)/10</f>
        <v>0.76524369301015693</v>
      </c>
      <c r="E32" s="706">
        <f ca="1">(ACOT_trans!F33-ACOT_trans!C33)/10</f>
        <v>0.87187089875791357</v>
      </c>
      <c r="F32" s="706">
        <f ca="1">(ACOT_trans!F33-ACOT_trans!K33)/10</f>
        <v>0.55865326809402271</v>
      </c>
      <c r="G32" s="707"/>
      <c r="H32" s="708" t="s">
        <v>736</v>
      </c>
      <c r="I32" s="708"/>
      <c r="J32" s="708"/>
      <c r="AC32" s="22"/>
      <c r="AD32" s="22"/>
      <c r="AE32" s="141"/>
      <c r="AF32" s="22"/>
      <c r="AG32" s="22"/>
      <c r="AH32" s="4"/>
      <c r="AI32" s="22"/>
      <c r="AJ32" s="22"/>
      <c r="AK32" s="22"/>
      <c r="AL32" s="22"/>
      <c r="AM32" s="22"/>
      <c r="AN32" s="22"/>
      <c r="AO32" s="22"/>
      <c r="AP32" s="22"/>
      <c r="AQ32" s="22"/>
      <c r="AR32" s="22"/>
      <c r="AS32" s="22"/>
    </row>
    <row r="33" spans="1:45" x14ac:dyDescent="0.3">
      <c r="A33" s="752"/>
      <c r="B33" s="695"/>
      <c r="C33" s="695"/>
      <c r="D33" s="695"/>
      <c r="E33" s="698" t="str">
        <f>E34&amp;" "&amp;E35</f>
        <v>Proposal assuming continuation of ACOT, Refined Residual &amp; Capped at (3.5%)</v>
      </c>
      <c r="F33" s="695" t="str">
        <f>F34&amp;" "&amp;E35</f>
        <v>Proposal assuming ACOT discontinued, Refined Residual &amp; Capped at (3.5%)</v>
      </c>
      <c r="G33" s="695"/>
      <c r="H33" s="695"/>
      <c r="I33" s="695"/>
      <c r="J33" s="695"/>
      <c r="Y33" s="756" t="s">
        <v>553</v>
      </c>
      <c r="Z33" s="756"/>
      <c r="AA33" s="333" t="s">
        <v>540</v>
      </c>
      <c r="AB33" s="333" t="s">
        <v>550</v>
      </c>
      <c r="AC33" s="140"/>
      <c r="AD33" s="22"/>
      <c r="AE33" s="141"/>
      <c r="AF33" s="22"/>
      <c r="AG33" s="4"/>
      <c r="AH33" s="22"/>
      <c r="AI33" s="22"/>
      <c r="AJ33" s="22"/>
      <c r="AK33" s="22"/>
      <c r="AL33" s="22"/>
      <c r="AM33" s="22"/>
      <c r="AN33" s="22"/>
      <c r="AO33" s="22"/>
      <c r="AP33" s="22"/>
      <c r="AQ33" s="22"/>
      <c r="AR33" s="22"/>
      <c r="AS33" s="22"/>
    </row>
    <row r="34" spans="1:45" ht="46.5" customHeight="1" x14ac:dyDescent="0.3">
      <c r="A34" s="752"/>
      <c r="B34" s="696" t="s">
        <v>539</v>
      </c>
      <c r="C34" s="697"/>
      <c r="D34" s="695"/>
      <c r="E34" s="700" t="s">
        <v>737</v>
      </c>
      <c r="F34" s="701" t="s">
        <v>738</v>
      </c>
      <c r="G34" s="702"/>
      <c r="H34" s="695"/>
      <c r="I34" s="695"/>
      <c r="J34" s="695"/>
      <c r="S34" s="136" t="s">
        <v>548</v>
      </c>
      <c r="T34" s="136" t="s">
        <v>549</v>
      </c>
      <c r="U34" s="136" t="s">
        <v>552</v>
      </c>
      <c r="Y34" s="150" t="s">
        <v>551</v>
      </c>
      <c r="Z34" s="150" t="s">
        <v>554</v>
      </c>
      <c r="AA34" s="55" t="s">
        <v>543</v>
      </c>
      <c r="AB34" s="55" t="s">
        <v>555</v>
      </c>
      <c r="AC34" s="22"/>
      <c r="AD34" s="146"/>
      <c r="AE34" s="141"/>
      <c r="AF34" s="22"/>
      <c r="AG34" s="22"/>
      <c r="AH34" s="22"/>
      <c r="AI34" s="146"/>
      <c r="AJ34" s="146"/>
      <c r="AK34" s="22"/>
      <c r="AL34" s="399"/>
      <c r="AM34" s="22"/>
      <c r="AN34" s="22"/>
      <c r="AO34" s="22"/>
      <c r="AP34" s="22"/>
      <c r="AQ34" s="22"/>
      <c r="AR34" s="22"/>
      <c r="AS34" s="22"/>
    </row>
    <row r="35" spans="1:45" ht="27.75" customHeight="1" x14ac:dyDescent="0.3">
      <c r="A35" s="752"/>
      <c r="B35" s="695"/>
      <c r="C35" s="710" t="str">
        <f>C2</f>
        <v>Proposal assuming continuation of ACOT</v>
      </c>
      <c r="D35" s="701" t="str">
        <f>D2</f>
        <v>Proposal assuming ACOT discontinued</v>
      </c>
      <c r="E35" s="757" t="str">
        <f>"Refined Residual &amp; Capped at ("&amp;'Residential Cap'!AC5*100&amp;"%)"</f>
        <v>Refined Residual &amp; Capped at (3.5%)</v>
      </c>
      <c r="F35" s="757"/>
      <c r="G35" s="711"/>
      <c r="H35" s="702"/>
      <c r="I35" s="695" t="str">
        <f>I36*100&amp;"% Cap"</f>
        <v>3.5% Cap</v>
      </c>
      <c r="J35" s="695"/>
      <c r="R35" s="105" t="s">
        <v>0</v>
      </c>
      <c r="S35" s="106">
        <v>25.795716484438817</v>
      </c>
      <c r="T35" s="135">
        <v>9.4724062499999988</v>
      </c>
      <c r="U35" s="137">
        <v>16.323310234438818</v>
      </c>
      <c r="V35" s="135"/>
      <c r="W35" s="17" t="s">
        <v>0</v>
      </c>
      <c r="Y35" s="151">
        <f>S35/1.15</f>
        <v>22.431057812555494</v>
      </c>
      <c r="Z35" s="151">
        <f>T35/1.15</f>
        <v>8.2368749999999995</v>
      </c>
      <c r="AA35" s="17">
        <f ca="1">'Charges as $ per MWh'!D4</f>
        <v>11.65115996418217</v>
      </c>
      <c r="AB35" s="17">
        <f ca="1">AA35*100/1000</f>
        <v>1.1651159964182169</v>
      </c>
      <c r="AC35" s="29"/>
      <c r="AD35" s="29"/>
      <c r="AE35" s="265"/>
      <c r="AF35" s="139"/>
      <c r="AG35" s="148"/>
      <c r="AH35" s="148"/>
      <c r="AI35" s="400"/>
      <c r="AJ35" s="401"/>
      <c r="AK35" s="22"/>
      <c r="AL35" s="22"/>
      <c r="AM35" s="22"/>
      <c r="AN35" s="22"/>
      <c r="AO35" s="22"/>
      <c r="AP35" s="22"/>
      <c r="AQ35" s="22"/>
      <c r="AR35" s="22"/>
      <c r="AS35" s="22"/>
    </row>
    <row r="36" spans="1:45" ht="15.6" x14ac:dyDescent="0.3">
      <c r="A36" s="752"/>
      <c r="B36" s="697" t="str">
        <f>B4</f>
        <v>Alpine Energy</v>
      </c>
      <c r="C36" s="712">
        <f ca="1">C4/$Y35</f>
        <v>-3.3436330503635206E-3</v>
      </c>
      <c r="D36" s="712">
        <f ca="1">D4/Y35</f>
        <v>-3.3436330503635206E-3</v>
      </c>
      <c r="E36" s="712">
        <f ca="1">E4/'Residential Cap'!Y8</f>
        <v>-6.8556917137573021E-3</v>
      </c>
      <c r="F36" s="712">
        <f ca="1">F4/'Residential Cap'!Y8</f>
        <v>-6.8556917137573021E-3</v>
      </c>
      <c r="G36" s="713"/>
      <c r="H36" s="714"/>
      <c r="I36" s="715">
        <f>'Residential Cap'!$AC$5</f>
        <v>3.5000000000000003E-2</v>
      </c>
      <c r="J36" s="695"/>
      <c r="R36" s="105" t="s">
        <v>535</v>
      </c>
      <c r="S36" s="106">
        <v>31.096154215491321</v>
      </c>
      <c r="T36" s="135">
        <v>14.74567375</v>
      </c>
      <c r="U36" s="137">
        <v>16.350480465491323</v>
      </c>
      <c r="V36" s="135"/>
      <c r="W36" s="17" t="s">
        <v>1</v>
      </c>
      <c r="Y36" s="151">
        <f>AVERAGE(S36:S38)/1.15</f>
        <v>24.072314416102458</v>
      </c>
      <c r="Z36" s="151">
        <f>AVERAGE(T36:T38)/1.15</f>
        <v>9.8005916666666675</v>
      </c>
      <c r="AA36" s="17">
        <f ca="1">'Charges as $ per MWh'!D5</f>
        <v>13.125726588244461</v>
      </c>
      <c r="AB36" s="17">
        <f t="shared" ref="AB36:AB63" ca="1" si="0">AA36*100/1000</f>
        <v>1.3125726588244462</v>
      </c>
      <c r="AC36" s="29"/>
      <c r="AD36" s="29"/>
      <c r="AE36" s="141"/>
      <c r="AF36" s="140"/>
      <c r="AG36" s="148"/>
      <c r="AH36" s="148"/>
      <c r="AI36" s="400"/>
      <c r="AJ36" s="401"/>
      <c r="AK36" s="22"/>
      <c r="AL36" s="22"/>
      <c r="AM36" s="22"/>
      <c r="AN36" s="22"/>
      <c r="AO36" s="22"/>
      <c r="AP36" s="22"/>
      <c r="AQ36" s="22"/>
      <c r="AR36" s="22"/>
      <c r="AS36" s="22"/>
    </row>
    <row r="37" spans="1:45" ht="15.6" x14ac:dyDescent="0.3">
      <c r="A37" s="752"/>
      <c r="B37" s="697" t="str">
        <f>B5</f>
        <v>Aurora Energy</v>
      </c>
      <c r="C37" s="712">
        <f ca="1">C5/Y36</f>
        <v>-6.9167954439450837E-3</v>
      </c>
      <c r="D37" s="712">
        <f t="shared" ref="D37:D64" ca="1" si="1">D5/Y36</f>
        <v>-2.78935765795955E-2</v>
      </c>
      <c r="E37" s="712">
        <f ca="1">E5/'Residential Cap'!Y9</f>
        <v>-1.2811247746491611E-2</v>
      </c>
      <c r="F37" s="712">
        <f ca="1">F5/'Residential Cap'!Y9</f>
        <v>-3.8814038595645903E-2</v>
      </c>
      <c r="G37" s="713"/>
      <c r="H37" s="714"/>
      <c r="I37" s="715">
        <f>'Residential Cap'!$AC$5</f>
        <v>3.5000000000000003E-2</v>
      </c>
      <c r="J37" s="695"/>
      <c r="R37" s="105" t="s">
        <v>533</v>
      </c>
      <c r="S37" s="106">
        <v>24.401409105472705</v>
      </c>
      <c r="T37" s="135">
        <v>8.1122437499999993</v>
      </c>
      <c r="U37" s="137">
        <v>16.289165355472704</v>
      </c>
      <c r="V37" s="135"/>
      <c r="W37" s="17" t="s">
        <v>2</v>
      </c>
      <c r="Y37" s="151">
        <f t="shared" ref="Y37:Z39" si="2">S39/1.15</f>
        <v>31.31951806864706</v>
      </c>
      <c r="Z37" s="151">
        <f t="shared" si="2"/>
        <v>14.388843749999998</v>
      </c>
      <c r="AA37" s="17">
        <f ca="1">'Charges as $ per MWh'!D6</f>
        <v>12.294180296067365</v>
      </c>
      <c r="AB37" s="17">
        <f t="shared" ca="1" si="0"/>
        <v>1.2294180296067365</v>
      </c>
      <c r="AC37" s="29"/>
      <c r="AD37" s="29"/>
      <c r="AE37" s="141"/>
      <c r="AF37" s="22"/>
      <c r="AG37" s="148"/>
      <c r="AH37" s="148"/>
      <c r="AI37" s="400"/>
      <c r="AJ37" s="401"/>
      <c r="AK37" s="22"/>
      <c r="AL37" s="22"/>
      <c r="AM37" s="22"/>
      <c r="AN37" s="22"/>
      <c r="AO37" s="22"/>
      <c r="AP37" s="22"/>
      <c r="AQ37" s="22"/>
      <c r="AR37" s="22"/>
      <c r="AS37" s="22"/>
    </row>
    <row r="38" spans="1:45" ht="15.6" x14ac:dyDescent="0.3">
      <c r="A38" s="752"/>
      <c r="B38" s="697" t="str">
        <f>B6</f>
        <v>Buller Electricity</v>
      </c>
      <c r="C38" s="712">
        <f t="shared" ref="C38:C64" ca="1" si="3">C6/Y37</f>
        <v>1.5424150166562305E-2</v>
      </c>
      <c r="D38" s="712">
        <f t="shared" ca="1" si="1"/>
        <v>1.5424150166562305E-2</v>
      </c>
      <c r="E38" s="712">
        <f ca="1">E6/'Residential Cap'!Y10</f>
        <v>2.6099691589407544E-3</v>
      </c>
      <c r="F38" s="712">
        <f ca="1">F6/'Residential Cap'!Y10</f>
        <v>2.6099691589407544E-3</v>
      </c>
      <c r="G38" s="713"/>
      <c r="H38" s="714"/>
      <c r="I38" s="715">
        <f>'Residential Cap'!$AC$5</f>
        <v>3.5000000000000003E-2</v>
      </c>
      <c r="J38" s="695"/>
      <c r="R38" s="105" t="s">
        <v>534</v>
      </c>
      <c r="S38" s="106">
        <v>27.551921414589444</v>
      </c>
      <c r="T38" s="135">
        <v>10.954123749999999</v>
      </c>
      <c r="U38" s="137">
        <v>16.597797664589443</v>
      </c>
      <c r="V38" s="135"/>
      <c r="W38" s="17" t="s">
        <v>68</v>
      </c>
      <c r="Y38" s="151">
        <f t="shared" si="2"/>
        <v>28.427920215764779</v>
      </c>
      <c r="Z38" s="151">
        <f t="shared" si="2"/>
        <v>15.20484375</v>
      </c>
      <c r="AA38" s="17">
        <f ca="1">'Charges as $ per MWh'!D7</f>
        <v>13.006913733511761</v>
      </c>
      <c r="AB38" s="17">
        <f t="shared" ca="1" si="0"/>
        <v>1.300691373351176</v>
      </c>
      <c r="AC38" s="29"/>
      <c r="AD38" s="29"/>
      <c r="AE38" s="141"/>
      <c r="AF38" s="142"/>
      <c r="AG38" s="148"/>
      <c r="AH38" s="148"/>
      <c r="AI38" s="400"/>
      <c r="AJ38" s="401"/>
      <c r="AK38" s="22"/>
      <c r="AL38" s="22"/>
      <c r="AM38" s="22"/>
      <c r="AN38" s="22"/>
      <c r="AO38" s="22"/>
      <c r="AP38" s="22"/>
      <c r="AQ38" s="22"/>
      <c r="AR38" s="22"/>
      <c r="AS38" s="22"/>
    </row>
    <row r="39" spans="1:45" ht="15.6" x14ac:dyDescent="0.3">
      <c r="A39" s="752"/>
      <c r="B39" s="697" t="s">
        <v>68</v>
      </c>
      <c r="C39" s="712">
        <f t="shared" ca="1" si="3"/>
        <v>-1.4459218350244137E-2</v>
      </c>
      <c r="D39" s="712">
        <f ca="1">D7/Y38</f>
        <v>-1.4459218350244137E-2</v>
      </c>
      <c r="E39" s="712">
        <f ca="1">E7/'Residential Cap'!Y11</f>
        <v>-2.0367221816308709E-2</v>
      </c>
      <c r="F39" s="712">
        <f ca="1">F7/'Residential Cap'!Y11</f>
        <v>-2.0367221816308709E-2</v>
      </c>
      <c r="G39" s="713"/>
      <c r="H39" s="714"/>
      <c r="I39" s="715">
        <f>'Residential Cap'!$AC$5</f>
        <v>3.5000000000000003E-2</v>
      </c>
      <c r="J39" s="695"/>
      <c r="R39" s="105" t="s">
        <v>2</v>
      </c>
      <c r="S39" s="106">
        <v>36.017445778944115</v>
      </c>
      <c r="T39" s="135">
        <v>16.547170312499997</v>
      </c>
      <c r="U39" s="137">
        <v>19.470275466444118</v>
      </c>
      <c r="V39" s="135"/>
      <c r="W39" s="17" t="s">
        <v>5</v>
      </c>
      <c r="Y39" s="151">
        <f t="shared" si="2"/>
        <v>24.855811121430857</v>
      </c>
      <c r="Z39" s="151">
        <f t="shared" si="2"/>
        <v>10.476843750000002</v>
      </c>
      <c r="AA39" s="17">
        <f ca="1">'Charges as $ per MWh'!D8</f>
        <v>18.898390664087447</v>
      </c>
      <c r="AB39" s="17">
        <f t="shared" ca="1" si="0"/>
        <v>1.8898390664087446</v>
      </c>
      <c r="AC39" s="29"/>
      <c r="AD39" s="29"/>
      <c r="AE39" s="141"/>
      <c r="AF39" s="143"/>
      <c r="AG39" s="148"/>
      <c r="AH39" s="148"/>
      <c r="AI39" s="400"/>
      <c r="AJ39" s="401"/>
      <c r="AK39" s="22"/>
      <c r="AL39" s="22"/>
      <c r="AM39" s="22"/>
      <c r="AN39" s="22"/>
      <c r="AO39" s="22"/>
      <c r="AP39" s="22"/>
      <c r="AQ39" s="22"/>
      <c r="AR39" s="22"/>
      <c r="AS39" s="22"/>
    </row>
    <row r="40" spans="1:45" ht="15.6" x14ac:dyDescent="0.3">
      <c r="A40" s="752"/>
      <c r="B40" s="697" t="str">
        <f t="shared" ref="B40:B45" si="4">B8</f>
        <v>Counties Power</v>
      </c>
      <c r="C40" s="712">
        <f t="shared" ca="1" si="3"/>
        <v>1.6366773343508997E-2</v>
      </c>
      <c r="D40" s="712">
        <f t="shared" ca="1" si="1"/>
        <v>1.6366773343508997E-2</v>
      </c>
      <c r="E40" s="712">
        <f ca="1">E8/'Residential Cap'!Y12</f>
        <v>6.2272916550642089E-3</v>
      </c>
      <c r="F40" s="712">
        <f ca="1">F8/'Residential Cap'!Y12</f>
        <v>6.2272916550642089E-3</v>
      </c>
      <c r="G40" s="713"/>
      <c r="H40" s="714"/>
      <c r="I40" s="715">
        <f>'Residential Cap'!$AC$5</f>
        <v>3.5000000000000003E-2</v>
      </c>
      <c r="J40" s="695"/>
      <c r="R40" s="105" t="s">
        <v>68</v>
      </c>
      <c r="S40" s="106">
        <v>32.692108248129493</v>
      </c>
      <c r="T40" s="135">
        <v>17.485570312499998</v>
      </c>
      <c r="U40" s="137">
        <v>15.206537935629495</v>
      </c>
      <c r="V40" s="135"/>
      <c r="W40" s="17" t="s">
        <v>7</v>
      </c>
      <c r="Y40" s="151">
        <f>S43/1.15</f>
        <v>28.02814048183313</v>
      </c>
      <c r="Z40" s="151">
        <f>T43/1.15</f>
        <v>12.63093070652174</v>
      </c>
      <c r="AA40" s="17">
        <f ca="1">'Charges as $ per MWh'!D9</f>
        <v>12.6275000241888</v>
      </c>
      <c r="AB40" s="17">
        <f t="shared" ca="1" si="0"/>
        <v>1.26275000241888</v>
      </c>
      <c r="AC40" s="29"/>
      <c r="AD40" s="29"/>
      <c r="AE40" s="141"/>
      <c r="AF40" s="143"/>
      <c r="AG40" s="148"/>
      <c r="AH40" s="148"/>
      <c r="AI40" s="400"/>
      <c r="AJ40" s="401"/>
      <c r="AK40" s="22"/>
      <c r="AL40" s="22"/>
      <c r="AM40" s="22"/>
      <c r="AN40" s="22"/>
      <c r="AO40" s="22"/>
      <c r="AP40" s="22"/>
      <c r="AQ40" s="22"/>
      <c r="AR40" s="22"/>
      <c r="AS40" s="22"/>
    </row>
    <row r="41" spans="1:45" ht="15.6" x14ac:dyDescent="0.3">
      <c r="A41" s="752"/>
      <c r="B41" s="697" t="str">
        <f t="shared" si="4"/>
        <v>Eastland Network</v>
      </c>
      <c r="C41" s="712">
        <f t="shared" ca="1" si="3"/>
        <v>-1.3603827010600792E-2</v>
      </c>
      <c r="D41" s="712">
        <f t="shared" ca="1" si="1"/>
        <v>-4.333009601916147E-2</v>
      </c>
      <c r="E41" s="712">
        <f ca="1">E9/'Residential Cap'!Y13</f>
        <v>-2.0177020698779087E-2</v>
      </c>
      <c r="F41" s="712">
        <f ca="1">F9/'Residential Cap'!Y13</f>
        <v>-5.6242788663635683E-2</v>
      </c>
      <c r="G41" s="713"/>
      <c r="H41" s="714"/>
      <c r="I41" s="715">
        <f>'Residential Cap'!$AC$5</f>
        <v>3.5000000000000003E-2</v>
      </c>
      <c r="J41" s="695"/>
      <c r="R41" s="105" t="s">
        <v>5</v>
      </c>
      <c r="S41" s="106">
        <v>28.584182789645485</v>
      </c>
      <c r="T41" s="135">
        <v>12.048370312500001</v>
      </c>
      <c r="U41" s="137">
        <v>16.535812477145484</v>
      </c>
      <c r="V41" s="135"/>
      <c r="W41" s="17" t="s">
        <v>8</v>
      </c>
      <c r="Y41" s="151">
        <f>S44/1.15</f>
        <v>23.165063411213197</v>
      </c>
      <c r="Z41" s="151">
        <f>T44/1.15</f>
        <v>9.4268437499999997</v>
      </c>
      <c r="AA41" s="17">
        <f ca="1">'Charges as $ per MWh'!D10</f>
        <v>15.551237802039461</v>
      </c>
      <c r="AB41" s="17">
        <f t="shared" ca="1" si="0"/>
        <v>1.5551237802039461</v>
      </c>
      <c r="AC41" s="29"/>
      <c r="AD41" s="29"/>
      <c r="AE41" s="141"/>
      <c r="AF41" s="142"/>
      <c r="AG41" s="148"/>
      <c r="AH41" s="148"/>
      <c r="AI41" s="400"/>
      <c r="AJ41" s="401"/>
      <c r="AK41" s="22"/>
      <c r="AL41" s="22"/>
      <c r="AM41" s="22"/>
      <c r="AN41" s="22"/>
      <c r="AO41" s="22"/>
      <c r="AP41" s="22"/>
      <c r="AQ41" s="22"/>
      <c r="AR41" s="22"/>
      <c r="AS41" s="22"/>
    </row>
    <row r="42" spans="1:45" ht="15.6" x14ac:dyDescent="0.3">
      <c r="A42" s="752"/>
      <c r="B42" s="697" t="str">
        <f t="shared" si="4"/>
        <v>Electra</v>
      </c>
      <c r="C42" s="712">
        <f t="shared" ca="1" si="3"/>
        <v>9.574270525711694E-3</v>
      </c>
      <c r="D42" s="712">
        <f t="shared" ca="1" si="1"/>
        <v>-3.5348973915662828E-3</v>
      </c>
      <c r="E42" s="712">
        <f ca="1">E10/'Residential Cap'!Y14</f>
        <v>6.378395846995356E-3</v>
      </c>
      <c r="F42" s="712">
        <f ca="1">F10/'Residential Cap'!Y14</f>
        <v>-9.683843913184581E-3</v>
      </c>
      <c r="G42" s="713"/>
      <c r="H42" s="714"/>
      <c r="I42" s="715">
        <f>'Residential Cap'!$AC$5</f>
        <v>3.5000000000000003E-2</v>
      </c>
      <c r="J42" s="695"/>
      <c r="R42" s="105" t="s">
        <v>532</v>
      </c>
      <c r="S42" s="106">
        <v>26.785875105605001</v>
      </c>
      <c r="T42" s="135">
        <v>7.8807703124999993</v>
      </c>
      <c r="U42" s="137">
        <v>18.905104793105046</v>
      </c>
      <c r="V42" s="135"/>
      <c r="W42" s="17" t="s">
        <v>9</v>
      </c>
      <c r="Y42" s="151">
        <f>S42/1.15</f>
        <v>23.292065309221741</v>
      </c>
      <c r="Z42" s="151">
        <f>T42/1.15</f>
        <v>6.8528437499999999</v>
      </c>
      <c r="AA42" s="17">
        <f ca="1">'Charges as $ per MWh'!D11</f>
        <v>14.660554412870823</v>
      </c>
      <c r="AB42" s="17">
        <f t="shared" ca="1" si="0"/>
        <v>1.4660554412870825</v>
      </c>
      <c r="AC42" s="29"/>
      <c r="AD42" s="29"/>
      <c r="AE42" s="141"/>
      <c r="AF42" s="142"/>
      <c r="AG42" s="148"/>
      <c r="AH42" s="148"/>
      <c r="AI42" s="400"/>
      <c r="AJ42" s="401"/>
      <c r="AK42" s="22"/>
      <c r="AL42" s="22"/>
      <c r="AM42" s="22"/>
      <c r="AN42" s="22"/>
      <c r="AO42" s="22"/>
      <c r="AP42" s="22"/>
      <c r="AQ42" s="22"/>
      <c r="AR42" s="22"/>
      <c r="AS42" s="22"/>
    </row>
    <row r="43" spans="1:45" ht="15.6" x14ac:dyDescent="0.3">
      <c r="A43" s="752"/>
      <c r="B43" s="697" t="str">
        <f t="shared" si="4"/>
        <v>Electricity Ashburton</v>
      </c>
      <c r="C43" s="712">
        <f t="shared" ca="1" si="3"/>
        <v>5.7575460593642561E-2</v>
      </c>
      <c r="D43" s="712">
        <f t="shared" ca="1" si="1"/>
        <v>5.0452763422475913E-2</v>
      </c>
      <c r="E43" s="712">
        <f ca="1">E11/'Residential Cap'!Y15</f>
        <v>4.9723205151139892E-2</v>
      </c>
      <c r="F43" s="712">
        <f ca="1">F11/'Residential Cap'!Y15</f>
        <v>4.0814280167086672E-2</v>
      </c>
      <c r="G43" s="713"/>
      <c r="H43" s="714" t="s">
        <v>739</v>
      </c>
      <c r="I43" s="715">
        <f>'Residential Cap'!$AC$5</f>
        <v>3.5000000000000003E-2</v>
      </c>
      <c r="J43" s="695"/>
      <c r="R43" s="105" t="s">
        <v>517</v>
      </c>
      <c r="S43" s="106">
        <v>32.232361554108095</v>
      </c>
      <c r="T43" s="135">
        <v>14.525570312499999</v>
      </c>
      <c r="U43" s="137">
        <v>17.706791241608094</v>
      </c>
      <c r="V43" s="135"/>
      <c r="W43" s="17" t="s">
        <v>69</v>
      </c>
      <c r="Y43" s="151">
        <f>S45/1.15</f>
        <v>22.462940933286799</v>
      </c>
      <c r="Z43" s="151">
        <f>T45/1.15</f>
        <v>8.642371594161423</v>
      </c>
      <c r="AA43" s="17">
        <f ca="1">'Charges as $ per MWh'!D12</f>
        <v>13.945690551817266</v>
      </c>
      <c r="AB43" s="17">
        <f t="shared" ca="1" si="0"/>
        <v>1.3945690551817267</v>
      </c>
      <c r="AC43" s="29"/>
      <c r="AD43" s="29"/>
      <c r="AE43" s="141"/>
      <c r="AF43" s="142"/>
      <c r="AG43" s="148"/>
      <c r="AH43" s="148"/>
      <c r="AI43" s="400"/>
      <c r="AJ43" s="401"/>
      <c r="AK43" s="22"/>
      <c r="AL43" s="22"/>
      <c r="AM43" s="22"/>
      <c r="AN43" s="22"/>
      <c r="AO43" s="22"/>
      <c r="AP43" s="22"/>
      <c r="AQ43" s="22"/>
      <c r="AR43" s="22"/>
      <c r="AS43" s="22"/>
    </row>
    <row r="44" spans="1:45" ht="15.6" x14ac:dyDescent="0.3">
      <c r="A44" s="752"/>
      <c r="B44" s="697" t="str">
        <f t="shared" si="4"/>
        <v>Electricity Invercargill</v>
      </c>
      <c r="C44" s="712">
        <f t="shared" ca="1" si="3"/>
        <v>-3.3526577961479162E-2</v>
      </c>
      <c r="D44" s="712">
        <f t="shared" ca="1" si="1"/>
        <v>-3.3526577961479162E-2</v>
      </c>
      <c r="E44" s="712">
        <f ca="1">E12/'Residential Cap'!Y16</f>
        <v>-3.8436084974825389E-2</v>
      </c>
      <c r="F44" s="712">
        <f ca="1">F12/'Residential Cap'!Y16</f>
        <v>-3.8436084974825389E-2</v>
      </c>
      <c r="G44" s="713"/>
      <c r="H44" s="714"/>
      <c r="I44" s="715">
        <f>'Residential Cap'!$AC$5</f>
        <v>3.5000000000000003E-2</v>
      </c>
      <c r="J44" s="695"/>
      <c r="R44" s="105" t="s">
        <v>8</v>
      </c>
      <c r="S44" s="106">
        <v>26.639822922895174</v>
      </c>
      <c r="T44" s="135">
        <v>10.840870312499998</v>
      </c>
      <c r="U44" s="137">
        <v>15.798952610395176</v>
      </c>
      <c r="V44" s="135"/>
      <c r="W44" s="17" t="s">
        <v>11</v>
      </c>
      <c r="Y44" s="151">
        <f>S46/1.15</f>
        <v>25.071882160422994</v>
      </c>
      <c r="Z44" s="151">
        <f>T46/1.15</f>
        <v>10.667843749999999</v>
      </c>
      <c r="AA44" s="17">
        <f ca="1">'Charges as $ per MWh'!D13</f>
        <v>12.57266242322981</v>
      </c>
      <c r="AB44" s="17">
        <f t="shared" ca="1" si="0"/>
        <v>1.257266242322981</v>
      </c>
      <c r="AC44" s="29"/>
      <c r="AD44" s="29"/>
      <c r="AE44" s="141"/>
      <c r="AF44" s="142"/>
      <c r="AG44" s="148"/>
      <c r="AH44" s="148"/>
      <c r="AI44" s="400"/>
      <c r="AJ44" s="401"/>
      <c r="AK44" s="22"/>
      <c r="AL44" s="22"/>
      <c r="AM44" s="22"/>
      <c r="AN44" s="22"/>
      <c r="AO44" s="22"/>
      <c r="AP44" s="22"/>
      <c r="AQ44" s="22"/>
      <c r="AR44" s="22"/>
      <c r="AS44" s="22"/>
    </row>
    <row r="45" spans="1:45" ht="15.6" x14ac:dyDescent="0.3">
      <c r="A45" s="752"/>
      <c r="B45" s="697" t="str">
        <f t="shared" si="4"/>
        <v>Horizon</v>
      </c>
      <c r="C45" s="712">
        <f t="shared" ca="1" si="3"/>
        <v>2.8866473961581863E-2</v>
      </c>
      <c r="D45" s="712">
        <f t="shared" ca="1" si="1"/>
        <v>3.0021331535233968E-3</v>
      </c>
      <c r="E45" s="712">
        <f ca="1">E13/'Residential Cap'!Y17</f>
        <v>3.1204145501213042E-2</v>
      </c>
      <c r="F45" s="712">
        <f ca="1">F13/'Residential Cap'!Y17</f>
        <v>-7.0381870498031527E-4</v>
      </c>
      <c r="G45" s="713"/>
      <c r="H45" s="714"/>
      <c r="I45" s="715">
        <f>'Residential Cap'!$AC$5</f>
        <v>3.5000000000000003E-2</v>
      </c>
      <c r="J45" s="695"/>
      <c r="R45" s="105" t="s">
        <v>69</v>
      </c>
      <c r="S45" s="106">
        <v>25.832382073279817</v>
      </c>
      <c r="T45" s="135">
        <v>9.9387273332856356</v>
      </c>
      <c r="U45" s="137">
        <v>15.893654739994181</v>
      </c>
      <c r="V45" s="135"/>
      <c r="W45" s="17" t="s">
        <v>70</v>
      </c>
      <c r="Y45" s="151">
        <f>Y36</f>
        <v>24.072314416102458</v>
      </c>
      <c r="Z45" s="151">
        <f>Z36</f>
        <v>9.8005916666666675</v>
      </c>
      <c r="AA45" s="17">
        <f ca="1">'Charges as $ per MWh'!D14</f>
        <v>13.73799211484698</v>
      </c>
      <c r="AB45" s="17">
        <f t="shared" ca="1" si="0"/>
        <v>1.373799211484698</v>
      </c>
      <c r="AC45" s="29"/>
      <c r="AD45" s="29"/>
      <c r="AE45" s="141"/>
      <c r="AF45" s="142"/>
      <c r="AG45" s="148"/>
      <c r="AH45" s="148"/>
      <c r="AI45" s="400"/>
      <c r="AJ45" s="401"/>
      <c r="AK45" s="22"/>
      <c r="AL45" s="22"/>
      <c r="AM45" s="22"/>
      <c r="AN45" s="22"/>
      <c r="AO45" s="22"/>
      <c r="AP45" s="22"/>
      <c r="AQ45" s="22"/>
      <c r="AR45" s="22"/>
      <c r="AS45" s="22"/>
    </row>
    <row r="46" spans="1:45" ht="15.6" x14ac:dyDescent="0.3">
      <c r="A46" s="752"/>
      <c r="B46" s="697" t="s">
        <v>70</v>
      </c>
      <c r="C46" s="712">
        <f t="shared" ca="1" si="3"/>
        <v>-1.4987176010349849E-2</v>
      </c>
      <c r="D46" s="712">
        <f t="shared" ca="1" si="1"/>
        <v>-1.4987176010349849E-2</v>
      </c>
      <c r="E46" s="712">
        <f ca="1">E14/'Residential Cap'!Y18</f>
        <v>-2.283117086750084E-2</v>
      </c>
      <c r="F46" s="712">
        <f ca="1">F14/'Residential Cap'!Y18</f>
        <v>-2.283117086750084E-2</v>
      </c>
      <c r="G46" s="713"/>
      <c r="H46" s="714"/>
      <c r="I46" s="715">
        <f>'Residential Cap'!$AC$5</f>
        <v>3.5000000000000003E-2</v>
      </c>
      <c r="J46" s="695"/>
      <c r="R46" s="105" t="s">
        <v>514</v>
      </c>
      <c r="S46" s="106">
        <v>28.832664484486443</v>
      </c>
      <c r="T46" s="135">
        <v>12.268020312499999</v>
      </c>
      <c r="U46" s="137">
        <v>16.564644171986444</v>
      </c>
      <c r="V46" s="135"/>
      <c r="W46" s="17" t="s">
        <v>12</v>
      </c>
      <c r="Y46" s="151">
        <f>AVERAGE(S47:S48)/1.15</f>
        <v>23.759677705458277</v>
      </c>
      <c r="Z46" s="151">
        <f>AVERAGE(T47:T48)/1.15</f>
        <v>9.2303437500000012</v>
      </c>
      <c r="AA46" s="17">
        <f ca="1">'Charges as $ per MWh'!D15</f>
        <v>13.88838331525881</v>
      </c>
      <c r="AB46" s="17">
        <f t="shared" ca="1" si="0"/>
        <v>1.3888383315258812</v>
      </c>
      <c r="AC46" s="29"/>
      <c r="AD46" s="29"/>
      <c r="AE46" s="141"/>
      <c r="AF46" s="142"/>
      <c r="AG46" s="148"/>
      <c r="AH46" s="148"/>
      <c r="AI46" s="400"/>
      <c r="AJ46" s="401"/>
      <c r="AK46" s="22"/>
      <c r="AL46" s="22"/>
      <c r="AM46" s="22"/>
      <c r="AN46" s="22"/>
      <c r="AO46" s="22"/>
      <c r="AP46" s="22"/>
      <c r="AQ46" s="22"/>
      <c r="AR46" s="22"/>
      <c r="AS46" s="22"/>
    </row>
    <row r="47" spans="1:45" ht="15.6" x14ac:dyDescent="0.3">
      <c r="A47" s="752"/>
      <c r="B47" s="697" t="str">
        <f t="shared" ref="B47:B64" si="5">B15</f>
        <v>Mainpower</v>
      </c>
      <c r="C47" s="712">
        <f t="shared" ca="1" si="3"/>
        <v>-9.0573282240985816E-3</v>
      </c>
      <c r="D47" s="712">
        <f t="shared" ca="1" si="1"/>
        <v>-1.5750923006333326E-2</v>
      </c>
      <c r="E47" s="712">
        <f ca="1">E15/'Residential Cap'!Y19</f>
        <v>-1.5530534337921868E-2</v>
      </c>
      <c r="F47" s="712">
        <f ca="1">F15/'Residential Cap'!Y19</f>
        <v>-2.3693008618112871E-2</v>
      </c>
      <c r="G47" s="713"/>
      <c r="H47" s="714"/>
      <c r="I47" s="715">
        <f>'Residential Cap'!$AC$5</f>
        <v>3.5000000000000003E-2</v>
      </c>
      <c r="J47" s="695"/>
      <c r="R47" s="105" t="s">
        <v>530</v>
      </c>
      <c r="S47" s="106">
        <v>26.233608733426479</v>
      </c>
      <c r="T47" s="135">
        <v>9.5195203124999992</v>
      </c>
      <c r="U47" s="137">
        <v>16.71408842092648</v>
      </c>
      <c r="V47" s="135"/>
      <c r="W47" s="17" t="s">
        <v>13</v>
      </c>
      <c r="Y47" s="151">
        <f>S49/1.15</f>
        <v>28.701213855154663</v>
      </c>
      <c r="Z47" s="151">
        <f>T49/1.15</f>
        <v>12.268043749999999</v>
      </c>
      <c r="AA47" s="17">
        <f ca="1">'Charges as $ per MWh'!D16</f>
        <v>11.793420176208835</v>
      </c>
      <c r="AB47" s="17">
        <f t="shared" ca="1" si="0"/>
        <v>1.1793420176208835</v>
      </c>
      <c r="AC47" s="29"/>
      <c r="AD47" s="29"/>
      <c r="AE47" s="141"/>
      <c r="AF47" s="142"/>
      <c r="AG47" s="148"/>
      <c r="AH47" s="148"/>
      <c r="AI47" s="400"/>
      <c r="AJ47" s="401"/>
      <c r="AK47" s="22"/>
      <c r="AL47" s="22"/>
      <c r="AM47" s="22"/>
      <c r="AN47" s="22"/>
      <c r="AO47" s="22"/>
      <c r="AP47" s="22"/>
      <c r="AQ47" s="22"/>
      <c r="AR47" s="22"/>
      <c r="AS47" s="22"/>
    </row>
    <row r="48" spans="1:45" ht="15.6" x14ac:dyDescent="0.3">
      <c r="A48" s="752"/>
      <c r="B48" s="697" t="str">
        <f t="shared" si="5"/>
        <v>Marlborough Lines</v>
      </c>
      <c r="C48" s="712">
        <f t="shared" ca="1" si="3"/>
        <v>-1.4822984274816818E-2</v>
      </c>
      <c r="D48" s="712">
        <f t="shared" ca="1" si="1"/>
        <v>-1.6142979000751179E-2</v>
      </c>
      <c r="E48" s="712">
        <f ca="1">E16/'Residential Cap'!Y20</f>
        <v>-2.0647688372013757E-2</v>
      </c>
      <c r="F48" s="712">
        <f ca="1">F16/'Residential Cap'!Y20</f>
        <v>-2.2287211218926489E-2</v>
      </c>
      <c r="G48" s="713"/>
      <c r="H48" s="714"/>
      <c r="I48" s="715">
        <f>'Residential Cap'!$AC$5</f>
        <v>3.5000000000000003E-2</v>
      </c>
      <c r="J48" s="695"/>
      <c r="R48" s="105" t="s">
        <v>529</v>
      </c>
      <c r="S48" s="106">
        <v>28.413649989127549</v>
      </c>
      <c r="T48" s="135">
        <v>11.710270312499999</v>
      </c>
      <c r="U48" s="137">
        <v>16.703379676627549</v>
      </c>
      <c r="V48" s="135"/>
      <c r="W48" s="17" t="s">
        <v>19</v>
      </c>
      <c r="Y48" s="151">
        <f t="shared" ref="Y48:Z52" si="6">S51/1.15</f>
        <v>23.365561985673427</v>
      </c>
      <c r="Z48" s="151">
        <f t="shared" si="6"/>
        <v>7.8628437500000006</v>
      </c>
      <c r="AA48" s="17">
        <f ca="1">'Charges as $ per MWh'!D17</f>
        <v>13.107180020786908</v>
      </c>
      <c r="AB48" s="17">
        <f t="shared" ca="1" si="0"/>
        <v>1.3107180020786906</v>
      </c>
      <c r="AC48" s="29"/>
      <c r="AD48" s="29"/>
      <c r="AE48" s="141"/>
      <c r="AF48" s="142"/>
      <c r="AG48" s="148"/>
      <c r="AH48" s="148"/>
      <c r="AI48" s="400"/>
      <c r="AJ48" s="401"/>
      <c r="AK48" s="22"/>
      <c r="AL48" s="22"/>
      <c r="AM48" s="22"/>
      <c r="AN48" s="22"/>
      <c r="AO48" s="22"/>
      <c r="AP48" s="22"/>
      <c r="AQ48" s="22"/>
      <c r="AR48" s="22"/>
      <c r="AS48" s="22"/>
    </row>
    <row r="49" spans="1:45" ht="15.6" x14ac:dyDescent="0.3">
      <c r="A49" s="752"/>
      <c r="B49" s="697" t="str">
        <f t="shared" si="5"/>
        <v>Network Tasman</v>
      </c>
      <c r="C49" s="712">
        <f t="shared" ca="1" si="3"/>
        <v>-2.4812644853576932E-3</v>
      </c>
      <c r="D49" s="712">
        <f t="shared" ca="1" si="1"/>
        <v>-2.8889188736984017E-3</v>
      </c>
      <c r="E49" s="712">
        <f ca="1">E17/'Residential Cap'!Y21</f>
        <v>-6.672094536958305E-3</v>
      </c>
      <c r="F49" s="712">
        <f ca="1">F17/'Residential Cap'!Y21</f>
        <v>-7.1750734610184965E-3</v>
      </c>
      <c r="G49" s="713"/>
      <c r="H49" s="714"/>
      <c r="I49" s="715">
        <f>'Residential Cap'!$AC$5</f>
        <v>3.5000000000000003E-2</v>
      </c>
      <c r="J49" s="695"/>
      <c r="R49" s="105" t="s">
        <v>528</v>
      </c>
      <c r="S49" s="106">
        <v>33.006395933427861</v>
      </c>
      <c r="T49" s="135">
        <v>14.108250312499997</v>
      </c>
      <c r="U49" s="137">
        <v>18.898145620927863</v>
      </c>
      <c r="V49" s="135"/>
      <c r="W49" s="17" t="s">
        <v>20</v>
      </c>
      <c r="Y49" s="151">
        <f t="shared" si="6"/>
        <v>22.543420301375054</v>
      </c>
      <c r="Z49" s="151">
        <f t="shared" si="6"/>
        <v>8.1326549999999997</v>
      </c>
      <c r="AA49" s="17">
        <f ca="1">'Charges as $ per MWh'!D18</f>
        <v>13.40171480453431</v>
      </c>
      <c r="AB49" s="17">
        <f t="shared" ca="1" si="0"/>
        <v>1.340171480453431</v>
      </c>
      <c r="AC49" s="29"/>
      <c r="AD49" s="29"/>
      <c r="AE49" s="141"/>
      <c r="AF49" s="142"/>
      <c r="AG49" s="148"/>
      <c r="AH49" s="148"/>
      <c r="AI49" s="400"/>
      <c r="AJ49" s="401"/>
      <c r="AK49" s="22"/>
      <c r="AL49" s="22"/>
      <c r="AM49" s="22"/>
      <c r="AN49" s="22"/>
      <c r="AO49" s="22"/>
      <c r="AP49" s="22"/>
      <c r="AQ49" s="22"/>
      <c r="AR49" s="22"/>
      <c r="AS49" s="22"/>
    </row>
    <row r="50" spans="1:45" ht="15.6" x14ac:dyDescent="0.3">
      <c r="A50" s="752"/>
      <c r="B50" s="697" t="str">
        <f t="shared" si="5"/>
        <v>Network Waitaki</v>
      </c>
      <c r="C50" s="712">
        <f t="shared" ca="1" si="3"/>
        <v>1.2460749063249666E-2</v>
      </c>
      <c r="D50" s="712">
        <f t="shared" ca="1" si="1"/>
        <v>1.2460749063249666E-2</v>
      </c>
      <c r="E50" s="712">
        <f ca="1">E18/'Residential Cap'!Y22</f>
        <v>1.0167669516327348E-2</v>
      </c>
      <c r="F50" s="712">
        <f ca="1">F18/'Residential Cap'!Y22</f>
        <v>1.0167669516327348E-2</v>
      </c>
      <c r="G50" s="713"/>
      <c r="H50" s="714"/>
      <c r="I50" s="715">
        <f>'Residential Cap'!$AC$5</f>
        <v>3.5000000000000003E-2</v>
      </c>
      <c r="J50" s="695"/>
      <c r="R50" s="105" t="s">
        <v>527</v>
      </c>
      <c r="S50" s="106">
        <v>29.753269681124127</v>
      </c>
      <c r="T50" s="135">
        <v>9.6655703124999999</v>
      </c>
      <c r="U50" s="137">
        <v>20.087699368624129</v>
      </c>
      <c r="V50" s="135"/>
      <c r="W50" s="17" t="s">
        <v>23</v>
      </c>
      <c r="Y50" s="151">
        <f t="shared" si="6"/>
        <v>24.672184868078368</v>
      </c>
      <c r="Z50" s="151">
        <f t="shared" si="6"/>
        <v>9.7848437500000003</v>
      </c>
      <c r="AA50" s="17">
        <f ca="1">'Charges as $ per MWh'!D19</f>
        <v>27.718523804045727</v>
      </c>
      <c r="AB50" s="17">
        <f t="shared" ca="1" si="0"/>
        <v>2.7718523804045727</v>
      </c>
      <c r="AC50" s="29"/>
      <c r="AD50" s="29"/>
      <c r="AE50" s="141"/>
      <c r="AF50" s="142"/>
      <c r="AG50" s="148"/>
      <c r="AH50" s="148"/>
      <c r="AI50" s="400"/>
      <c r="AJ50" s="401"/>
      <c r="AK50" s="22"/>
      <c r="AL50" s="22"/>
      <c r="AM50" s="22"/>
      <c r="AN50" s="22"/>
      <c r="AO50" s="22"/>
      <c r="AP50" s="22"/>
      <c r="AQ50" s="22"/>
      <c r="AR50" s="22"/>
      <c r="AS50" s="22"/>
    </row>
    <row r="51" spans="1:45" ht="15.6" x14ac:dyDescent="0.3">
      <c r="A51" s="752"/>
      <c r="B51" s="697" t="str">
        <f t="shared" si="5"/>
        <v>Northpower</v>
      </c>
      <c r="C51" s="712">
        <f t="shared" ca="1" si="3"/>
        <v>4.023269242097903E-2</v>
      </c>
      <c r="D51" s="712">
        <f t="shared" ca="1" si="1"/>
        <v>2.3454678260417652E-2</v>
      </c>
      <c r="E51" s="712">
        <f ca="1">E19/'Residential Cap'!Y23</f>
        <v>2.8455475239290581E-2</v>
      </c>
      <c r="F51" s="712">
        <f ca="1">F19/'Residential Cap'!Y23</f>
        <v>8.1066078322487717E-3</v>
      </c>
      <c r="G51" s="713"/>
      <c r="H51" s="714"/>
      <c r="I51" s="715">
        <f>'Residential Cap'!$AC$5</f>
        <v>3.5000000000000003E-2</v>
      </c>
      <c r="J51" s="695"/>
      <c r="R51" s="105" t="s">
        <v>19</v>
      </c>
      <c r="S51" s="106">
        <v>26.870396283524439</v>
      </c>
      <c r="T51" s="135">
        <v>9.0422703124999995</v>
      </c>
      <c r="U51" s="137">
        <v>17.828125971024441</v>
      </c>
      <c r="V51" s="135"/>
      <c r="W51" s="17" t="s">
        <v>25</v>
      </c>
      <c r="Y51" s="151">
        <f t="shared" si="6"/>
        <v>23.486739417620459</v>
      </c>
      <c r="Z51" s="151">
        <f t="shared" si="6"/>
        <v>9.5669842681062498</v>
      </c>
      <c r="AA51" s="17">
        <f ca="1">'Charges as $ per MWh'!D20</f>
        <v>13.476413888376085</v>
      </c>
      <c r="AB51" s="17">
        <f t="shared" ca="1" si="0"/>
        <v>1.3476413888376084</v>
      </c>
      <c r="AC51" s="29"/>
      <c r="AD51" s="29"/>
      <c r="AE51" s="141"/>
      <c r="AF51" s="142"/>
      <c r="AG51" s="148"/>
      <c r="AH51" s="148"/>
      <c r="AI51" s="400"/>
      <c r="AJ51" s="401"/>
      <c r="AK51" s="22"/>
      <c r="AL51" s="22"/>
      <c r="AM51" s="22"/>
      <c r="AN51" s="22"/>
      <c r="AO51" s="22"/>
      <c r="AP51" s="22"/>
      <c r="AQ51" s="22"/>
      <c r="AR51" s="22"/>
      <c r="AS51" s="22"/>
    </row>
    <row r="52" spans="1:45" ht="15.6" x14ac:dyDescent="0.3">
      <c r="A52" s="752"/>
      <c r="B52" s="697" t="str">
        <f t="shared" si="5"/>
        <v>Orion</v>
      </c>
      <c r="C52" s="712">
        <f t="shared" ca="1" si="3"/>
        <v>-2.1443047484207122E-2</v>
      </c>
      <c r="D52" s="712">
        <f t="shared" ca="1" si="1"/>
        <v>-2.2976331383510025E-2</v>
      </c>
      <c r="E52" s="712">
        <f ca="1">E20/'Residential Cap'!Y24</f>
        <v>-3.1222127768094927E-2</v>
      </c>
      <c r="F52" s="716">
        <f ca="1">F20/'Residential Cap'!Y24</f>
        <v>-3.3127209811586115E-2</v>
      </c>
      <c r="G52" s="713"/>
      <c r="H52" s="714"/>
      <c r="I52" s="715">
        <f>'Residential Cap'!$AC$5</f>
        <v>3.5000000000000003E-2</v>
      </c>
      <c r="J52" s="695"/>
      <c r="R52" s="105" t="s">
        <v>20</v>
      </c>
      <c r="S52" s="106">
        <v>25.924933346581309</v>
      </c>
      <c r="T52" s="135">
        <v>9.3525532499999997</v>
      </c>
      <c r="U52" s="137">
        <v>16.572380096581309</v>
      </c>
      <c r="V52" s="135"/>
      <c r="W52" s="17" t="s">
        <v>71</v>
      </c>
      <c r="Y52" s="151">
        <f t="shared" si="6"/>
        <v>33.825874391226506</v>
      </c>
      <c r="Z52" s="151">
        <f t="shared" si="6"/>
        <v>17.03184375</v>
      </c>
      <c r="AA52" s="17">
        <f ca="1">'Charges as $ per MWh'!D21</f>
        <v>10.521830385970915</v>
      </c>
      <c r="AB52" s="17">
        <f t="shared" ca="1" si="0"/>
        <v>1.0521830385970916</v>
      </c>
      <c r="AC52" s="29"/>
      <c r="AD52" s="29"/>
      <c r="AE52" s="141"/>
      <c r="AF52" s="142"/>
      <c r="AG52" s="148"/>
      <c r="AH52" s="148"/>
      <c r="AI52" s="400"/>
      <c r="AJ52" s="401"/>
      <c r="AK52" s="22"/>
      <c r="AL52" s="22"/>
      <c r="AM52" s="22"/>
      <c r="AN52" s="22"/>
      <c r="AO52" s="22"/>
      <c r="AP52" s="22"/>
      <c r="AQ52" s="22"/>
      <c r="AR52" s="22"/>
      <c r="AS52" s="22"/>
    </row>
    <row r="53" spans="1:45" ht="15.6" x14ac:dyDescent="0.3">
      <c r="A53" s="752"/>
      <c r="B53" s="697" t="str">
        <f t="shared" si="5"/>
        <v>OtagoNet JV</v>
      </c>
      <c r="C53" s="712">
        <f t="shared" ca="1" si="3"/>
        <v>5.1940960788627553E-3</v>
      </c>
      <c r="D53" s="712">
        <f t="shared" ca="1" si="1"/>
        <v>-1.5514867134807876E-3</v>
      </c>
      <c r="E53" s="712">
        <f ca="1">E21/'Residential Cap'!Y25</f>
        <v>5.1658870972220812E-3</v>
      </c>
      <c r="F53" s="712">
        <f ca="1">F21/'Residential Cap'!Y25</f>
        <v>-3.1235211557286233E-3</v>
      </c>
      <c r="G53" s="713"/>
      <c r="H53" s="714"/>
      <c r="I53" s="715">
        <f>'Residential Cap'!$AC$5</f>
        <v>3.5000000000000003E-2</v>
      </c>
      <c r="J53" s="695"/>
      <c r="R53" s="105" t="s">
        <v>23</v>
      </c>
      <c r="S53" s="106">
        <v>28.373012598290121</v>
      </c>
      <c r="T53" s="135">
        <v>11.2525703125</v>
      </c>
      <c r="U53" s="137">
        <v>17.120442285790119</v>
      </c>
      <c r="V53" s="135"/>
      <c r="W53" s="17" t="s">
        <v>28</v>
      </c>
      <c r="Y53" s="151">
        <f>AVERAGE(S56:S62)/1.15</f>
        <v>26.228663673903906</v>
      </c>
      <c r="Z53" s="151">
        <f>AVERAGE(T56:T62)/1.15</f>
        <v>10.695424570262096</v>
      </c>
      <c r="AA53" s="17">
        <f ca="1">'Charges as $ per MWh'!D22</f>
        <v>16.762218870517632</v>
      </c>
      <c r="AB53" s="17">
        <f t="shared" ca="1" si="0"/>
        <v>1.6762218870517631</v>
      </c>
      <c r="AC53" s="29"/>
      <c r="AD53" s="29"/>
      <c r="AE53" s="141"/>
      <c r="AF53" s="142"/>
      <c r="AG53" s="148"/>
      <c r="AH53" s="148"/>
      <c r="AI53" s="400"/>
      <c r="AJ53" s="401"/>
      <c r="AK53" s="22"/>
      <c r="AL53" s="22"/>
      <c r="AM53" s="22"/>
      <c r="AN53" s="22"/>
      <c r="AO53" s="22"/>
      <c r="AP53" s="22"/>
      <c r="AQ53" s="22"/>
      <c r="AR53" s="22"/>
      <c r="AS53" s="22"/>
    </row>
    <row r="54" spans="1:45" ht="15.6" x14ac:dyDescent="0.3">
      <c r="A54" s="752"/>
      <c r="B54" s="697" t="str">
        <f t="shared" si="5"/>
        <v>Powerco</v>
      </c>
      <c r="C54" s="712">
        <f t="shared" ca="1" si="3"/>
        <v>-1.462322306175524E-3</v>
      </c>
      <c r="D54" s="712">
        <f t="shared" ca="1" si="1"/>
        <v>-9.0880661817616792E-3</v>
      </c>
      <c r="E54" s="712">
        <f ca="1">E22/'Residential Cap'!Y26</f>
        <v>-1.4841696667328989E-2</v>
      </c>
      <c r="F54" s="712">
        <f ca="1">F22/'Residential Cap'!Y26</f>
        <v>-2.432261382727478E-2</v>
      </c>
      <c r="G54" s="713"/>
      <c r="H54" s="714"/>
      <c r="I54" s="715">
        <f>'Residential Cap'!$AC$5</f>
        <v>3.5000000000000003E-2</v>
      </c>
      <c r="J54" s="695"/>
      <c r="R54" s="105" t="s">
        <v>531</v>
      </c>
      <c r="S54" s="106">
        <v>27.009750330263525</v>
      </c>
      <c r="T54" s="135">
        <v>11.002031908322186</v>
      </c>
      <c r="U54" s="137">
        <v>16.007718421941341</v>
      </c>
      <c r="V54" s="135"/>
      <c r="W54" s="17" t="s">
        <v>31</v>
      </c>
      <c r="Y54" s="151">
        <f>S63/1.15</f>
        <v>25.199030381175191</v>
      </c>
      <c r="Z54" s="151">
        <f>T63/1.15</f>
        <v>11.947998950000001</v>
      </c>
      <c r="AA54" s="17">
        <f ca="1">'Charges as $ per MWh'!D23</f>
        <v>13.187104955510781</v>
      </c>
      <c r="AB54" s="17">
        <f t="shared" ca="1" si="0"/>
        <v>1.3187104955510782</v>
      </c>
      <c r="AC54" s="29"/>
      <c r="AD54" s="29"/>
      <c r="AE54" s="141"/>
      <c r="AF54" s="142"/>
      <c r="AG54" s="148"/>
      <c r="AH54" s="148"/>
      <c r="AI54" s="400"/>
      <c r="AJ54" s="401"/>
      <c r="AK54" s="22"/>
      <c r="AL54" s="22"/>
      <c r="AM54" s="22"/>
      <c r="AN54" s="22"/>
      <c r="AO54" s="22"/>
      <c r="AP54" s="22"/>
      <c r="AQ54" s="22"/>
      <c r="AR54" s="22"/>
      <c r="AS54" s="22"/>
    </row>
    <row r="55" spans="1:45" ht="15.6" x14ac:dyDescent="0.3">
      <c r="A55" s="752"/>
      <c r="B55" s="697" t="str">
        <f t="shared" si="5"/>
        <v>Scanpower</v>
      </c>
      <c r="C55" s="712">
        <f t="shared" ca="1" si="3"/>
        <v>-1.5559290196730169E-2</v>
      </c>
      <c r="D55" s="712">
        <f t="shared" ca="1" si="1"/>
        <v>-1.5559290196730169E-2</v>
      </c>
      <c r="E55" s="712">
        <f ca="1">E23/'Residential Cap'!Y27</f>
        <v>-2.222604937687048E-2</v>
      </c>
      <c r="F55" s="712">
        <f ca="1">F23/'Residential Cap'!Y27</f>
        <v>-2.222604937687048E-2</v>
      </c>
      <c r="G55" s="713"/>
      <c r="H55" s="714"/>
      <c r="I55" s="715">
        <f>'Residential Cap'!$AC$5</f>
        <v>3.5000000000000003E-2</v>
      </c>
      <c r="J55" s="695"/>
      <c r="R55" s="105" t="s">
        <v>496</v>
      </c>
      <c r="S55" s="106">
        <v>38.899755549910481</v>
      </c>
      <c r="T55" s="135">
        <v>19.586620312499999</v>
      </c>
      <c r="U55" s="137">
        <v>19.313135237410481</v>
      </c>
      <c r="V55" s="135"/>
      <c r="W55" s="17" t="s">
        <v>32</v>
      </c>
      <c r="Y55" s="151">
        <f>AVERAGE(S64:S65)/1.15</f>
        <v>26.77212752964406</v>
      </c>
      <c r="Z55" s="151">
        <f>AVERAGE(T64:T65)/1.15</f>
        <v>11.528730000000001</v>
      </c>
      <c r="AA55" s="17">
        <f ca="1">'Charges as $ per MWh'!D24</f>
        <v>16.148356986129247</v>
      </c>
      <c r="AB55" s="17">
        <f t="shared" ca="1" si="0"/>
        <v>1.6148356986129246</v>
      </c>
      <c r="AC55" s="29"/>
      <c r="AD55" s="29"/>
      <c r="AE55" s="141"/>
      <c r="AF55" s="142"/>
      <c r="AG55" s="148"/>
      <c r="AH55" s="148"/>
      <c r="AI55" s="400"/>
      <c r="AJ55" s="401"/>
      <c r="AK55" s="22"/>
      <c r="AL55" s="22"/>
      <c r="AM55" s="22"/>
      <c r="AN55" s="22"/>
      <c r="AO55" s="22"/>
      <c r="AP55" s="22"/>
      <c r="AQ55" s="22"/>
      <c r="AR55" s="22"/>
      <c r="AS55" s="22"/>
    </row>
    <row r="56" spans="1:45" ht="15.6" x14ac:dyDescent="0.3">
      <c r="A56" s="752"/>
      <c r="B56" s="697" t="str">
        <f t="shared" si="5"/>
        <v>The Lines Company</v>
      </c>
      <c r="C56" s="712">
        <f t="shared" ca="1" si="3"/>
        <v>1.9246872002928926E-2</v>
      </c>
      <c r="D56" s="712">
        <f t="shared" ca="1" si="1"/>
        <v>2.7513829463325788E-3</v>
      </c>
      <c r="E56" s="712">
        <f ca="1">E24/'Residential Cap'!Y28</f>
        <v>1.7764577089897555E-2</v>
      </c>
      <c r="F56" s="712">
        <f ca="1">F24/'Residential Cap'!Y28</f>
        <v>-2.4001652422378198E-3</v>
      </c>
      <c r="G56" s="713"/>
      <c r="H56" s="714"/>
      <c r="I56" s="715">
        <f>'Residential Cap'!$AC$5</f>
        <v>3.5000000000000003E-2</v>
      </c>
      <c r="J56" s="695"/>
      <c r="R56" s="105" t="s">
        <v>511</v>
      </c>
      <c r="S56" s="106">
        <v>32.283462254024329</v>
      </c>
      <c r="T56" s="135">
        <v>11.696470312499999</v>
      </c>
      <c r="U56" s="137">
        <v>20.586991941524332</v>
      </c>
      <c r="V56" s="135"/>
      <c r="W56" s="17" t="s">
        <v>73</v>
      </c>
      <c r="Y56" s="151">
        <f>S66/1.15</f>
        <v>25.883852202068788</v>
      </c>
      <c r="Z56" s="151">
        <f>T66/1.15</f>
        <v>10.898325924088315</v>
      </c>
      <c r="AA56" s="17">
        <f ca="1">'Charges as $ per MWh'!D25</f>
        <v>12.195070891052763</v>
      </c>
      <c r="AB56" s="17">
        <f t="shared" ca="1" si="0"/>
        <v>1.2195070891052762</v>
      </c>
      <c r="AC56" s="29"/>
      <c r="AD56" s="29"/>
      <c r="AE56" s="141"/>
      <c r="AF56" s="142"/>
      <c r="AG56" s="148"/>
      <c r="AH56" s="148"/>
      <c r="AI56" s="400"/>
      <c r="AJ56" s="401"/>
      <c r="AK56" s="22"/>
      <c r="AL56" s="22"/>
      <c r="AM56" s="22"/>
      <c r="AN56" s="22"/>
      <c r="AO56" s="22"/>
      <c r="AP56" s="22"/>
      <c r="AQ56" s="22"/>
      <c r="AR56" s="22"/>
      <c r="AS56" s="22"/>
    </row>
    <row r="57" spans="1:45" ht="15.6" x14ac:dyDescent="0.3">
      <c r="A57" s="752"/>
      <c r="B57" s="697" t="str">
        <f t="shared" si="5"/>
        <v>The Power Company</v>
      </c>
      <c r="C57" s="712">
        <f t="shared" ca="1" si="3"/>
        <v>1.7937784252501623E-3</v>
      </c>
      <c r="D57" s="712">
        <f t="shared" ca="1" si="1"/>
        <v>-8.3963678443094228E-3</v>
      </c>
      <c r="E57" s="712">
        <f ca="1">E25/'Residential Cap'!Y29</f>
        <v>-2.424026993305329E-4</v>
      </c>
      <c r="F57" s="712">
        <f ca="1">F25/'Residential Cap'!Y29</f>
        <v>-1.2650996234785194E-2</v>
      </c>
      <c r="G57" s="713"/>
      <c r="H57" s="714"/>
      <c r="I57" s="715">
        <f>'Residential Cap'!$AC$5</f>
        <v>3.5000000000000003E-2</v>
      </c>
      <c r="J57" s="695"/>
      <c r="R57" s="105" t="s">
        <v>512</v>
      </c>
      <c r="S57" s="106">
        <v>29.837680970312483</v>
      </c>
      <c r="T57" s="135">
        <v>12.837270312499999</v>
      </c>
      <c r="U57" s="137">
        <v>17.000410657812484</v>
      </c>
      <c r="V57" s="135"/>
      <c r="W57" s="17" t="s">
        <v>34</v>
      </c>
      <c r="Y57" s="151">
        <f>S67/1.15</f>
        <v>32.774738441529557</v>
      </c>
      <c r="Z57" s="151">
        <f>T67/1.15</f>
        <v>16.582843750000002</v>
      </c>
      <c r="AA57" s="17">
        <f ca="1">'Charges as $ per MWh'!D26</f>
        <v>18.553865051918436</v>
      </c>
      <c r="AB57" s="17">
        <f t="shared" ca="1" si="0"/>
        <v>1.8553865051918434</v>
      </c>
      <c r="AC57" s="29"/>
      <c r="AD57" s="29"/>
      <c r="AE57" s="141"/>
      <c r="AF57" s="142"/>
      <c r="AG57" s="148"/>
      <c r="AH57" s="148"/>
      <c r="AI57" s="400"/>
      <c r="AJ57" s="401"/>
      <c r="AK57" s="22"/>
      <c r="AL57" s="22"/>
      <c r="AM57" s="22"/>
      <c r="AN57" s="22"/>
      <c r="AO57" s="22"/>
      <c r="AP57" s="22"/>
      <c r="AQ57" s="22"/>
      <c r="AR57" s="22"/>
      <c r="AS57" s="22"/>
    </row>
    <row r="58" spans="1:45" ht="15.6" x14ac:dyDescent="0.3">
      <c r="A58" s="752"/>
      <c r="B58" s="697" t="str">
        <f t="shared" si="5"/>
        <v>Top Energy</v>
      </c>
      <c r="C58" s="712">
        <f t="shared" ca="1" si="3"/>
        <v>4.405628697603832E-2</v>
      </c>
      <c r="D58" s="712">
        <f t="shared" ca="1" si="1"/>
        <v>6.5564187982688447E-3</v>
      </c>
      <c r="E58" s="712">
        <f ca="1">E26/'Residential Cap'!Y30</f>
        <v>1.7496152397029625E-2</v>
      </c>
      <c r="F58" s="712">
        <f ca="1">F26/'Residential Cap'!Y30</f>
        <v>-2.8735347105947606E-2</v>
      </c>
      <c r="G58" s="713"/>
      <c r="H58" s="715"/>
      <c r="I58" s="715">
        <f>'Residential Cap'!$AC$5</f>
        <v>3.5000000000000003E-2</v>
      </c>
      <c r="J58" s="695"/>
      <c r="R58" s="105" t="s">
        <v>525</v>
      </c>
      <c r="S58" s="106">
        <v>28.368788085739261</v>
      </c>
      <c r="T58" s="135">
        <v>11.30283374754427</v>
      </c>
      <c r="U58" s="137">
        <v>17.065954338194992</v>
      </c>
      <c r="V58" s="135"/>
      <c r="W58" s="17" t="s">
        <v>36</v>
      </c>
      <c r="Y58" s="151">
        <f>AVERAGE(S68:S70)/1.15</f>
        <v>26.434909455323027</v>
      </c>
      <c r="Z58" s="151">
        <f>AVERAGE(T68:T70)/1.15</f>
        <v>11.951510416666668</v>
      </c>
      <c r="AA58" s="17">
        <f ca="1">'Charges as $ per MWh'!D27</f>
        <v>13.859282385768843</v>
      </c>
      <c r="AB58" s="17">
        <f t="shared" ca="1" si="0"/>
        <v>1.3859282385768843</v>
      </c>
      <c r="AC58" s="29"/>
      <c r="AD58" s="29"/>
      <c r="AE58" s="141"/>
      <c r="AF58" s="142"/>
      <c r="AG58" s="148"/>
      <c r="AH58" s="148"/>
      <c r="AI58" s="400"/>
      <c r="AJ58" s="401"/>
      <c r="AK58" s="22"/>
      <c r="AL58" s="22"/>
      <c r="AM58" s="22"/>
      <c r="AN58" s="22"/>
      <c r="AO58" s="22"/>
      <c r="AP58" s="22"/>
      <c r="AQ58" s="22"/>
      <c r="AR58" s="22"/>
      <c r="AS58" s="22"/>
    </row>
    <row r="59" spans="1:45" ht="15.6" x14ac:dyDescent="0.3">
      <c r="A59" s="752"/>
      <c r="B59" s="697" t="str">
        <f t="shared" si="5"/>
        <v>Unison</v>
      </c>
      <c r="C59" s="712">
        <f t="shared" ca="1" si="3"/>
        <v>-1.3315700978551025E-2</v>
      </c>
      <c r="D59" s="712">
        <f t="shared" ca="1" si="1"/>
        <v>-2.6569729745487842E-2</v>
      </c>
      <c r="E59" s="712">
        <f ca="1">E27/'Residential Cap'!Y31</f>
        <v>-2.1047780027984572E-2</v>
      </c>
      <c r="F59" s="712">
        <f ca="1">F27/'Residential Cap'!Y31</f>
        <v>-3.7227997705969434E-2</v>
      </c>
      <c r="G59" s="713"/>
      <c r="H59" s="714"/>
      <c r="I59" s="715">
        <f>'Residential Cap'!$AC$5</f>
        <v>3.5000000000000003E-2</v>
      </c>
      <c r="J59" s="695"/>
      <c r="R59" s="105" t="s">
        <v>518</v>
      </c>
      <c r="S59" s="106">
        <v>28.134833749249115</v>
      </c>
      <c r="T59" s="135">
        <v>11.30283374754427</v>
      </c>
      <c r="U59" s="137">
        <v>16.832000001704845</v>
      </c>
      <c r="V59" s="135"/>
      <c r="W59" s="17" t="s">
        <v>37</v>
      </c>
      <c r="Y59" s="151">
        <f>AVERAGE(S71:S72)/1.15</f>
        <v>23.896811773758618</v>
      </c>
      <c r="Z59" s="151">
        <f>AVERAGE(T71:T72)/1.15</f>
        <v>9.9848437499999996</v>
      </c>
      <c r="AA59" s="17">
        <f ca="1">'Charges as $ per MWh'!D28</f>
        <v>24.551537750754559</v>
      </c>
      <c r="AB59" s="17">
        <f t="shared" ca="1" si="0"/>
        <v>2.455153775075456</v>
      </c>
      <c r="AC59" s="29"/>
      <c r="AD59" s="29"/>
      <c r="AE59" s="141"/>
      <c r="AF59" s="142"/>
      <c r="AG59" s="148"/>
      <c r="AH59" s="148"/>
      <c r="AI59" s="400"/>
      <c r="AJ59" s="401"/>
      <c r="AK59" s="22"/>
      <c r="AL59" s="22"/>
      <c r="AM59" s="22"/>
      <c r="AN59" s="22"/>
      <c r="AO59" s="22"/>
      <c r="AP59" s="22"/>
      <c r="AQ59" s="22"/>
      <c r="AR59" s="22"/>
      <c r="AS59" s="22"/>
    </row>
    <row r="60" spans="1:45" ht="15.6" x14ac:dyDescent="0.3">
      <c r="A60" s="752"/>
      <c r="B60" s="697" t="str">
        <f t="shared" si="5"/>
        <v>Vector</v>
      </c>
      <c r="C60" s="712">
        <f t="shared" ca="1" si="3"/>
        <v>3.8825121530571008E-2</v>
      </c>
      <c r="D60" s="712">
        <f t="shared" ca="1" si="1"/>
        <v>3.433745522460116E-2</v>
      </c>
      <c r="E60" s="712">
        <f ca="1">E28/'Residential Cap'!Y32</f>
        <v>1.9237219953472093E-2</v>
      </c>
      <c r="F60" s="712">
        <f ca="1">F28/'Residential Cap'!Y32</f>
        <v>1.364328349812282E-2</v>
      </c>
      <c r="G60" s="713"/>
      <c r="H60" s="714"/>
      <c r="I60" s="715">
        <f>'Residential Cap'!$AC$5</f>
        <v>3.5000000000000003E-2</v>
      </c>
      <c r="J60" s="695"/>
      <c r="R60" s="105" t="s">
        <v>523</v>
      </c>
      <c r="S60" s="106">
        <v>28.647166816228193</v>
      </c>
      <c r="T60" s="138">
        <v>11.30283374754427</v>
      </c>
      <c r="U60" s="138">
        <v>17.344333068683923</v>
      </c>
      <c r="V60" s="135"/>
      <c r="W60" s="17" t="s">
        <v>38</v>
      </c>
      <c r="Y60" s="151">
        <f t="shared" ref="Y60:Z63" si="7">S73/1.15</f>
        <v>22.031981922884874</v>
      </c>
      <c r="Z60" s="151">
        <f t="shared" si="7"/>
        <v>6.7488437499999998</v>
      </c>
      <c r="AA60" s="17">
        <f ca="1">'Charges as $ per MWh'!D29</f>
        <v>14.703126377748454</v>
      </c>
      <c r="AB60" s="17">
        <f t="shared" ca="1" si="0"/>
        <v>1.4703126377748454</v>
      </c>
      <c r="AC60" s="29"/>
      <c r="AD60" s="29"/>
      <c r="AE60" s="141"/>
      <c r="AF60" s="142"/>
      <c r="AG60" s="148"/>
      <c r="AH60" s="148"/>
      <c r="AI60" s="400"/>
      <c r="AJ60" s="401"/>
      <c r="AK60" s="22"/>
      <c r="AL60" s="22"/>
      <c r="AM60" s="22"/>
      <c r="AN60" s="22"/>
      <c r="AO60" s="22"/>
      <c r="AP60" s="22"/>
      <c r="AQ60" s="22"/>
      <c r="AR60" s="22"/>
      <c r="AS60" s="22"/>
    </row>
    <row r="61" spans="1:45" ht="15.6" x14ac:dyDescent="0.3">
      <c r="A61" s="752"/>
      <c r="B61" s="697" t="str">
        <f t="shared" si="5"/>
        <v>Waipa Power</v>
      </c>
      <c r="C61" s="712">
        <f t="shared" ca="1" si="3"/>
        <v>-5.6622767425169862E-3</v>
      </c>
      <c r="D61" s="712">
        <f t="shared" ca="1" si="1"/>
        <v>-5.6622767425169862E-3</v>
      </c>
      <c r="E61" s="712">
        <f ca="1">E29/'Residential Cap'!Y33</f>
        <v>-1.1647105703777146E-2</v>
      </c>
      <c r="F61" s="712">
        <f ca="1">F29/'Residential Cap'!Y33</f>
        <v>-1.1647105703777146E-2</v>
      </c>
      <c r="G61" s="713"/>
      <c r="H61" s="714"/>
      <c r="I61" s="715">
        <f>'Residential Cap'!$AC$5</f>
        <v>3.5000000000000003E-2</v>
      </c>
      <c r="J61" s="695"/>
      <c r="R61" s="105" t="s">
        <v>522</v>
      </c>
      <c r="S61" s="106">
        <v>31.855971547799594</v>
      </c>
      <c r="T61" s="138">
        <v>13.827962961488527</v>
      </c>
      <c r="U61" s="138">
        <v>18.028008586311067</v>
      </c>
      <c r="V61" s="135"/>
      <c r="W61" s="17" t="s">
        <v>39</v>
      </c>
      <c r="Y61" s="151">
        <f t="shared" si="7"/>
        <v>24.8344041356284</v>
      </c>
      <c r="Z61" s="151">
        <f t="shared" si="7"/>
        <v>11.45484375</v>
      </c>
      <c r="AA61" s="17">
        <f ca="1">'Charges as $ per MWh'!D30</f>
        <v>16.303769523647407</v>
      </c>
      <c r="AB61" s="17">
        <f t="shared" ca="1" si="0"/>
        <v>1.6303769523647407</v>
      </c>
      <c r="AC61" s="29"/>
      <c r="AD61" s="29"/>
      <c r="AE61" s="141"/>
      <c r="AF61" s="142"/>
      <c r="AG61" s="148"/>
      <c r="AH61" s="148"/>
      <c r="AI61" s="400"/>
      <c r="AJ61" s="401"/>
      <c r="AK61" s="22"/>
      <c r="AL61" s="22"/>
      <c r="AM61" s="22"/>
      <c r="AN61" s="22"/>
      <c r="AO61" s="22"/>
      <c r="AP61" s="22"/>
      <c r="AQ61" s="22"/>
      <c r="AR61" s="22"/>
      <c r="AS61" s="22"/>
    </row>
    <row r="62" spans="1:45" ht="15.6" x14ac:dyDescent="0.3">
      <c r="A62" s="752"/>
      <c r="B62" s="697" t="str">
        <f t="shared" si="5"/>
        <v>WEL</v>
      </c>
      <c r="C62" s="712">
        <f t="shared" ca="1" si="3"/>
        <v>7.8155007656281073E-3</v>
      </c>
      <c r="D62" s="712">
        <f t="shared" ca="1" si="1"/>
        <v>-3.6550232673474075E-3</v>
      </c>
      <c r="E62" s="712">
        <f ca="1">E30/'Residential Cap'!Y34</f>
        <v>3.9842087840145516E-3</v>
      </c>
      <c r="F62" s="712">
        <f ca="1">F30/'Residential Cap'!Y34</f>
        <v>-1.0076676669908358E-2</v>
      </c>
      <c r="G62" s="713"/>
      <c r="H62" s="714"/>
      <c r="I62" s="715">
        <f>'Residential Cap'!$AC$5</f>
        <v>3.5000000000000003E-2</v>
      </c>
      <c r="J62" s="695"/>
      <c r="R62" s="105" t="s">
        <v>524</v>
      </c>
      <c r="S62" s="106">
        <v>32.012839151573473</v>
      </c>
      <c r="T62" s="135">
        <v>13.827962961488527</v>
      </c>
      <c r="U62" s="137">
        <v>18.184876190084946</v>
      </c>
      <c r="V62" s="135"/>
      <c r="W62" s="17" t="s">
        <v>40</v>
      </c>
      <c r="Y62" s="151">
        <f t="shared" si="7"/>
        <v>23.43425727945699</v>
      </c>
      <c r="Z62" s="151">
        <f t="shared" si="7"/>
        <v>9.4048437500000013</v>
      </c>
      <c r="AA62" s="17">
        <f ca="1">'Charges as $ per MWh'!D31</f>
        <v>15.997259132745205</v>
      </c>
      <c r="AB62" s="17">
        <f t="shared" ca="1" si="0"/>
        <v>1.5997259132745205</v>
      </c>
      <c r="AC62" s="29"/>
      <c r="AD62" s="29"/>
      <c r="AE62" s="141"/>
      <c r="AF62" s="142"/>
      <c r="AG62" s="148"/>
      <c r="AH62" s="148"/>
      <c r="AI62" s="400"/>
      <c r="AJ62" s="401"/>
      <c r="AK62" s="22"/>
      <c r="AL62" s="22"/>
      <c r="AM62" s="22"/>
      <c r="AN62" s="22"/>
      <c r="AO62" s="22"/>
      <c r="AP62" s="22"/>
      <c r="AQ62" s="22"/>
      <c r="AR62" s="22"/>
      <c r="AS62" s="22"/>
    </row>
    <row r="63" spans="1:45" ht="15.6" x14ac:dyDescent="0.3">
      <c r="A63" s="752"/>
      <c r="B63" s="697" t="str">
        <f t="shared" si="5"/>
        <v>Wellington Electricity</v>
      </c>
      <c r="C63" s="712">
        <f t="shared" ca="1" si="3"/>
        <v>-2.0879527414256235E-2</v>
      </c>
      <c r="D63" s="712">
        <f t="shared" ca="1" si="1"/>
        <v>-2.1169093644864058E-2</v>
      </c>
      <c r="E63" s="712">
        <f ca="1">E31/'Residential Cap'!Y35</f>
        <v>-3.2038707543910049E-2</v>
      </c>
      <c r="F63" s="712">
        <f ca="1">F31/'Residential Cap'!Y35</f>
        <v>-3.2397250579379082E-2</v>
      </c>
      <c r="G63" s="713"/>
      <c r="H63" s="714"/>
      <c r="I63" s="715">
        <f>'Residential Cap'!$AC$5</f>
        <v>3.5000000000000003E-2</v>
      </c>
      <c r="J63" s="695"/>
      <c r="R63" s="105" t="s">
        <v>31</v>
      </c>
      <c r="S63" s="106">
        <v>28.978884938351467</v>
      </c>
      <c r="T63" s="135">
        <v>13.740198792499999</v>
      </c>
      <c r="U63" s="137">
        <v>15.238686145851467</v>
      </c>
      <c r="V63" s="135"/>
      <c r="W63" s="17" t="s">
        <v>41</v>
      </c>
      <c r="Y63" s="151">
        <f t="shared" si="7"/>
        <v>28.743162235846775</v>
      </c>
      <c r="Z63" s="151">
        <f t="shared" si="7"/>
        <v>10.976800000000001</v>
      </c>
      <c r="AA63" s="17">
        <f ca="1">'Charges as $ per MWh'!D32</f>
        <v>14.008254028263666</v>
      </c>
      <c r="AB63" s="17">
        <f t="shared" ca="1" si="0"/>
        <v>1.4008254028263667</v>
      </c>
      <c r="AC63" s="29"/>
      <c r="AD63" s="29"/>
      <c r="AE63" s="141"/>
      <c r="AF63" s="142"/>
      <c r="AG63" s="148"/>
      <c r="AH63" s="148"/>
      <c r="AI63" s="400"/>
      <c r="AJ63" s="401"/>
      <c r="AK63" s="22"/>
      <c r="AL63" s="22"/>
      <c r="AM63" s="22"/>
      <c r="AN63" s="22"/>
      <c r="AO63" s="22"/>
      <c r="AP63" s="22"/>
      <c r="AQ63" s="22"/>
      <c r="AR63" s="22"/>
      <c r="AS63" s="22"/>
    </row>
    <row r="64" spans="1:45" ht="15.6" x14ac:dyDescent="0.3">
      <c r="A64" s="752"/>
      <c r="B64" s="697" t="str">
        <f t="shared" si="5"/>
        <v>Westpower</v>
      </c>
      <c r="C64" s="712">
        <f t="shared" ca="1" si="3"/>
        <v>3.7520621942183335E-2</v>
      </c>
      <c r="D64" s="712">
        <f t="shared" ca="1" si="1"/>
        <v>2.6623503939166102E-2</v>
      </c>
      <c r="E64" s="712">
        <f ca="1">E32/'Residential Cap'!Y36</f>
        <v>3.7450150051281855E-2</v>
      </c>
      <c r="F64" s="712">
        <f ca="1">F32/'Residential Cap'!Y36</f>
        <v>2.3996269111132829E-2</v>
      </c>
      <c r="G64" s="713"/>
      <c r="H64" s="714"/>
      <c r="I64" s="715">
        <f>'Residential Cap'!$AC$5</f>
        <v>3.5000000000000003E-2</v>
      </c>
      <c r="J64" s="695"/>
      <c r="R64" s="105" t="s">
        <v>519</v>
      </c>
      <c r="S64" s="106">
        <v>30.400442659090665</v>
      </c>
      <c r="T64" s="135">
        <v>13.6455435</v>
      </c>
      <c r="U64" s="137">
        <v>16.754899159090662</v>
      </c>
      <c r="V64" s="135"/>
      <c r="Y64" s="149"/>
      <c r="Z64" s="152"/>
      <c r="AC64" s="144"/>
      <c r="AD64" s="141"/>
      <c r="AE64" s="141"/>
      <c r="AF64" s="142"/>
      <c r="AG64" s="148"/>
      <c r="AH64" s="148"/>
      <c r="AI64" s="142"/>
      <c r="AJ64" s="147"/>
      <c r="AK64" s="22"/>
      <c r="AL64" s="22"/>
      <c r="AM64" s="22"/>
      <c r="AN64" s="22"/>
      <c r="AO64" s="22"/>
      <c r="AP64" s="22"/>
      <c r="AQ64" s="22"/>
      <c r="AR64" s="22"/>
      <c r="AS64" s="22"/>
    </row>
    <row r="65" spans="2:45" ht="15.6" x14ac:dyDescent="0.3">
      <c r="B65" s="22"/>
      <c r="C65" s="402"/>
      <c r="D65" s="403"/>
      <c r="E65" s="102"/>
      <c r="F65" s="102"/>
      <c r="G65" s="102"/>
      <c r="H65" s="689"/>
      <c r="I65" s="156"/>
      <c r="R65" s="105" t="s">
        <v>520</v>
      </c>
      <c r="S65" s="106">
        <v>31.175450659090664</v>
      </c>
      <c r="T65" s="135">
        <v>12.870535500000001</v>
      </c>
      <c r="U65" s="137">
        <v>18.304915159090662</v>
      </c>
      <c r="V65" s="135"/>
      <c r="AC65" s="144"/>
      <c r="AD65" s="141"/>
      <c r="AE65" s="141"/>
      <c r="AF65" s="142"/>
      <c r="AG65" s="148"/>
      <c r="AH65" s="148"/>
      <c r="AI65" s="147"/>
      <c r="AJ65" s="147"/>
      <c r="AK65" s="22"/>
      <c r="AL65" s="22"/>
      <c r="AM65" s="22"/>
      <c r="AN65" s="22"/>
      <c r="AO65" s="22"/>
      <c r="AP65" s="22"/>
      <c r="AQ65" s="22"/>
      <c r="AR65" s="22"/>
      <c r="AS65" s="22"/>
    </row>
    <row r="66" spans="2:45" ht="15.6" x14ac:dyDescent="0.3">
      <c r="C66" s="404" t="s">
        <v>771</v>
      </c>
      <c r="D66" s="405"/>
      <c r="E66" s="479" t="str">
        <f>E67&amp;" "&amp;$G$67</f>
        <v xml:space="preserve">Refined issues paper, capped, all changes  </v>
      </c>
      <c r="F66" s="479" t="str">
        <f>F67&amp;" "&amp;$G$67</f>
        <v xml:space="preserve">Refined issues paper, capped, all changes  </v>
      </c>
      <c r="G66" s="51"/>
      <c r="R66" s="105" t="s">
        <v>536</v>
      </c>
      <c r="S66" s="106">
        <v>29.766430032379105</v>
      </c>
      <c r="T66" s="135">
        <v>12.53307481270156</v>
      </c>
      <c r="U66" s="137">
        <v>17.233355219677545</v>
      </c>
      <c r="V66" s="135"/>
      <c r="AC66" s="144"/>
      <c r="AD66" s="22"/>
      <c r="AE66" s="141"/>
      <c r="AF66" s="142"/>
      <c r="AG66" s="142"/>
      <c r="AH66" s="142"/>
      <c r="AI66" s="22"/>
      <c r="AJ66" s="22"/>
      <c r="AK66" s="22"/>
      <c r="AL66" s="22"/>
      <c r="AM66" s="22"/>
      <c r="AN66" s="141"/>
      <c r="AO66" s="141"/>
      <c r="AP66" s="22"/>
      <c r="AQ66" s="22"/>
      <c r="AR66" s="22"/>
      <c r="AS66" s="22"/>
    </row>
    <row r="67" spans="2:45" ht="45" customHeight="1" x14ac:dyDescent="0.3">
      <c r="C67" s="750" t="s">
        <v>60</v>
      </c>
      <c r="D67" s="751"/>
      <c r="E67" s="398" t="s">
        <v>786</v>
      </c>
      <c r="F67" s="481" t="str">
        <f>E67</f>
        <v xml:space="preserve">Refined issues paper, capped, all changes </v>
      </c>
      <c r="G67" s="101" t="str">
        <f>IF('Recovery amounts'!K17=1,"except WACC adjustment","")</f>
        <v/>
      </c>
      <c r="R67" s="105" t="s">
        <v>34</v>
      </c>
      <c r="S67" s="106">
        <v>37.69094920775899</v>
      </c>
      <c r="T67" s="135">
        <v>19.0702703125</v>
      </c>
      <c r="U67" s="137">
        <v>18.62067889525899</v>
      </c>
      <c r="V67" s="135"/>
      <c r="AC67" s="144"/>
      <c r="AD67" s="22"/>
      <c r="AE67" s="141"/>
      <c r="AF67" s="142"/>
      <c r="AG67" s="142"/>
      <c r="AH67" s="142"/>
      <c r="AI67" s="22"/>
      <c r="AJ67" s="22"/>
      <c r="AK67" s="22"/>
      <c r="AL67" s="22"/>
      <c r="AM67" s="22"/>
      <c r="AN67" s="141"/>
      <c r="AO67" s="141"/>
      <c r="AP67" s="22"/>
      <c r="AQ67" s="22"/>
      <c r="AR67" s="22"/>
      <c r="AS67" s="22"/>
    </row>
    <row r="68" spans="2:45" ht="27.75" customHeight="1" x14ac:dyDescent="0.3">
      <c r="B68" s="70"/>
      <c r="C68" s="406" t="str">
        <f>C2</f>
        <v>Proposal assuming continuation of ACOT</v>
      </c>
      <c r="D68" s="397" t="str">
        <f>D2</f>
        <v>Proposal assuming ACOT discontinued</v>
      </c>
      <c r="E68" s="396" t="s">
        <v>787</v>
      </c>
      <c r="F68" s="482" t="s">
        <v>785</v>
      </c>
      <c r="G68" s="437"/>
      <c r="H68" s="690"/>
      <c r="R68" s="105" t="s">
        <v>521</v>
      </c>
      <c r="S68" s="106">
        <v>29.319663837236419</v>
      </c>
      <c r="T68" s="135">
        <v>14.1275703125</v>
      </c>
      <c r="U68" s="137">
        <v>15.192093524736419</v>
      </c>
      <c r="V68" s="135"/>
      <c r="AC68" s="144"/>
      <c r="AD68" s="141"/>
      <c r="AE68" s="141"/>
      <c r="AF68" s="142"/>
      <c r="AG68" s="142"/>
      <c r="AH68" s="142"/>
      <c r="AI68" s="22"/>
    </row>
    <row r="69" spans="2:45" ht="15.6" x14ac:dyDescent="0.3">
      <c r="B69" s="71" t="str">
        <f>B36</f>
        <v>Alpine Energy</v>
      </c>
      <c r="C69" s="407">
        <v>-6.2546747628170749</v>
      </c>
      <c r="D69" s="408">
        <v>-6.2546747628170749</v>
      </c>
      <c r="E69" s="409">
        <f ca="1">ACOT_trans!P5</f>
        <v>-75.462443577244343</v>
      </c>
      <c r="F69" s="410">
        <f ca="1">ACOT_trans!Q5</f>
        <v>-75.462443577244343</v>
      </c>
      <c r="G69" s="438"/>
      <c r="H69" s="691"/>
      <c r="R69" s="105" t="s">
        <v>515</v>
      </c>
      <c r="S69" s="106">
        <v>31.079518802470425</v>
      </c>
      <c r="T69" s="135">
        <v>13.552570312499999</v>
      </c>
      <c r="U69" s="137">
        <v>17.526948489970426</v>
      </c>
      <c r="V69" s="135"/>
      <c r="AC69" s="144"/>
      <c r="AD69" s="141"/>
      <c r="AE69" s="141"/>
      <c r="AF69" s="142"/>
      <c r="AG69" s="142"/>
      <c r="AH69" s="142"/>
      <c r="AI69" s="22"/>
    </row>
    <row r="70" spans="2:45" ht="15.6" x14ac:dyDescent="0.3">
      <c r="B70" s="71" t="str">
        <f t="shared" ref="B70:B97" si="8">B37</f>
        <v>Aurora Energy</v>
      </c>
      <c r="C70" s="407">
        <v>-13.70844215875718</v>
      </c>
      <c r="D70" s="408">
        <v>-57.361162969379819</v>
      </c>
      <c r="E70" s="409">
        <f ca="1">ACOT_trans!P6</f>
        <v>-89.70360414943211</v>
      </c>
      <c r="F70" s="410">
        <f ca="1">ACOT_trans!Q6</f>
        <v>-131.27762396907275</v>
      </c>
      <c r="G70" s="438"/>
      <c r="H70" s="691"/>
      <c r="R70" s="105" t="s">
        <v>516</v>
      </c>
      <c r="S70" s="106">
        <v>30.801254981157594</v>
      </c>
      <c r="T70" s="135">
        <v>13.552570312499999</v>
      </c>
      <c r="U70" s="137">
        <v>17.248684668657596</v>
      </c>
      <c r="V70" s="135"/>
      <c r="AC70" s="144"/>
      <c r="AD70" s="141"/>
      <c r="AE70" s="141"/>
      <c r="AF70" s="142"/>
      <c r="AG70" s="142"/>
      <c r="AH70" s="142"/>
      <c r="AI70" s="22"/>
    </row>
    <row r="71" spans="2:45" ht="15.6" x14ac:dyDescent="0.3">
      <c r="B71" s="71" t="str">
        <f t="shared" si="8"/>
        <v>Buller Electricity</v>
      </c>
      <c r="C71" s="407">
        <v>26.476273151033851</v>
      </c>
      <c r="D71" s="408">
        <v>26.476273151033851</v>
      </c>
      <c r="E71" s="409">
        <f ca="1">ACOT_trans!P7</f>
        <v>-64.227135739091523</v>
      </c>
      <c r="F71" s="410">
        <f ca="1">ACOT_trans!Q7</f>
        <v>-64.227135739091523</v>
      </c>
      <c r="G71" s="438"/>
      <c r="H71" s="691"/>
      <c r="R71" s="105" t="s">
        <v>510</v>
      </c>
      <c r="S71" s="106">
        <v>27.367188727250621</v>
      </c>
      <c r="T71" s="135">
        <v>11.482570312499998</v>
      </c>
      <c r="U71" s="137">
        <v>15.884618414750623</v>
      </c>
      <c r="V71" s="135"/>
      <c r="AC71" s="144"/>
      <c r="AD71" s="141"/>
      <c r="AE71" s="141"/>
      <c r="AF71" s="142"/>
      <c r="AG71" s="142"/>
      <c r="AH71" s="142"/>
      <c r="AI71" s="22"/>
    </row>
    <row r="72" spans="2:45" ht="15.6" x14ac:dyDescent="0.3">
      <c r="B72" s="71" t="str">
        <f t="shared" si="8"/>
        <v>Centralines</v>
      </c>
      <c r="C72" s="407">
        <v>-28.593188568093254</v>
      </c>
      <c r="D72" s="408">
        <v>-28.593188568093254</v>
      </c>
      <c r="E72" s="409">
        <f ca="1">ACOT_trans!P8</f>
        <v>-129.10878360344279</v>
      </c>
      <c r="F72" s="410">
        <f ca="1">ACOT_trans!Q8</f>
        <v>-129.10878360344279</v>
      </c>
      <c r="G72" s="438"/>
      <c r="H72" s="691"/>
      <c r="R72" s="105" t="s">
        <v>509</v>
      </c>
      <c r="S72" s="106">
        <v>27.595478352394196</v>
      </c>
      <c r="T72" s="135">
        <v>11.482570312499998</v>
      </c>
      <c r="U72" s="137">
        <v>16.112908039894197</v>
      </c>
      <c r="V72" s="135"/>
      <c r="AC72" s="144"/>
      <c r="AD72" s="141"/>
      <c r="AE72" s="141"/>
      <c r="AF72" s="142"/>
      <c r="AG72" s="142"/>
      <c r="AH72" s="142"/>
      <c r="AI72" s="22"/>
    </row>
    <row r="73" spans="2:45" ht="15.6" x14ac:dyDescent="0.3">
      <c r="B73" s="71" t="str">
        <f t="shared" si="8"/>
        <v>Counties Power</v>
      </c>
      <c r="C73" s="407">
        <v>32.53621115351757</v>
      </c>
      <c r="D73" s="408">
        <v>32.53621115351757</v>
      </c>
      <c r="E73" s="409">
        <f ca="1">ACOT_trans!P9</f>
        <v>-63.468999542349863</v>
      </c>
      <c r="F73" s="410">
        <f ca="1">ACOT_trans!Q9</f>
        <v>-63.468999542349863</v>
      </c>
      <c r="G73" s="438"/>
      <c r="H73" s="691"/>
      <c r="R73" s="105" t="s">
        <v>513</v>
      </c>
      <c r="S73" s="106">
        <v>25.336779211317602</v>
      </c>
      <c r="T73" s="135">
        <v>7.7611703124999991</v>
      </c>
      <c r="U73" s="137">
        <v>17.575608898817602</v>
      </c>
      <c r="V73" s="135"/>
      <c r="AC73" s="144"/>
      <c r="AD73" s="141"/>
      <c r="AE73" s="141"/>
      <c r="AF73" s="142"/>
      <c r="AG73" s="142"/>
      <c r="AH73" s="142"/>
      <c r="AI73" s="22"/>
    </row>
    <row r="74" spans="2:45" ht="15.6" x14ac:dyDescent="0.3">
      <c r="B74" s="71" t="str">
        <f t="shared" si="8"/>
        <v>Eastland Network</v>
      </c>
      <c r="C74" s="407">
        <v>-24.094247297379198</v>
      </c>
      <c r="D74" s="408">
        <v>-79.376020578580381</v>
      </c>
      <c r="E74" s="409">
        <f ca="1">ACOT_trans!P10</f>
        <v>-101.50976777157609</v>
      </c>
      <c r="F74" s="410">
        <f ca="1">ACOT_trans!Q10</f>
        <v>-154.15907565843438</v>
      </c>
      <c r="G74" s="438"/>
      <c r="H74" s="691"/>
      <c r="R74" s="105" t="s">
        <v>503</v>
      </c>
      <c r="S74" s="106">
        <v>28.559564755972659</v>
      </c>
      <c r="T74" s="135">
        <v>13.173070312499998</v>
      </c>
      <c r="U74" s="137">
        <v>15.38649444347266</v>
      </c>
      <c r="V74" s="135"/>
      <c r="AC74" s="144"/>
      <c r="AD74" s="141"/>
      <c r="AE74" s="141"/>
      <c r="AF74" s="142"/>
      <c r="AG74" s="142"/>
      <c r="AH74" s="142"/>
      <c r="AI74" s="22"/>
    </row>
    <row r="75" spans="2:45" ht="15.6" x14ac:dyDescent="0.3">
      <c r="B75" s="71" t="str">
        <f t="shared" si="8"/>
        <v>Electra</v>
      </c>
      <c r="C75" s="407">
        <v>14.339474742147459</v>
      </c>
      <c r="D75" s="408">
        <v>-6.2759351548613722</v>
      </c>
      <c r="E75" s="409">
        <f ca="1">ACOT_trans!P11</f>
        <v>-46.673222389657298</v>
      </c>
      <c r="F75" s="410">
        <f ca="1">ACOT_trans!Q11</f>
        <v>-66.306946101094269</v>
      </c>
      <c r="G75" s="438"/>
      <c r="H75" s="691"/>
      <c r="R75" s="105" t="s">
        <v>526</v>
      </c>
      <c r="S75" s="106">
        <v>26.949395871375536</v>
      </c>
      <c r="T75" s="135">
        <v>10.8155703125</v>
      </c>
      <c r="U75" s="137">
        <v>16.133825558875536</v>
      </c>
      <c r="V75" s="135"/>
      <c r="AC75" s="144"/>
      <c r="AD75" s="141"/>
      <c r="AE75" s="141"/>
      <c r="AF75" s="142"/>
      <c r="AG75" s="142"/>
      <c r="AH75" s="142"/>
      <c r="AI75" s="22"/>
    </row>
    <row r="76" spans="2:45" ht="15.6" x14ac:dyDescent="0.3">
      <c r="B76" s="71" t="str">
        <f t="shared" si="8"/>
        <v>Electricity Ashburton</v>
      </c>
      <c r="C76" s="407">
        <v>117.00257637472615</v>
      </c>
      <c r="D76" s="408">
        <v>101.80438939142886</v>
      </c>
      <c r="E76" s="409">
        <f ca="1">ACOT_trans!P12</f>
        <v>30.03329986765938</v>
      </c>
      <c r="F76" s="410">
        <f ca="1">ACOT_trans!Q12</f>
        <v>15.558836074042915</v>
      </c>
      <c r="G76" s="438"/>
      <c r="H76" s="691"/>
      <c r="R76" s="105" t="s">
        <v>41</v>
      </c>
      <c r="S76" s="106">
        <v>33.054636571223789</v>
      </c>
      <c r="T76" s="135">
        <v>12.62332</v>
      </c>
      <c r="U76" s="137">
        <v>20.431316571223789</v>
      </c>
      <c r="V76" s="135"/>
      <c r="AC76" s="144"/>
      <c r="AD76" s="141"/>
      <c r="AE76" s="141"/>
      <c r="AF76" s="142"/>
      <c r="AG76" s="142"/>
      <c r="AH76" s="142"/>
      <c r="AI76" s="22"/>
    </row>
    <row r="77" spans="2:45" ht="15.6" x14ac:dyDescent="0.3">
      <c r="B77" s="71" t="str">
        <f t="shared" si="8"/>
        <v>Electricity Invercargill</v>
      </c>
      <c r="C77" s="407">
        <v>-63.859810233606154</v>
      </c>
      <c r="D77" s="408">
        <v>-63.859810233606154</v>
      </c>
      <c r="E77" s="409">
        <f ca="1">ACOT_trans!P13</f>
        <v>-124.63224397138779</v>
      </c>
      <c r="F77" s="410">
        <f ca="1">ACOT_trans!Q13</f>
        <v>-124.63224397138779</v>
      </c>
      <c r="G77" s="438"/>
      <c r="H77" s="691"/>
      <c r="R77" s="105"/>
      <c r="S77" s="107"/>
      <c r="T77" s="107"/>
      <c r="U77" s="107"/>
      <c r="AC77" s="144"/>
      <c r="AD77" s="141"/>
      <c r="AE77" s="141"/>
      <c r="AF77" s="142"/>
      <c r="AG77" s="142"/>
      <c r="AH77" s="142"/>
      <c r="AI77" s="22"/>
    </row>
    <row r="78" spans="2:45" ht="15.6" x14ac:dyDescent="0.3">
      <c r="B78" s="71" t="str">
        <f t="shared" si="8"/>
        <v>Horizon</v>
      </c>
      <c r="C78" s="407">
        <v>45.752181911904316</v>
      </c>
      <c r="D78" s="408">
        <v>2.7085622228655097</v>
      </c>
      <c r="E78" s="409">
        <f ca="1">ACOT_trans!P14</f>
        <v>-18.675121858832245</v>
      </c>
      <c r="F78" s="410">
        <f ca="1">ACOT_trans!Q14</f>
        <v>-59.669045372202532</v>
      </c>
      <c r="G78" s="438"/>
      <c r="H78" s="691"/>
      <c r="R78" s="103"/>
      <c r="S78" s="104"/>
      <c r="T78" s="104"/>
      <c r="U78" s="104"/>
      <c r="AC78" s="144"/>
      <c r="AD78" s="141"/>
      <c r="AE78" s="141"/>
      <c r="AF78" s="142"/>
      <c r="AG78" s="142"/>
      <c r="AH78" s="142"/>
      <c r="AI78" s="22"/>
    </row>
    <row r="79" spans="2:45" ht="15.6" x14ac:dyDescent="0.3">
      <c r="B79" s="71" t="str">
        <f t="shared" si="8"/>
        <v>Lakeland Network</v>
      </c>
      <c r="C79" s="407">
        <v>-33.370446343332759</v>
      </c>
      <c r="D79" s="408">
        <v>-33.370446343332759</v>
      </c>
      <c r="E79" s="409">
        <f ca="1">ACOT_trans!P15</f>
        <v>-118.77679217142591</v>
      </c>
      <c r="F79" s="410">
        <f ca="1">ACOT_trans!Q15</f>
        <v>-118.77679217142591</v>
      </c>
      <c r="G79" s="438"/>
      <c r="H79" s="691"/>
      <c r="I79" s="30"/>
      <c r="J79" s="30"/>
      <c r="AC79" s="144"/>
      <c r="AD79" s="141"/>
      <c r="AE79" s="141"/>
      <c r="AF79" s="142"/>
      <c r="AG79" s="142"/>
      <c r="AH79" s="142"/>
      <c r="AI79" s="22"/>
    </row>
    <row r="80" spans="2:45" ht="15.6" x14ac:dyDescent="0.3">
      <c r="B80" s="71" t="str">
        <f t="shared" si="8"/>
        <v>Mainpower</v>
      </c>
      <c r="C80" s="407">
        <v>-19.124925016892405</v>
      </c>
      <c r="D80" s="408">
        <v>-33.965418801941723</v>
      </c>
      <c r="E80" s="409">
        <f ca="1">ACOT_trans!P16</f>
        <v>-96.525109698359586</v>
      </c>
      <c r="F80" s="410">
        <f ca="1">ACOT_trans!Q16</f>
        <v>-110.65891330316848</v>
      </c>
      <c r="G80" s="438"/>
      <c r="H80" s="691"/>
      <c r="I80" s="30"/>
      <c r="J80" s="30"/>
      <c r="AC80" s="144"/>
      <c r="AD80" s="141"/>
      <c r="AE80" s="141"/>
      <c r="AF80" s="142"/>
      <c r="AG80" s="142"/>
      <c r="AH80" s="142"/>
      <c r="AI80" s="22"/>
    </row>
    <row r="81" spans="2:38" ht="15.6" x14ac:dyDescent="0.3">
      <c r="B81" s="71" t="str">
        <f t="shared" si="8"/>
        <v>Marlborough Lines</v>
      </c>
      <c r="C81" s="407">
        <v>-30.693709181512304</v>
      </c>
      <c r="D81" s="408">
        <v>-33.563665066386434</v>
      </c>
      <c r="E81" s="409">
        <f ca="1">ACOT_trans!P17</f>
        <v>-109.5547242188247</v>
      </c>
      <c r="F81" s="410">
        <f ca="1">ACOT_trans!Q17</f>
        <v>-112.28801553775247</v>
      </c>
      <c r="G81" s="438"/>
      <c r="H81" s="691"/>
      <c r="I81" s="30"/>
      <c r="J81" s="30"/>
      <c r="AB81" s="22"/>
      <c r="AC81" s="144"/>
      <c r="AD81" s="141"/>
      <c r="AE81" s="141"/>
      <c r="AF81" s="142"/>
      <c r="AG81" s="142"/>
      <c r="AH81" s="142"/>
      <c r="AI81" s="22"/>
      <c r="AJ81" s="22"/>
      <c r="AK81" s="22"/>
      <c r="AL81" s="22"/>
    </row>
    <row r="82" spans="2:38" ht="15.6" x14ac:dyDescent="0.3">
      <c r="B82" s="71" t="str">
        <f t="shared" si="8"/>
        <v>Network Tasman</v>
      </c>
      <c r="C82" s="407">
        <v>-4.0460416967935231</v>
      </c>
      <c r="D82" s="408">
        <v>-4.7440148455580555</v>
      </c>
      <c r="E82" s="409">
        <f ca="1">ACOT_trans!P18</f>
        <v>-55.682170841488173</v>
      </c>
      <c r="F82" s="410">
        <f ca="1">ACOT_trans!Q18</f>
        <v>-56.346907173644865</v>
      </c>
      <c r="G82" s="438"/>
      <c r="H82" s="691"/>
      <c r="I82" s="30"/>
      <c r="J82" s="30"/>
      <c r="AB82" s="22"/>
      <c r="AC82" s="144"/>
      <c r="AD82" s="141"/>
      <c r="AE82" s="141"/>
      <c r="AF82" s="142"/>
      <c r="AG82" s="142"/>
      <c r="AH82" s="142"/>
      <c r="AI82" s="22"/>
      <c r="AJ82" s="22"/>
      <c r="AK82" s="22"/>
      <c r="AL82" s="22"/>
    </row>
    <row r="83" spans="2:38" ht="15.6" x14ac:dyDescent="0.3">
      <c r="B83" s="71" t="str">
        <f t="shared" si="8"/>
        <v>Network Waitaki</v>
      </c>
      <c r="C83" s="407">
        <v>21.283914297394574</v>
      </c>
      <c r="D83" s="408">
        <v>21.283914297394574</v>
      </c>
      <c r="E83" s="409">
        <f ca="1">ACOT_trans!P19</f>
        <v>-39.754499026493328</v>
      </c>
      <c r="F83" s="410">
        <f ca="1">ACOT_trans!Q19</f>
        <v>-39.754499026493328</v>
      </c>
      <c r="G83" s="438"/>
      <c r="H83" s="691"/>
      <c r="I83" s="30"/>
      <c r="J83" s="30"/>
      <c r="AB83" s="22"/>
      <c r="AC83" s="144"/>
      <c r="AD83" s="141"/>
      <c r="AE83" s="141"/>
      <c r="AF83" s="145"/>
      <c r="AG83" s="145"/>
      <c r="AH83" s="145"/>
      <c r="AI83" s="22"/>
      <c r="AJ83" s="22"/>
      <c r="AK83" s="22"/>
      <c r="AL83" s="22"/>
    </row>
    <row r="84" spans="2:38" ht="15.6" x14ac:dyDescent="0.3">
      <c r="B84" s="71" t="str">
        <f t="shared" si="8"/>
        <v>Northpower</v>
      </c>
      <c r="C84" s="407">
        <v>63.215938307107038</v>
      </c>
      <c r="D84" s="408">
        <v>35.535220550480005</v>
      </c>
      <c r="E84" s="409">
        <f ca="1">ACOT_trans!P20</f>
        <v>-17.005300905773964</v>
      </c>
      <c r="F84" s="410">
        <f ca="1">ACOT_trans!Q20</f>
        <v>-43.367889245418766</v>
      </c>
      <c r="G84" s="438"/>
      <c r="H84" s="691"/>
      <c r="I84" s="30"/>
      <c r="J84" s="30"/>
      <c r="AB84" s="22"/>
      <c r="AC84" s="140"/>
      <c r="AD84" s="141"/>
      <c r="AE84" s="141"/>
      <c r="AF84" s="143"/>
      <c r="AG84" s="143"/>
      <c r="AH84" s="143"/>
      <c r="AI84" s="22"/>
      <c r="AJ84" s="22"/>
      <c r="AK84" s="22"/>
      <c r="AL84" s="22"/>
    </row>
    <row r="85" spans="2:38" x14ac:dyDescent="0.3">
      <c r="B85" s="71" t="str">
        <f t="shared" si="8"/>
        <v>Orion</v>
      </c>
      <c r="C85" s="407">
        <v>-44.268786545563643</v>
      </c>
      <c r="D85" s="408">
        <v>-47.592495481389136</v>
      </c>
      <c r="E85" s="409">
        <f ca="1">ACOT_trans!P21</f>
        <v>-123.97684537732349</v>
      </c>
      <c r="F85" s="410">
        <f ca="1">ACOT_trans!Q21</f>
        <v>-127.14228245906205</v>
      </c>
      <c r="G85" s="438"/>
      <c r="H85" s="691"/>
      <c r="I85" s="30"/>
      <c r="J85" s="30"/>
      <c r="AB85" s="22"/>
      <c r="AC85" s="22"/>
      <c r="AD85" s="22"/>
      <c r="AE85" s="141"/>
      <c r="AF85" s="22"/>
      <c r="AG85" s="22"/>
      <c r="AH85" s="22"/>
      <c r="AI85" s="22"/>
      <c r="AJ85" s="22"/>
      <c r="AK85" s="22"/>
      <c r="AL85" s="22"/>
    </row>
    <row r="86" spans="2:38" x14ac:dyDescent="0.3">
      <c r="B86" s="71" t="str">
        <f t="shared" si="8"/>
        <v>OtagoNet JV</v>
      </c>
      <c r="C86" s="407">
        <v>12.267540920817638</v>
      </c>
      <c r="D86" s="408">
        <v>-4.4609325743923449</v>
      </c>
      <c r="E86" s="409">
        <f ca="1">ACOT_trans!P22</f>
        <v>-93.260058324872261</v>
      </c>
      <c r="F86" s="410">
        <f ca="1">ACOT_trans!Q22</f>
        <v>-109.19193784411986</v>
      </c>
      <c r="G86" s="438"/>
      <c r="H86" s="691"/>
      <c r="I86" s="30"/>
      <c r="J86" s="30"/>
      <c r="AB86" s="22"/>
      <c r="AC86" s="22"/>
      <c r="AD86" s="22"/>
      <c r="AE86" s="141"/>
      <c r="AF86" s="22"/>
      <c r="AG86" s="22"/>
      <c r="AH86" s="22"/>
      <c r="AI86" s="22"/>
      <c r="AJ86" s="22"/>
      <c r="AK86" s="22"/>
      <c r="AL86" s="22"/>
    </row>
    <row r="87" spans="2:38" x14ac:dyDescent="0.3">
      <c r="B87" s="71" t="str">
        <f t="shared" si="8"/>
        <v>Powerco</v>
      </c>
      <c r="C87" s="407">
        <v>-2.443485230365809</v>
      </c>
      <c r="D87" s="408">
        <v>-15.822931112063372</v>
      </c>
      <c r="E87" s="409">
        <f ca="1">ACOT_trans!P23</f>
        <v>-78.656612624377132</v>
      </c>
      <c r="F87" s="410">
        <f ca="1">ACOT_trans!Q23</f>
        <v>-91.398942035517663</v>
      </c>
      <c r="G87" s="438"/>
      <c r="H87" s="691"/>
      <c r="I87" s="30"/>
      <c r="J87" s="30"/>
      <c r="AB87" s="22"/>
      <c r="AC87" s="22"/>
      <c r="AD87" s="22"/>
      <c r="AE87" s="141"/>
      <c r="AF87" s="22"/>
      <c r="AG87" s="22"/>
      <c r="AH87" s="22"/>
      <c r="AI87" s="22"/>
      <c r="AJ87" s="22"/>
      <c r="AK87" s="22"/>
      <c r="AL87" s="22"/>
    </row>
    <row r="88" spans="2:38" x14ac:dyDescent="0.3">
      <c r="B88" s="71" t="str">
        <f t="shared" si="8"/>
        <v>Scanpower</v>
      </c>
      <c r="C88" s="407">
        <v>-27.877955804575834</v>
      </c>
      <c r="D88" s="408">
        <v>-27.877955804575834</v>
      </c>
      <c r="E88" s="409">
        <f ca="1">ACOT_trans!P24</f>
        <v>-108.07813237310394</v>
      </c>
      <c r="F88" s="410">
        <f ca="1">ACOT_trans!Q24</f>
        <v>-108.07813237310394</v>
      </c>
      <c r="G88" s="438"/>
      <c r="H88" s="691"/>
      <c r="I88" s="30"/>
      <c r="J88" s="30"/>
      <c r="AB88" s="22"/>
      <c r="AC88" s="22"/>
      <c r="AD88" s="22"/>
      <c r="AE88" s="141"/>
      <c r="AF88" s="22"/>
      <c r="AG88" s="22"/>
      <c r="AH88" s="22"/>
      <c r="AI88" s="22"/>
      <c r="AJ88" s="22"/>
      <c r="AK88" s="22"/>
      <c r="AL88" s="22"/>
    </row>
    <row r="89" spans="2:38" x14ac:dyDescent="0.3">
      <c r="B89" s="71" t="str">
        <f t="shared" si="8"/>
        <v>The Lines Company</v>
      </c>
      <c r="C89" s="407">
        <v>41.390358130781692</v>
      </c>
      <c r="D89" s="408">
        <v>4.1431675501219161</v>
      </c>
      <c r="E89" s="409">
        <f ca="1">ACOT_trans!P25</f>
        <v>-52.487389124120163</v>
      </c>
      <c r="F89" s="410">
        <f ca="1">ACOT_trans!Q25</f>
        <v>-87.960903962843759</v>
      </c>
      <c r="G89" s="438"/>
      <c r="H89" s="691"/>
      <c r="I89" s="30"/>
      <c r="J89" s="30"/>
      <c r="AB89" s="22"/>
      <c r="AC89" s="22"/>
      <c r="AD89" s="22"/>
      <c r="AE89" s="141"/>
      <c r="AF89" s="22"/>
      <c r="AG89" s="22"/>
      <c r="AH89" s="22"/>
      <c r="AI89" s="22"/>
      <c r="AJ89" s="22"/>
      <c r="AK89" s="22"/>
      <c r="AL89" s="22"/>
    </row>
    <row r="90" spans="2:38" x14ac:dyDescent="0.3">
      <c r="B90" s="71" t="str">
        <f t="shared" si="8"/>
        <v>The Power Company</v>
      </c>
      <c r="C90" s="407">
        <v>3.9543088511479567</v>
      </c>
      <c r="D90" s="408">
        <v>-19.632626007722195</v>
      </c>
      <c r="E90" s="409">
        <f ca="1">ACOT_trans!P26</f>
        <v>-80.850233442176531</v>
      </c>
      <c r="F90" s="410">
        <f ca="1">ACOT_trans!Q26</f>
        <v>-103.31398092681476</v>
      </c>
      <c r="G90" s="438"/>
      <c r="H90" s="691"/>
      <c r="I90" s="30"/>
      <c r="J90" s="30"/>
    </row>
    <row r="91" spans="2:38" x14ac:dyDescent="0.3">
      <c r="B91" s="71" t="str">
        <f t="shared" si="8"/>
        <v>Top Energy</v>
      </c>
      <c r="C91" s="407">
        <v>87.039499919722886</v>
      </c>
      <c r="D91" s="408">
        <v>20.243685980145216</v>
      </c>
      <c r="E91" s="409">
        <f ca="1">ACOT_trans!P27</f>
        <v>-61.679751638202639</v>
      </c>
      <c r="F91" s="410">
        <f ca="1">ACOT_trans!Q27</f>
        <v>-136.21551300950492</v>
      </c>
      <c r="G91" s="438"/>
      <c r="H91" s="691"/>
      <c r="I91" s="30"/>
      <c r="J91" s="30"/>
    </row>
    <row r="92" spans="2:38" x14ac:dyDescent="0.3">
      <c r="B92" s="71" t="str">
        <f t="shared" si="8"/>
        <v>Unison</v>
      </c>
      <c r="C92" s="407">
        <v>-24.996846619813681</v>
      </c>
      <c r="D92" s="408">
        <v>-51.121972961353009</v>
      </c>
      <c r="E92" s="409">
        <f ca="1">ACOT_trans!P28</f>
        <v>-105.6169292841733</v>
      </c>
      <c r="F92" s="410">
        <f ca="1">ACOT_trans!Q28</f>
        <v>-130.49800199040118</v>
      </c>
      <c r="G92" s="438"/>
      <c r="H92" s="691"/>
      <c r="I92" s="30"/>
      <c r="J92" s="30"/>
    </row>
    <row r="93" spans="2:38" x14ac:dyDescent="0.3">
      <c r="B93" s="71" t="str">
        <f t="shared" si="8"/>
        <v>Vector</v>
      </c>
      <c r="C93" s="407">
        <v>66.05118677611415</v>
      </c>
      <c r="D93" s="408">
        <v>58.034818575240791</v>
      </c>
      <c r="E93" s="409">
        <f ca="1">ACOT_trans!P29</f>
        <v>-34.568725543980619</v>
      </c>
      <c r="F93" s="410">
        <f ca="1">ACOT_trans!Q29</f>
        <v>-42.203361925764781</v>
      </c>
      <c r="G93" s="438"/>
      <c r="H93" s="691"/>
      <c r="I93" s="30"/>
      <c r="J93" s="30"/>
    </row>
    <row r="94" spans="2:38" x14ac:dyDescent="0.3">
      <c r="B94" s="71" t="str">
        <f t="shared" si="8"/>
        <v>Waipa Power</v>
      </c>
      <c r="C94" s="407">
        <v>-9.5413194604872729</v>
      </c>
      <c r="D94" s="408">
        <v>-9.5413194604872729</v>
      </c>
      <c r="E94" s="409">
        <f ca="1">ACOT_trans!P30</f>
        <v>-63.233264523598976</v>
      </c>
      <c r="F94" s="410">
        <f ca="1">ACOT_trans!Q30</f>
        <v>-63.233264523598976</v>
      </c>
      <c r="G94" s="438"/>
      <c r="H94" s="691"/>
      <c r="I94" s="30"/>
      <c r="J94" s="30"/>
    </row>
    <row r="95" spans="2:38" x14ac:dyDescent="0.3">
      <c r="B95" s="71" t="str">
        <f t="shared" si="8"/>
        <v>WEL</v>
      </c>
      <c r="C95" s="407">
        <v>13.636607390084791</v>
      </c>
      <c r="D95" s="408">
        <v>-7.378038934094846</v>
      </c>
      <c r="E95" s="409">
        <f ca="1">ACOT_trans!P31</f>
        <v>-65.269287483787423</v>
      </c>
      <c r="F95" s="410">
        <f ca="1">ACOT_trans!Q31</f>
        <v>-85.283236363958537</v>
      </c>
      <c r="G95" s="438"/>
      <c r="H95" s="691"/>
      <c r="I95" s="30"/>
      <c r="J95" s="30"/>
    </row>
    <row r="96" spans="2:38" x14ac:dyDescent="0.3">
      <c r="B96" s="71" t="str">
        <f t="shared" si="8"/>
        <v>Wellington Electricity</v>
      </c>
      <c r="C96" s="411">
        <v>-35.032043410724214</v>
      </c>
      <c r="D96" s="408">
        <v>-35.542174765120052</v>
      </c>
      <c r="E96" s="409">
        <f ca="1">ACOT_trans!P32</f>
        <v>-104.03678902349765</v>
      </c>
      <c r="F96" s="410">
        <f ca="1">ACOT_trans!Q32</f>
        <v>-104.52262840863654</v>
      </c>
      <c r="G96" s="438"/>
      <c r="H96" s="692"/>
      <c r="I96" s="26"/>
      <c r="J96" s="25"/>
    </row>
    <row r="97" spans="1:10" x14ac:dyDescent="0.3">
      <c r="B97" s="71" t="str">
        <f t="shared" si="8"/>
        <v>Westpower</v>
      </c>
      <c r="C97" s="411">
        <v>66.335940326925908</v>
      </c>
      <c r="D97" s="408">
        <v>48.605207578342515</v>
      </c>
      <c r="E97" s="409">
        <f ca="1">ACOT_trans!P33</f>
        <v>-4.8421791510253094</v>
      </c>
      <c r="F97" s="410">
        <f ca="1">ACOT_trans!Q33</f>
        <v>-24.108132969635097</v>
      </c>
      <c r="G97" s="438"/>
      <c r="H97" s="692"/>
      <c r="I97" s="26"/>
      <c r="J97" s="25"/>
    </row>
    <row r="98" spans="1:10" x14ac:dyDescent="0.3">
      <c r="J98" s="22"/>
    </row>
    <row r="99" spans="1:10" ht="24.75" customHeight="1" x14ac:dyDescent="0.3">
      <c r="F99" s="478"/>
      <c r="J99" s="22"/>
    </row>
    <row r="100" spans="1:10" ht="90" customHeight="1" x14ac:dyDescent="0.3">
      <c r="B100" s="285" t="str">
        <f>"Indicative household impact relative to the status quo ($/year), ("&amp;E66&amp;")"</f>
        <v>Indicative household impact relative to the status quo ($/year), (Refined issues paper, capped, all changes  )</v>
      </c>
      <c r="C100" s="285" t="s">
        <v>771</v>
      </c>
      <c r="D100" s="483" t="str">
        <f>E66&amp;" (ACOT continues)"</f>
        <v>Refined issues paper, capped, all changes   (ACOT continues)</v>
      </c>
      <c r="E100" s="483" t="str">
        <f>F66&amp;" (ACOT discontinued)"</f>
        <v>Refined issues paper, capped, all changes   (ACOT discontinued)</v>
      </c>
      <c r="F100" s="49"/>
      <c r="G100" s="49"/>
      <c r="H100" s="693"/>
      <c r="I100" s="49"/>
      <c r="J100" s="22"/>
    </row>
    <row r="101" spans="1:10" x14ac:dyDescent="0.3">
      <c r="A101" s="17" t="str">
        <f>'Residential Cap'!C8</f>
        <v>Alpine Energy</v>
      </c>
      <c r="B101" s="70" t="str">
        <f>B69</f>
        <v>Alpine Energy</v>
      </c>
      <c r="C101" s="458">
        <f>C69</f>
        <v>-6.2546747628170749</v>
      </c>
      <c r="D101" s="480">
        <f ca="1">E69</f>
        <v>-75.462443577244343</v>
      </c>
      <c r="E101" s="458">
        <f ca="1">F69</f>
        <v>-75.462443577244343</v>
      </c>
      <c r="F101" s="118"/>
      <c r="G101" s="118"/>
      <c r="H101" s="694"/>
      <c r="I101" s="118"/>
    </row>
    <row r="102" spans="1:10" x14ac:dyDescent="0.3">
      <c r="A102" s="17" t="str">
        <f>'Residential Cap'!C9</f>
        <v>Aurora Energy</v>
      </c>
      <c r="B102" s="70" t="str">
        <f t="shared" ref="B102:C102" si="9">B70</f>
        <v>Aurora Energy</v>
      </c>
      <c r="C102" s="458">
        <f t="shared" si="9"/>
        <v>-13.70844215875718</v>
      </c>
      <c r="D102" s="480">
        <f t="shared" ref="D102:D129" ca="1" si="10">E70</f>
        <v>-89.70360414943211</v>
      </c>
      <c r="E102" s="458">
        <f t="shared" ref="E102:E129" ca="1" si="11">F70</f>
        <v>-131.27762396907275</v>
      </c>
      <c r="F102" s="118"/>
      <c r="G102" s="118"/>
      <c r="H102" s="694"/>
      <c r="I102" s="118"/>
    </row>
    <row r="103" spans="1:10" x14ac:dyDescent="0.3">
      <c r="A103" s="17" t="str">
        <f>'Residential Cap'!C10</f>
        <v>Buller Electricity</v>
      </c>
      <c r="B103" s="70" t="str">
        <f t="shared" ref="B103:C103" si="12">B71</f>
        <v>Buller Electricity</v>
      </c>
      <c r="C103" s="458">
        <f t="shared" si="12"/>
        <v>26.476273151033851</v>
      </c>
      <c r="D103" s="480">
        <f t="shared" ca="1" si="10"/>
        <v>-64.227135739091523</v>
      </c>
      <c r="E103" s="458">
        <f t="shared" ca="1" si="11"/>
        <v>-64.227135739091523</v>
      </c>
      <c r="F103" s="118"/>
      <c r="G103" s="118"/>
      <c r="H103" s="694"/>
      <c r="I103" s="118"/>
    </row>
    <row r="104" spans="1:10" x14ac:dyDescent="0.3">
      <c r="A104" s="17" t="str">
        <f>'Residential Cap'!C11</f>
        <v>Centralines</v>
      </c>
      <c r="B104" s="70" t="str">
        <f t="shared" ref="B104:C104" si="13">B72</f>
        <v>Centralines</v>
      </c>
      <c r="C104" s="458">
        <f t="shared" si="13"/>
        <v>-28.593188568093254</v>
      </c>
      <c r="D104" s="480">
        <f t="shared" ca="1" si="10"/>
        <v>-129.10878360344279</v>
      </c>
      <c r="E104" s="458">
        <f t="shared" ca="1" si="11"/>
        <v>-129.10878360344279</v>
      </c>
      <c r="F104" s="118"/>
      <c r="G104" s="118"/>
      <c r="H104" s="694"/>
      <c r="I104" s="118"/>
    </row>
    <row r="105" spans="1:10" x14ac:dyDescent="0.3">
      <c r="A105" s="17" t="str">
        <f>'Residential Cap'!C12</f>
        <v>Counties Power</v>
      </c>
      <c r="B105" s="70" t="str">
        <f t="shared" ref="B105:C105" si="14">B73</f>
        <v>Counties Power</v>
      </c>
      <c r="C105" s="458">
        <f t="shared" si="14"/>
        <v>32.53621115351757</v>
      </c>
      <c r="D105" s="480">
        <f t="shared" ca="1" si="10"/>
        <v>-63.468999542349863</v>
      </c>
      <c r="E105" s="458">
        <f t="shared" ca="1" si="11"/>
        <v>-63.468999542349863</v>
      </c>
      <c r="F105" s="118"/>
      <c r="G105" s="118"/>
      <c r="H105" s="694"/>
      <c r="I105" s="163"/>
    </row>
    <row r="106" spans="1:10" x14ac:dyDescent="0.3">
      <c r="A106" s="17" t="str">
        <f>'Residential Cap'!C13</f>
        <v>Eastland Network</v>
      </c>
      <c r="B106" s="70" t="str">
        <f t="shared" ref="B106:C106" si="15">B74</f>
        <v>Eastland Network</v>
      </c>
      <c r="C106" s="458">
        <f t="shared" si="15"/>
        <v>-24.094247297379198</v>
      </c>
      <c r="D106" s="480">
        <f t="shared" ca="1" si="10"/>
        <v>-101.50976777157609</v>
      </c>
      <c r="E106" s="458">
        <f t="shared" ca="1" si="11"/>
        <v>-154.15907565843438</v>
      </c>
      <c r="F106" s="118"/>
      <c r="G106" s="118"/>
      <c r="H106" s="694"/>
      <c r="I106" s="118"/>
    </row>
    <row r="107" spans="1:10" x14ac:dyDescent="0.3">
      <c r="A107" s="17" t="str">
        <f>'Residential Cap'!C14</f>
        <v>Electra</v>
      </c>
      <c r="B107" s="70" t="str">
        <f t="shared" ref="B107:C107" si="16">B75</f>
        <v>Electra</v>
      </c>
      <c r="C107" s="458">
        <f t="shared" si="16"/>
        <v>14.339474742147459</v>
      </c>
      <c r="D107" s="480">
        <f t="shared" ca="1" si="10"/>
        <v>-46.673222389657298</v>
      </c>
      <c r="E107" s="458">
        <f t="shared" ca="1" si="11"/>
        <v>-66.306946101094269</v>
      </c>
      <c r="F107" s="118"/>
      <c r="G107" s="118"/>
      <c r="H107" s="694"/>
      <c r="I107" s="118"/>
    </row>
    <row r="108" spans="1:10" x14ac:dyDescent="0.3">
      <c r="A108" s="17" t="str">
        <f>'Residential Cap'!C15</f>
        <v>Electricity Ashburton</v>
      </c>
      <c r="B108" s="70" t="str">
        <f t="shared" ref="B108:C108" si="17">B76</f>
        <v>Electricity Ashburton</v>
      </c>
      <c r="C108" s="458">
        <f t="shared" si="17"/>
        <v>117.00257637472615</v>
      </c>
      <c r="D108" s="480">
        <f t="shared" ca="1" si="10"/>
        <v>30.03329986765938</v>
      </c>
      <c r="E108" s="458">
        <f t="shared" ca="1" si="11"/>
        <v>15.558836074042915</v>
      </c>
      <c r="F108" s="118"/>
      <c r="G108" s="118"/>
      <c r="H108" s="694"/>
      <c r="I108" s="118"/>
    </row>
    <row r="109" spans="1:10" x14ac:dyDescent="0.3">
      <c r="A109" s="17" t="str">
        <f>'Residential Cap'!C16</f>
        <v>Electricity Invercargill</v>
      </c>
      <c r="B109" s="70" t="str">
        <f t="shared" ref="B109:C109" si="18">B77</f>
        <v>Electricity Invercargill</v>
      </c>
      <c r="C109" s="458">
        <f t="shared" si="18"/>
        <v>-63.859810233606154</v>
      </c>
      <c r="D109" s="480">
        <f t="shared" ca="1" si="10"/>
        <v>-124.63224397138779</v>
      </c>
      <c r="E109" s="458">
        <f t="shared" ca="1" si="11"/>
        <v>-124.63224397138779</v>
      </c>
      <c r="F109" s="118"/>
      <c r="G109" s="118"/>
      <c r="H109" s="694"/>
      <c r="I109" s="118"/>
    </row>
    <row r="110" spans="1:10" x14ac:dyDescent="0.3">
      <c r="A110" s="17" t="str">
        <f>'Residential Cap'!C17</f>
        <v>Horizon</v>
      </c>
      <c r="B110" s="70" t="str">
        <f t="shared" ref="B110:C110" si="19">B78</f>
        <v>Horizon</v>
      </c>
      <c r="C110" s="458">
        <f t="shared" si="19"/>
        <v>45.752181911904316</v>
      </c>
      <c r="D110" s="480">
        <f t="shared" ca="1" si="10"/>
        <v>-18.675121858832245</v>
      </c>
      <c r="E110" s="458">
        <f t="shared" ca="1" si="11"/>
        <v>-59.669045372202532</v>
      </c>
      <c r="F110" s="118"/>
      <c r="G110" s="118"/>
      <c r="H110" s="694"/>
      <c r="I110" s="163"/>
    </row>
    <row r="111" spans="1:10" x14ac:dyDescent="0.3">
      <c r="A111" s="17" t="str">
        <f>'Residential Cap'!C18</f>
        <v>Lakeland Network</v>
      </c>
      <c r="B111" s="70" t="str">
        <f t="shared" ref="B111:C111" si="20">B79</f>
        <v>Lakeland Network</v>
      </c>
      <c r="C111" s="458">
        <f t="shared" si="20"/>
        <v>-33.370446343332759</v>
      </c>
      <c r="D111" s="480">
        <f t="shared" ca="1" si="10"/>
        <v>-118.77679217142591</v>
      </c>
      <c r="E111" s="458">
        <f t="shared" ca="1" si="11"/>
        <v>-118.77679217142591</v>
      </c>
      <c r="F111" s="118"/>
      <c r="G111" s="118"/>
      <c r="H111" s="694"/>
      <c r="I111" s="118"/>
    </row>
    <row r="112" spans="1:10" x14ac:dyDescent="0.3">
      <c r="A112" s="17" t="str">
        <f>'Residential Cap'!C19</f>
        <v>Mainpower</v>
      </c>
      <c r="B112" s="70" t="str">
        <f t="shared" ref="B112:C112" si="21">B80</f>
        <v>Mainpower</v>
      </c>
      <c r="C112" s="458">
        <f t="shared" si="21"/>
        <v>-19.124925016892405</v>
      </c>
      <c r="D112" s="480">
        <f t="shared" ca="1" si="10"/>
        <v>-96.525109698359586</v>
      </c>
      <c r="E112" s="458">
        <f t="shared" ca="1" si="11"/>
        <v>-110.65891330316848</v>
      </c>
      <c r="F112" s="118"/>
      <c r="G112" s="118"/>
      <c r="H112" s="694"/>
      <c r="I112" s="118"/>
    </row>
    <row r="113" spans="1:9" x14ac:dyDescent="0.3">
      <c r="A113" s="17" t="str">
        <f>'Residential Cap'!C20</f>
        <v>Marlborough Lines</v>
      </c>
      <c r="B113" s="70" t="str">
        <f t="shared" ref="B113:C113" si="22">B81</f>
        <v>Marlborough Lines</v>
      </c>
      <c r="C113" s="458">
        <f t="shared" si="22"/>
        <v>-30.693709181512304</v>
      </c>
      <c r="D113" s="480">
        <f t="shared" ca="1" si="10"/>
        <v>-109.5547242188247</v>
      </c>
      <c r="E113" s="458">
        <f t="shared" ca="1" si="11"/>
        <v>-112.28801553775247</v>
      </c>
      <c r="F113" s="118"/>
      <c r="G113" s="118"/>
      <c r="H113" s="694"/>
      <c r="I113" s="118"/>
    </row>
    <row r="114" spans="1:9" x14ac:dyDescent="0.3">
      <c r="A114" s="17" t="str">
        <f>'Residential Cap'!C21</f>
        <v>Network Tasman</v>
      </c>
      <c r="B114" s="70" t="str">
        <f t="shared" ref="B114:C114" si="23">B82</f>
        <v>Network Tasman</v>
      </c>
      <c r="C114" s="458">
        <f t="shared" si="23"/>
        <v>-4.0460416967935231</v>
      </c>
      <c r="D114" s="480">
        <f t="shared" ca="1" si="10"/>
        <v>-55.682170841488173</v>
      </c>
      <c r="E114" s="458">
        <f t="shared" ca="1" si="11"/>
        <v>-56.346907173644865</v>
      </c>
      <c r="F114" s="118"/>
      <c r="G114" s="118"/>
      <c r="H114" s="694"/>
      <c r="I114" s="118"/>
    </row>
    <row r="115" spans="1:9" x14ac:dyDescent="0.3">
      <c r="A115" s="17" t="str">
        <f>'Residential Cap'!C22</f>
        <v>Network Waitaki</v>
      </c>
      <c r="B115" s="70" t="str">
        <f t="shared" ref="B115:C115" si="24">B83</f>
        <v>Network Waitaki</v>
      </c>
      <c r="C115" s="458">
        <f t="shared" si="24"/>
        <v>21.283914297394574</v>
      </c>
      <c r="D115" s="480">
        <f t="shared" ca="1" si="10"/>
        <v>-39.754499026493328</v>
      </c>
      <c r="E115" s="458">
        <f t="shared" ca="1" si="11"/>
        <v>-39.754499026493328</v>
      </c>
      <c r="F115" s="118"/>
      <c r="G115" s="118"/>
      <c r="H115" s="694"/>
      <c r="I115" s="163"/>
    </row>
    <row r="116" spans="1:9" x14ac:dyDescent="0.3">
      <c r="A116" s="17" t="str">
        <f>'Residential Cap'!C23</f>
        <v>Northpower</v>
      </c>
      <c r="B116" s="70" t="str">
        <f t="shared" ref="B116:C116" si="25">B84</f>
        <v>Northpower</v>
      </c>
      <c r="C116" s="458">
        <f t="shared" si="25"/>
        <v>63.215938307107038</v>
      </c>
      <c r="D116" s="480">
        <f t="shared" ca="1" si="10"/>
        <v>-17.005300905773964</v>
      </c>
      <c r="E116" s="458">
        <f t="shared" ca="1" si="11"/>
        <v>-43.367889245418766</v>
      </c>
      <c r="F116" s="118"/>
      <c r="G116" s="118"/>
      <c r="H116" s="694"/>
      <c r="I116" s="118"/>
    </row>
    <row r="117" spans="1:9" x14ac:dyDescent="0.3">
      <c r="A117" s="17" t="str">
        <f>'Residential Cap'!C24</f>
        <v>Orion</v>
      </c>
      <c r="B117" s="70" t="str">
        <f t="shared" ref="B117:C117" si="26">B85</f>
        <v>Orion</v>
      </c>
      <c r="C117" s="458">
        <f t="shared" si="26"/>
        <v>-44.268786545563643</v>
      </c>
      <c r="D117" s="480">
        <f t="shared" ca="1" si="10"/>
        <v>-123.97684537732349</v>
      </c>
      <c r="E117" s="458">
        <f t="shared" ca="1" si="11"/>
        <v>-127.14228245906205</v>
      </c>
      <c r="F117" s="118"/>
      <c r="G117" s="118"/>
      <c r="H117" s="694"/>
      <c r="I117" s="118"/>
    </row>
    <row r="118" spans="1:9" x14ac:dyDescent="0.3">
      <c r="A118" s="17" t="str">
        <f>'Residential Cap'!C25</f>
        <v>OtagoNet JV</v>
      </c>
      <c r="B118" s="70" t="str">
        <f t="shared" ref="B118:C118" si="27">B86</f>
        <v>OtagoNet JV</v>
      </c>
      <c r="C118" s="458">
        <f t="shared" si="27"/>
        <v>12.267540920817638</v>
      </c>
      <c r="D118" s="480">
        <f t="shared" ca="1" si="10"/>
        <v>-93.260058324872261</v>
      </c>
      <c r="E118" s="458">
        <f t="shared" ca="1" si="11"/>
        <v>-109.19193784411986</v>
      </c>
      <c r="F118" s="118"/>
      <c r="G118" s="118"/>
      <c r="H118" s="694"/>
      <c r="I118" s="118"/>
    </row>
    <row r="119" spans="1:9" x14ac:dyDescent="0.3">
      <c r="A119" s="17" t="str">
        <f>'Residential Cap'!C26</f>
        <v>Powerco</v>
      </c>
      <c r="B119" s="70" t="str">
        <f t="shared" ref="B119:C119" si="28">B87</f>
        <v>Powerco</v>
      </c>
      <c r="C119" s="458">
        <f t="shared" si="28"/>
        <v>-2.443485230365809</v>
      </c>
      <c r="D119" s="480">
        <f t="shared" ca="1" si="10"/>
        <v>-78.656612624377132</v>
      </c>
      <c r="E119" s="458">
        <f t="shared" ca="1" si="11"/>
        <v>-91.398942035517663</v>
      </c>
      <c r="F119" s="118"/>
      <c r="G119" s="118"/>
      <c r="H119" s="694"/>
      <c r="I119" s="118"/>
    </row>
    <row r="120" spans="1:9" x14ac:dyDescent="0.3">
      <c r="A120" s="17" t="str">
        <f>'Residential Cap'!C27</f>
        <v>Scanpower</v>
      </c>
      <c r="B120" s="70" t="str">
        <f t="shared" ref="B120:C120" si="29">B88</f>
        <v>Scanpower</v>
      </c>
      <c r="C120" s="458">
        <f t="shared" si="29"/>
        <v>-27.877955804575834</v>
      </c>
      <c r="D120" s="480">
        <f t="shared" ca="1" si="10"/>
        <v>-108.07813237310394</v>
      </c>
      <c r="E120" s="458">
        <f t="shared" ca="1" si="11"/>
        <v>-108.07813237310394</v>
      </c>
      <c r="F120" s="118"/>
      <c r="G120" s="118"/>
      <c r="H120" s="694"/>
      <c r="I120" s="163"/>
    </row>
    <row r="121" spans="1:9" x14ac:dyDescent="0.3">
      <c r="A121" s="17" t="str">
        <f>'Residential Cap'!C28</f>
        <v>The Lines Company</v>
      </c>
      <c r="B121" s="70" t="str">
        <f t="shared" ref="B121:C121" si="30">B89</f>
        <v>The Lines Company</v>
      </c>
      <c r="C121" s="458">
        <f t="shared" si="30"/>
        <v>41.390358130781692</v>
      </c>
      <c r="D121" s="480">
        <f t="shared" ca="1" si="10"/>
        <v>-52.487389124120163</v>
      </c>
      <c r="E121" s="458">
        <f t="shared" ca="1" si="11"/>
        <v>-87.960903962843759</v>
      </c>
      <c r="F121" s="118"/>
      <c r="G121" s="118"/>
      <c r="H121" s="694"/>
      <c r="I121" s="118"/>
    </row>
    <row r="122" spans="1:9" x14ac:dyDescent="0.3">
      <c r="A122" s="17" t="str">
        <f>'Residential Cap'!C29</f>
        <v>The Power Company</v>
      </c>
      <c r="B122" s="70" t="str">
        <f t="shared" ref="B122:C122" si="31">B90</f>
        <v>The Power Company</v>
      </c>
      <c r="C122" s="458">
        <f t="shared" si="31"/>
        <v>3.9543088511479567</v>
      </c>
      <c r="D122" s="480">
        <f t="shared" ca="1" si="10"/>
        <v>-80.850233442176531</v>
      </c>
      <c r="E122" s="458">
        <f t="shared" ca="1" si="11"/>
        <v>-103.31398092681476</v>
      </c>
      <c r="F122" s="118"/>
      <c r="G122" s="118"/>
      <c r="H122" s="694"/>
      <c r="I122" s="118"/>
    </row>
    <row r="123" spans="1:9" x14ac:dyDescent="0.3">
      <c r="A123" s="17" t="str">
        <f>'Residential Cap'!C30</f>
        <v>Top Energy</v>
      </c>
      <c r="B123" s="70" t="str">
        <f t="shared" ref="B123:C123" si="32">B91</f>
        <v>Top Energy</v>
      </c>
      <c r="C123" s="458">
        <f t="shared" si="32"/>
        <v>87.039499919722886</v>
      </c>
      <c r="D123" s="480">
        <f t="shared" ca="1" si="10"/>
        <v>-61.679751638202639</v>
      </c>
      <c r="E123" s="458">
        <f t="shared" ca="1" si="11"/>
        <v>-136.21551300950492</v>
      </c>
      <c r="F123" s="118"/>
      <c r="G123" s="118"/>
      <c r="H123" s="694"/>
      <c r="I123" s="118"/>
    </row>
    <row r="124" spans="1:9" x14ac:dyDescent="0.3">
      <c r="A124" s="17" t="str">
        <f>'Residential Cap'!C31</f>
        <v>Unison</v>
      </c>
      <c r="B124" s="70" t="str">
        <f t="shared" ref="B124:C124" si="33">B92</f>
        <v>Unison</v>
      </c>
      <c r="C124" s="458">
        <f t="shared" si="33"/>
        <v>-24.996846619813681</v>
      </c>
      <c r="D124" s="480">
        <f t="shared" ca="1" si="10"/>
        <v>-105.6169292841733</v>
      </c>
      <c r="E124" s="458">
        <f t="shared" ca="1" si="11"/>
        <v>-130.49800199040118</v>
      </c>
      <c r="F124" s="118"/>
      <c r="G124" s="118"/>
      <c r="H124" s="694"/>
      <c r="I124" s="118"/>
    </row>
    <row r="125" spans="1:9" x14ac:dyDescent="0.3">
      <c r="A125" s="17" t="str">
        <f>'Residential Cap'!C32</f>
        <v>Vector</v>
      </c>
      <c r="B125" s="70" t="str">
        <f t="shared" ref="B125:C125" si="34">B93</f>
        <v>Vector</v>
      </c>
      <c r="C125" s="458">
        <f t="shared" si="34"/>
        <v>66.05118677611415</v>
      </c>
      <c r="D125" s="480">
        <f t="shared" ca="1" si="10"/>
        <v>-34.568725543980619</v>
      </c>
      <c r="E125" s="458">
        <f t="shared" ca="1" si="11"/>
        <v>-42.203361925764781</v>
      </c>
      <c r="F125" s="118"/>
      <c r="G125" s="118"/>
      <c r="H125" s="694"/>
      <c r="I125" s="163"/>
    </row>
    <row r="126" spans="1:9" x14ac:dyDescent="0.3">
      <c r="A126" s="17" t="str">
        <f>'Residential Cap'!C33</f>
        <v>Waipa Power</v>
      </c>
      <c r="B126" s="70" t="str">
        <f t="shared" ref="B126:C126" si="35">B94</f>
        <v>Waipa Power</v>
      </c>
      <c r="C126" s="458">
        <f t="shared" si="35"/>
        <v>-9.5413194604872729</v>
      </c>
      <c r="D126" s="480">
        <f t="shared" ca="1" si="10"/>
        <v>-63.233264523598976</v>
      </c>
      <c r="E126" s="458">
        <f t="shared" ca="1" si="11"/>
        <v>-63.233264523598976</v>
      </c>
      <c r="F126" s="118"/>
      <c r="G126" s="118"/>
      <c r="H126" s="694"/>
      <c r="I126" s="118"/>
    </row>
    <row r="127" spans="1:9" x14ac:dyDescent="0.3">
      <c r="A127" s="17" t="str">
        <f>'Residential Cap'!C34</f>
        <v>WEL Networks</v>
      </c>
      <c r="B127" s="70" t="str">
        <f t="shared" ref="B127:C127" si="36">B95</f>
        <v>WEL</v>
      </c>
      <c r="C127" s="458">
        <f t="shared" si="36"/>
        <v>13.636607390084791</v>
      </c>
      <c r="D127" s="480">
        <f t="shared" ca="1" si="10"/>
        <v>-65.269287483787423</v>
      </c>
      <c r="E127" s="458">
        <f t="shared" ca="1" si="11"/>
        <v>-85.283236363958537</v>
      </c>
      <c r="F127" s="118"/>
      <c r="G127" s="118"/>
      <c r="H127" s="694"/>
      <c r="I127" s="118"/>
    </row>
    <row r="128" spans="1:9" x14ac:dyDescent="0.3">
      <c r="A128" s="17" t="str">
        <f>'Residential Cap'!C35</f>
        <v>Wellington Electricity</v>
      </c>
      <c r="B128" s="70" t="str">
        <f t="shared" ref="B128:C128" si="37">B96</f>
        <v>Wellington Electricity</v>
      </c>
      <c r="C128" s="458">
        <f t="shared" si="37"/>
        <v>-35.032043410724214</v>
      </c>
      <c r="D128" s="480">
        <f t="shared" ca="1" si="10"/>
        <v>-104.03678902349765</v>
      </c>
      <c r="E128" s="458">
        <f t="shared" ca="1" si="11"/>
        <v>-104.52262840863654</v>
      </c>
      <c r="F128" s="118"/>
      <c r="G128" s="118"/>
      <c r="H128" s="694"/>
      <c r="I128" s="118"/>
    </row>
    <row r="129" spans="1:9" x14ac:dyDescent="0.3">
      <c r="A129" s="17" t="str">
        <f>'Residential Cap'!C36</f>
        <v>Westpower</v>
      </c>
      <c r="B129" s="70" t="str">
        <f t="shared" ref="B129:C129" si="38">B97</f>
        <v>Westpower</v>
      </c>
      <c r="C129" s="458">
        <f t="shared" si="38"/>
        <v>66.335940326925908</v>
      </c>
      <c r="D129" s="480">
        <f t="shared" ca="1" si="10"/>
        <v>-4.8421791510253094</v>
      </c>
      <c r="E129" s="458">
        <f t="shared" ca="1" si="11"/>
        <v>-24.108132969635097</v>
      </c>
      <c r="F129" s="118"/>
      <c r="G129" s="118"/>
      <c r="H129" s="694"/>
      <c r="I129" s="118"/>
    </row>
    <row r="130" spans="1:9" x14ac:dyDescent="0.3">
      <c r="C130" s="26"/>
      <c r="D130" s="26"/>
      <c r="I130" s="49"/>
    </row>
    <row r="131" spans="1:9" x14ac:dyDescent="0.3">
      <c r="C131" s="26"/>
      <c r="D131" s="26"/>
    </row>
    <row r="132" spans="1:9" x14ac:dyDescent="0.3">
      <c r="C132" s="26"/>
      <c r="D132" s="26"/>
    </row>
    <row r="133" spans="1:9" x14ac:dyDescent="0.3">
      <c r="C133" s="26"/>
      <c r="D133" s="26"/>
    </row>
    <row r="134" spans="1:9" x14ac:dyDescent="0.3">
      <c r="C134" s="26"/>
      <c r="D134" s="26"/>
    </row>
    <row r="135" spans="1:9" x14ac:dyDescent="0.3">
      <c r="C135" s="26"/>
      <c r="D135" s="26"/>
    </row>
    <row r="136" spans="1:9" x14ac:dyDescent="0.3">
      <c r="C136" s="26"/>
      <c r="D136" s="26"/>
    </row>
    <row r="137" spans="1:9" x14ac:dyDescent="0.3">
      <c r="C137" s="26"/>
      <c r="D137" s="26"/>
    </row>
    <row r="138" spans="1:9" x14ac:dyDescent="0.3">
      <c r="C138" s="26"/>
      <c r="D138" s="26"/>
    </row>
    <row r="139" spans="1:9" x14ac:dyDescent="0.3">
      <c r="C139" s="26"/>
      <c r="D139" s="26"/>
    </row>
    <row r="140" spans="1:9" x14ac:dyDescent="0.3">
      <c r="C140" s="26"/>
      <c r="D140" s="26"/>
    </row>
    <row r="141" spans="1:9" x14ac:dyDescent="0.3">
      <c r="C141" s="26"/>
      <c r="D141" s="26"/>
    </row>
    <row r="142" spans="1:9" x14ac:dyDescent="0.3">
      <c r="C142" s="26"/>
      <c r="D142" s="26"/>
    </row>
    <row r="143" spans="1:9" x14ac:dyDescent="0.3">
      <c r="C143" s="26"/>
      <c r="D143" s="26"/>
    </row>
  </sheetData>
  <mergeCells count="6">
    <mergeCell ref="C67:D67"/>
    <mergeCell ref="A2:A64"/>
    <mergeCell ref="C3:D3"/>
    <mergeCell ref="E3:F3"/>
    <mergeCell ref="Y33:Z33"/>
    <mergeCell ref="E35:F35"/>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Y64"/>
  <sheetViews>
    <sheetView zoomScale="70" zoomScaleNormal="70" workbookViewId="0">
      <selection activeCell="Z17" sqref="Z17"/>
    </sheetView>
  </sheetViews>
  <sheetFormatPr defaultColWidth="9.109375" defaultRowHeight="14.4" x14ac:dyDescent="0.3"/>
  <cols>
    <col min="1" max="1" width="9.109375" style="116"/>
    <col min="2" max="2" width="21.5546875" style="94" customWidth="1"/>
    <col min="3" max="4" width="20.33203125" style="116" customWidth="1"/>
    <col min="5" max="5" width="10.109375" style="116" customWidth="1"/>
    <col min="6" max="6" width="17" style="116" customWidth="1"/>
    <col min="7" max="11" width="9.109375" style="116"/>
    <col min="12" max="13" width="9.109375" style="31"/>
    <col min="14" max="14" width="11.88671875" style="31" customWidth="1"/>
    <col min="15" max="16" width="9.109375" style="31"/>
    <col min="17" max="17" width="12.88671875" style="31" customWidth="1"/>
    <col min="18" max="18" width="9.109375" style="31"/>
    <col min="19" max="23" width="9.109375" style="116"/>
    <col min="24" max="24" width="11.33203125" style="116" customWidth="1"/>
    <col min="25" max="25" width="10.33203125" style="116" customWidth="1"/>
    <col min="26" max="16384" width="9.109375" style="116"/>
  </cols>
  <sheetData>
    <row r="2" spans="1:20" x14ac:dyDescent="0.3">
      <c r="B2" s="455"/>
    </row>
    <row r="3" spans="1:20" x14ac:dyDescent="0.3">
      <c r="B3" s="455"/>
      <c r="O3" s="31" t="s">
        <v>801</v>
      </c>
    </row>
    <row r="4" spans="1:20" x14ac:dyDescent="0.3">
      <c r="B4" s="455"/>
      <c r="O4" s="31" t="s">
        <v>776</v>
      </c>
    </row>
    <row r="5" spans="1:20" x14ac:dyDescent="0.3">
      <c r="B5" s="455"/>
    </row>
    <row r="6" spans="1:20" x14ac:dyDescent="0.3">
      <c r="B6" s="455"/>
      <c r="M6" s="31" t="str">
        <f ca="1">M7&amp;" "&amp;M9&amp;" and "&amp;'Recovery amounts'!J17&amp;"m/yr Rev.Req."</f>
        <v>Refined Proposal  AoB (3.5% cap) and 884.6m/yr Rev.Req.</v>
      </c>
      <c r="N6" s="31" t="str">
        <f ca="1">M7&amp;" "&amp;N9&amp;" and "&amp;'Recovery amounts'!J17&amp;"m/yr Rev.Req."</f>
        <v>Refined Proposal  Residual + Overhead (3.5% cap) and 884.6m/yr Rev.Req.</v>
      </c>
    </row>
    <row r="7" spans="1:20" x14ac:dyDescent="0.3">
      <c r="A7" s="16" t="s">
        <v>777</v>
      </c>
      <c r="D7" s="16" t="s">
        <v>777</v>
      </c>
      <c r="L7" s="31" t="str">
        <f>"Refined Proposal, "&amp;'Residential Cap'!AC4&amp;", "&amp;'Recovery amounts'!K18</f>
        <v>Refined Proposal, capped, WACC adjustment applied</v>
      </c>
      <c r="M7" s="31" t="s">
        <v>720</v>
      </c>
      <c r="N7" s="670"/>
      <c r="O7" s="31" t="s">
        <v>719</v>
      </c>
    </row>
    <row r="8" spans="1:20" x14ac:dyDescent="0.3">
      <c r="A8" s="16" t="s">
        <v>775</v>
      </c>
      <c r="D8" s="16" t="s">
        <v>774</v>
      </c>
      <c r="E8" s="759"/>
      <c r="F8" s="759"/>
      <c r="G8" s="760" t="s">
        <v>721</v>
      </c>
      <c r="H8" s="760"/>
      <c r="I8" s="760"/>
      <c r="J8" s="760"/>
      <c r="K8" s="761" t="s">
        <v>461</v>
      </c>
      <c r="M8" s="758" t="s">
        <v>540</v>
      </c>
      <c r="N8" s="758"/>
      <c r="P8" s="758"/>
      <c r="Q8" s="758"/>
    </row>
    <row r="9" spans="1:20" s="200" customFormat="1" ht="58.5" customHeight="1" x14ac:dyDescent="0.3">
      <c r="A9" s="456"/>
      <c r="B9" s="363" t="s">
        <v>559</v>
      </c>
      <c r="C9" s="200" t="s">
        <v>615</v>
      </c>
      <c r="D9" s="456"/>
      <c r="E9" s="363"/>
      <c r="F9" s="363"/>
      <c r="G9" s="200" t="s">
        <v>53</v>
      </c>
      <c r="H9" s="200" t="s">
        <v>722</v>
      </c>
      <c r="I9" s="200" t="s">
        <v>588</v>
      </c>
      <c r="J9" s="200" t="s">
        <v>723</v>
      </c>
      <c r="K9" s="761"/>
      <c r="L9" s="671" t="s">
        <v>506</v>
      </c>
      <c r="M9" s="671" t="str">
        <f>"AoB ("&amp;'Residential Cap'!$AC$5*100&amp;"% cap)"</f>
        <v>AoB (3.5% cap)</v>
      </c>
      <c r="N9" s="671" t="str">
        <f>"Residual + Overhead ("&amp;'Residential Cap'!$AC$5*100&amp;"% cap)"</f>
        <v>Residual + Overhead (3.5% cap)</v>
      </c>
      <c r="O9" s="671" t="s">
        <v>506</v>
      </c>
      <c r="P9" s="671"/>
      <c r="Q9" s="671"/>
      <c r="R9" s="671"/>
      <c r="S9" s="116"/>
      <c r="T9" s="116"/>
    </row>
    <row r="10" spans="1:20" x14ac:dyDescent="0.3">
      <c r="A10" s="16"/>
      <c r="D10" s="16"/>
      <c r="E10" s="94"/>
      <c r="F10" s="94"/>
    </row>
    <row r="11" spans="1:20" x14ac:dyDescent="0.3">
      <c r="A11" s="16">
        <f ca="1">D11*1000/K11</f>
        <v>1.5603400533200367</v>
      </c>
      <c r="B11" s="94" t="str">
        <f>VLOOKUP(C11,'Residential Cap'!$A$8:$C$62,3,0)</f>
        <v>Contact</v>
      </c>
      <c r="C11" s="116" t="s">
        <v>4</v>
      </c>
      <c r="D11" s="16">
        <f>VLOOKUP(C11,'Other Options'!$A$3:$C$58,3,0)</f>
        <v>16.619200671705972</v>
      </c>
      <c r="E11" s="94"/>
      <c r="F11" s="94"/>
      <c r="G11" s="116">
        <f ca="1">VLOOKUP($C11,'Residential Cap'!$D$8:$L$62,2,0)+VLOOKUP($C11,'Residential Cap'!$D$8:$L$62,6,0)</f>
        <v>13.680100310154232</v>
      </c>
      <c r="H11" s="116">
        <f ca="1">VLOOKUP($C11,'Residential Cap'!$D$8:'Residential Cap'!$AL$62,35,0)</f>
        <v>1.3061586020783904</v>
      </c>
      <c r="I11" s="116">
        <f>VLOOKUP($C11,'Residential Cap'!$D$8:$L$62,9,0)</f>
        <v>0</v>
      </c>
      <c r="J11" s="116">
        <f ca="1">I11+H11</f>
        <v>1.3061586020783904</v>
      </c>
      <c r="K11" s="116">
        <f ca="1">VLOOKUP(C11,'Residential Cap'!$D$8:$S$62,16,0)</f>
        <v>10651.012025451901</v>
      </c>
      <c r="L11" s="31">
        <f t="shared" ref="L11:L20" ca="1" si="0">M11+N11</f>
        <v>1.4070267573091759</v>
      </c>
      <c r="M11" s="31">
        <f ca="1">$G11*1000000/(K11*1000)</f>
        <v>1.2843944103587486</v>
      </c>
      <c r="N11" s="31">
        <f ca="1">$J11*1000000/(K11*1000)</f>
        <v>0.12263234695042725</v>
      </c>
      <c r="O11" s="620">
        <f ca="1">OFFSET('Other Options'!$H$4,MATCH(C11,'Other Options'!$E$5:$E$55,0),0)</f>
        <v>1.5603400533200369</v>
      </c>
      <c r="P11" s="254"/>
      <c r="Q11" s="254"/>
    </row>
    <row r="12" spans="1:20" x14ac:dyDescent="0.3">
      <c r="A12" s="16">
        <f t="shared" ref="A12:A61" ca="1" si="1">D12*1000/K12</f>
        <v>0.72799508783420941</v>
      </c>
      <c r="B12" s="94" t="str">
        <f>VLOOKUP(C12,'Residential Cap'!$A$8:$C$62,3,0)</f>
        <v>Genesis</v>
      </c>
      <c r="C12" s="116" t="s">
        <v>10</v>
      </c>
      <c r="D12" s="16">
        <f>VLOOKUP(C12,'Other Options'!$A$3:$C$58,3,0)</f>
        <v>5.4043528811153898</v>
      </c>
      <c r="E12" s="94"/>
      <c r="F12" s="94"/>
      <c r="G12" s="116">
        <f ca="1">VLOOKUP($C12,'Residential Cap'!$D$8:$L$62,2,0)+VLOOKUP($C12,'Residential Cap'!$D$8:$L$62,6,0)</f>
        <v>3.6015728482150418</v>
      </c>
      <c r="H12" s="116">
        <f ca="1">VLOOKUP($C12,'Residential Cap'!$D$8:'Residential Cap'!$AL$62,35,0)</f>
        <v>0.82239367628553772</v>
      </c>
      <c r="I12" s="116">
        <f>VLOOKUP($C12,'Residential Cap'!$D$8:$L$62,9,0)</f>
        <v>0</v>
      </c>
      <c r="J12" s="116">
        <f t="shared" ref="J12:J61" ca="1" si="2">I12+H12</f>
        <v>0.82239367628553772</v>
      </c>
      <c r="K12" s="116">
        <f ca="1">VLOOKUP(C12,'Residential Cap'!$D$8:$S$62,16,0)</f>
        <v>7423.6117405591003</v>
      </c>
      <c r="L12" s="31">
        <f t="shared" ca="1" si="0"/>
        <v>0.59593182929141086</v>
      </c>
      <c r="M12" s="31">
        <f t="shared" ref="M12:M61" ca="1" si="3">$G12*1000000/(K12*1000)</f>
        <v>0.48515102541499477</v>
      </c>
      <c r="N12" s="31">
        <f t="shared" ref="N12:N61" ca="1" si="4">$J12*1000000/(K12*1000)</f>
        <v>0.11078080387641612</v>
      </c>
      <c r="O12" s="620">
        <f ca="1">OFFSET('Other Options'!$H$4,MATCH(C12,'Other Options'!$E$5:$E$55,0),0)</f>
        <v>0.7279950878342093</v>
      </c>
      <c r="P12" s="254"/>
      <c r="Q12" s="254"/>
    </row>
    <row r="13" spans="1:20" x14ac:dyDescent="0.3">
      <c r="A13" s="16">
        <f t="shared" ca="1" si="1"/>
        <v>2.9168155958906832</v>
      </c>
      <c r="B13" s="94" t="str">
        <f>VLOOKUP(C13,'Residential Cap'!$A$8:$C$62,3,0)</f>
        <v>Meridian</v>
      </c>
      <c r="C13" s="116" t="s">
        <v>14</v>
      </c>
      <c r="D13" s="16">
        <f>VLOOKUP(C13,'Other Options'!$A$3:$C$58,3,0)</f>
        <v>39.285634233131958</v>
      </c>
      <c r="E13" s="94"/>
      <c r="F13" s="94"/>
      <c r="G13" s="116">
        <f ca="1">VLOOKUP($C13,'Residential Cap'!$D$8:$L$62,2,0)+VLOOKUP($C13,'Residential Cap'!$D$8:$L$62,6,0)</f>
        <v>34.617460948622778</v>
      </c>
      <c r="H13" s="116">
        <f ca="1">VLOOKUP($C13,'Residential Cap'!$D$8:'Residential Cap'!$AL$62,35,0)</f>
        <v>1.1626968173562124</v>
      </c>
      <c r="I13" s="116">
        <f>VLOOKUP($C13,'Residential Cap'!$D$8:$L$62,9,0)</f>
        <v>0</v>
      </c>
      <c r="J13" s="116">
        <f t="shared" ca="1" si="2"/>
        <v>1.1626968173562124</v>
      </c>
      <c r="K13" s="116">
        <f ca="1">VLOOKUP(C13,'Residential Cap'!$D$8:$S$62,16,0)</f>
        <v>13468.672578574731</v>
      </c>
      <c r="L13" s="31">
        <f t="shared" ca="1" si="0"/>
        <v>2.6565467054931764</v>
      </c>
      <c r="M13" s="31">
        <f t="shared" ca="1" si="3"/>
        <v>2.5702206915097516</v>
      </c>
      <c r="N13" s="31">
        <f t="shared" ca="1" si="4"/>
        <v>8.6326013983424807E-2</v>
      </c>
      <c r="O13" s="620">
        <f ca="1">OFFSET('Other Options'!$H$4,MATCH(C13,'Other Options'!$E$5:$E$55,0),0)</f>
        <v>2.9168155958906836</v>
      </c>
      <c r="P13" s="254"/>
      <c r="Q13" s="254"/>
    </row>
    <row r="14" spans="1:20" x14ac:dyDescent="0.3">
      <c r="A14" s="16">
        <f t="shared" ca="1" si="1"/>
        <v>0.20292464138091851</v>
      </c>
      <c r="B14" s="94" t="str">
        <f>VLOOKUP(C14,'Residential Cap'!$A$8:$C$62,3,0)</f>
        <v>Tuaropaki</v>
      </c>
      <c r="C14" s="116" t="s">
        <v>16</v>
      </c>
      <c r="D14" s="16">
        <f>VLOOKUP(C14,'Other Options'!$A$3:$C$58,3,0)</f>
        <v>0.18568578724632673</v>
      </c>
      <c r="E14" s="94"/>
      <c r="F14" s="94"/>
      <c r="G14" s="116">
        <f ca="1">VLOOKUP($C14,'Residential Cap'!$D$8:$L$62,2,0)+VLOOKUP($C14,'Residential Cap'!$D$8:$L$62,6,0)</f>
        <v>0.10596062231342553</v>
      </c>
      <c r="H14" s="116">
        <f ca="1">VLOOKUP($C14,'Residential Cap'!$D$8:'Residential Cap'!$AL$62,35,0)</f>
        <v>0</v>
      </c>
      <c r="I14" s="116">
        <f>VLOOKUP($C14,'Residential Cap'!$D$8:$L$62,9,0)</f>
        <v>0</v>
      </c>
      <c r="J14" s="116">
        <f t="shared" ca="1" si="2"/>
        <v>0</v>
      </c>
      <c r="K14" s="116">
        <f ca="1">VLOOKUP(C14,'Residential Cap'!$D$8:$S$62,16,0)</f>
        <v>915.048</v>
      </c>
      <c r="L14" s="31">
        <f t="shared" ca="1" si="0"/>
        <v>0.11579788416938294</v>
      </c>
      <c r="M14" s="31">
        <f t="shared" ca="1" si="3"/>
        <v>0.11579788416938294</v>
      </c>
      <c r="N14" s="31">
        <f t="shared" ca="1" si="4"/>
        <v>0</v>
      </c>
      <c r="O14" s="620">
        <f ca="1">OFFSET('Other Options'!$H$4,MATCH(C14,'Other Options'!$E$5:$E$55,0),0)</f>
        <v>0.20292464138091851</v>
      </c>
      <c r="P14" s="254"/>
      <c r="Q14" s="254"/>
    </row>
    <row r="15" spans="1:20" x14ac:dyDescent="0.3">
      <c r="A15" s="16">
        <f t="shared" ca="1" si="1"/>
        <v>0.91628686408353699</v>
      </c>
      <c r="B15" s="94" t="str">
        <f>VLOOKUP(C15,'Residential Cap'!$A$8:$C$62,3,0)</f>
        <v>Mercury</v>
      </c>
      <c r="C15" s="116" t="s">
        <v>17</v>
      </c>
      <c r="D15" s="16">
        <f>VLOOKUP(C15,'Other Options'!$A$3:$C$58,3,0)</f>
        <v>4.0512740855603653</v>
      </c>
      <c r="E15" s="94"/>
      <c r="F15" s="94"/>
      <c r="G15" s="116">
        <f ca="1">VLOOKUP($C15,'Residential Cap'!$D$8:$L$62,2,0)+VLOOKUP($C15,'Residential Cap'!$D$8:$L$62,6,0)</f>
        <v>0.87417214365511064</v>
      </c>
      <c r="H15" s="116">
        <f ca="1">VLOOKUP($C15,'Residential Cap'!$D$8:'Residential Cap'!$AL$62,35,0)</f>
        <v>1.6993055097904279</v>
      </c>
      <c r="I15" s="116">
        <f>VLOOKUP($C15,'Residential Cap'!$D$8:$L$62,9,0)</f>
        <v>0</v>
      </c>
      <c r="J15" s="116">
        <f t="shared" ca="1" si="2"/>
        <v>1.6993055097904279</v>
      </c>
      <c r="K15" s="116">
        <f ca="1">VLOOKUP(C15,'Residential Cap'!$D$8:$S$62,16,0)</f>
        <v>4421.4036502775998</v>
      </c>
      <c r="L15" s="31">
        <f t="shared" ca="1" si="0"/>
        <v>0.58204992283026713</v>
      </c>
      <c r="M15" s="31">
        <f t="shared" ca="1" si="3"/>
        <v>0.19771371555280309</v>
      </c>
      <c r="N15" s="31">
        <f t="shared" ca="1" si="4"/>
        <v>0.38433620727746409</v>
      </c>
      <c r="O15" s="620">
        <f ca="1">OFFSET('Other Options'!$H$4,MATCH(C15,'Other Options'!$E$5:$E$55,0),0)</f>
        <v>0.91628686408353688</v>
      </c>
      <c r="P15" s="254"/>
      <c r="Q15" s="254"/>
    </row>
    <row r="16" spans="1:20" x14ac:dyDescent="0.3">
      <c r="A16" s="16">
        <f t="shared" ca="1" si="1"/>
        <v>0.50513593367081955</v>
      </c>
      <c r="B16" s="94" t="str">
        <f>VLOOKUP(C16,'Residential Cap'!$A$8:$C$62,3,0)</f>
        <v>Nga Awa Purua JV</v>
      </c>
      <c r="C16" s="116" t="s">
        <v>18</v>
      </c>
      <c r="D16" s="16">
        <f>VLOOKUP(C16,'Other Options'!$A$3:$C$58,3,0)</f>
        <v>0.54491105964166731</v>
      </c>
      <c r="E16" s="94"/>
      <c r="F16" s="94"/>
      <c r="G16" s="116">
        <f ca="1">VLOOKUP($C16,'Residential Cap'!$D$8:$L$62,2,0)+VLOOKUP($C16,'Residential Cap'!$D$8:$L$62,6,0)</f>
        <v>0.44480183982018912</v>
      </c>
      <c r="H16" s="116">
        <f ca="1">VLOOKUP($C16,'Residential Cap'!$D$8:'Residential Cap'!$AL$62,35,0)</f>
        <v>0</v>
      </c>
      <c r="I16" s="116">
        <f>VLOOKUP($C16,'Residential Cap'!$D$8:$L$62,9,0)</f>
        <v>0</v>
      </c>
      <c r="J16" s="116">
        <f t="shared" ca="1" si="2"/>
        <v>0</v>
      </c>
      <c r="K16" s="116">
        <f ca="1">VLOOKUP(C16,'Residential Cap'!$D$8:$S$62,16,0)</f>
        <v>1078.7414304141901</v>
      </c>
      <c r="L16" s="31">
        <f t="shared" ca="1" si="0"/>
        <v>0.41233406568004388</v>
      </c>
      <c r="M16" s="31">
        <f t="shared" ca="1" si="3"/>
        <v>0.41233406568004388</v>
      </c>
      <c r="N16" s="31">
        <f t="shared" ca="1" si="4"/>
        <v>0</v>
      </c>
      <c r="O16" s="620">
        <f ca="1">OFFSET('Other Options'!$H$4,MATCH(C16,'Other Options'!$E$5:$E$55,0),0)</f>
        <v>0.50513593367081955</v>
      </c>
      <c r="P16" s="254"/>
      <c r="Q16" s="254"/>
    </row>
    <row r="17" spans="1:25" x14ac:dyDescent="0.3">
      <c r="A17" s="16">
        <f t="shared" ca="1" si="1"/>
        <v>0.50025736945014865</v>
      </c>
      <c r="B17" s="94" t="str">
        <f>VLOOKUP(C17,'Residential Cap'!$A$8:$C$62,3,0)</f>
        <v>Ngatamariki</v>
      </c>
      <c r="C17" s="116" t="s">
        <v>21</v>
      </c>
      <c r="D17" s="16">
        <f>VLOOKUP(C17,'Other Options'!$A$3:$C$58,3,0)</f>
        <v>0.32789589470360458</v>
      </c>
      <c r="E17" s="94"/>
      <c r="F17" s="94"/>
      <c r="G17" s="116">
        <f ca="1">VLOOKUP($C17,'Residential Cap'!$D$8:$L$62,2,0)+VLOOKUP($C17,'Residential Cap'!$D$8:$L$62,6,0)</f>
        <v>0.26759683881789809</v>
      </c>
      <c r="H17" s="116">
        <f ca="1">VLOOKUP($C17,'Residential Cap'!$D$8:'Residential Cap'!$AL$62,35,0)</f>
        <v>0</v>
      </c>
      <c r="I17" s="116">
        <f>VLOOKUP($C17,'Residential Cap'!$D$8:$L$62,9,0)</f>
        <v>0</v>
      </c>
      <c r="J17" s="116">
        <f t="shared" ca="1" si="2"/>
        <v>0</v>
      </c>
      <c r="K17" s="116">
        <f ca="1">VLOOKUP(C17,'Residential Cap'!$D$8:$S$62,16,0)</f>
        <v>655.45440152937101</v>
      </c>
      <c r="L17" s="31">
        <f t="shared" ca="1" si="0"/>
        <v>0.4082615635710351</v>
      </c>
      <c r="M17" s="31">
        <f t="shared" ca="1" si="3"/>
        <v>0.4082615635710351</v>
      </c>
      <c r="N17" s="31">
        <f t="shared" ca="1" si="4"/>
        <v>0</v>
      </c>
      <c r="O17" s="620">
        <f ca="1">OFFSET('Other Options'!$H$4,MATCH(C17,'Other Options'!$E$5:$E$55,0),0)</f>
        <v>0.50025736945014865</v>
      </c>
      <c r="P17" s="254"/>
      <c r="Q17" s="254"/>
    </row>
    <row r="18" spans="1:25" x14ac:dyDescent="0.3">
      <c r="A18" s="16">
        <f t="shared" ca="1" si="1"/>
        <v>2.0847112410890283</v>
      </c>
      <c r="B18" s="94" t="str">
        <f>VLOOKUP(C18,'Residential Cap'!$A$8:$C$62,3,0)</f>
        <v>Pioneer</v>
      </c>
      <c r="C18" s="116" t="s">
        <v>27</v>
      </c>
      <c r="D18" s="16">
        <f>VLOOKUP(C18,'Other Options'!$A$3:$C$58,3,0)</f>
        <v>9.8980591858104927E-2</v>
      </c>
      <c r="E18" s="94"/>
      <c r="F18" s="94"/>
      <c r="G18" s="116">
        <f ca="1">VLOOKUP($C18,'Residential Cap'!$D$8:$L$62,2,0)+VLOOKUP($C18,'Residential Cap'!$D$8:$L$62,6,0)</f>
        <v>8.9938012237073789E-2</v>
      </c>
      <c r="H18" s="116">
        <f ca="1">VLOOKUP($C18,'Residential Cap'!$D$8:'Residential Cap'!$AL$62,35,0)</f>
        <v>0</v>
      </c>
      <c r="I18" s="116">
        <f>VLOOKUP($C18,'Residential Cap'!$D$8:$L$62,9,0)</f>
        <v>0</v>
      </c>
      <c r="J18" s="116">
        <f t="shared" ca="1" si="2"/>
        <v>0</v>
      </c>
      <c r="K18" s="116">
        <f ca="1">VLOOKUP(C18,'Residential Cap'!$D$8:$S$62,16,0)</f>
        <v>47.479281498189003</v>
      </c>
      <c r="L18" s="31">
        <f t="shared" ca="1" si="0"/>
        <v>1.8942580721341431</v>
      </c>
      <c r="M18" s="31">
        <f t="shared" ca="1" si="3"/>
        <v>1.8942580721341431</v>
      </c>
      <c r="N18" s="31">
        <f t="shared" ca="1" si="4"/>
        <v>0</v>
      </c>
      <c r="O18" s="620">
        <f ca="1">OFFSET('Other Options'!$H$4,MATCH(C18,'Other Options'!$E$5:$E$55,0),0)</f>
        <v>2.0847112410890283</v>
      </c>
      <c r="P18" s="254"/>
      <c r="Q18" s="254"/>
    </row>
    <row r="19" spans="1:25" x14ac:dyDescent="0.3">
      <c r="A19" s="16">
        <f t="shared" ca="1" si="1"/>
        <v>0.1288863862777917</v>
      </c>
      <c r="B19" s="94" t="str">
        <f>VLOOKUP(C19,'Residential Cap'!$A$8:$C$62,3,0)</f>
        <v>Todd</v>
      </c>
      <c r="C19" s="116" t="s">
        <v>33</v>
      </c>
      <c r="D19" s="16">
        <f>VLOOKUP(C19,'Other Options'!$A$3:$C$58,3,0)</f>
        <v>0.12520561198631469</v>
      </c>
      <c r="E19" s="94"/>
      <c r="F19" s="94"/>
      <c r="G19" s="116">
        <f ca="1">VLOOKUP($C19,'Residential Cap'!$D$8:$L$62,2,0)+VLOOKUP($C19,'Residential Cap'!$D$8:$L$62,6,0)</f>
        <v>7.1066469655278269E-2</v>
      </c>
      <c r="H19" s="116">
        <f ca="1">VLOOKUP($C19,'Residential Cap'!$D$8:'Residential Cap'!$AL$62,35,0)</f>
        <v>2.7727907971513362E-2</v>
      </c>
      <c r="I19" s="116">
        <f>VLOOKUP($C19,'Residential Cap'!$D$8:$L$62,9,0)</f>
        <v>0</v>
      </c>
      <c r="J19" s="116">
        <f t="shared" ca="1" si="2"/>
        <v>2.7727907971513362E-2</v>
      </c>
      <c r="K19" s="116">
        <f ca="1">VLOOKUP(C19,'Residential Cap'!$D$8:$S$62,16,0)</f>
        <v>971.44171391737405</v>
      </c>
      <c r="L19" s="31">
        <f t="shared" ca="1" si="0"/>
        <v>0.10169871873053475</v>
      </c>
      <c r="M19" s="31">
        <f t="shared" ca="1" si="3"/>
        <v>7.3155670213810503E-2</v>
      </c>
      <c r="N19" s="31">
        <f t="shared" ca="1" si="4"/>
        <v>2.8543048516724248E-2</v>
      </c>
      <c r="O19" s="620">
        <f ca="1">OFFSET('Other Options'!$H$4,MATCH(C19,'Other Options'!$E$5:$E$55,0),0)</f>
        <v>0.1288863862777917</v>
      </c>
      <c r="P19" s="254"/>
      <c r="Q19" s="254"/>
    </row>
    <row r="20" spans="1:25" x14ac:dyDescent="0.3">
      <c r="A20" s="16">
        <f t="shared" ca="1" si="1"/>
        <v>1.4816677270475467</v>
      </c>
      <c r="B20" s="94" t="str">
        <f>VLOOKUP(C20,'Residential Cap'!$A$8:$C$62,3,0)</f>
        <v>Trustpower</v>
      </c>
      <c r="C20" s="116" t="s">
        <v>35</v>
      </c>
      <c r="D20" s="16">
        <f>VLOOKUP(C20,'Other Options'!$A$3:$C$58,3,0)</f>
        <v>3.0146474118327347</v>
      </c>
      <c r="E20" s="94"/>
      <c r="F20" s="94"/>
      <c r="G20" s="116">
        <f ca="1">VLOOKUP($C20,'Residential Cap'!$D$8:$L$62,2,0)+VLOOKUP($C20,'Residential Cap'!$D$8:$L$62,6,0)</f>
        <v>2.2319939818466015</v>
      </c>
      <c r="H20" s="116">
        <f ca="1">VLOOKUP($C20,'Residential Cap'!$D$8:'Residential Cap'!$AL$62,35,0)</f>
        <v>0.26294629636753913</v>
      </c>
      <c r="I20" s="116">
        <f>VLOOKUP($C20,'Residential Cap'!$D$8:$L$62,9,0)</f>
        <v>0</v>
      </c>
      <c r="J20" s="116">
        <f t="shared" ca="1" si="2"/>
        <v>0.26294629636753913</v>
      </c>
      <c r="K20" s="116">
        <f ca="1">VLOOKUP(C20,'Residential Cap'!$D$8:$S$62,16,0)</f>
        <v>2034.6312177831451</v>
      </c>
      <c r="L20" s="31">
        <f t="shared" ca="1" si="0"/>
        <v>1.2262370971249181</v>
      </c>
      <c r="M20" s="31">
        <f t="shared" ca="1" si="3"/>
        <v>1.09700173787685</v>
      </c>
      <c r="N20" s="31">
        <f t="shared" ca="1" si="4"/>
        <v>0.12923535924806814</v>
      </c>
      <c r="O20" s="620">
        <f ca="1">OFFSET('Other Options'!$H$4,MATCH(C20,'Other Options'!$E$5:$E$55,0),0)</f>
        <v>1.481667727047546</v>
      </c>
      <c r="P20" s="254"/>
      <c r="Q20" s="254"/>
      <c r="V20" s="443"/>
    </row>
    <row r="21" spans="1:25" x14ac:dyDescent="0.3">
      <c r="A21" s="16">
        <f t="shared" ca="1" si="1"/>
        <v>8.0186291526599778</v>
      </c>
      <c r="B21" s="94" t="str">
        <f>VLOOKUP(C21,'Residential Cap'!$A$8:$C$62,3,0)</f>
        <v>NZ Aluminium Smelter</v>
      </c>
      <c r="C21" s="116" t="s">
        <v>43</v>
      </c>
      <c r="D21" s="16">
        <f>VLOOKUP(C21,'Other Options'!$A$3:$C$58,3,0)</f>
        <v>39.975736995246649</v>
      </c>
      <c r="E21" s="94"/>
      <c r="F21" s="94"/>
      <c r="G21" s="116">
        <f ca="1">VLOOKUP($C21,'Residential Cap'!$D$8:$L$62,2,0)+VLOOKUP($C21,'Residential Cap'!$D$8:$L$62,6,0)</f>
        <v>10.426569389935629</v>
      </c>
      <c r="H21" s="116">
        <f ca="1">VLOOKUP($C21,'Residential Cap'!$D$8:'Residential Cap'!$AL$62,35,0)</f>
        <v>18.568640685215879</v>
      </c>
      <c r="I21" s="116">
        <f ca="1">VLOOKUP($C21,'Residential Cap'!$D$8:$L$62,9,0)</f>
        <v>12.891368355376182</v>
      </c>
      <c r="J21" s="116">
        <f t="shared" ca="1" si="2"/>
        <v>31.460009040592062</v>
      </c>
      <c r="K21" s="116">
        <f ca="1">VLOOKUP(C21,'Residential Cap'!$D$8:$S$62,16,0)</f>
        <v>4985.3580000000002</v>
      </c>
      <c r="L21" s="31">
        <f ca="1">VLOOKUP(B21,'Residential Cap'!$BE$8:$BH$49,4,0)</f>
        <v>8.4019198682477132</v>
      </c>
      <c r="M21" s="31">
        <f t="shared" ca="1" si="3"/>
        <v>2.0914384463333686</v>
      </c>
      <c r="N21" s="31">
        <f t="shared" ca="1" si="4"/>
        <v>6.3104814219143464</v>
      </c>
      <c r="O21" s="620">
        <f ca="1">OFFSET('Other Options'!$H$4,MATCH(C21,'Other Options'!$E$5:$E$55,0),0)</f>
        <v>8.0186291526599778</v>
      </c>
      <c r="P21" s="254"/>
      <c r="Q21" s="254"/>
      <c r="T21" s="79"/>
      <c r="V21" s="442"/>
      <c r="W21" s="442"/>
      <c r="X21" s="37"/>
      <c r="Y21" s="37"/>
    </row>
    <row r="22" spans="1:25" x14ac:dyDescent="0.3">
      <c r="A22" s="16">
        <f t="shared" ca="1" si="1"/>
        <v>12.394715834161584</v>
      </c>
      <c r="B22" s="94" t="str">
        <f>VLOOKUP(C22,'Residential Cap'!$A$8:$C$62,3,0)</f>
        <v>The Power Company</v>
      </c>
      <c r="C22" s="116" t="s">
        <v>73</v>
      </c>
      <c r="D22" s="16">
        <f>VLOOKUP(C22,'Other Options'!$A$3:$C$58,3,0)</f>
        <v>10.060413175597491</v>
      </c>
      <c r="E22" s="94"/>
      <c r="F22" s="94"/>
      <c r="G22" s="116">
        <f ca="1">VLOOKUP($C22,'Residential Cap'!$D$8:$L$62,2,0)+VLOOKUP($C22,'Residential Cap'!$D$8:$L$62,6,0)</f>
        <v>1.600066103561834</v>
      </c>
      <c r="H22" s="116">
        <f ca="1">VLOOKUP($C22,'Residential Cap'!$D$8:'Residential Cap'!$AL$62,35,0)</f>
        <v>5.0433313965288109</v>
      </c>
      <c r="I22" s="116">
        <f ca="1">VLOOKUP($C22,'Residential Cap'!$D$8:$L$62,9,0)</f>
        <v>3.5013571468724241</v>
      </c>
      <c r="J22" s="116">
        <f t="shared" ca="1" si="2"/>
        <v>8.5446885434012358</v>
      </c>
      <c r="K22" s="116">
        <f ca="1">VLOOKUP(C22,'Residential Cap'!$D$8:$S$62,16,0)</f>
        <v>811.66953000000001</v>
      </c>
      <c r="L22" s="31">
        <f ca="1">VLOOKUP(B22,'Residential Cap'!$BE$8:$BH$49,4,0)</f>
        <v>12.498626931287008</v>
      </c>
      <c r="M22" s="31">
        <f t="shared" ca="1" si="3"/>
        <v>1.9713270542037398</v>
      </c>
      <c r="N22" s="31">
        <f t="shared" ca="1" si="4"/>
        <v>10.527299877083269</v>
      </c>
      <c r="O22" s="620">
        <f ca="1">OFFSET('Other Options'!$H$4,MATCH(C22,'Other Options'!$E$5:$E$55,0),0)</f>
        <v>13.014451625869663</v>
      </c>
      <c r="P22" s="254"/>
      <c r="Q22" s="254"/>
      <c r="T22" s="79"/>
      <c r="V22" s="442"/>
      <c r="W22" s="442"/>
      <c r="X22" s="37"/>
      <c r="Y22" s="37"/>
    </row>
    <row r="23" spans="1:25" x14ac:dyDescent="0.3">
      <c r="A23" s="16">
        <f t="shared" ca="1" si="1"/>
        <v>13.257886400112985</v>
      </c>
      <c r="B23" s="94" t="str">
        <f>VLOOKUP(C23,'Residential Cap'!$A$8:$C$62,3,0)</f>
        <v>Electricity Invercargill</v>
      </c>
      <c r="C23" s="116" t="s">
        <v>69</v>
      </c>
      <c r="D23" s="16">
        <f>VLOOKUP(C23,'Other Options'!$A$3:$C$58,3,0)</f>
        <v>3.591040788591676</v>
      </c>
      <c r="E23" s="94"/>
      <c r="F23" s="94"/>
      <c r="G23" s="116">
        <f ca="1">VLOOKUP($C23,'Residential Cap'!$D$8:$L$62,2,0)+VLOOKUP($C23,'Residential Cap'!$D$8:$L$62,6,0)</f>
        <v>0.55922866087669465</v>
      </c>
      <c r="H23" s="116">
        <f ca="1">VLOOKUP($C23,'Residential Cap'!$D$8:'Residential Cap'!$AL$62,35,0)</f>
        <v>1.9558221463384862</v>
      </c>
      <c r="I23" s="116">
        <f ca="1">VLOOKUP($C23,'Residential Cap'!$D$8:$L$62,9,0)</f>
        <v>1.3578389583533887</v>
      </c>
      <c r="J23" s="116">
        <f t="shared" ca="1" si="2"/>
        <v>3.3136611046918749</v>
      </c>
      <c r="K23" s="116">
        <f ca="1">VLOOKUP(C23,'Residential Cap'!$D$8:$S$62,16,0)</f>
        <v>270.86073000000005</v>
      </c>
      <c r="L23" s="31">
        <f ca="1">VLOOKUP(B23,'Residential Cap'!$BE$8:$BH$49,4,0)</f>
        <v>14.298454285228313</v>
      </c>
      <c r="M23" s="31">
        <f t="shared" ca="1" si="3"/>
        <v>2.064635434146155</v>
      </c>
      <c r="N23" s="31">
        <f t="shared" ca="1" si="4"/>
        <v>12.233818851082157</v>
      </c>
      <c r="O23" s="620">
        <f ca="1">OFFSET('Other Options'!$H$4,MATCH(C23,'Other Options'!$E$5:$E$55,0),0)</f>
        <v>13.920780720118639</v>
      </c>
      <c r="P23" s="254"/>
      <c r="Q23" s="254"/>
      <c r="T23" s="79"/>
      <c r="V23" s="442"/>
      <c r="W23" s="442"/>
      <c r="X23" s="37"/>
      <c r="Y23" s="37"/>
    </row>
    <row r="24" spans="1:25" x14ac:dyDescent="0.3">
      <c r="A24" s="16">
        <f t="shared" ca="1" si="1"/>
        <v>11.531378784424295</v>
      </c>
      <c r="B24" s="94" t="str">
        <f>VLOOKUP(C24,'Residential Cap'!$A$8:$C$62,3,0)</f>
        <v>Rayonier</v>
      </c>
      <c r="C24" s="116" t="s">
        <v>30</v>
      </c>
      <c r="D24" s="16">
        <f>VLOOKUP(C24,'Other Options'!$A$3:$C$58,3,0)</f>
        <v>0.61755180536242227</v>
      </c>
      <c r="E24" s="94"/>
      <c r="F24" s="94"/>
      <c r="G24" s="116">
        <f ca="1">VLOOKUP($C24,'Residential Cap'!$D$8:$L$62,2,0)+VLOOKUP($C24,'Residential Cap'!$D$8:$L$62,6,0)</f>
        <v>0.13253594205525904</v>
      </c>
      <c r="H24" s="116">
        <f ca="1">VLOOKUP($C24,'Residential Cap'!$D$8:'Residential Cap'!$AL$62,35,0)</f>
        <v>0.29080815558529233</v>
      </c>
      <c r="I24" s="116">
        <f ca="1">VLOOKUP($C24,'Residential Cap'!$D$8:$L$62,9,0)</f>
        <v>0.20189496463154624</v>
      </c>
      <c r="J24" s="116">
        <f t="shared" ca="1" si="2"/>
        <v>0.4927031202168386</v>
      </c>
      <c r="K24" s="116">
        <f ca="1">VLOOKUP(C24,'Residential Cap'!$D$8:$S$62,16,0)</f>
        <v>53.554029999999997</v>
      </c>
      <c r="L24" s="31">
        <f ca="1">VLOOKUP(B24,'Residential Cap'!$BE$8:$BH$49,4,0)</f>
        <v>11.67492086537834</v>
      </c>
      <c r="M24" s="31">
        <f t="shared" ca="1" si="3"/>
        <v>2.4748080033427744</v>
      </c>
      <c r="N24" s="31">
        <f t="shared" ca="1" si="4"/>
        <v>9.2001128620355672</v>
      </c>
      <c r="O24" s="620">
        <f ca="1">OFFSET('Other Options'!$H$4,MATCH(C24,'Other Options'!$E$5:$E$55,0),0)</f>
        <v>11.531378784424295</v>
      </c>
      <c r="P24" s="254"/>
      <c r="Q24" s="254"/>
      <c r="T24" s="79"/>
      <c r="V24" s="442"/>
      <c r="W24" s="442"/>
      <c r="X24" s="37"/>
      <c r="Y24" s="37"/>
    </row>
    <row r="25" spans="1:25" x14ac:dyDescent="0.3">
      <c r="A25" s="16">
        <f t="shared" ca="1" si="1"/>
        <v>13.616955048514804</v>
      </c>
      <c r="B25" s="94" t="str">
        <f>VLOOKUP(C25,'Residential Cap'!$A$8:$C$62,3,0)</f>
        <v>Aurora Energy</v>
      </c>
      <c r="C25" s="116" t="s">
        <v>1</v>
      </c>
      <c r="D25" s="16">
        <f>VLOOKUP(C25,'Other Options'!$A$3:$C$58,3,0)</f>
        <v>19.306609078166034</v>
      </c>
      <c r="E25" s="94"/>
      <c r="F25" s="94"/>
      <c r="G25" s="116">
        <f ca="1">VLOOKUP($C25,'Residential Cap'!$D$8:$L$62,2,0)+VLOOKUP($C25,'Residential Cap'!$D$8:$L$62,6,0)</f>
        <v>1.933187903449151</v>
      </c>
      <c r="H25" s="116">
        <f ca="1">VLOOKUP($C25,'Residential Cap'!$D$8:'Residential Cap'!$AL$62,35,0)</f>
        <v>10.135488022311806</v>
      </c>
      <c r="I25" s="116">
        <f ca="1">VLOOKUP($C25,'Residential Cap'!$D$8:$L$62,9,0)</f>
        <v>7.0366114446468258</v>
      </c>
      <c r="J25" s="116">
        <f t="shared" ca="1" si="2"/>
        <v>17.172099466958631</v>
      </c>
      <c r="K25" s="116">
        <f ca="1">VLOOKUP(C25,'Residential Cap'!$D$8:$S$62,16,0)</f>
        <v>1417.836</v>
      </c>
      <c r="L25" s="31">
        <f ca="1">VLOOKUP(B25,'Residential Cap'!$BE$8:$BH$49,4,0)</f>
        <v>13.474962809808597</v>
      </c>
      <c r="M25" s="31">
        <f t="shared" ca="1" si="3"/>
        <v>1.3634777953509087</v>
      </c>
      <c r="N25" s="31">
        <f t="shared" ca="1" si="4"/>
        <v>12.111485014457688</v>
      </c>
      <c r="O25" s="620">
        <f ca="1">OFFSET('Other Options'!$H$4,MATCH(C25,'Other Options'!$E$5:$E$55,0),0)</f>
        <v>14.297802800940541</v>
      </c>
      <c r="P25" s="254"/>
      <c r="Q25" s="254"/>
      <c r="T25" s="79"/>
      <c r="V25" s="442"/>
      <c r="W25" s="442"/>
      <c r="X25" s="37"/>
      <c r="Y25" s="37"/>
    </row>
    <row r="26" spans="1:25" x14ac:dyDescent="0.3">
      <c r="A26" s="16">
        <f t="shared" ca="1" si="1"/>
        <v>14.223934585051008</v>
      </c>
      <c r="B26" s="94" t="str">
        <f>VLOOKUP(C26,'Residential Cap'!$A$8:$C$62,3,0)</f>
        <v>Lakeland Network</v>
      </c>
      <c r="C26" s="116" t="s">
        <v>70</v>
      </c>
      <c r="D26" s="16">
        <f>VLOOKUP(C26,'Other Options'!$A$3:$C$58,3,0)</f>
        <v>0.16624817395547289</v>
      </c>
      <c r="E26" s="94"/>
      <c r="F26" s="94"/>
      <c r="G26" s="116">
        <f ca="1">VLOOKUP($C26,'Residential Cap'!$D$8:$L$62,2,0)+VLOOKUP($C26,'Residential Cap'!$D$8:$L$62,6,0)</f>
        <v>1.4441008904419258E-2</v>
      </c>
      <c r="H26" s="116">
        <f ca="1">VLOOKUP($C26,'Residential Cap'!$D$8:'Residential Cap'!$AL$62,35,0)</f>
        <v>8.8809676256586284E-2</v>
      </c>
      <c r="I26" s="116">
        <f ca="1">VLOOKUP($C26,'Residential Cap'!$D$8:$L$62,9,0)</f>
        <v>6.1656546085082996E-2</v>
      </c>
      <c r="J26" s="116">
        <f t="shared" ca="1" si="2"/>
        <v>0.15046622234166929</v>
      </c>
      <c r="K26" s="116">
        <f ca="1">VLOOKUP(C26,'Residential Cap'!$D$8:$S$62,16,0)</f>
        <v>11.687917499999999</v>
      </c>
      <c r="L26" s="31">
        <f ca="1">VLOOKUP(B26,'Residential Cap'!$BE$8:$BH$49,4,0)</f>
        <v>14.109205617347021</v>
      </c>
      <c r="M26" s="31">
        <f t="shared" ca="1" si="3"/>
        <v>1.235550208531097</v>
      </c>
      <c r="N26" s="31">
        <f t="shared" ca="1" si="4"/>
        <v>12.873655408815925</v>
      </c>
      <c r="O26" s="620">
        <f ca="1">OFFSET('Other Options'!$H$4,MATCH(C26,'Other Options'!$E$5:$E$55,0),0)</f>
        <v>14.935131314303556</v>
      </c>
      <c r="P26" s="254"/>
      <c r="Q26" s="254"/>
      <c r="T26" s="79"/>
      <c r="V26" s="442"/>
      <c r="W26" s="442"/>
      <c r="X26" s="37"/>
      <c r="Y26" s="37"/>
    </row>
    <row r="27" spans="1:25" x14ac:dyDescent="0.3">
      <c r="A27" s="16">
        <f t="shared" ca="1" si="1"/>
        <v>10.583704175536699</v>
      </c>
      <c r="B27" s="94" t="str">
        <f>VLOOKUP(C27,'Residential Cap'!$A$8:$C$62,3,0)</f>
        <v>OtagoNet JV</v>
      </c>
      <c r="C27" s="116" t="s">
        <v>71</v>
      </c>
      <c r="D27" s="16">
        <f>VLOOKUP(C27,'Other Options'!$A$3:$C$58,3,0)</f>
        <v>4.7194829846218855</v>
      </c>
      <c r="E27" s="94"/>
      <c r="F27" s="94"/>
      <c r="G27" s="116">
        <f ca="1">VLOOKUP($C27,'Residential Cap'!$D$8:$L$62,2,0)+VLOOKUP($C27,'Residential Cap'!$D$8:$L$62,6,0)</f>
        <v>0.84596165325492045</v>
      </c>
      <c r="H27" s="116">
        <f ca="1">VLOOKUP($C27,'Residential Cap'!$D$8:'Residential Cap'!$AL$62,35,0)</f>
        <v>2.3373822712508332</v>
      </c>
      <c r="I27" s="116">
        <f ca="1">VLOOKUP($C27,'Residential Cap'!$D$8:$L$62,9,0)</f>
        <v>1.6227389154021956</v>
      </c>
      <c r="J27" s="116">
        <f t="shared" ca="1" si="2"/>
        <v>3.960121186653029</v>
      </c>
      <c r="K27" s="116">
        <f ca="1">VLOOKUP(C27,'Residential Cap'!$D$8:$S$62,16,0)</f>
        <v>445.91977500000002</v>
      </c>
      <c r="L27" s="31">
        <f ca="1">VLOOKUP(B27,'Residential Cap'!$BE$8:$BH$49,4,0)</f>
        <v>10.777909187606557</v>
      </c>
      <c r="M27" s="31">
        <f t="shared" ca="1" si="3"/>
        <v>1.8971162542744835</v>
      </c>
      <c r="N27" s="31">
        <f t="shared" ca="1" si="4"/>
        <v>8.8807929333320743</v>
      </c>
      <c r="O27" s="620">
        <f ca="1">OFFSET('Other Options'!$H$4,MATCH(C27,'Other Options'!$E$5:$E$55,0),0)</f>
        <v>11.112889384313535</v>
      </c>
      <c r="P27" s="254"/>
      <c r="Q27" s="254"/>
      <c r="T27" s="79"/>
      <c r="V27" s="442"/>
      <c r="W27" s="442"/>
      <c r="X27" s="37"/>
      <c r="Y27" s="37"/>
    </row>
    <row r="28" spans="1:25" x14ac:dyDescent="0.3">
      <c r="A28" s="16">
        <f t="shared" ca="1" si="1"/>
        <v>14.016144028161827</v>
      </c>
      <c r="B28" s="94" t="str">
        <f>VLOOKUP(C28,'Residential Cap'!$A$8:$C$62,3,0)</f>
        <v>Network Waitaki</v>
      </c>
      <c r="C28" s="116" t="s">
        <v>20</v>
      </c>
      <c r="D28" s="16">
        <f>VLOOKUP(C28,'Other Options'!$A$3:$C$58,3,0)</f>
        <v>3.9584934286686919</v>
      </c>
      <c r="E28" s="94"/>
      <c r="F28" s="94"/>
      <c r="G28" s="116">
        <f ca="1">VLOOKUP($C28,'Residential Cap'!$D$8:$L$62,2,0)+VLOOKUP($C28,'Residential Cap'!$D$8:$L$62,6,0)</f>
        <v>0.43372899234048096</v>
      </c>
      <c r="H28" s="116">
        <f ca="1">VLOOKUP($C28,'Residential Cap'!$D$8:'Residential Cap'!$AL$62,35,0)</f>
        <v>2.03672869906696</v>
      </c>
      <c r="I28" s="116">
        <f ca="1">VLOOKUP($C28,'Residential Cap'!$D$8:$L$62,9,0)</f>
        <v>1.414008722810991</v>
      </c>
      <c r="J28" s="116">
        <f t="shared" ca="1" si="2"/>
        <v>3.450737421877951</v>
      </c>
      <c r="K28" s="116">
        <f ca="1">VLOOKUP(C28,'Residential Cap'!$D$8:$S$62,16,0)</f>
        <v>282.423855</v>
      </c>
      <c r="L28" s="31">
        <f ca="1">VLOOKUP(B28,'Residential Cap'!$BE$8:$BH$49,4,0)</f>
        <v>13.754030849194493</v>
      </c>
      <c r="M28" s="31">
        <f t="shared" ca="1" si="3"/>
        <v>1.5357378091892451</v>
      </c>
      <c r="N28" s="31">
        <f t="shared" ca="1" si="4"/>
        <v>12.218293040005246</v>
      </c>
      <c r="O28" s="620">
        <f ca="1">OFFSET('Other Options'!$H$4,MATCH(C28,'Other Options'!$E$5:$E$55,0),0)</f>
        <v>14.716951229569919</v>
      </c>
      <c r="P28" s="254"/>
      <c r="Q28" s="254"/>
      <c r="T28" s="79"/>
      <c r="V28" s="442"/>
      <c r="W28" s="442"/>
      <c r="X28" s="37"/>
      <c r="Y28" s="37"/>
    </row>
    <row r="29" spans="1:25" x14ac:dyDescent="0.3">
      <c r="A29" s="16">
        <f t="shared" ca="1" si="1"/>
        <v>11.90844731031849</v>
      </c>
      <c r="B29" s="94" t="str">
        <f>VLOOKUP(C29,'Residential Cap'!$A$8:$C$62,3,0)</f>
        <v>Alpine Energy</v>
      </c>
      <c r="C29" s="116" t="s">
        <v>0</v>
      </c>
      <c r="D29" s="16">
        <f>VLOOKUP(C29,'Other Options'!$A$3:$C$58,3,0)</f>
        <v>9.9250540884727805</v>
      </c>
      <c r="E29" s="94"/>
      <c r="F29" s="94"/>
      <c r="G29" s="116">
        <f ca="1">VLOOKUP($C29,'Residential Cap'!$D$8:$L$62,2,0)+VLOOKUP($C29,'Residential Cap'!$D$8:$L$62,6,0)</f>
        <v>1.3831140261653447</v>
      </c>
      <c r="H29" s="116">
        <f ca="1">VLOOKUP($C29,'Residential Cap'!$D$8:'Residential Cap'!$AL$62,35,0)</f>
        <v>5.0610799366555055</v>
      </c>
      <c r="I29" s="116">
        <f ca="1">VLOOKUP($C29,'Residential Cap'!$D$8:$L$62,9,0)</f>
        <v>3.5136791564595637</v>
      </c>
      <c r="J29" s="116">
        <f t="shared" ca="1" si="2"/>
        <v>8.5747590931150697</v>
      </c>
      <c r="K29" s="116">
        <f ca="1">VLOOKUP(C29,'Residential Cap'!$D$8:$S$62,16,0)</f>
        <v>833.44653000000005</v>
      </c>
      <c r="L29" s="31">
        <f ca="1">VLOOKUP(B29,'Residential Cap'!$BE$8:$BH$49,4,0)</f>
        <v>11.947824798407179</v>
      </c>
      <c r="M29" s="31">
        <f t="shared" ca="1" si="3"/>
        <v>1.659511410006524</v>
      </c>
      <c r="N29" s="31">
        <f t="shared" ca="1" si="4"/>
        <v>10.288313388400656</v>
      </c>
      <c r="O29" s="620">
        <f ca="1">OFFSET('Other Options'!$H$4,MATCH(C29,'Other Options'!$E$5:$E$55,0),0)</f>
        <v>12.503869675834416</v>
      </c>
      <c r="P29" s="254"/>
      <c r="Q29" s="254"/>
      <c r="T29" s="79"/>
      <c r="V29" s="442"/>
      <c r="W29" s="442"/>
      <c r="X29" s="37"/>
      <c r="Y29" s="37"/>
    </row>
    <row r="30" spans="1:25" x14ac:dyDescent="0.3">
      <c r="A30" s="16">
        <f t="shared" ca="1" si="1"/>
        <v>18.28925218050798</v>
      </c>
      <c r="B30" s="94" t="str">
        <f>VLOOKUP(C30,'Residential Cap'!$A$8:$C$62,3,0)</f>
        <v>Electricity Ashburton</v>
      </c>
      <c r="C30" s="116" t="s">
        <v>9</v>
      </c>
      <c r="D30" s="16">
        <f>VLOOKUP(C30,'Other Options'!$A$3:$C$58,3,0)</f>
        <v>12.043838254461853</v>
      </c>
      <c r="E30" s="94"/>
      <c r="F30" s="94"/>
      <c r="G30" s="116">
        <f ca="1">VLOOKUP($C30,'Residential Cap'!$D$8:$L$62,2,0)+VLOOKUP($C30,'Residential Cap'!$D$8:$L$62,6,0)</f>
        <v>0.95747736562710495</v>
      </c>
      <c r="H30" s="116">
        <f ca="1">VLOOKUP($C30,'Residential Cap'!$D$8:'Residential Cap'!$AL$62,35,0)</f>
        <v>5.2855152497292757</v>
      </c>
      <c r="I30" s="116">
        <f ca="1">VLOOKUP($C30,'Residential Cap'!$D$8:$L$62,9,0)</f>
        <v>3.6694944550501463</v>
      </c>
      <c r="J30" s="116">
        <f t="shared" ca="1" si="2"/>
        <v>8.955009704779421</v>
      </c>
      <c r="K30" s="116">
        <f ca="1">VLOOKUP(C30,'Residential Cap'!$D$8:$S$62,16,0)</f>
        <v>658.51999499999999</v>
      </c>
      <c r="L30" s="31">
        <f ca="1">VLOOKUP(B30,'Residential Cap'!$BE$8:$BH$49,4,0)</f>
        <v>15.052674399668803</v>
      </c>
      <c r="M30" s="31">
        <f t="shared" ca="1" si="3"/>
        <v>1.4539837406563563</v>
      </c>
      <c r="N30" s="31">
        <f t="shared" ca="1" si="4"/>
        <v>13.598690659012444</v>
      </c>
      <c r="O30" s="620">
        <f ca="1">OFFSET('Other Options'!$H$4,MATCH(C30,'Other Options'!$E$5:$E$55,0),0)</f>
        <v>19.203714789533379</v>
      </c>
      <c r="P30" s="254"/>
      <c r="Q30" s="254"/>
      <c r="T30" s="79"/>
      <c r="V30" s="442"/>
      <c r="W30" s="442"/>
      <c r="X30" s="37"/>
      <c r="Y30" s="37"/>
    </row>
    <row r="31" spans="1:25" x14ac:dyDescent="0.3">
      <c r="A31" s="16">
        <f t="shared" ca="1" si="1"/>
        <v>11.040548113356756</v>
      </c>
      <c r="B31" s="94" t="str">
        <f>VLOOKUP(C31,'Residential Cap'!$A$8:$C$62,3,0)</f>
        <v>Daiken MDF</v>
      </c>
      <c r="C31" s="116" t="s">
        <v>6</v>
      </c>
      <c r="D31" s="16">
        <f>VLOOKUP(C31,'Other Options'!$A$3:$C$58,3,0)</f>
        <v>0.75204029380451254</v>
      </c>
      <c r="E31" s="94"/>
      <c r="F31" s="94"/>
      <c r="G31" s="116">
        <f ca="1">VLOOKUP($C31,'Residential Cap'!$D$8:$L$62,2,0)+VLOOKUP($C31,'Residential Cap'!$D$8:$L$62,6,0)</f>
        <v>0.15961434541720004</v>
      </c>
      <c r="H31" s="116">
        <f ca="1">VLOOKUP($C31,'Residential Cap'!$D$8:'Residential Cap'!$AL$62,35,0)</f>
        <v>0.36273997481574005</v>
      </c>
      <c r="I31" s="116">
        <f ca="1">VLOOKUP($C31,'Residential Cap'!$D$8:$L$62,9,0)</f>
        <v>0.2518339770715004</v>
      </c>
      <c r="J31" s="116">
        <f t="shared" ca="1" si="2"/>
        <v>0.6145739518872404</v>
      </c>
      <c r="K31" s="116">
        <f ca="1">VLOOKUP(C31,'Residential Cap'!$D$8:$S$62,16,0)</f>
        <v>68.116209999999995</v>
      </c>
      <c r="L31" s="31">
        <f ca="1">VLOOKUP(B31,'Residential Cap'!$BE$8:$BH$49,4,0)</f>
        <v>11.365698374945413</v>
      </c>
      <c r="M31" s="31">
        <f t="shared" ca="1" si="3"/>
        <v>2.3432652142155304</v>
      </c>
      <c r="N31" s="31">
        <f t="shared" ca="1" si="4"/>
        <v>9.022433160729884</v>
      </c>
      <c r="O31" s="620">
        <f ca="1">OFFSET('Other Options'!$H$4,MATCH(C31,'Other Options'!$E$5:$E$55,0),0)</f>
        <v>11.040548113356754</v>
      </c>
      <c r="P31" s="254"/>
      <c r="Q31" s="254"/>
      <c r="T31" s="79"/>
      <c r="V31" s="442"/>
      <c r="W31" s="442"/>
      <c r="X31" s="37"/>
      <c r="Y31" s="37"/>
    </row>
    <row r="32" spans="1:25" x14ac:dyDescent="0.3">
      <c r="A32" s="16">
        <f t="shared" ca="1" si="1"/>
        <v>13.979318682709186</v>
      </c>
      <c r="B32" s="94" t="str">
        <f>VLOOKUP(C32,'Residential Cap'!$A$8:$C$62,3,0)</f>
        <v>Orion</v>
      </c>
      <c r="C32" s="116" t="s">
        <v>25</v>
      </c>
      <c r="D32" s="16">
        <f>VLOOKUP(C32,'Other Options'!$A$3:$C$58,3,0)</f>
        <v>47.58453277599471</v>
      </c>
      <c r="E32" s="94"/>
      <c r="F32" s="94"/>
      <c r="G32" s="116">
        <f ca="1">VLOOKUP($C32,'Residential Cap'!$D$8:$L$62,2,0)+VLOOKUP($C32,'Residential Cap'!$D$8:$L$62,6,0)</f>
        <v>7.3279710777073381</v>
      </c>
      <c r="H32" s="116">
        <f ca="1">VLOOKUP($C32,'Residential Cap'!$D$8:'Residential Cap'!$AL$62,35,0)</f>
        <v>23.42572882042602</v>
      </c>
      <c r="I32" s="116">
        <f ca="1">VLOOKUP($C32,'Residential Cap'!$D$8:$L$62,9,0)</f>
        <v>16.263425219795664</v>
      </c>
      <c r="J32" s="116">
        <f t="shared" ca="1" si="2"/>
        <v>39.68915404022168</v>
      </c>
      <c r="K32" s="116">
        <f ca="1">VLOOKUP(C32,'Residential Cap'!$D$8:$S$62,16,0)</f>
        <v>3403.9236000000001</v>
      </c>
      <c r="L32" s="31">
        <f ca="1">VLOOKUP(B32,'Residential Cap'!$BE$8:$BH$49,4,0)</f>
        <v>13.812626440243555</v>
      </c>
      <c r="M32" s="31">
        <f t="shared" ca="1" si="3"/>
        <v>2.1528012784151023</v>
      </c>
      <c r="N32" s="31">
        <f t="shared" ca="1" si="4"/>
        <v>11.659825161828451</v>
      </c>
      <c r="O32" s="620">
        <f ca="1">OFFSET('Other Options'!$H$4,MATCH(C32,'Other Options'!$E$5:$E$55,0),0)</f>
        <v>14.678284616844643</v>
      </c>
      <c r="P32" s="254"/>
      <c r="Q32" s="254"/>
      <c r="T32" s="79"/>
      <c r="V32" s="442"/>
      <c r="W32" s="442"/>
      <c r="X32" s="37"/>
      <c r="Y32" s="37"/>
    </row>
    <row r="33" spans="1:25" x14ac:dyDescent="0.3">
      <c r="A33" s="16">
        <f t="shared" ca="1" si="1"/>
        <v>14.387975042085637</v>
      </c>
      <c r="B33" s="94" t="str">
        <f>VLOOKUP(C33,'Residential Cap'!$A$8:$C$62,3,0)</f>
        <v>Mainpower</v>
      </c>
      <c r="C33" s="116" t="s">
        <v>12</v>
      </c>
      <c r="D33" s="16">
        <f>VLOOKUP(C33,'Other Options'!$A$3:$C$58,3,0)</f>
        <v>8.2733885880137539</v>
      </c>
      <c r="E33" s="94"/>
      <c r="F33" s="94"/>
      <c r="G33" s="116">
        <f ca="1">VLOOKUP($C33,'Residential Cap'!$D$8:$L$62,2,0)+VLOOKUP($C33,'Residential Cap'!$D$8:$L$62,6,0)</f>
        <v>1.304360820898629</v>
      </c>
      <c r="H33" s="116">
        <f ca="1">VLOOKUP($C33,'Residential Cap'!$D$8:'Residential Cap'!$AL$62,35,0)</f>
        <v>4.0608659809874359</v>
      </c>
      <c r="I33" s="116">
        <f ca="1">VLOOKUP($C33,'Residential Cap'!$D$8:$L$62,9,0)</f>
        <v>2.8192757935375208</v>
      </c>
      <c r="J33" s="116">
        <f t="shared" ca="1" si="2"/>
        <v>6.8801417745249562</v>
      </c>
      <c r="K33" s="116">
        <f ca="1">VLOOKUP(C33,'Residential Cap'!$D$8:$S$62,16,0)</f>
        <v>575.02105500000005</v>
      </c>
      <c r="L33" s="31">
        <f ca="1">VLOOKUP(B33,'Residential Cap'!$BE$8:$BH$49,4,0)</f>
        <v>14.233396367414034</v>
      </c>
      <c r="M33" s="31">
        <f t="shared" ca="1" si="3"/>
        <v>2.2683705397511558</v>
      </c>
      <c r="N33" s="31">
        <f t="shared" ca="1" si="4"/>
        <v>11.965025827662876</v>
      </c>
      <c r="O33" s="620">
        <f ca="1">OFFSET('Other Options'!$H$4,MATCH(C33,'Other Options'!$E$5:$E$55,0),0)</f>
        <v>15.107373794189924</v>
      </c>
      <c r="P33" s="254"/>
      <c r="Q33" s="254"/>
      <c r="T33" s="79"/>
      <c r="V33" s="442"/>
      <c r="W33" s="442"/>
      <c r="X33" s="37"/>
      <c r="Y33" s="37"/>
    </row>
    <row r="34" spans="1:25" x14ac:dyDescent="0.3">
      <c r="A34" s="16">
        <f t="shared" ca="1" si="1"/>
        <v>11.99908046281791</v>
      </c>
      <c r="B34" s="94" t="str">
        <f>VLOOKUP(C34,'Residential Cap'!$A$8:$C$62,3,0)</f>
        <v>Marlborough Lines</v>
      </c>
      <c r="C34" s="116" t="s">
        <v>13</v>
      </c>
      <c r="D34" s="16">
        <f>VLOOKUP(C34,'Other Options'!$A$3:$C$58,3,0)</f>
        <v>4.9369682005229674</v>
      </c>
      <c r="E34" s="94"/>
      <c r="F34" s="94"/>
      <c r="G34" s="116">
        <f ca="1">VLOOKUP($C34,'Residential Cap'!$D$8:$L$62,2,0)+VLOOKUP($C34,'Residential Cap'!$D$8:$L$62,6,0)</f>
        <v>0.85026373872078631</v>
      </c>
      <c r="H34" s="116">
        <f ca="1">VLOOKUP($C34,'Residential Cap'!$D$8:'Residential Cap'!$AL$62,35,0)</f>
        <v>2.4322867292113024</v>
      </c>
      <c r="I34" s="116">
        <f ca="1">VLOOKUP($C34,'Residential Cap'!$D$8:$L$62,9,0)</f>
        <v>1.6886267930813526</v>
      </c>
      <c r="J34" s="116">
        <f t="shared" ca="1" si="2"/>
        <v>4.1209135222926552</v>
      </c>
      <c r="K34" s="116">
        <f ca="1">VLOOKUP(C34,'Residential Cap'!$D$8:$S$62,16,0)</f>
        <v>411.44554499999998</v>
      </c>
      <c r="L34" s="31">
        <f ca="1">VLOOKUP(B34,'Residential Cap'!$BE$8:$BH$49,4,0)</f>
        <v>12.082224054737162</v>
      </c>
      <c r="M34" s="31">
        <f t="shared" ca="1" si="3"/>
        <v>2.0665279987921279</v>
      </c>
      <c r="N34" s="31">
        <f t="shared" ca="1" si="4"/>
        <v>10.015696055945034</v>
      </c>
      <c r="O34" s="620">
        <f ca="1">OFFSET('Other Options'!$H$4,MATCH(C34,'Other Options'!$E$5:$E$55,0),0)</f>
        <v>12.599034485958807</v>
      </c>
      <c r="P34" s="254"/>
      <c r="Q34" s="254"/>
      <c r="T34" s="79"/>
      <c r="V34" s="442"/>
      <c r="W34" s="442"/>
      <c r="X34" s="37"/>
      <c r="Y34" s="37"/>
    </row>
    <row r="35" spans="1:25" x14ac:dyDescent="0.3">
      <c r="A35" s="16">
        <f t="shared" ca="1" si="1"/>
        <v>13.445325717966115</v>
      </c>
      <c r="B35" s="94" t="str">
        <f>VLOOKUP(C35,'Residential Cap'!$A$8:$C$62,3,0)</f>
        <v>Network Tasman</v>
      </c>
      <c r="C35" s="116" t="s">
        <v>19</v>
      </c>
      <c r="D35" s="16">
        <f>VLOOKUP(C35,'Other Options'!$A$3:$C$58,3,0)</f>
        <v>10.304474168155853</v>
      </c>
      <c r="E35" s="94"/>
      <c r="F35" s="94"/>
      <c r="G35" s="116">
        <f ca="1">VLOOKUP($C35,'Residential Cap'!$D$8:$L$62,2,0)+VLOOKUP($C35,'Residential Cap'!$D$8:$L$62,6,0)</f>
        <v>1.6135642317570436</v>
      </c>
      <c r="H35" s="116">
        <f ca="1">VLOOKUP($C35,'Residential Cap'!$D$8:'Residential Cap'!$AL$62,35,0)</f>
        <v>5.1244388761266437</v>
      </c>
      <c r="I35" s="116">
        <f ca="1">VLOOKUP($C35,'Residential Cap'!$D$8:$L$62,9,0)</f>
        <v>3.5576664057781828</v>
      </c>
      <c r="J35" s="116">
        <f t="shared" ca="1" si="2"/>
        <v>8.6821052819048266</v>
      </c>
      <c r="K35" s="116">
        <f ca="1">VLOOKUP(C35,'Residential Cap'!$D$8:$S$62,16,0)</f>
        <v>766.39825500000006</v>
      </c>
      <c r="L35" s="31">
        <f ca="1">VLOOKUP(B35,'Residential Cap'!$BE$8:$BH$49,4,0)</f>
        <v>13.433837363919714</v>
      </c>
      <c r="M35" s="31">
        <f t="shared" ca="1" si="3"/>
        <v>2.1053860981938737</v>
      </c>
      <c r="N35" s="31">
        <f t="shared" ca="1" si="4"/>
        <v>11.328451265725839</v>
      </c>
      <c r="O35" s="620">
        <f ca="1">OFFSET('Other Options'!$H$4,MATCH(C35,'Other Options'!$E$5:$E$55,0),0)</f>
        <v>14.11759200386442</v>
      </c>
      <c r="P35" s="254"/>
      <c r="Q35" s="254"/>
      <c r="T35" s="79"/>
      <c r="V35" s="442"/>
      <c r="W35" s="442"/>
      <c r="X35" s="37"/>
      <c r="Y35" s="37"/>
    </row>
    <row r="36" spans="1:25" x14ac:dyDescent="0.3">
      <c r="A36" s="16">
        <f t="shared" ca="1" si="1"/>
        <v>26.863797679058194</v>
      </c>
      <c r="B36" s="94" t="str">
        <f>VLOOKUP(C36,'Residential Cap'!$A$8:$C$62,3,0)</f>
        <v>Buller Electricity</v>
      </c>
      <c r="C36" s="116" t="s">
        <v>2</v>
      </c>
      <c r="D36" s="16">
        <f>VLOOKUP(C36,'Other Options'!$A$3:$C$58,3,0)</f>
        <v>1.7941505751254221</v>
      </c>
      <c r="E36" s="94"/>
      <c r="F36" s="94"/>
      <c r="G36" s="116">
        <f ca="1">VLOOKUP($C36,'Residential Cap'!$D$8:$L$62,2,0)+VLOOKUP($C36,'Residential Cap'!$D$8:$L$62,6,0)</f>
        <v>0.15331208458251716</v>
      </c>
      <c r="H36" s="116">
        <f ca="1">VLOOKUP($C36,'Residential Cap'!$D$8:'Residential Cap'!$AL$62,35,0)</f>
        <v>0.40584548585550978</v>
      </c>
      <c r="I36" s="116">
        <f ca="1">VLOOKUP($C36,'Residential Cap'!$D$8:$L$62,9,0)</f>
        <v>0.2817601860159622</v>
      </c>
      <c r="J36" s="116">
        <f t="shared" ca="1" si="2"/>
        <v>0.68760567187147204</v>
      </c>
      <c r="K36" s="116">
        <f ca="1">VLOOKUP(C36,'Residential Cap'!$D$8:$S$62,16,0)</f>
        <v>66.786929999999998</v>
      </c>
      <c r="L36" s="31">
        <f ca="1">VLOOKUP(B36,'Residential Cap'!$BE$8:$BH$49,4,0)</f>
        <v>12.591052717260537</v>
      </c>
      <c r="M36" s="31">
        <f t="shared" ca="1" si="3"/>
        <v>2.2955402289417579</v>
      </c>
      <c r="N36" s="31">
        <f t="shared" ca="1" si="4"/>
        <v>10.29551248831878</v>
      </c>
      <c r="O36" s="620">
        <f ca="1">OFFSET('Other Options'!$H$4,MATCH(C36,'Other Options'!$E$5:$E$55,0),0)</f>
        <v>16.752481616071904</v>
      </c>
      <c r="P36" s="254"/>
      <c r="Q36" s="254"/>
      <c r="T36" s="79"/>
      <c r="V36" s="442"/>
      <c r="W36" s="442"/>
      <c r="X36" s="37"/>
      <c r="Y36" s="37"/>
    </row>
    <row r="37" spans="1:25" x14ac:dyDescent="0.3">
      <c r="A37" s="16">
        <f t="shared" ca="1" si="1"/>
        <v>17.864546166155804</v>
      </c>
      <c r="B37" s="94" t="str">
        <f>VLOOKUP(C37,'Residential Cap'!$A$8:$C$62,3,0)</f>
        <v>Westpower</v>
      </c>
      <c r="C37" s="116" t="s">
        <v>41</v>
      </c>
      <c r="D37" s="16">
        <f>VLOOKUP(C37,'Other Options'!$A$3:$C$58,3,0)</f>
        <v>4.6598060865262463</v>
      </c>
      <c r="E37" s="94"/>
      <c r="F37" s="94"/>
      <c r="G37" s="116">
        <f ca="1">VLOOKUP($C37,'Residential Cap'!$D$8:$L$62,2,0)+VLOOKUP($C37,'Residential Cap'!$D$8:$L$62,6,0)</f>
        <v>0.43120824429848742</v>
      </c>
      <c r="H37" s="116">
        <f ca="1">VLOOKUP($C37,'Residential Cap'!$D$8:'Residential Cap'!$AL$62,35,0)</f>
        <v>1.9586223652479624</v>
      </c>
      <c r="I37" s="116">
        <f ca="1">VLOOKUP($C37,'Residential Cap'!$D$8:$L$62,9,0)</f>
        <v>1.3597830238372177</v>
      </c>
      <c r="J37" s="116">
        <f t="shared" ca="1" si="2"/>
        <v>3.3184053890851803</v>
      </c>
      <c r="K37" s="116">
        <f ca="1">VLOOKUP(C37,'Residential Cap'!$D$8:$S$62,16,0)</f>
        <v>260.84100000000001</v>
      </c>
      <c r="L37" s="31">
        <f ca="1">VLOOKUP(B37,'Residential Cap'!$BE$8:$BH$49,4,0)</f>
        <v>14.375093000654296</v>
      </c>
      <c r="M37" s="31">
        <f t="shared" ca="1" si="3"/>
        <v>1.6531459559597128</v>
      </c>
      <c r="N37" s="31">
        <f t="shared" ca="1" si="4"/>
        <v>12.721947044694584</v>
      </c>
      <c r="O37" s="620">
        <f ca="1">OFFSET('Other Options'!$H$4,MATCH(C37,'Other Options'!$E$5:$E$55,0),0)</f>
        <v>16.440997249815638</v>
      </c>
      <c r="P37" s="254"/>
      <c r="Q37" s="254"/>
      <c r="T37" s="79"/>
      <c r="V37" s="442"/>
      <c r="W37" s="442"/>
      <c r="X37" s="37"/>
      <c r="Y37" s="37"/>
    </row>
    <row r="38" spans="1:25" x14ac:dyDescent="0.3">
      <c r="A38" s="16">
        <f t="shared" ca="1" si="1"/>
        <v>16.688525645406649</v>
      </c>
      <c r="B38" s="94" t="str">
        <f>VLOOKUP(C38,'Residential Cap'!$A$8:$C$62,3,0)</f>
        <v>Wellington Electricity</v>
      </c>
      <c r="C38" s="116" t="s">
        <v>40</v>
      </c>
      <c r="D38" s="16">
        <f>VLOOKUP(C38,'Other Options'!$A$3:$C$58,3,0)</f>
        <v>43.184614107682812</v>
      </c>
      <c r="E38" s="94"/>
      <c r="F38" s="94"/>
      <c r="G38" s="116">
        <f ca="1">VLOOKUP($C38,'Residential Cap'!$D$8:$L$62,2,0)+VLOOKUP($C38,'Residential Cap'!$D$8:$L$62,6,0)</f>
        <v>10.454492475567889</v>
      </c>
      <c r="H38" s="116">
        <f ca="1">VLOOKUP($C38,'Residential Cap'!$D$8:'Residential Cap'!$AL$62,35,0)</f>
        <v>18.804745703289392</v>
      </c>
      <c r="I38" s="116">
        <f ca="1">VLOOKUP($C38,'Residential Cap'!$D$8:$L$62,9,0)</f>
        <v>13.055285402947776</v>
      </c>
      <c r="J38" s="116">
        <f t="shared" ca="1" si="2"/>
        <v>31.860031106237166</v>
      </c>
      <c r="K38" s="116">
        <f ca="1">VLOOKUP(C38,'Residential Cap'!$D$8:$S$62,16,0)</f>
        <v>2587.683</v>
      </c>
      <c r="L38" s="31">
        <f ca="1">VLOOKUP(B38,'Residential Cap'!$BE$8:$BH$49,4,0)</f>
        <v>16.35228255617286</v>
      </c>
      <c r="M38" s="31">
        <f t="shared" ca="1" si="3"/>
        <v>4.0400978309815727</v>
      </c>
      <c r="N38" s="31">
        <f t="shared" ca="1" si="4"/>
        <v>12.312184725191287</v>
      </c>
      <c r="O38" s="620">
        <f ca="1">OFFSET('Other Options'!$H$4,MATCH(C38,'Other Options'!$E$5:$E$55,0),0)</f>
        <v>17.522951927676981</v>
      </c>
      <c r="P38" s="254"/>
      <c r="Q38" s="254"/>
      <c r="T38" s="79"/>
      <c r="V38" s="442"/>
      <c r="W38" s="442"/>
      <c r="X38" s="37"/>
      <c r="Y38" s="37"/>
    </row>
    <row r="39" spans="1:25" x14ac:dyDescent="0.3">
      <c r="A39" s="16">
        <f t="shared" ca="1" si="1"/>
        <v>16.090139456329165</v>
      </c>
      <c r="B39" s="94" t="str">
        <f>VLOOKUP(C39,'Residential Cap'!$A$8:$C$62,3,0)</f>
        <v>Electra</v>
      </c>
      <c r="C39" s="116" t="s">
        <v>8</v>
      </c>
      <c r="D39" s="16">
        <f>VLOOKUP(C39,'Other Options'!$A$3:$C$58,3,0)</f>
        <v>7.3194535136094796</v>
      </c>
      <c r="E39" s="94"/>
      <c r="F39" s="94"/>
      <c r="G39" s="116">
        <f ca="1">VLOOKUP($C39,'Residential Cap'!$D$8:$L$62,2,0)+VLOOKUP($C39,'Residential Cap'!$D$8:$L$62,6,0)</f>
        <v>1.9964296514466111</v>
      </c>
      <c r="H39" s="116">
        <f ca="1">VLOOKUP($C39,'Residential Cap'!$D$8:'Residential Cap'!$AL$62,35,0)</f>
        <v>3.0861027621048134</v>
      </c>
      <c r="I39" s="116">
        <f ca="1">VLOOKUP($C39,'Residential Cap'!$D$8:$L$62,9,0)</f>
        <v>2.1425417273819414</v>
      </c>
      <c r="J39" s="116">
        <f t="shared" ca="1" si="2"/>
        <v>5.2286444894867543</v>
      </c>
      <c r="K39" s="116">
        <f ca="1">VLOOKUP(C39,'Residential Cap'!$D$8:$S$62,16,0)</f>
        <v>454.90305000000001</v>
      </c>
      <c r="L39" s="31">
        <f ca="1">VLOOKUP(B39,'Residential Cap'!$BE$8:$BH$49,4,0)</f>
        <v>15.882668056266859</v>
      </c>
      <c r="M39" s="31">
        <f t="shared" ca="1" si="3"/>
        <v>4.3886926048234036</v>
      </c>
      <c r="N39" s="31">
        <f t="shared" ca="1" si="4"/>
        <v>11.493975451443454</v>
      </c>
      <c r="O39" s="620">
        <f ca="1">OFFSET('Other Options'!$H$4,MATCH(C39,'Other Options'!$E$5:$E$55,0),0)</f>
        <v>16.894646429145627</v>
      </c>
      <c r="P39" s="254"/>
      <c r="Q39" s="254"/>
      <c r="T39" s="79"/>
      <c r="V39" s="442"/>
      <c r="W39" s="442"/>
      <c r="X39" s="37"/>
      <c r="Y39" s="37"/>
    </row>
    <row r="40" spans="1:25" x14ac:dyDescent="0.3">
      <c r="A40" s="16">
        <f t="shared" ca="1" si="1"/>
        <v>13.560822203306342</v>
      </c>
      <c r="B40" s="94" t="str">
        <f>VLOOKUP(C40,'Residential Cap'!$A$8:$C$62,3,0)</f>
        <v>Scanpower</v>
      </c>
      <c r="C40" s="116" t="s">
        <v>31</v>
      </c>
      <c r="D40" s="16">
        <f>VLOOKUP(C40,'Other Options'!$A$3:$C$58,3,0)</f>
        <v>1.1874848912420872</v>
      </c>
      <c r="E40" s="94"/>
      <c r="F40" s="94"/>
      <c r="G40" s="116">
        <f ca="1">VLOOKUP($C40,'Residential Cap'!$D$8:$L$62,2,0)+VLOOKUP($C40,'Residential Cap'!$D$8:$L$62,6,0)</f>
        <v>0.34808272293093834</v>
      </c>
      <c r="H40" s="116">
        <f ca="1">VLOOKUP($C40,'Residential Cap'!$D$8:'Residential Cap'!$AL$62,35,0)</f>
        <v>0.49026156123545372</v>
      </c>
      <c r="I40" s="116">
        <f ca="1">VLOOKUP($C40,'Residential Cap'!$D$8:$L$62,9,0)</f>
        <v>0.34036645350136319</v>
      </c>
      <c r="J40" s="116">
        <f t="shared" ca="1" si="2"/>
        <v>0.83062801473681691</v>
      </c>
      <c r="K40" s="116">
        <f ca="1">VLOOKUP(C40,'Residential Cap'!$D$8:$S$62,16,0)</f>
        <v>87.567322500000017</v>
      </c>
      <c r="L40" s="31">
        <f ca="1">VLOOKUP(B40,'Residential Cap'!$BE$8:$BH$49,4,0)</f>
        <v>13.460623255527254</v>
      </c>
      <c r="M40" s="31">
        <f t="shared" ca="1" si="3"/>
        <v>3.9750298740827468</v>
      </c>
      <c r="N40" s="31">
        <f t="shared" ca="1" si="4"/>
        <v>9.4855933814445059</v>
      </c>
      <c r="O40" s="620">
        <f ca="1">OFFSET('Other Options'!$H$4,MATCH(C40,'Other Options'!$E$5:$E$55,0),0)</f>
        <v>14.238863313471661</v>
      </c>
      <c r="P40" s="254"/>
      <c r="Q40" s="254"/>
      <c r="T40" s="79"/>
      <c r="V40" s="442"/>
      <c r="W40" s="442"/>
      <c r="X40" s="37"/>
      <c r="Y40" s="37"/>
    </row>
    <row r="41" spans="1:25" x14ac:dyDescent="0.3">
      <c r="A41" s="16">
        <f t="shared" ca="1" si="1"/>
        <v>11.772550574711383</v>
      </c>
      <c r="B41" s="94" t="str">
        <f>VLOOKUP(C41,'Residential Cap'!$A$8:$C$62,3,0)</f>
        <v>Winstones</v>
      </c>
      <c r="C41" s="116" t="s">
        <v>42</v>
      </c>
      <c r="D41" s="16">
        <f>VLOOKUP(C41,'Other Options'!$A$3:$C$58,3,0)</f>
        <v>2.7739731554495881</v>
      </c>
      <c r="E41" s="94"/>
      <c r="F41" s="94"/>
      <c r="G41" s="116">
        <f ca="1">VLOOKUP($C41,'Residential Cap'!$D$8:$L$62,2,0)+VLOOKUP($C41,'Residential Cap'!$D$8:$L$62,6,0)</f>
        <v>0.71392874426867547</v>
      </c>
      <c r="H41" s="116">
        <f ca="1">VLOOKUP($C41,'Residential Cap'!$D$8:'Residential Cap'!$AL$62,35,0)</f>
        <v>1.243469418838447</v>
      </c>
      <c r="I41" s="116">
        <f ca="1">VLOOKUP($C41,'Residential Cap'!$D$8:$L$62,9,0)</f>
        <v>0.86328464148993278</v>
      </c>
      <c r="J41" s="116">
        <f t="shared" ca="1" si="2"/>
        <v>2.1067540603283796</v>
      </c>
      <c r="K41" s="116">
        <f ca="1">VLOOKUP(C41,'Residential Cap'!$D$8:$S$62,16,0)</f>
        <v>235.63059999999999</v>
      </c>
      <c r="L41" s="31">
        <f ca="1">VLOOKUP(B41,'Residential Cap'!$BE$8:$BH$49,4,0)</f>
        <v>11.970783101163667</v>
      </c>
      <c r="M41" s="31">
        <f t="shared" ca="1" si="3"/>
        <v>3.0298643056915169</v>
      </c>
      <c r="N41" s="31">
        <f t="shared" ca="1" si="4"/>
        <v>8.9409187954721503</v>
      </c>
      <c r="O41" s="620">
        <f ca="1">OFFSET('Other Options'!$H$4,MATCH(C41,'Other Options'!$E$5:$E$55,0),0)</f>
        <v>11.772550574711381</v>
      </c>
      <c r="P41" s="254"/>
      <c r="Q41" s="254"/>
      <c r="T41" s="79"/>
      <c r="V41" s="442"/>
      <c r="W41" s="442"/>
      <c r="X41" s="37"/>
      <c r="Y41" s="37"/>
    </row>
    <row r="42" spans="1:25" x14ac:dyDescent="0.3">
      <c r="A42" s="16">
        <f t="shared" ca="1" si="1"/>
        <v>13.188109984937508</v>
      </c>
      <c r="B42" s="94" t="str">
        <f>VLOOKUP(C42,'Residential Cap'!$A$8:$C$62,3,0)</f>
        <v>Methanex</v>
      </c>
      <c r="C42" s="116" t="s">
        <v>15</v>
      </c>
      <c r="D42" s="16">
        <f>VLOOKUP(C42,'Other Options'!$A$3:$C$58,3,0)</f>
        <v>0.70812382822333286</v>
      </c>
      <c r="E42" s="94"/>
      <c r="F42" s="94"/>
      <c r="G42" s="116">
        <f ca="1">VLOOKUP($C42,'Residential Cap'!$D$8:$L$62,2,0)+VLOOKUP($C42,'Residential Cap'!$D$8:$L$62,6,0)</f>
        <v>0.20127953440267782</v>
      </c>
      <c r="H42" s="116">
        <f ca="1">VLOOKUP($C42,'Residential Cap'!$D$8:'Residential Cap'!$AL$62,35,0)</f>
        <v>0.30306469461617863</v>
      </c>
      <c r="I42" s="116">
        <f ca="1">VLOOKUP($C42,'Residential Cap'!$D$8:$L$62,9,0)</f>
        <v>0.21040412596908034</v>
      </c>
      <c r="J42" s="116">
        <f t="shared" ca="1" si="2"/>
        <v>0.513468820585259</v>
      </c>
      <c r="K42" s="116">
        <f ca="1">VLOOKUP(C42,'Residential Cap'!$D$8:$S$62,16,0)</f>
        <v>53.694110000000002</v>
      </c>
      <c r="L42" s="31">
        <f ca="1">VLOOKUP(B42,'Residential Cap'!$BE$8:$BH$49,4,0)</f>
        <v>13.311485281866796</v>
      </c>
      <c r="M42" s="31">
        <f t="shared" ca="1" si="3"/>
        <v>3.7486334050918773</v>
      </c>
      <c r="N42" s="31">
        <f t="shared" ca="1" si="4"/>
        <v>9.5628518767749195</v>
      </c>
      <c r="O42" s="620">
        <f ca="1">OFFSET('Other Options'!$H$4,MATCH(C42,'Other Options'!$E$5:$E$55,0),0)</f>
        <v>13.188109984937505</v>
      </c>
      <c r="P42" s="254"/>
      <c r="Q42" s="254"/>
      <c r="T42" s="79"/>
      <c r="V42" s="442"/>
      <c r="W42" s="442"/>
      <c r="X42" s="37"/>
      <c r="Y42" s="37"/>
    </row>
    <row r="43" spans="1:25" x14ac:dyDescent="0.3">
      <c r="A43" s="16">
        <f t="shared" ca="1" si="1"/>
        <v>13.319644847679045</v>
      </c>
      <c r="B43" s="94" t="str">
        <f>VLOOKUP(C43,'Residential Cap'!$A$8:$C$62,3,0)</f>
        <v>Centralines</v>
      </c>
      <c r="C43" s="116" t="s">
        <v>68</v>
      </c>
      <c r="D43" s="16">
        <f>VLOOKUP(C43,'Other Options'!$A$3:$C$58,3,0)</f>
        <v>1.5836037439095052</v>
      </c>
      <c r="E43" s="94"/>
      <c r="F43" s="94"/>
      <c r="G43" s="116">
        <f ca="1">VLOOKUP($C43,'Residential Cap'!$D$8:$L$62,2,0)+VLOOKUP($C43,'Residential Cap'!$D$8:$L$62,6,0)</f>
        <v>0.47449006803333094</v>
      </c>
      <c r="H43" s="116">
        <f ca="1">VLOOKUP($C43,'Residential Cap'!$D$8:'Residential Cap'!$AL$62,35,0)</f>
        <v>0.65147188608432482</v>
      </c>
      <c r="I43" s="116">
        <f ca="1">VLOOKUP($C43,'Residential Cap'!$D$8:$L$62,9,0)</f>
        <v>0.45228749907209825</v>
      </c>
      <c r="J43" s="116">
        <f t="shared" ca="1" si="2"/>
        <v>1.1037593851564231</v>
      </c>
      <c r="K43" s="116">
        <f ca="1">VLOOKUP(C43,'Residential Cap'!$D$8:$S$62,16,0)</f>
        <v>118.89234</v>
      </c>
      <c r="L43" s="31">
        <f ca="1">VLOOKUP(B43,'Residential Cap'!$BE$8:$BH$49,4,0)</f>
        <v>13.274610064784275</v>
      </c>
      <c r="M43" s="31">
        <f t="shared" ca="1" si="3"/>
        <v>3.9909221067844314</v>
      </c>
      <c r="N43" s="31">
        <f t="shared" ca="1" si="4"/>
        <v>9.2836879579998417</v>
      </c>
      <c r="O43" s="620">
        <f ca="1">OFFSET('Other Options'!$H$4,MATCH(C43,'Other Options'!$E$5:$E$55,0),0)</f>
        <v>13.985627090062998</v>
      </c>
      <c r="P43" s="254"/>
      <c r="Q43" s="254"/>
      <c r="T43" s="79"/>
      <c r="V43" s="442"/>
      <c r="W43" s="442"/>
      <c r="X43" s="37"/>
      <c r="Y43" s="37"/>
    </row>
    <row r="44" spans="1:25" x14ac:dyDescent="0.3">
      <c r="A44" s="16">
        <f t="shared" ca="1" si="1"/>
        <v>14.486148770632527</v>
      </c>
      <c r="B44" s="94" t="str">
        <f>VLOOKUP(C44,'Residential Cap'!$A$8:$C$62,3,0)</f>
        <v>Unison</v>
      </c>
      <c r="C44" s="116" t="s">
        <v>36</v>
      </c>
      <c r="D44" s="16">
        <f>VLOOKUP(C44,'Other Options'!$A$3:$C$58,3,0)</f>
        <v>24.79537082073757</v>
      </c>
      <c r="E44" s="94"/>
      <c r="F44" s="94"/>
      <c r="G44" s="116">
        <f ca="1">VLOOKUP($C44,'Residential Cap'!$D$8:$L$62,2,0)+VLOOKUP($C44,'Residential Cap'!$D$8:$L$62,6,0)</f>
        <v>5.6526087035636241</v>
      </c>
      <c r="H44" s="116">
        <f ca="1">VLOOKUP($C44,'Residential Cap'!$D$8:'Residential Cap'!$AL$62,35,0)</f>
        <v>10.9819929229204</v>
      </c>
      <c r="I44" s="116">
        <f ca="1">VLOOKUP($C44,'Residential Cap'!$D$8:$L$62,9,0)</f>
        <v>7.6243015547293043</v>
      </c>
      <c r="J44" s="116">
        <f t="shared" ca="1" si="2"/>
        <v>18.606294477649705</v>
      </c>
      <c r="K44" s="116">
        <f ca="1">VLOOKUP(C44,'Residential Cap'!$D$8:$S$62,16,0)</f>
        <v>1711.66065</v>
      </c>
      <c r="L44" s="31">
        <f ca="1">VLOOKUP(B44,'Residential Cap'!$BE$8:$BH$49,4,0)</f>
        <v>14.172729379046791</v>
      </c>
      <c r="M44" s="31">
        <f t="shared" ca="1" si="3"/>
        <v>3.3024120193238207</v>
      </c>
      <c r="N44" s="31">
        <f t="shared" ca="1" si="4"/>
        <v>10.87031735972297</v>
      </c>
      <c r="O44" s="620">
        <f ca="1">OFFSET('Other Options'!$H$4,MATCH(C44,'Other Options'!$E$5:$E$55,0),0)</f>
        <v>15.210456209164155</v>
      </c>
      <c r="P44" s="254"/>
      <c r="Q44" s="254"/>
      <c r="T44" s="79"/>
      <c r="V44" s="442"/>
      <c r="W44" s="442"/>
      <c r="X44" s="37"/>
      <c r="Y44" s="37"/>
    </row>
    <row r="45" spans="1:25" x14ac:dyDescent="0.3">
      <c r="A45" s="16">
        <f t="shared" ca="1" si="1"/>
        <v>11.630171463550992</v>
      </c>
      <c r="B45" s="94" t="str">
        <f>VLOOKUP(C45,'Residential Cap'!$A$8:$C$62,3,0)</f>
        <v>Pan Pac</v>
      </c>
      <c r="C45" s="116" t="s">
        <v>26</v>
      </c>
      <c r="D45" s="16">
        <f>VLOOKUP(C45,'Other Options'!$A$3:$C$58,3,0)</f>
        <v>6.1514081931756097</v>
      </c>
      <c r="E45" s="94"/>
      <c r="F45" s="94"/>
      <c r="G45" s="116">
        <f ca="1">VLOOKUP($C45,'Residential Cap'!$D$8:$L$62,2,0)+VLOOKUP($C45,'Residential Cap'!$D$8:$L$62,6,0)</f>
        <v>1.5114368645062366</v>
      </c>
      <c r="H45" s="116">
        <f ca="1">VLOOKUP($C45,'Residential Cap'!$D$8:'Residential Cap'!$AL$62,35,0)</f>
        <v>2.4290243925640622</v>
      </c>
      <c r="I45" s="116">
        <f ca="1">VLOOKUP($C45,'Residential Cap'!$D$8:$L$62,9,0)</f>
        <v>1.8851744705335747</v>
      </c>
      <c r="J45" s="116">
        <f t="shared" ca="1" si="2"/>
        <v>4.3141988630976371</v>
      </c>
      <c r="K45" s="116">
        <f ca="1">VLOOKUP(C45,'Residential Cap'!$D$8:$S$62,16,0)</f>
        <v>528.91809999999998</v>
      </c>
      <c r="L45" s="31">
        <f ca="1">VLOOKUP(B45,'Residential Cap'!$BE$8:$BH$49,4,0)</f>
        <v>11.014249139146255</v>
      </c>
      <c r="M45" s="31">
        <f t="shared" ca="1" si="3"/>
        <v>2.8576009490055956</v>
      </c>
      <c r="N45" s="31">
        <f t="shared" ca="1" si="4"/>
        <v>8.1566481901406611</v>
      </c>
      <c r="O45" s="620">
        <f ca="1">OFFSET('Other Options'!$H$4,MATCH(C45,'Other Options'!$E$5:$E$55,0),0)</f>
        <v>11.630171463550992</v>
      </c>
      <c r="P45" s="254"/>
      <c r="Q45" s="254"/>
      <c r="T45" s="79"/>
      <c r="V45" s="442"/>
      <c r="W45" s="442"/>
      <c r="X45" s="37"/>
      <c r="Y45" s="37"/>
    </row>
    <row r="46" spans="1:25" x14ac:dyDescent="0.3">
      <c r="A46" s="16">
        <f t="shared" ca="1" si="1"/>
        <v>13.10567117289721</v>
      </c>
      <c r="B46" s="94" t="str">
        <f>VLOOKUP(C46,'Residential Cap'!$A$8:$C$62,3,0)</f>
        <v>Eastland Network</v>
      </c>
      <c r="C46" s="116" t="s">
        <v>7</v>
      </c>
      <c r="D46" s="16">
        <f>VLOOKUP(C46,'Other Options'!$A$3:$C$58,3,0)</f>
        <v>4.1613402327277855</v>
      </c>
      <c r="E46" s="94"/>
      <c r="F46" s="94"/>
      <c r="G46" s="116">
        <f ca="1">VLOOKUP($C46,'Residential Cap'!$D$8:$L$62,2,0)+VLOOKUP($C46,'Residential Cap'!$D$8:$L$62,6,0)</f>
        <v>0.959897526210989</v>
      </c>
      <c r="H46" s="116">
        <f ca="1">VLOOKUP($C46,'Residential Cap'!$D$8:'Residential Cap'!$AL$62,35,0)</f>
        <v>1.8534164185886186</v>
      </c>
      <c r="I46" s="116">
        <f ca="1">VLOOKUP($C46,'Residential Cap'!$D$8:$L$62,9,0)</f>
        <v>1.2867432879430609</v>
      </c>
      <c r="J46" s="116">
        <f t="shared" ca="1" si="2"/>
        <v>3.1401597065316795</v>
      </c>
      <c r="K46" s="116">
        <f ca="1">VLOOKUP(C46,'Residential Cap'!$D$8:$S$62,16,0)</f>
        <v>317.52210000000002</v>
      </c>
      <c r="L46" s="31">
        <f ca="1">VLOOKUP(B46,'Residential Cap'!$BE$8:$BH$49,4,0)</f>
        <v>12.912667284395855</v>
      </c>
      <c r="M46" s="31">
        <f t="shared" ca="1" si="3"/>
        <v>3.0230888691243503</v>
      </c>
      <c r="N46" s="31">
        <f t="shared" ca="1" si="4"/>
        <v>9.8895784152715027</v>
      </c>
      <c r="O46" s="620">
        <f ca="1">OFFSET('Other Options'!$H$4,MATCH(C46,'Other Options'!$E$5:$E$55,0),0)</f>
        <v>13.760954731542073</v>
      </c>
      <c r="P46" s="254"/>
      <c r="Q46" s="254"/>
      <c r="T46" s="79"/>
      <c r="V46" s="442"/>
      <c r="W46" s="442"/>
      <c r="X46" s="37"/>
      <c r="Y46" s="37"/>
    </row>
    <row r="47" spans="1:25" x14ac:dyDescent="0.3">
      <c r="A47" s="16">
        <f t="shared" ca="1" si="1"/>
        <v>13.096016130947799</v>
      </c>
      <c r="B47" s="94" t="str">
        <f>VLOOKUP(C47,'Residential Cap'!$A$8:$C$62,3,0)</f>
        <v>Horizon</v>
      </c>
      <c r="C47" s="116" t="s">
        <v>11</v>
      </c>
      <c r="D47" s="16">
        <f>VLOOKUP(C47,'Other Options'!$A$3:$C$58,3,0)</f>
        <v>6.8562260791197884</v>
      </c>
      <c r="E47" s="94"/>
      <c r="F47" s="94"/>
      <c r="G47" s="116">
        <f ca="1">VLOOKUP($C47,'Residential Cap'!$D$8:$L$62,2,0)+VLOOKUP($C47,'Residential Cap'!$D$8:$L$62,6,0)</f>
        <v>1.6023254573432077</v>
      </c>
      <c r="H47" s="116">
        <f ca="1">VLOOKUP($C47,'Residential Cap'!$D$8:'Residential Cap'!$AL$62,35,0)</f>
        <v>3.0265614331514907</v>
      </c>
      <c r="I47" s="116">
        <f ca="1">VLOOKUP($C47,'Residential Cap'!$D$8:$L$62,9,0)</f>
        <v>2.1012048725782915</v>
      </c>
      <c r="J47" s="116">
        <f t="shared" ca="1" si="2"/>
        <v>5.1277663057297822</v>
      </c>
      <c r="K47" s="116">
        <f ca="1">VLOOKUP(C47,'Residential Cap'!$D$8:$S$62,16,0)</f>
        <v>523.53525000000002</v>
      </c>
      <c r="L47" s="31">
        <f ca="1">VLOOKUP(B47,'Residential Cap'!$BE$8:$BH$49,4,0)</f>
        <v>12.855088101656936</v>
      </c>
      <c r="M47" s="31">
        <f t="shared" ca="1" si="3"/>
        <v>3.0605875293845211</v>
      </c>
      <c r="N47" s="31">
        <f t="shared" ca="1" si="4"/>
        <v>9.7945005722724154</v>
      </c>
      <c r="O47" s="620">
        <f ca="1">OFFSET('Other Options'!$H$4,MATCH(C47,'Other Options'!$E$5:$E$55,0),0)</f>
        <v>13.750816937495191</v>
      </c>
      <c r="P47" s="254"/>
      <c r="Q47" s="254"/>
      <c r="T47" s="79"/>
      <c r="V47" s="442"/>
      <c r="W47" s="442"/>
      <c r="X47" s="37"/>
      <c r="Y47" s="37"/>
    </row>
    <row r="48" spans="1:25" x14ac:dyDescent="0.3">
      <c r="A48" s="16">
        <f t="shared" ca="1" si="1"/>
        <v>14.254551731576981</v>
      </c>
      <c r="B48" s="94" t="str">
        <f>VLOOKUP(C48,'Residential Cap'!$A$8:$C$62,3,0)</f>
        <v>Norske Skog</v>
      </c>
      <c r="C48" s="116" t="s">
        <v>22</v>
      </c>
      <c r="D48" s="16">
        <f>VLOOKUP(C48,'Other Options'!$A$3:$C$58,3,0)</f>
        <v>6.7902954119436645</v>
      </c>
      <c r="E48" s="94"/>
      <c r="F48" s="94"/>
      <c r="G48" s="116">
        <f ca="1">VLOOKUP($C48,'Residential Cap'!$D$8:$L$62,2,0)+VLOOKUP($C48,'Residential Cap'!$D$8:$L$62,6,0)</f>
        <v>0.88698713093436099</v>
      </c>
      <c r="H48" s="116">
        <f ca="1">VLOOKUP($C48,'Residential Cap'!$D$8:'Residential Cap'!$AL$62,35,0)</f>
        <v>-1.6753869650748863</v>
      </c>
      <c r="I48" s="116">
        <f ca="1">VLOOKUP($C48,'Residential Cap'!$D$8:$L$62,9,0)</f>
        <v>2.0590266226905256</v>
      </c>
      <c r="J48" s="116">
        <f t="shared" ca="1" si="2"/>
        <v>0.38363965761563934</v>
      </c>
      <c r="K48" s="116">
        <f ca="1">VLOOKUP(C48,'Residential Cap'!$D$8:$S$62,16,0)</f>
        <v>476.35980000000001</v>
      </c>
      <c r="L48" s="31">
        <f ca="1">VLOOKUP(B48,'Residential Cap'!$BE$8:$BH$49,4,0)</f>
        <v>2.6673677933150537</v>
      </c>
      <c r="M48" s="31">
        <f t="shared" ca="1" si="3"/>
        <v>1.8620108811330449</v>
      </c>
      <c r="N48" s="31">
        <f t="shared" ca="1" si="4"/>
        <v>0.80535691218200889</v>
      </c>
      <c r="O48" s="620">
        <f ca="1">OFFSET('Other Options'!$H$4,MATCH(C48,'Other Options'!$E$5:$E$55,0),0)</f>
        <v>14.25455173157698</v>
      </c>
      <c r="P48" s="254"/>
      <c r="Q48" s="254"/>
      <c r="T48" s="79"/>
      <c r="V48" s="442"/>
      <c r="W48" s="442"/>
      <c r="X48" s="37"/>
      <c r="Y48" s="37"/>
    </row>
    <row r="49" spans="1:25" x14ac:dyDescent="0.3">
      <c r="A49" s="16">
        <f t="shared" ca="1" si="1"/>
        <v>10.427605292386106</v>
      </c>
      <c r="B49" s="94" t="str">
        <f>VLOOKUP(C49,'Residential Cap'!$A$8:$C$62,3,0)</f>
        <v>Oji Fibre</v>
      </c>
      <c r="C49" s="116" t="s">
        <v>3</v>
      </c>
      <c r="D49" s="16">
        <f>VLOOKUP(C49,'Other Options'!$A$3:$C$58,3,0)</f>
        <v>6.1036506859030553</v>
      </c>
      <c r="E49" s="94"/>
      <c r="F49" s="94"/>
      <c r="G49" s="116">
        <f>VLOOKUP($C49,'Residential Cap'!$D$8:$L$62,2,0)+VLOOKUP($C49,'Residential Cap'!$D$8:$L$62,6,0)</f>
        <v>0</v>
      </c>
      <c r="H49" s="116">
        <f ca="1">VLOOKUP($C49,'Residential Cap'!$D$8:'Residential Cap'!$AL$62,35,0)</f>
        <v>0</v>
      </c>
      <c r="I49" s="116">
        <f>VLOOKUP($C49,'Residential Cap'!$D$8:$L$62,9,0)</f>
        <v>0</v>
      </c>
      <c r="J49" s="116">
        <f t="shared" ca="1" si="2"/>
        <v>0</v>
      </c>
      <c r="K49" s="116">
        <f ca="1">VLOOKUP(C49,'Residential Cap'!$D$8:$S$62,16,0)</f>
        <v>585.33579999999995</v>
      </c>
      <c r="L49" s="31">
        <f ca="1">VLOOKUP(B49,'Residential Cap'!$BE$8:$BH$49,4,0)</f>
        <v>12.380628364407011</v>
      </c>
      <c r="M49" s="31">
        <f t="shared" ca="1" si="3"/>
        <v>0</v>
      </c>
      <c r="N49" s="31">
        <f t="shared" ca="1" si="4"/>
        <v>0</v>
      </c>
      <c r="O49" s="620">
        <f ca="1">OFFSET('Other Options'!$H$4,MATCH(C49,'Other Options'!$E$5:$E$55,0),0)</f>
        <v>10.427605292386106</v>
      </c>
      <c r="P49" s="254"/>
      <c r="Q49" s="254"/>
      <c r="T49" s="79"/>
      <c r="V49" s="442"/>
      <c r="W49" s="442"/>
      <c r="X49" s="37"/>
      <c r="Y49" s="37"/>
    </row>
    <row r="50" spans="1:25" x14ac:dyDescent="0.3">
      <c r="A50" s="16"/>
      <c r="B50" s="675" t="str">
        <f>C50</f>
        <v>Kiwirail</v>
      </c>
      <c r="C50" s="116" t="s">
        <v>49</v>
      </c>
      <c r="D50" s="674">
        <f>VLOOKUP(C50,'Other Options'!$A$3:$C$58,3,0)</f>
        <v>2.2829323807711197</v>
      </c>
      <c r="E50" s="94"/>
      <c r="F50" s="94"/>
      <c r="G50" s="116">
        <f ca="1">VLOOKUP($C50,'Residential Cap'!$D$8:$L$62,2,0)+VLOOKUP($C50,'Residential Cap'!$D$8:$L$62,6,0)</f>
        <v>0.16852587094651084</v>
      </c>
      <c r="H50" s="116">
        <f ca="1">VLOOKUP($C50,'Residential Cap'!$D$8:'Residential Cap'!$AL$62,35,0)</f>
        <v>-0.26454718253257048</v>
      </c>
      <c r="I50" s="116">
        <f ca="1">VLOOKUP($C50,'Residential Cap'!$D$8:$L$62,9,0)</f>
        <v>0.82427269415555526</v>
      </c>
      <c r="J50" s="116">
        <f t="shared" ref="J50" ca="1" si="5">I50+H50</f>
        <v>0.55972551162298478</v>
      </c>
      <c r="K50" s="116">
        <f ca="1">VLOOKUP(C50,'Residential Cap'!$D$8:$S$62,16,0)</f>
        <v>39.945360000000001</v>
      </c>
      <c r="L50" s="31">
        <f ca="1">VLOOKUP(B50,'Residential Cap'!$BE$8:$BH$49,4,0)</f>
        <v>18.23118836754746</v>
      </c>
      <c r="M50" s="31">
        <f t="shared" ref="M50" ca="1" si="6">$G50*1000000/(K50*1000)</f>
        <v>4.2189098044556577</v>
      </c>
      <c r="N50" s="31">
        <f t="shared" ref="N50" ca="1" si="7">$J50*1000000/(K50*1000)</f>
        <v>14.012278563091803</v>
      </c>
      <c r="O50" s="620">
        <f ca="1">OFFSET('Other Options'!$H$4,MATCH(C50,'Other Options'!$E$5:$E$55,0),0)</f>
        <v>57.1</v>
      </c>
      <c r="P50" s="254"/>
      <c r="Q50" s="254"/>
      <c r="T50" s="79"/>
      <c r="V50" s="442"/>
      <c r="W50" s="442"/>
      <c r="X50" s="37"/>
      <c r="Y50" s="37"/>
    </row>
    <row r="51" spans="1:25" x14ac:dyDescent="0.3">
      <c r="A51" s="16">
        <f t="shared" ca="1" si="1"/>
        <v>13.983771312376076</v>
      </c>
      <c r="B51" s="94" t="str">
        <f>VLOOKUP(C51,'Residential Cap'!$A$8:$C$62,3,0)</f>
        <v>Powerco</v>
      </c>
      <c r="C51" s="116" t="s">
        <v>28</v>
      </c>
      <c r="D51" s="16">
        <f>VLOOKUP(C51,'Other Options'!$A$3:$C$58,3,0)</f>
        <v>72.543360826895437</v>
      </c>
      <c r="E51" s="94"/>
      <c r="F51" s="94"/>
      <c r="G51" s="116">
        <f ca="1">VLOOKUP($C51,'Residential Cap'!$D$8:$L$62,2,0)+VLOOKUP($C51,'Residential Cap'!$D$8:$L$62,6,0)</f>
        <v>19.683808804716563</v>
      </c>
      <c r="H51" s="116">
        <f ca="1">VLOOKUP($C51,'Residential Cap'!$D$8:'Residential Cap'!$AL$62,35,0)</f>
        <v>34.92263352320527</v>
      </c>
      <c r="I51" s="116">
        <f ca="1">VLOOKUP($C51,'Residential Cap'!$D$8:$L$62,9,0)</f>
        <v>24.24520676119776</v>
      </c>
      <c r="J51" s="116">
        <f t="shared" ca="1" si="2"/>
        <v>59.167840284403027</v>
      </c>
      <c r="K51" s="116">
        <f ca="1">VLOOKUP(C51,'Residential Cap'!$D$8:$S$62,16,0)</f>
        <v>5187.6821499999996</v>
      </c>
      <c r="L51" s="31">
        <f ca="1">VLOOKUP(B51,'Residential Cap'!$BE$8:$BH$49,4,0)</f>
        <v>13.802854918730274</v>
      </c>
      <c r="M51" s="31">
        <f t="shared" ca="1" si="3"/>
        <v>3.7943359356965543</v>
      </c>
      <c r="N51" s="31">
        <f t="shared" ca="1" si="4"/>
        <v>11.405448247133458</v>
      </c>
      <c r="O51" s="620">
        <f ca="1">OFFSET('Other Options'!$H$4,MATCH(C51,'Other Options'!$E$5:$E$55,0),0)</f>
        <v>16.550368676238417</v>
      </c>
      <c r="P51" s="254"/>
      <c r="Q51" s="254"/>
      <c r="T51" s="79"/>
      <c r="V51" s="442"/>
      <c r="W51" s="442"/>
      <c r="X51" s="37"/>
      <c r="Y51" s="37"/>
    </row>
    <row r="52" spans="1:25" x14ac:dyDescent="0.3">
      <c r="A52" s="16">
        <f t="shared" ca="1" si="1"/>
        <v>16.951391534948581</v>
      </c>
      <c r="B52" s="94" t="str">
        <f>VLOOKUP(C52,'Residential Cap'!$A$8:$C$62,3,0)</f>
        <v>The Lines Company</v>
      </c>
      <c r="C52" s="116" t="s">
        <v>32</v>
      </c>
      <c r="D52" s="16">
        <f>VLOOKUP(C52,'Other Options'!$A$3:$C$58,3,0)</f>
        <v>5.1839118258592398</v>
      </c>
      <c r="E52" s="94"/>
      <c r="F52" s="94"/>
      <c r="G52" s="116">
        <f ca="1">VLOOKUP($C52,'Residential Cap'!$D$8:$L$62,2,0)+VLOOKUP($C52,'Residential Cap'!$D$8:$L$62,6,0)</f>
        <v>0.93845309101235985</v>
      </c>
      <c r="H52" s="116">
        <f ca="1">VLOOKUP($C52,'Residential Cap'!$D$8:'Residential Cap'!$AL$62,35,0)</f>
        <v>2.4309472167489106</v>
      </c>
      <c r="I52" s="116">
        <f ca="1">VLOOKUP($C52,'Residential Cap'!$D$8:$L$62,9,0)</f>
        <v>1.6876968300936439</v>
      </c>
      <c r="J52" s="116">
        <f t="shared" ca="1" si="2"/>
        <v>4.1186440468425545</v>
      </c>
      <c r="K52" s="116">
        <f ca="1">VLOOKUP(C52,'Residential Cap'!$D$8:$S$62,16,0)</f>
        <v>305.81040000000002</v>
      </c>
      <c r="L52" s="31">
        <f ca="1">VLOOKUP(B52,'Residential Cap'!$BE$8:$BH$49,4,0)</f>
        <v>16.536707508491908</v>
      </c>
      <c r="M52" s="31">
        <f t="shared" ca="1" si="3"/>
        <v>3.0687415830604836</v>
      </c>
      <c r="N52" s="31">
        <f t="shared" ca="1" si="4"/>
        <v>13.467965925431425</v>
      </c>
      <c r="O52" s="620">
        <f ca="1">OFFSET('Other Options'!$H$4,MATCH(C52,'Other Options'!$E$5:$E$55,0),0)</f>
        <v>17.798961111696013</v>
      </c>
      <c r="P52" s="254"/>
      <c r="Q52" s="254"/>
      <c r="T52" s="79"/>
      <c r="V52" s="442"/>
      <c r="W52" s="442"/>
      <c r="X52" s="37"/>
      <c r="Y52" s="37"/>
    </row>
    <row r="53" spans="1:25" x14ac:dyDescent="0.3">
      <c r="A53" s="16">
        <f t="shared" ca="1" si="1"/>
        <v>15.107877475848094</v>
      </c>
      <c r="B53" s="94" t="str">
        <f>VLOOKUP(C53,'Residential Cap'!$A$8:$C$62,3,0)</f>
        <v>Waipa Power</v>
      </c>
      <c r="C53" s="116" t="s">
        <v>38</v>
      </c>
      <c r="D53" s="16">
        <f>VLOOKUP(C53,'Other Options'!$A$3:$C$58,3,0)</f>
        <v>5.9776486724398508</v>
      </c>
      <c r="E53" s="94"/>
      <c r="F53" s="94"/>
      <c r="G53" s="116">
        <f ca="1">VLOOKUP($C53,'Residential Cap'!$D$8:$L$62,2,0)+VLOOKUP($C53,'Residential Cap'!$D$8:$L$62,6,0)</f>
        <v>1.750618011013354</v>
      </c>
      <c r="H53" s="116">
        <f ca="1">VLOOKUP($C53,'Residential Cap'!$D$8:'Residential Cap'!$AL$62,35,0)</f>
        <v>2.4716683956056262</v>
      </c>
      <c r="I53" s="116">
        <f ca="1">VLOOKUP($C53,'Residential Cap'!$D$8:$L$62,9,0)</f>
        <v>1.7159677049199871</v>
      </c>
      <c r="J53" s="116">
        <f t="shared" ca="1" si="2"/>
        <v>4.1876361005256131</v>
      </c>
      <c r="K53" s="116">
        <f ca="1">VLOOKUP(C53,'Residential Cap'!$D$8:$S$62,16,0)</f>
        <v>395.66435999999999</v>
      </c>
      <c r="L53" s="31">
        <f ca="1">VLOOKUP(B53,'Residential Cap'!$BE$8:$BH$49,4,0)</f>
        <v>15.008311872059865</v>
      </c>
      <c r="M53" s="31">
        <f t="shared" ca="1" si="3"/>
        <v>4.4245026542531001</v>
      </c>
      <c r="N53" s="31">
        <f t="shared" ca="1" si="4"/>
        <v>10.583809217806762</v>
      </c>
      <c r="O53" s="620">
        <f ca="1">OFFSET('Other Options'!$H$4,MATCH(C53,'Other Options'!$E$5:$E$55,0),0)</f>
        <v>15.863271349640499</v>
      </c>
      <c r="P53" s="254"/>
      <c r="Q53" s="254"/>
      <c r="T53" s="79"/>
      <c r="V53" s="442"/>
      <c r="W53" s="442"/>
      <c r="X53" s="37"/>
      <c r="Y53" s="37"/>
    </row>
    <row r="54" spans="1:25" x14ac:dyDescent="0.3">
      <c r="A54" s="16">
        <f t="shared" ca="1" si="1"/>
        <v>16.934126529085383</v>
      </c>
      <c r="B54" s="94" t="str">
        <f>VLOOKUP(C54,'Residential Cap'!$A$8:$C$62,3,0)</f>
        <v>WEL Networks</v>
      </c>
      <c r="C54" s="116" t="s">
        <v>39</v>
      </c>
      <c r="D54" s="16">
        <f>VLOOKUP(C54,'Other Options'!$A$3:$C$58,3,0)</f>
        <v>22.131287011137399</v>
      </c>
      <c r="E54" s="94"/>
      <c r="F54" s="94"/>
      <c r="G54" s="116">
        <f ca="1">VLOOKUP($C54,'Residential Cap'!$D$8:$L$62,2,0)+VLOOKUP($C54,'Residential Cap'!$D$8:$L$62,6,0)</f>
        <v>6.1964975432353961</v>
      </c>
      <c r="H54" s="116">
        <f ca="1">VLOOKUP($C54,'Residential Cap'!$D$8:'Residential Cap'!$AL$62,35,0)</f>
        <v>9.1837644177823279</v>
      </c>
      <c r="I54" s="116">
        <f ca="1">VLOOKUP($C54,'Residential Cap'!$D$8:$L$62,9,0)</f>
        <v>6.3758727418798387</v>
      </c>
      <c r="J54" s="116">
        <f t="shared" ca="1" si="2"/>
        <v>15.559637159662167</v>
      </c>
      <c r="K54" s="116">
        <f ca="1">VLOOKUP(C54,'Residential Cap'!$D$8:$S$62,16,0)</f>
        <v>1306.9045500000002</v>
      </c>
      <c r="L54" s="31">
        <f ca="1">VLOOKUP(B54,'Residential Cap'!$BE$8:$BH$49,4,0)</f>
        <v>16.64707242996251</v>
      </c>
      <c r="M54" s="31">
        <f t="shared" ca="1" si="3"/>
        <v>4.7413543270894536</v>
      </c>
      <c r="N54" s="31">
        <f t="shared" ca="1" si="4"/>
        <v>11.905718102873054</v>
      </c>
      <c r="O54" s="620">
        <f ca="1">OFFSET('Other Options'!$H$4,MATCH(C54,'Other Options'!$E$5:$E$55,0),0)</f>
        <v>17.780832855539657</v>
      </c>
      <c r="P54" s="254"/>
      <c r="Q54" s="254"/>
      <c r="T54" s="79"/>
      <c r="V54" s="442"/>
      <c r="W54" s="442"/>
      <c r="X54" s="37"/>
      <c r="Y54" s="37"/>
    </row>
    <row r="55" spans="1:25" x14ac:dyDescent="0.3">
      <c r="A55" s="16">
        <f t="shared" ca="1" si="1"/>
        <v>15.62268194433549</v>
      </c>
      <c r="B55" s="94" t="str">
        <f>VLOOKUP(C55,'Residential Cap'!$A$8:$C$62,3,0)</f>
        <v>NZ Steel</v>
      </c>
      <c r="C55" s="116" t="s">
        <v>24</v>
      </c>
      <c r="D55" s="16">
        <f>VLOOKUP(C55,'Other Options'!$A$3:$C$58,3,0)</f>
        <v>16.644311607403363</v>
      </c>
      <c r="E55" s="94"/>
      <c r="F55" s="94"/>
      <c r="G55" s="116">
        <f ca="1">VLOOKUP($C55,'Residential Cap'!$D$8:$L$62,2,0)+VLOOKUP($C55,'Residential Cap'!$D$8:$L$62,6,0)</f>
        <v>6.455946541675635</v>
      </c>
      <c r="H55" s="116">
        <f ca="1">VLOOKUP($C55,'Residential Cap'!$D$8:'Residential Cap'!$AL$62,35,0)</f>
        <v>-2.2115299733377505</v>
      </c>
      <c r="I55" s="116">
        <f ca="1">VLOOKUP($C55,'Residential Cap'!$D$8:$L$62,9,0)</f>
        <v>3.3994007285215733</v>
      </c>
      <c r="J55" s="116">
        <f t="shared" ca="1" si="2"/>
        <v>1.1878707551838228</v>
      </c>
      <c r="K55" s="116">
        <f ca="1">VLOOKUP(C55,'Residential Cap'!$D$8:$S$62,16,0)</f>
        <v>1065.394</v>
      </c>
      <c r="L55" s="31">
        <f ca="1">VLOOKUP(B55,'Residential Cap'!$BE$8:$BH$49,4,0)</f>
        <v>7.174638956911207</v>
      </c>
      <c r="M55" s="31">
        <f t="shared" ca="1" si="3"/>
        <v>6.0596798383280124</v>
      </c>
      <c r="N55" s="31">
        <f t="shared" ca="1" si="4"/>
        <v>1.1149591185831933</v>
      </c>
      <c r="O55" s="620">
        <f ca="1">OFFSET('Other Options'!$H$4,MATCH(C55,'Other Options'!$E$5:$E$55,0),0)</f>
        <v>15.62268194433549</v>
      </c>
      <c r="P55" s="254"/>
      <c r="Q55" s="254"/>
      <c r="T55" s="79"/>
      <c r="V55" s="442"/>
      <c r="W55" s="442"/>
      <c r="X55" s="37"/>
      <c r="Y55" s="37"/>
    </row>
    <row r="56" spans="1:25" x14ac:dyDescent="0.3">
      <c r="A56" s="16">
        <f t="shared" ca="1" si="1"/>
        <v>20.985729406760665</v>
      </c>
      <c r="B56" s="94" t="str">
        <f>VLOOKUP(C56,'Residential Cap'!$A$8:$C$62,3,0)</f>
        <v>Counties Power</v>
      </c>
      <c r="C56" s="116" t="s">
        <v>5</v>
      </c>
      <c r="D56" s="16">
        <f>VLOOKUP(C56,'Other Options'!$A$3:$C$58,3,0)</f>
        <v>12.480754185376027</v>
      </c>
      <c r="E56" s="94"/>
      <c r="F56" s="94"/>
      <c r="G56" s="116">
        <f ca="1">VLOOKUP($C56,'Residential Cap'!$D$8:$L$62,2,0)+VLOOKUP($C56,'Residential Cap'!$D$8:$L$62,6,0)</f>
        <v>4.5584896426002146</v>
      </c>
      <c r="H56" s="116">
        <f ca="1">VLOOKUP($C56,'Residential Cap'!$D$8:'Residential Cap'!$AL$62,35,0)</f>
        <v>4.0603301760024788</v>
      </c>
      <c r="I56" s="116">
        <f ca="1">VLOOKUP($C56,'Residential Cap'!$D$8:$L$62,9,0)</f>
        <v>2.8189038083424367</v>
      </c>
      <c r="J56" s="116">
        <f t="shared" ca="1" si="2"/>
        <v>6.879233984344916</v>
      </c>
      <c r="K56" s="116">
        <f ca="1">VLOOKUP(C56,'Residential Cap'!$D$8:$S$62,16,0)</f>
        <v>594.725775</v>
      </c>
      <c r="L56" s="31">
        <f ca="1">VLOOKUP(B56,'Residential Cap'!$BE$8:$BH$49,4,0)</f>
        <v>19.231928575729096</v>
      </c>
      <c r="M56" s="31">
        <f t="shared" ca="1" si="3"/>
        <v>7.6648597290073983</v>
      </c>
      <c r="N56" s="31">
        <f t="shared" ca="1" si="4"/>
        <v>11.567068846721694</v>
      </c>
      <c r="O56" s="620">
        <f ca="1">OFFSET('Other Options'!$H$4,MATCH(C56,'Other Options'!$E$5:$E$55,0),0)</f>
        <v>22.035015877098701</v>
      </c>
      <c r="P56" s="254"/>
      <c r="Q56" s="254"/>
      <c r="T56" s="79"/>
      <c r="V56" s="442"/>
      <c r="W56" s="442"/>
      <c r="X56" s="37"/>
      <c r="Y56" s="37"/>
    </row>
    <row r="57" spans="1:25" x14ac:dyDescent="0.3">
      <c r="A57" s="16">
        <f t="shared" ca="1" si="1"/>
        <v>29.074274494605024</v>
      </c>
      <c r="B57" s="94" t="str">
        <f>VLOOKUP(C57,'Residential Cap'!$A$8:$C$62,3,0)</f>
        <v>Vector</v>
      </c>
      <c r="C57" s="116" t="s">
        <v>37</v>
      </c>
      <c r="D57" s="16">
        <f>VLOOKUP(C57,'Other Options'!$A$3:$C$58,3,0)</f>
        <v>256.86484353257987</v>
      </c>
      <c r="E57" s="94"/>
      <c r="F57" s="94"/>
      <c r="G57" s="116">
        <f ca="1">VLOOKUP($C57,'Residential Cap'!$D$8:$L$62,2,0)+VLOOKUP($C57,'Residential Cap'!$D$8:$L$62,6,0)</f>
        <v>101.92141540069041</v>
      </c>
      <c r="H57" s="116">
        <f ca="1">VLOOKUP($C57,'Residential Cap'!$D$8:'Residential Cap'!$AL$62,35,0)</f>
        <v>69.883302821711638</v>
      </c>
      <c r="I57" s="116">
        <f ca="1">VLOOKUP($C57,'Residential Cap'!$D$8:$L$62,9,0)</f>
        <v>48.516820042851222</v>
      </c>
      <c r="J57" s="116">
        <f t="shared" ca="1" si="2"/>
        <v>118.40012286456286</v>
      </c>
      <c r="K57" s="116">
        <f ca="1">VLOOKUP(C57,'Residential Cap'!$D$8:$S$62,16,0)</f>
        <v>8834.7808499999992</v>
      </c>
      <c r="L57" s="31">
        <f ca="1">VLOOKUP(B57,'Residential Cap'!$BE$8:$BH$49,4,0)</f>
        <v>24.937974354536848</v>
      </c>
      <c r="M57" s="31">
        <f t="shared" ca="1" si="3"/>
        <v>11.53638297668588</v>
      </c>
      <c r="N57" s="31">
        <f t="shared" ca="1" si="4"/>
        <v>13.40159137785097</v>
      </c>
      <c r="O57" s="620">
        <f ca="1">OFFSET('Other Options'!$H$4,MATCH(C57,'Other Options'!$E$5:$E$55,0),0)</f>
        <v>30.527988219335271</v>
      </c>
      <c r="P57" s="254"/>
      <c r="Q57" s="254"/>
      <c r="T57" s="79"/>
      <c r="V57" s="442"/>
      <c r="W57" s="442"/>
      <c r="X57" s="37"/>
      <c r="Y57" s="37"/>
    </row>
    <row r="58" spans="1:25" x14ac:dyDescent="0.3">
      <c r="A58" s="16">
        <f t="shared" ca="1" si="1"/>
        <v>22.290932365323357</v>
      </c>
      <c r="B58" s="94" t="str">
        <f>VLOOKUP(C58,'Residential Cap'!$A$8:$C$62,3,0)</f>
        <v>Refining NZ</v>
      </c>
      <c r="C58" s="116" t="s">
        <v>556</v>
      </c>
      <c r="D58" s="16">
        <f>VLOOKUP(C58,'Other Options'!$A$3:$C$58,3,0)</f>
        <v>5.8458193037384154</v>
      </c>
      <c r="E58" s="94"/>
      <c r="F58" s="94"/>
      <c r="G58" s="116">
        <f>VLOOKUP($C58,'Residential Cap'!$D$8:$L$62,2,0)+VLOOKUP($C58,'Residential Cap'!$D$8:$L$62,6,0)</f>
        <v>0</v>
      </c>
      <c r="H58" s="116">
        <f>VLOOKUP($C58,'Residential Cap'!$D$8:'Residential Cap'!$AL$62,35,0)</f>
        <v>0</v>
      </c>
      <c r="I58" s="116">
        <f>VLOOKUP($C58,'Residential Cap'!$D$8:$L$62,9,0)</f>
        <v>0</v>
      </c>
      <c r="J58" s="116">
        <f t="shared" si="2"/>
        <v>0</v>
      </c>
      <c r="K58" s="116">
        <f ca="1">VLOOKUP(C58,'Residential Cap'!$D$8:$S$62,16,0)</f>
        <v>262.25099999999998</v>
      </c>
      <c r="L58" s="31">
        <f ca="1">VLOOKUP(B58,'Residential Cap'!$BE$8:$BH$49,4,0)</f>
        <v>15.491325120876144</v>
      </c>
      <c r="M58" s="31">
        <f t="shared" ca="1" si="3"/>
        <v>0</v>
      </c>
      <c r="N58" s="31">
        <f ca="1">$J58*1000000/(K58*1000)</f>
        <v>0</v>
      </c>
      <c r="O58" s="620">
        <f ca="1">OFFSET('Other Options'!$H$4,MATCH(C58,'Other Options'!$E$5:$E$55,0),0)</f>
        <v>22.290932365323357</v>
      </c>
      <c r="P58" s="254"/>
      <c r="Q58" s="254"/>
      <c r="T58" s="79"/>
      <c r="V58" s="442"/>
      <c r="W58" s="442"/>
      <c r="X58" s="37"/>
      <c r="Y58" s="37"/>
    </row>
    <row r="59" spans="1:25" x14ac:dyDescent="0.3">
      <c r="A59" s="16">
        <f t="shared" ca="1" si="1"/>
        <v>19.414234704889108</v>
      </c>
      <c r="B59" s="94" t="str">
        <f>VLOOKUP(C59,'Residential Cap'!$A$8:$C$62,3,0)</f>
        <v>Northpower</v>
      </c>
      <c r="C59" s="116" t="s">
        <v>23</v>
      </c>
      <c r="D59" s="16">
        <f>VLOOKUP(C59,'Other Options'!$A$3:$C$58,3,0)</f>
        <v>20.558996316188146</v>
      </c>
      <c r="E59" s="94"/>
      <c r="F59" s="94"/>
      <c r="G59" s="116">
        <f ca="1">VLOOKUP($C59,'Residential Cap'!$D$8:$L$62,2,0)+VLOOKUP($C59,'Residential Cap'!$D$8:$L$62,6,0)</f>
        <v>13.014575237341337</v>
      </c>
      <c r="H59" s="116">
        <f ca="1">VLOOKUP($C59,'Residential Cap'!$D$8:'Residential Cap'!$AL$62,35,0)</f>
        <v>5.5118258802503961</v>
      </c>
      <c r="I59" s="116">
        <f ca="1">VLOOKUP($C59,'Residential Cap'!$D$8:$L$62,9,0)</f>
        <v>3.8266117018235222</v>
      </c>
      <c r="J59" s="116">
        <f t="shared" ca="1" si="2"/>
        <v>9.3384375820739187</v>
      </c>
      <c r="K59" s="116">
        <f ca="1">VLOOKUP(C59,'Residential Cap'!$D$8:$S$62,16,0)</f>
        <v>1058.9650649999999</v>
      </c>
      <c r="L59" s="31">
        <f ca="1">VLOOKUP(B59,'Residential Cap'!$BE$8:$BH$49,4,0)</f>
        <v>22.957291854939665</v>
      </c>
      <c r="M59" s="31">
        <f t="shared" ca="1" si="3"/>
        <v>12.289900457992292</v>
      </c>
      <c r="N59" s="31">
        <f t="shared" ca="1" si="4"/>
        <v>8.8184567090264867</v>
      </c>
      <c r="O59" s="620">
        <f ca="1">OFFSET('Other Options'!$H$4,MATCH(C59,'Other Options'!$E$5:$E$55,0),0)</f>
        <v>27.094973065396491</v>
      </c>
      <c r="P59" s="254"/>
      <c r="Q59" s="254"/>
      <c r="T59" s="79"/>
      <c r="V59" s="442"/>
      <c r="W59" s="442"/>
      <c r="X59" s="37"/>
      <c r="Y59" s="37"/>
    </row>
    <row r="60" spans="1:25" x14ac:dyDescent="0.3">
      <c r="A60" s="674">
        <f ca="1">O60/1.05</f>
        <v>17.422750685823338</v>
      </c>
      <c r="B60" s="675" t="str">
        <f>VLOOKUP(C60,'Residential Cap'!$A$8:$C$62,3,0)</f>
        <v>Juken</v>
      </c>
      <c r="C60" s="116" t="s">
        <v>677</v>
      </c>
      <c r="D60" s="674">
        <f ca="1">A60*K60/1000</f>
        <v>0.96049650794632635</v>
      </c>
      <c r="E60" s="94"/>
      <c r="F60" s="94"/>
      <c r="G60" s="116">
        <f>VLOOKUP($C60,'Residential Cap'!$D$8:$L$62,2,0)+VLOOKUP($C60,'Residential Cap'!$D$8:$L$62,6,0)</f>
        <v>0</v>
      </c>
      <c r="H60" s="116">
        <f>VLOOKUP($C60,'Residential Cap'!$D$8:'Residential Cap'!$AL$62,35,0)</f>
        <v>0</v>
      </c>
      <c r="I60" s="116">
        <f>VLOOKUP($C60,'Residential Cap'!$D$8:$L$62,9,0)</f>
        <v>0</v>
      </c>
      <c r="J60" s="116">
        <f t="shared" si="2"/>
        <v>0</v>
      </c>
      <c r="K60" s="116">
        <f ca="1">VLOOKUP(C60,'Residential Cap'!$D$8:$S$62,16,0)</f>
        <v>55.128867150000005</v>
      </c>
      <c r="L60" s="31">
        <f ca="1">VLOOKUP(B60,'Residential Cap'!$BE$8:$BH$49,4,0)</f>
        <v>13.129823852830738</v>
      </c>
      <c r="M60" s="31">
        <f t="shared" ca="1" si="3"/>
        <v>0</v>
      </c>
      <c r="N60" s="31">
        <f t="shared" ca="1" si="4"/>
        <v>0</v>
      </c>
      <c r="O60" s="620">
        <f ca="1">O61*L58/O58</f>
        <v>18.293888220114507</v>
      </c>
      <c r="P60" s="254"/>
      <c r="Q60" s="254"/>
      <c r="T60" s="79"/>
      <c r="V60" s="442"/>
      <c r="W60" s="442"/>
      <c r="X60" s="37"/>
      <c r="Y60" s="37"/>
    </row>
    <row r="61" spans="1:25" x14ac:dyDescent="0.3">
      <c r="A61" s="16">
        <f t="shared" ca="1" si="1"/>
        <v>25.070122040182994</v>
      </c>
      <c r="B61" s="94" t="str">
        <f>VLOOKUP(C61,'Residential Cap'!$A$8:$C$62,3,0)</f>
        <v>Top Energy</v>
      </c>
      <c r="C61" s="116" t="s">
        <v>34</v>
      </c>
      <c r="D61" s="16">
        <f>VLOOKUP(C61,'Other Options'!$A$3:$C$58,3,0)</f>
        <v>9.4330050195027919</v>
      </c>
      <c r="E61" s="94"/>
      <c r="F61" s="94"/>
      <c r="G61" s="116">
        <f ca="1">VLOOKUP($C61,'Residential Cap'!$D$8:$L$62,2,0)+VLOOKUP($C61,'Residential Cap'!$D$8:$L$62,6,0)</f>
        <v>3.4091002504026653</v>
      </c>
      <c r="H61" s="116">
        <f ca="1">VLOOKUP($C61,'Residential Cap'!$D$8:'Residential Cap'!$AL$62,35,0)</f>
        <v>1.5492960605794628</v>
      </c>
      <c r="I61" s="116">
        <f ca="1">VLOOKUP($C61,'Residential Cap'!$D$8:$L$62,9,0)</f>
        <v>1.0756062625717648</v>
      </c>
      <c r="J61" s="116">
        <f t="shared" ca="1" si="2"/>
        <v>2.6249023231512276</v>
      </c>
      <c r="K61" s="116">
        <f ca="1">VLOOKUP(C61,'Residential Cap'!$D$8:$S$62,16,0)</f>
        <v>376.26482250000004</v>
      </c>
      <c r="L61" s="31">
        <f ca="1">VLOOKUP(B61,'Residential Cap'!$BE$8:$BH$49,4,0)</f>
        <v>16.535583045756532</v>
      </c>
      <c r="M61" s="31">
        <f t="shared" ca="1" si="3"/>
        <v>9.0603746259130169</v>
      </c>
      <c r="N61" s="31">
        <f t="shared" ca="1" si="4"/>
        <v>6.9762097495872801</v>
      </c>
      <c r="O61" s="620">
        <f ca="1">OFFSET('Other Options'!$H$4,MATCH(C61,'Other Options'!$E$5:$E$55,0),0)</f>
        <v>26.323624469272957</v>
      </c>
      <c r="P61" s="254"/>
      <c r="Q61" s="254"/>
      <c r="T61" s="79"/>
      <c r="V61" s="442"/>
      <c r="W61" s="442"/>
      <c r="X61" s="37"/>
      <c r="Y61" s="37"/>
    </row>
    <row r="62" spans="1:25" x14ac:dyDescent="0.3">
      <c r="A62" s="16"/>
      <c r="R62" s="672"/>
    </row>
    <row r="63" spans="1:25" x14ac:dyDescent="0.3">
      <c r="H63" s="79">
        <f ca="1">SUM(H11:H61)</f>
        <v>262.58777884579376</v>
      </c>
      <c r="M63" s="620"/>
    </row>
    <row r="64" spans="1:25" x14ac:dyDescent="0.3">
      <c r="C64" s="330" t="s">
        <v>49</v>
      </c>
      <c r="D64" s="18"/>
      <c r="E64" s="18"/>
      <c r="F64" s="18"/>
      <c r="G64" s="18"/>
      <c r="H64" s="18"/>
      <c r="I64" s="18"/>
      <c r="J64" s="18"/>
      <c r="K64" s="18"/>
      <c r="O64" s="673">
        <v>57.15137830203858</v>
      </c>
    </row>
  </sheetData>
  <mergeCells count="5">
    <mergeCell ref="P8:Q8"/>
    <mergeCell ref="E8:F8"/>
    <mergeCell ref="G8:J8"/>
    <mergeCell ref="K8:K9"/>
    <mergeCell ref="M8:N8"/>
  </mergeCells>
  <pageMargins left="0.7" right="0.7" top="0.75" bottom="0.75" header="0.3" footer="0.3"/>
  <pageSetup paperSize="9" scale="95"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J74"/>
  <sheetViews>
    <sheetView workbookViewId="0">
      <selection activeCell="B22" sqref="B22"/>
    </sheetView>
  </sheetViews>
  <sheetFormatPr defaultColWidth="9.109375" defaultRowHeight="14.4" x14ac:dyDescent="0.3"/>
  <cols>
    <col min="1" max="1" width="9.109375" style="116"/>
    <col min="2" max="2" width="13.88671875" style="116" customWidth="1"/>
    <col min="3" max="3" width="9.109375" style="116"/>
    <col min="4" max="4" width="12.109375" style="116" customWidth="1"/>
    <col min="5" max="5" width="11.44140625" style="116" customWidth="1"/>
    <col min="6" max="6" width="9.109375" style="116"/>
    <col min="7" max="7" width="12.109375" style="116" customWidth="1"/>
    <col min="8" max="16384" width="9.109375" style="116"/>
  </cols>
  <sheetData>
    <row r="2" spans="2:8" x14ac:dyDescent="0.3">
      <c r="C2" s="116" t="s">
        <v>768</v>
      </c>
      <c r="D2" s="116" t="s">
        <v>767</v>
      </c>
      <c r="E2" s="116" t="s">
        <v>766</v>
      </c>
      <c r="F2" s="116" t="s">
        <v>765</v>
      </c>
      <c r="G2" s="116" t="s">
        <v>764</v>
      </c>
      <c r="H2" s="116" t="s">
        <v>763</v>
      </c>
    </row>
    <row r="3" spans="2:8" x14ac:dyDescent="0.3">
      <c r="B3" s="70" t="s">
        <v>3</v>
      </c>
      <c r="C3" s="116">
        <f ca="1">('Residential Cap'!S51*1000*1000*'Residential Cap'!$W$5/100/1000000)+'Residential Cap'!S51*'Residential Cap'!T51/1000+'Residential Cap'!H51</f>
        <v>47.965387631385404</v>
      </c>
      <c r="D3" s="79">
        <f>'Residential Cap'!E51+'Residential Cap'!F51+'Residential Cap'!I51+'Residential Cap'!L51</f>
        <v>0</v>
      </c>
      <c r="E3" s="166">
        <f ca="1">'Residential Cap'!BB38</f>
        <v>7.2468250081828689</v>
      </c>
      <c r="F3" s="389">
        <f ca="1">'Residential Cap'!AM51</f>
        <v>-8.4752835995542078E-2</v>
      </c>
      <c r="G3" s="6">
        <f ca="1">IF('Residential Cap'!$AC$3-F3&lt;0.0001,1,0)</f>
        <v>0</v>
      </c>
      <c r="H3" s="116">
        <v>1</v>
      </c>
    </row>
    <row r="4" spans="2:8" x14ac:dyDescent="0.3">
      <c r="B4" s="70" t="s">
        <v>6</v>
      </c>
      <c r="C4" s="116">
        <f ca="1">('Residential Cap'!S52*1000*1000*'Residential Cap'!$W$5/100/1000000)+'Residential Cap'!S52*'Residential Cap'!T52/1000+'Residential Cap'!H52</f>
        <v>5.9941723153092319</v>
      </c>
      <c r="D4" s="79">
        <f ca="1">'Residential Cap'!E52+'Residential Cap'!F52+'Residential Cap'!I52+'Residential Cap'!L52</f>
        <v>0.75646697869052737</v>
      </c>
      <c r="E4" s="166">
        <f ca="1">'Residential Cap'!BB39</f>
        <v>0.7741882973044405</v>
      </c>
      <c r="F4" s="389">
        <f ca="1">'Residential Cap'!AM52</f>
        <v>-1.8562740967691432E-2</v>
      </c>
      <c r="G4" s="6">
        <f ca="1">IF('Residential Cap'!$AC$3-F4&lt;0.0001,1,0)</f>
        <v>0</v>
      </c>
      <c r="H4" s="116">
        <f t="shared" ref="H4:H14" ca="1" si="0">IF(G4=1,H3+1,H3)</f>
        <v>1</v>
      </c>
    </row>
    <row r="5" spans="2:8" x14ac:dyDescent="0.3">
      <c r="B5" s="719" t="s">
        <v>677</v>
      </c>
      <c r="C5" s="116">
        <f ca="1">('Residential Cap'!S53*1000*1000*'Residential Cap'!$W$5/100/1000000)+'Residential Cap'!S53*'Residential Cap'!T53/1000+'Residential Cap'!H53</f>
        <v>4.1346650362500013</v>
      </c>
      <c r="D5" s="79">
        <f>'Residential Cap'!E53+'Residential Cap'!F53+'Residential Cap'!I53+'Residential Cap'!L53</f>
        <v>0</v>
      </c>
      <c r="E5" s="166">
        <f ca="1">'Residential Cap'!BB40</f>
        <v>0.72383231488560695</v>
      </c>
      <c r="F5" s="389">
        <f>'Residential Cap'!AM53</f>
        <v>0</v>
      </c>
      <c r="G5" s="6">
        <f>IF('Residential Cap'!$AC$3-F5&lt;0.0001,1,0)</f>
        <v>1</v>
      </c>
      <c r="H5" s="116">
        <f t="shared" ca="1" si="0"/>
        <v>2</v>
      </c>
    </row>
    <row r="6" spans="2:8" x14ac:dyDescent="0.3">
      <c r="B6" s="70" t="s">
        <v>49</v>
      </c>
      <c r="C6" s="116">
        <f ca="1">('Residential Cap'!S54*1000*1000*'Residential Cap'!$W$5/100/1000000)+'Residential Cap'!S54*'Residential Cap'!T54/1000+'Residential Cap'!H54</f>
        <v>5.2198142150429909</v>
      </c>
      <c r="D6" s="79">
        <f ca="1">'Residential Cap'!E54+'Residential Cap'!F54+'Residential Cap'!I54+'Residential Cap'!L54</f>
        <v>2.1220721468025432</v>
      </c>
      <c r="E6" s="166">
        <f ca="1">'Residential Cap'!BB41</f>
        <v>0.72825138256949562</v>
      </c>
      <c r="F6" s="389">
        <f ca="1">'Residential Cap'!AM54</f>
        <v>3.4999999999999996E-2</v>
      </c>
      <c r="G6" s="6">
        <f ca="1">IF('Residential Cap'!$AC$3-F6&lt;0.0001,1,0)</f>
        <v>1</v>
      </c>
      <c r="H6" s="116">
        <f t="shared" ca="1" si="0"/>
        <v>3</v>
      </c>
    </row>
    <row r="7" spans="2:8" x14ac:dyDescent="0.3">
      <c r="B7" s="70" t="s">
        <v>15</v>
      </c>
      <c r="C7" s="116">
        <f ca="1">('Residential Cap'!S55*1000*1000*'Residential Cap'!$W$5/100/1000000)+'Residential Cap'!S55*'Residential Cap'!T55/1000+'Residential Cap'!H55</f>
        <v>5.1673543334136873</v>
      </c>
      <c r="D7" s="79">
        <f ca="1">'Residential Cap'!E55+'Residential Cap'!F55+'Residential Cap'!I55+'Residential Cap'!L55</f>
        <v>0.69994241578410421</v>
      </c>
      <c r="E7" s="166">
        <f ca="1">'Residential Cap'!BB42</f>
        <v>0.71474835498793676</v>
      </c>
      <c r="F7" s="389">
        <f ca="1">'Residential Cap'!AM55</f>
        <v>9.6212661966621413E-3</v>
      </c>
      <c r="G7" s="6">
        <f ca="1">IF('Residential Cap'!$AC$3-F7&lt;0.0001,1,0)</f>
        <v>1</v>
      </c>
      <c r="H7" s="116">
        <f t="shared" ca="1" si="0"/>
        <v>4</v>
      </c>
    </row>
    <row r="8" spans="2:8" x14ac:dyDescent="0.3">
      <c r="B8" s="70" t="s">
        <v>22</v>
      </c>
      <c r="C8" s="116">
        <f ca="1">('Residential Cap'!S56*1000*1000*'Residential Cap'!$W$5/100/1000000)+'Residential Cap'!S56*'Residential Cap'!T56/1000+'Residential Cap'!H56</f>
        <v>36.303622529999998</v>
      </c>
      <c r="D8" s="79">
        <f ca="1">'Residential Cap'!E56+'Residential Cap'!F56+'Residential Cap'!I56+'Residential Cap'!L56</f>
        <v>5.7669301633386345</v>
      </c>
      <c r="E8" s="166">
        <f ca="1">'Residential Cap'!BB43</f>
        <v>1.2706267885500004</v>
      </c>
      <c r="F8" s="389">
        <f ca="1">'Residential Cap'!AM56</f>
        <v>3.500000000000001E-2</v>
      </c>
      <c r="G8" s="6">
        <f ca="1">IF('Residential Cap'!$AC$3-F8&lt;0.0001,1,0)</f>
        <v>1</v>
      </c>
      <c r="H8" s="116">
        <f t="shared" ca="1" si="0"/>
        <v>5</v>
      </c>
    </row>
    <row r="9" spans="2:8" x14ac:dyDescent="0.3">
      <c r="B9" s="70" t="s">
        <v>24</v>
      </c>
      <c r="C9" s="116">
        <f ca="1">('Residential Cap'!S57*1000*1000*'Residential Cap'!$W$5/100/1000000)+'Residential Cap'!S57*'Residential Cap'!T57/1000+'Residential Cap'!H57</f>
        <v>86.762683948656488</v>
      </c>
      <c r="D9" s="79">
        <f ca="1">'Residential Cap'!E57+'Residential Cap'!F57+'Residential Cap'!I57+'Residential Cap'!L57</f>
        <v>14.512608712377538</v>
      </c>
      <c r="E9" s="166">
        <f ca="1">'Residential Cap'!BB44</f>
        <v>7.6438172968594582</v>
      </c>
      <c r="F9" s="389">
        <f ca="1">'Residential Cap'!AM57</f>
        <v>3.5000000000000017E-2</v>
      </c>
      <c r="G9" s="6">
        <f ca="1">IF('Residential Cap'!$AC$3-F9&lt;0.0001,1,0)</f>
        <v>1</v>
      </c>
      <c r="H9" s="116">
        <f t="shared" ca="1" si="0"/>
        <v>6</v>
      </c>
    </row>
    <row r="10" spans="2:8" x14ac:dyDescent="0.3">
      <c r="B10" s="70" t="s">
        <v>43</v>
      </c>
      <c r="C10" s="116">
        <f ca="1">('Residential Cap'!S58*1000*1000*'Residential Cap'!$W$5/100/1000000)+'Residential Cap'!S58*'Residential Cap'!T58/1000+'Residential Cap'!H58</f>
        <v>436.00318782353611</v>
      </c>
      <c r="D10" s="79">
        <f ca="1">'Residential Cap'!E58+'Residential Cap'!F58+'Residential Cap'!I58+'Residential Cap'!L58</f>
        <v>40.979425040617649</v>
      </c>
      <c r="E10" s="166">
        <f ca="1">'Residential Cap'!BB45</f>
        <v>41.886578430527692</v>
      </c>
      <c r="F10" s="389">
        <f ca="1">'Residential Cap'!AM58</f>
        <v>-4.3481992431398005E-2</v>
      </c>
      <c r="G10" s="6">
        <f ca="1">IF('Residential Cap'!$AC$3-F10&lt;0.0001,1,0)</f>
        <v>0</v>
      </c>
      <c r="H10" s="116">
        <f t="shared" ca="1" si="0"/>
        <v>6</v>
      </c>
    </row>
    <row r="11" spans="2:8" x14ac:dyDescent="0.3">
      <c r="B11" s="70" t="s">
        <v>26</v>
      </c>
      <c r="C11" s="116">
        <f ca="1">('Residential Cap'!S59*1000*1000*'Residential Cap'!$W$5/100/1000000)+'Residential Cap'!S59*'Residential Cap'!T59/1000+'Residential Cap'!H59</f>
        <v>44.912927504931282</v>
      </c>
      <c r="D11" s="79">
        <f ca="1">'Residential Cap'!E59+'Residential Cap'!F59+'Residential Cap'!I59+'Residential Cap'!L59</f>
        <v>5.9793460799420766</v>
      </c>
      <c r="E11" s="166">
        <f ca="1">'Residential Cap'!BB46</f>
        <v>5.8256357276038733</v>
      </c>
      <c r="F11" s="389">
        <f ca="1">'Residential Cap'!AM59</f>
        <v>3.4999999999999976E-2</v>
      </c>
      <c r="G11" s="6">
        <f ca="1">IF('Residential Cap'!$AC$3-F11&lt;0.0001,1,0)</f>
        <v>1</v>
      </c>
      <c r="H11" s="116">
        <f t="shared" ca="1" si="0"/>
        <v>7</v>
      </c>
    </row>
    <row r="12" spans="2:8" x14ac:dyDescent="0.3">
      <c r="B12" s="70" t="s">
        <v>30</v>
      </c>
      <c r="C12" s="116">
        <f ca="1">('Residential Cap'!S60*1000*1000*'Residential Cap'!$W$5/100/1000000)+'Residential Cap'!S60*'Residential Cap'!T60/1000+'Residential Cap'!H60</f>
        <v>4.7608187229158041</v>
      </c>
      <c r="D12" s="79">
        <f ca="1">'Residential Cap'!E60+'Residential Cap'!F60+'Residential Cap'!I60+'Residential Cap'!L60</f>
        <v>0.61103190469794488</v>
      </c>
      <c r="E12" s="166">
        <f ca="1">'Residential Cap'!BB47</f>
        <v>0.62523906227209758</v>
      </c>
      <c r="F12" s="389">
        <f ca="1">'Residential Cap'!AM60</f>
        <v>-2.5001458272455906E-2</v>
      </c>
      <c r="G12" s="6">
        <f ca="1">IF('Residential Cap'!$AC$3-F12&lt;0.0001,1,0)</f>
        <v>0</v>
      </c>
      <c r="H12" s="116">
        <f t="shared" ca="1" si="0"/>
        <v>7</v>
      </c>
    </row>
    <row r="13" spans="2:8" x14ac:dyDescent="0.3">
      <c r="B13" s="719" t="s">
        <v>556</v>
      </c>
      <c r="C13" s="116">
        <f ca="1">('Residential Cap'!S61*1000*1000*'Residential Cap'!$W$5/100/1000000)+'Residential Cap'!S61*'Residential Cap'!T61/1000+'Residential Cap'!H61</f>
        <v>22.870026864966977</v>
      </c>
      <c r="D13" s="79">
        <f>'Residential Cap'!E61+'Residential Cap'!F61+'Residential Cap'!I61+'Residential Cap'!L61</f>
        <v>0</v>
      </c>
      <c r="E13" s="166">
        <f ca="1">'Residential Cap'!BB48</f>
        <v>4.0626155042748895</v>
      </c>
      <c r="F13" s="389">
        <f>'Residential Cap'!AM61</f>
        <v>0</v>
      </c>
      <c r="G13" s="6">
        <f>IF('Residential Cap'!$AC$3-F13&lt;0.0001,1,0)</f>
        <v>1</v>
      </c>
      <c r="H13" s="116">
        <f t="shared" ca="1" si="0"/>
        <v>8</v>
      </c>
    </row>
    <row r="14" spans="2:8" x14ac:dyDescent="0.3">
      <c r="B14" s="70" t="s">
        <v>42</v>
      </c>
      <c r="C14" s="116">
        <f ca="1">('Residential Cap'!S62*1000*1000*'Residential Cap'!$W$5/100/1000000)+'Residential Cap'!S62*'Residential Cap'!T62/1000+'Residential Cap'!H62</f>
        <v>21.907691421847623</v>
      </c>
      <c r="D14" s="79">
        <f ca="1">'Residential Cap'!E62+'Residential Cap'!F62+'Residential Cap'!I62+'Residential Cap'!L62</f>
        <v>2.7599342814460375</v>
      </c>
      <c r="E14" s="166">
        <f ca="1">'Residential Cap'!BB49</f>
        <v>2.8206828045970553</v>
      </c>
      <c r="F14" s="389">
        <f ca="1">'Residential Cap'!AM62</f>
        <v>-1.5513827573435442E-2</v>
      </c>
      <c r="G14" s="6">
        <f ca="1">IF('Residential Cap'!$AC$3-F14&lt;0.0001,1,0)</f>
        <v>0</v>
      </c>
      <c r="H14" s="116">
        <f t="shared" ca="1" si="0"/>
        <v>8</v>
      </c>
    </row>
    <row r="15" spans="2:8" x14ac:dyDescent="0.3">
      <c r="B15" s="17"/>
      <c r="C15" s="79"/>
      <c r="D15" s="373"/>
      <c r="E15" s="389"/>
      <c r="F15" s="6"/>
    </row>
    <row r="16" spans="2:8" x14ac:dyDescent="0.3">
      <c r="B16" s="22" t="s">
        <v>762</v>
      </c>
      <c r="C16" s="79"/>
      <c r="D16" s="373"/>
      <c r="E16" s="389"/>
      <c r="F16" s="6"/>
    </row>
    <row r="17" spans="1:10" x14ac:dyDescent="0.3">
      <c r="C17" s="116">
        <v>1</v>
      </c>
      <c r="D17" s="116">
        <v>2</v>
      </c>
      <c r="E17" s="116">
        <v>3</v>
      </c>
      <c r="F17" s="116">
        <v>4</v>
      </c>
      <c r="G17" s="116">
        <v>5</v>
      </c>
      <c r="H17" s="116">
        <v>6</v>
      </c>
      <c r="I17" s="116">
        <v>7</v>
      </c>
    </row>
    <row r="18" spans="1:10" x14ac:dyDescent="0.3">
      <c r="C18" s="15" t="str">
        <f ca="1">OFFSET($B$2,MATCH(C$17,$H$3:$H$14,0),0)</f>
        <v>CHH</v>
      </c>
      <c r="D18" s="15" t="str">
        <f t="shared" ref="D18:I18" ca="1" si="1">OFFSET($B$2,MATCH(D17,$H$3:$H$14,0),0)</f>
        <v>Juken</v>
      </c>
      <c r="E18" s="15" t="str">
        <f t="shared" ca="1" si="1"/>
        <v>Kiwirail</v>
      </c>
      <c r="F18" s="15" t="str">
        <f t="shared" ca="1" si="1"/>
        <v>Methanex</v>
      </c>
      <c r="G18" s="15" t="str">
        <f t="shared" ca="1" si="1"/>
        <v>Norske Skog</v>
      </c>
      <c r="H18" s="15" t="str">
        <f t="shared" ca="1" si="1"/>
        <v>NZ Steel</v>
      </c>
      <c r="I18" s="15" t="str">
        <f t="shared" ca="1" si="1"/>
        <v>PanPac</v>
      </c>
      <c r="J18" s="116" t="s">
        <v>761</v>
      </c>
    </row>
    <row r="19" spans="1:10" x14ac:dyDescent="0.3">
      <c r="A19" s="79"/>
      <c r="B19" s="15">
        <v>2020</v>
      </c>
      <c r="C19" s="116">
        <f t="shared" ref="C19:I23" ca="1" si="2">OFFSET($E$2,MATCH(C$17,$H$3:$H$14,0),0)</f>
        <v>7.2468250081828689</v>
      </c>
      <c r="D19" s="116">
        <f t="shared" ca="1" si="2"/>
        <v>0.72383231488560695</v>
      </c>
      <c r="E19" s="116">
        <f t="shared" ca="1" si="2"/>
        <v>0.72825138256949562</v>
      </c>
      <c r="F19" s="116">
        <f t="shared" ca="1" si="2"/>
        <v>0.71474835498793676</v>
      </c>
      <c r="G19" s="116">
        <f t="shared" ca="1" si="2"/>
        <v>1.2706267885500004</v>
      </c>
      <c r="H19" s="116">
        <f t="shared" ca="1" si="2"/>
        <v>7.6438172968594582</v>
      </c>
      <c r="I19" s="116">
        <f t="shared" ca="1" si="2"/>
        <v>5.8256357276038733</v>
      </c>
      <c r="J19" s="38">
        <v>3.5000000000000003E-2</v>
      </c>
    </row>
    <row r="20" spans="1:10" x14ac:dyDescent="0.3">
      <c r="A20" s="79"/>
      <c r="B20" s="15">
        <f t="shared" ref="B20:B46" si="3">B19+1</f>
        <v>2021</v>
      </c>
      <c r="C20" s="116">
        <f t="shared" ca="1" si="2"/>
        <v>7.2468250081828689</v>
      </c>
      <c r="D20" s="116">
        <f t="shared" ca="1" si="2"/>
        <v>0.72383231488560695</v>
      </c>
      <c r="E20" s="116">
        <f t="shared" ca="1" si="2"/>
        <v>0.72825138256949562</v>
      </c>
      <c r="F20" s="116">
        <f t="shared" ca="1" si="2"/>
        <v>0.71474835498793676</v>
      </c>
      <c r="G20" s="116">
        <f t="shared" ca="1" si="2"/>
        <v>1.2706267885500004</v>
      </c>
      <c r="H20" s="116">
        <f t="shared" ca="1" si="2"/>
        <v>7.6438172968594582</v>
      </c>
      <c r="I20" s="116">
        <f t="shared" ca="1" si="2"/>
        <v>5.8256357276038733</v>
      </c>
      <c r="J20" s="38">
        <v>0</v>
      </c>
    </row>
    <row r="21" spans="1:10" x14ac:dyDescent="0.3">
      <c r="A21" s="448"/>
      <c r="B21" s="15">
        <f t="shared" si="3"/>
        <v>2022</v>
      </c>
      <c r="C21" s="116">
        <f t="shared" ca="1" si="2"/>
        <v>7.2468250081828689</v>
      </c>
      <c r="D21" s="116">
        <f t="shared" ca="1" si="2"/>
        <v>0.72383231488560695</v>
      </c>
      <c r="E21" s="116">
        <f t="shared" ca="1" si="2"/>
        <v>0.72825138256949562</v>
      </c>
      <c r="F21" s="116">
        <f t="shared" ca="1" si="2"/>
        <v>0.71474835498793676</v>
      </c>
      <c r="G21" s="116">
        <f t="shared" ca="1" si="2"/>
        <v>1.2706267885500004</v>
      </c>
      <c r="H21" s="116">
        <f t="shared" ca="1" si="2"/>
        <v>7.6438172968594582</v>
      </c>
      <c r="I21" s="116">
        <f t="shared" ca="1" si="2"/>
        <v>5.8256357276038733</v>
      </c>
      <c r="J21" s="38">
        <f>J20</f>
        <v>0</v>
      </c>
    </row>
    <row r="22" spans="1:10" x14ac:dyDescent="0.3">
      <c r="B22" s="15">
        <f t="shared" si="3"/>
        <v>2023</v>
      </c>
      <c r="C22" s="116">
        <f t="shared" ca="1" si="2"/>
        <v>7.2468250081828689</v>
      </c>
      <c r="D22" s="116">
        <f t="shared" ca="1" si="2"/>
        <v>0.72383231488560695</v>
      </c>
      <c r="E22" s="116">
        <f t="shared" ca="1" si="2"/>
        <v>0.72825138256949562</v>
      </c>
      <c r="F22" s="116">
        <f t="shared" ca="1" si="2"/>
        <v>0.71474835498793676</v>
      </c>
      <c r="G22" s="116">
        <f t="shared" ca="1" si="2"/>
        <v>1.2706267885500004</v>
      </c>
      <c r="H22" s="116">
        <f t="shared" ca="1" si="2"/>
        <v>7.6438172968594582</v>
      </c>
      <c r="I22" s="116">
        <f t="shared" ca="1" si="2"/>
        <v>5.8256357276038733</v>
      </c>
      <c r="J22" s="38">
        <f>J21</f>
        <v>0</v>
      </c>
    </row>
    <row r="23" spans="1:10" x14ac:dyDescent="0.3">
      <c r="B23" s="15">
        <f t="shared" si="3"/>
        <v>2024</v>
      </c>
      <c r="C23" s="116">
        <f t="shared" ca="1" si="2"/>
        <v>7.2468250081828689</v>
      </c>
      <c r="D23" s="116">
        <f t="shared" ca="1" si="2"/>
        <v>0.72383231488560695</v>
      </c>
      <c r="E23" s="116">
        <f t="shared" ca="1" si="2"/>
        <v>0.72825138256949562</v>
      </c>
      <c r="F23" s="116">
        <f t="shared" ca="1" si="2"/>
        <v>0.71474835498793676</v>
      </c>
      <c r="G23" s="116">
        <f t="shared" ca="1" si="2"/>
        <v>1.2706267885500004</v>
      </c>
      <c r="H23" s="116">
        <f t="shared" ca="1" si="2"/>
        <v>7.6438172968594582</v>
      </c>
      <c r="I23" s="116">
        <f t="shared" ca="1" si="2"/>
        <v>5.8256357276038733</v>
      </c>
      <c r="J23" s="38">
        <f>J22</f>
        <v>0</v>
      </c>
    </row>
    <row r="24" spans="1:10" x14ac:dyDescent="0.3">
      <c r="B24" s="15">
        <f t="shared" si="3"/>
        <v>2025</v>
      </c>
      <c r="C24" s="67">
        <f ca="1">MAX(C23,MIN(OFFSET($D$2,MATCH(C$17,$H$3:$H$14,0),0),C23+OFFSET($C$2,MATCH(C$17,$H$3:$H$14,0),0)*$J24))</f>
        <v>7.2468250081828689</v>
      </c>
      <c r="D24" s="67">
        <f t="shared" ref="D24:D46" ca="1" si="4">MAX(D23,MIN(OFFSET($D$2,MATCH(D$17,$H$3:$H$14,0),0),D23+OFFSET($C$2,MATCH(D$17,$H$3:$H$14,0),0)*$J24))</f>
        <v>0.72383231488560695</v>
      </c>
      <c r="E24" s="67">
        <f t="shared" ref="E24:E46" ca="1" si="5">MAX(E23,MIN(OFFSET($D$2,MATCH(E$17,$H$3:$H$14,0),0),E23+OFFSET($C$2,MATCH(E$17,$H$3:$H$14,0),0)*$J24))</f>
        <v>0.83264766687035541</v>
      </c>
      <c r="F24" s="67">
        <f t="shared" ref="F24:F46" ca="1" si="6">MAX(F23,MIN(OFFSET($D$2,MATCH(F$17,$H$3:$H$14,0),0),F23+OFFSET($C$2,MATCH(F$17,$H$3:$H$14,0),0)*$J24))</f>
        <v>0.71474835498793676</v>
      </c>
      <c r="G24" s="67">
        <f t="shared" ref="G24:G46" ca="1" si="7">MAX(G23,MIN(OFFSET($D$2,MATCH(G$17,$H$3:$H$14,0),0),G23+OFFSET($C$2,MATCH(G$17,$H$3:$H$14,0),0)*$J24))</f>
        <v>1.9966992391500005</v>
      </c>
      <c r="H24" s="67">
        <f t="shared" ref="H24:H46" ca="1" si="8">MAX(H23,MIN(OFFSET($D$2,MATCH(H$17,$H$3:$H$14,0),0),H23+OFFSET($C$2,MATCH(H$17,$H$3:$H$14,0),0)*$J24))</f>
        <v>9.3790709758325885</v>
      </c>
      <c r="I24" s="67">
        <f t="shared" ref="I24:I46" ca="1" si="9">MAX(I23,MIN(OFFSET($D$2,MATCH(I$17,$H$3:$H$14,0),0),I23+OFFSET($C$2,MATCH(I$17,$H$3:$H$14,0),0)*$J24))</f>
        <v>5.9793460799420766</v>
      </c>
      <c r="J24" s="447">
        <v>0.02</v>
      </c>
    </row>
    <row r="25" spans="1:10" x14ac:dyDescent="0.3">
      <c r="B25" s="15">
        <f t="shared" si="3"/>
        <v>2026</v>
      </c>
      <c r="C25" s="67">
        <f t="shared" ref="C25:C46" ca="1" si="10">MAX(C24,MIN(OFFSET($D$2,MATCH(C$17,$H$3:$H$14,0),0),C24+OFFSET($C$2,MATCH(C$17,$H$3:$H$14,0),0)*$J25))</f>
        <v>7.2468250081828689</v>
      </c>
      <c r="D25" s="67">
        <f t="shared" ca="1" si="4"/>
        <v>0.72383231488560695</v>
      </c>
      <c r="E25" s="67">
        <f t="shared" ca="1" si="5"/>
        <v>0.93704395117121519</v>
      </c>
      <c r="F25" s="67">
        <f t="shared" ca="1" si="6"/>
        <v>0.71474835498793676</v>
      </c>
      <c r="G25" s="67">
        <f t="shared" ca="1" si="7"/>
        <v>2.7227716897500005</v>
      </c>
      <c r="H25" s="67">
        <f t="shared" ca="1" si="8"/>
        <v>11.114324654805719</v>
      </c>
      <c r="I25" s="67">
        <f t="shared" ca="1" si="9"/>
        <v>5.9793460799420766</v>
      </c>
      <c r="J25" s="447">
        <f t="shared" ref="J25:J46" si="11">J24</f>
        <v>0.02</v>
      </c>
    </row>
    <row r="26" spans="1:10" x14ac:dyDescent="0.3">
      <c r="B26" s="15">
        <f t="shared" si="3"/>
        <v>2027</v>
      </c>
      <c r="C26" s="67">
        <f t="shared" ca="1" si="10"/>
        <v>7.2468250081828689</v>
      </c>
      <c r="D26" s="67">
        <f t="shared" ca="1" si="4"/>
        <v>0.72383231488560695</v>
      </c>
      <c r="E26" s="67">
        <f t="shared" ca="1" si="5"/>
        <v>1.0414402354720751</v>
      </c>
      <c r="F26" s="67">
        <f t="shared" ca="1" si="6"/>
        <v>0.71474835498793676</v>
      </c>
      <c r="G26" s="67">
        <f t="shared" ca="1" si="7"/>
        <v>3.4488441403500003</v>
      </c>
      <c r="H26" s="67">
        <f t="shared" ca="1" si="8"/>
        <v>12.849578333778849</v>
      </c>
      <c r="I26" s="67">
        <f t="shared" ca="1" si="9"/>
        <v>5.9793460799420766</v>
      </c>
      <c r="J26" s="447">
        <f t="shared" si="11"/>
        <v>0.02</v>
      </c>
    </row>
    <row r="27" spans="1:10" x14ac:dyDescent="0.3">
      <c r="B27" s="15">
        <f t="shared" si="3"/>
        <v>2028</v>
      </c>
      <c r="C27" s="67">
        <f t="shared" ca="1" si="10"/>
        <v>7.2468250081828689</v>
      </c>
      <c r="D27" s="67">
        <f t="shared" ca="1" si="4"/>
        <v>0.72383231488560695</v>
      </c>
      <c r="E27" s="67">
        <f t="shared" ca="1" si="5"/>
        <v>1.145836519772935</v>
      </c>
      <c r="F27" s="67">
        <f t="shared" ca="1" si="6"/>
        <v>0.71474835498793676</v>
      </c>
      <c r="G27" s="67">
        <f t="shared" ca="1" si="7"/>
        <v>4.1749165909500006</v>
      </c>
      <c r="H27" s="67">
        <f t="shared" ca="1" si="8"/>
        <v>14.512608712377538</v>
      </c>
      <c r="I27" s="67">
        <f t="shared" ca="1" si="9"/>
        <v>5.9793460799420766</v>
      </c>
      <c r="J27" s="447">
        <f t="shared" si="11"/>
        <v>0.02</v>
      </c>
    </row>
    <row r="28" spans="1:10" x14ac:dyDescent="0.3">
      <c r="B28" s="15">
        <f t="shared" si="3"/>
        <v>2029</v>
      </c>
      <c r="C28" s="67">
        <f t="shared" ca="1" si="10"/>
        <v>7.2468250081828689</v>
      </c>
      <c r="D28" s="67">
        <f t="shared" ca="1" si="4"/>
        <v>0.72383231488560695</v>
      </c>
      <c r="E28" s="67">
        <f t="shared" ca="1" si="5"/>
        <v>1.2502328040737949</v>
      </c>
      <c r="F28" s="67">
        <f t="shared" ca="1" si="6"/>
        <v>0.71474835498793676</v>
      </c>
      <c r="G28" s="67">
        <f t="shared" ca="1" si="7"/>
        <v>4.9009890415500008</v>
      </c>
      <c r="H28" s="67">
        <f t="shared" ca="1" si="8"/>
        <v>14.512608712377538</v>
      </c>
      <c r="I28" s="67">
        <f t="shared" ca="1" si="9"/>
        <v>5.9793460799420766</v>
      </c>
      <c r="J28" s="447">
        <f t="shared" si="11"/>
        <v>0.02</v>
      </c>
    </row>
    <row r="29" spans="1:10" x14ac:dyDescent="0.3">
      <c r="B29" s="15">
        <f t="shared" si="3"/>
        <v>2030</v>
      </c>
      <c r="C29" s="67">
        <f t="shared" ca="1" si="10"/>
        <v>7.2468250081828689</v>
      </c>
      <c r="D29" s="67">
        <f t="shared" ca="1" si="4"/>
        <v>0.72383231488560695</v>
      </c>
      <c r="E29" s="67">
        <f t="shared" ca="1" si="5"/>
        <v>1.3546290883746548</v>
      </c>
      <c r="F29" s="67">
        <f t="shared" ca="1" si="6"/>
        <v>0.71474835498793676</v>
      </c>
      <c r="G29" s="67">
        <f t="shared" ca="1" si="7"/>
        <v>5.6270614921500011</v>
      </c>
      <c r="H29" s="67">
        <f t="shared" ca="1" si="8"/>
        <v>14.512608712377538</v>
      </c>
      <c r="I29" s="67">
        <f t="shared" ca="1" si="9"/>
        <v>5.9793460799420766</v>
      </c>
      <c r="J29" s="447">
        <f t="shared" si="11"/>
        <v>0.02</v>
      </c>
    </row>
    <row r="30" spans="1:10" x14ac:dyDescent="0.3">
      <c r="B30" s="15">
        <f t="shared" si="3"/>
        <v>2031</v>
      </c>
      <c r="C30" s="67">
        <f t="shared" ca="1" si="10"/>
        <v>7.2468250081828689</v>
      </c>
      <c r="D30" s="67">
        <f t="shared" ca="1" si="4"/>
        <v>0.72383231488560695</v>
      </c>
      <c r="E30" s="67">
        <f t="shared" ca="1" si="5"/>
        <v>1.4590253726755147</v>
      </c>
      <c r="F30" s="67">
        <f t="shared" ca="1" si="6"/>
        <v>0.71474835498793676</v>
      </c>
      <c r="G30" s="67">
        <f t="shared" ca="1" si="7"/>
        <v>5.7669301633386345</v>
      </c>
      <c r="H30" s="67">
        <f t="shared" ca="1" si="8"/>
        <v>14.512608712377538</v>
      </c>
      <c r="I30" s="67">
        <f t="shared" ca="1" si="9"/>
        <v>5.9793460799420766</v>
      </c>
      <c r="J30" s="447">
        <f t="shared" si="11"/>
        <v>0.02</v>
      </c>
    </row>
    <row r="31" spans="1:10" x14ac:dyDescent="0.3">
      <c r="B31" s="15">
        <f t="shared" si="3"/>
        <v>2032</v>
      </c>
      <c r="C31" s="67">
        <f t="shared" ca="1" si="10"/>
        <v>7.2468250081828689</v>
      </c>
      <c r="D31" s="67">
        <f t="shared" ca="1" si="4"/>
        <v>0.72383231488560695</v>
      </c>
      <c r="E31" s="67">
        <f t="shared" ca="1" si="5"/>
        <v>1.5634216569763746</v>
      </c>
      <c r="F31" s="67">
        <f t="shared" ca="1" si="6"/>
        <v>0.71474835498793676</v>
      </c>
      <c r="G31" s="67">
        <f t="shared" ca="1" si="7"/>
        <v>5.7669301633386345</v>
      </c>
      <c r="H31" s="67">
        <f t="shared" ca="1" si="8"/>
        <v>14.512608712377538</v>
      </c>
      <c r="I31" s="67">
        <f t="shared" ca="1" si="9"/>
        <v>5.9793460799420766</v>
      </c>
      <c r="J31" s="447">
        <f t="shared" si="11"/>
        <v>0.02</v>
      </c>
    </row>
    <row r="32" spans="1:10" x14ac:dyDescent="0.3">
      <c r="B32" s="15">
        <f t="shared" si="3"/>
        <v>2033</v>
      </c>
      <c r="C32" s="67">
        <f t="shared" ca="1" si="10"/>
        <v>7.2468250081828689</v>
      </c>
      <c r="D32" s="67">
        <f t="shared" ca="1" si="4"/>
        <v>0.72383231488560695</v>
      </c>
      <c r="E32" s="67">
        <f t="shared" ca="1" si="5"/>
        <v>1.6678179412772345</v>
      </c>
      <c r="F32" s="67">
        <f t="shared" ca="1" si="6"/>
        <v>0.71474835498793676</v>
      </c>
      <c r="G32" s="67">
        <f t="shared" ca="1" si="7"/>
        <v>5.7669301633386345</v>
      </c>
      <c r="H32" s="67">
        <f t="shared" ca="1" si="8"/>
        <v>14.512608712377538</v>
      </c>
      <c r="I32" s="67">
        <f t="shared" ca="1" si="9"/>
        <v>5.9793460799420766</v>
      </c>
      <c r="J32" s="447">
        <f t="shared" si="11"/>
        <v>0.02</v>
      </c>
    </row>
    <row r="33" spans="2:10" x14ac:dyDescent="0.3">
      <c r="B33" s="15">
        <f t="shared" si="3"/>
        <v>2034</v>
      </c>
      <c r="C33" s="67">
        <f t="shared" ca="1" si="10"/>
        <v>7.2468250081828689</v>
      </c>
      <c r="D33" s="67">
        <f t="shared" ca="1" si="4"/>
        <v>0.72383231488560695</v>
      </c>
      <c r="E33" s="67">
        <f t="shared" ca="1" si="5"/>
        <v>1.7722142255780944</v>
      </c>
      <c r="F33" s="67">
        <f t="shared" ca="1" si="6"/>
        <v>0.71474835498793676</v>
      </c>
      <c r="G33" s="67">
        <f t="shared" ca="1" si="7"/>
        <v>5.7669301633386345</v>
      </c>
      <c r="H33" s="67">
        <f t="shared" ca="1" si="8"/>
        <v>14.512608712377538</v>
      </c>
      <c r="I33" s="67">
        <f t="shared" ca="1" si="9"/>
        <v>5.9793460799420766</v>
      </c>
      <c r="J33" s="447">
        <f t="shared" si="11"/>
        <v>0.02</v>
      </c>
    </row>
    <row r="34" spans="2:10" x14ac:dyDescent="0.3">
      <c r="B34" s="15">
        <f t="shared" si="3"/>
        <v>2035</v>
      </c>
      <c r="C34" s="67">
        <f t="shared" ca="1" si="10"/>
        <v>7.2468250081828689</v>
      </c>
      <c r="D34" s="67">
        <f t="shared" ca="1" si="4"/>
        <v>0.72383231488560695</v>
      </c>
      <c r="E34" s="67">
        <f t="shared" ca="1" si="5"/>
        <v>1.8766105098789543</v>
      </c>
      <c r="F34" s="67">
        <f t="shared" ca="1" si="6"/>
        <v>0.71474835498793676</v>
      </c>
      <c r="G34" s="67">
        <f t="shared" ca="1" si="7"/>
        <v>5.7669301633386345</v>
      </c>
      <c r="H34" s="67">
        <f t="shared" ca="1" si="8"/>
        <v>14.512608712377538</v>
      </c>
      <c r="I34" s="67">
        <f t="shared" ca="1" si="9"/>
        <v>5.9793460799420766</v>
      </c>
      <c r="J34" s="447">
        <f t="shared" si="11"/>
        <v>0.02</v>
      </c>
    </row>
    <row r="35" spans="2:10" x14ac:dyDescent="0.3">
      <c r="B35" s="15">
        <f t="shared" si="3"/>
        <v>2036</v>
      </c>
      <c r="C35" s="67">
        <f t="shared" ca="1" si="10"/>
        <v>7.2468250081828689</v>
      </c>
      <c r="D35" s="67">
        <f t="shared" ca="1" si="4"/>
        <v>0.72383231488560695</v>
      </c>
      <c r="E35" s="67">
        <f t="shared" ca="1" si="5"/>
        <v>1.9810067941798142</v>
      </c>
      <c r="F35" s="67">
        <f t="shared" ca="1" si="6"/>
        <v>0.71474835498793676</v>
      </c>
      <c r="G35" s="67">
        <f t="shared" ca="1" si="7"/>
        <v>5.7669301633386345</v>
      </c>
      <c r="H35" s="67">
        <f t="shared" ca="1" si="8"/>
        <v>14.512608712377538</v>
      </c>
      <c r="I35" s="67">
        <f t="shared" ca="1" si="9"/>
        <v>5.9793460799420766</v>
      </c>
      <c r="J35" s="447">
        <f t="shared" si="11"/>
        <v>0.02</v>
      </c>
    </row>
    <row r="36" spans="2:10" x14ac:dyDescent="0.3">
      <c r="B36" s="15">
        <f t="shared" si="3"/>
        <v>2037</v>
      </c>
      <c r="C36" s="67">
        <f t="shared" ca="1" si="10"/>
        <v>7.2468250081828689</v>
      </c>
      <c r="D36" s="67">
        <f t="shared" ca="1" si="4"/>
        <v>0.72383231488560695</v>
      </c>
      <c r="E36" s="67">
        <f t="shared" ca="1" si="5"/>
        <v>2.0854030784806739</v>
      </c>
      <c r="F36" s="67">
        <f t="shared" ca="1" si="6"/>
        <v>0.71474835498793676</v>
      </c>
      <c r="G36" s="67">
        <f t="shared" ca="1" si="7"/>
        <v>5.7669301633386345</v>
      </c>
      <c r="H36" s="67">
        <f t="shared" ca="1" si="8"/>
        <v>14.512608712377538</v>
      </c>
      <c r="I36" s="67">
        <f t="shared" ca="1" si="9"/>
        <v>5.9793460799420766</v>
      </c>
      <c r="J36" s="447">
        <f t="shared" si="11"/>
        <v>0.02</v>
      </c>
    </row>
    <row r="37" spans="2:10" x14ac:dyDescent="0.3">
      <c r="B37" s="15">
        <f t="shared" si="3"/>
        <v>2038</v>
      </c>
      <c r="C37" s="67">
        <f t="shared" ca="1" si="10"/>
        <v>7.2468250081828689</v>
      </c>
      <c r="D37" s="67">
        <f t="shared" ca="1" si="4"/>
        <v>0.72383231488560695</v>
      </c>
      <c r="E37" s="67">
        <f t="shared" ca="1" si="5"/>
        <v>2.1220721468025432</v>
      </c>
      <c r="F37" s="67">
        <f t="shared" ca="1" si="6"/>
        <v>0.71474835498793676</v>
      </c>
      <c r="G37" s="67">
        <f t="shared" ca="1" si="7"/>
        <v>5.7669301633386345</v>
      </c>
      <c r="H37" s="67">
        <f t="shared" ca="1" si="8"/>
        <v>14.512608712377538</v>
      </c>
      <c r="I37" s="67">
        <f t="shared" ca="1" si="9"/>
        <v>5.9793460799420766</v>
      </c>
      <c r="J37" s="447">
        <f t="shared" si="11"/>
        <v>0.02</v>
      </c>
    </row>
    <row r="38" spans="2:10" x14ac:dyDescent="0.3">
      <c r="B38" s="15">
        <f t="shared" si="3"/>
        <v>2039</v>
      </c>
      <c r="C38" s="67">
        <f t="shared" ca="1" si="10"/>
        <v>7.2468250081828689</v>
      </c>
      <c r="D38" s="67">
        <f t="shared" ca="1" si="4"/>
        <v>0.72383231488560695</v>
      </c>
      <c r="E38" s="67">
        <f t="shared" ca="1" si="5"/>
        <v>2.1220721468025432</v>
      </c>
      <c r="F38" s="67">
        <f t="shared" ca="1" si="6"/>
        <v>0.71474835498793676</v>
      </c>
      <c r="G38" s="67">
        <f t="shared" ca="1" si="7"/>
        <v>5.7669301633386345</v>
      </c>
      <c r="H38" s="67">
        <f t="shared" ca="1" si="8"/>
        <v>14.512608712377538</v>
      </c>
      <c r="I38" s="67">
        <f t="shared" ca="1" si="9"/>
        <v>5.9793460799420766</v>
      </c>
      <c r="J38" s="447">
        <f t="shared" si="11"/>
        <v>0.02</v>
      </c>
    </row>
    <row r="39" spans="2:10" x14ac:dyDescent="0.3">
      <c r="B39" s="15">
        <f t="shared" si="3"/>
        <v>2040</v>
      </c>
      <c r="C39" s="67">
        <f t="shared" ca="1" si="10"/>
        <v>7.2468250081828689</v>
      </c>
      <c r="D39" s="67">
        <f t="shared" ca="1" si="4"/>
        <v>0.72383231488560695</v>
      </c>
      <c r="E39" s="67">
        <f t="shared" ca="1" si="5"/>
        <v>2.1220721468025432</v>
      </c>
      <c r="F39" s="67">
        <f t="shared" ca="1" si="6"/>
        <v>0.71474835498793676</v>
      </c>
      <c r="G39" s="67">
        <f t="shared" ca="1" si="7"/>
        <v>5.7669301633386345</v>
      </c>
      <c r="H39" s="67">
        <f t="shared" ca="1" si="8"/>
        <v>14.512608712377538</v>
      </c>
      <c r="I39" s="67">
        <f t="shared" ca="1" si="9"/>
        <v>5.9793460799420766</v>
      </c>
      <c r="J39" s="447">
        <f t="shared" si="11"/>
        <v>0.02</v>
      </c>
    </row>
    <row r="40" spans="2:10" x14ac:dyDescent="0.3">
      <c r="B40" s="15">
        <f t="shared" si="3"/>
        <v>2041</v>
      </c>
      <c r="C40" s="67">
        <f t="shared" ca="1" si="10"/>
        <v>7.2468250081828689</v>
      </c>
      <c r="D40" s="67">
        <f t="shared" ca="1" si="4"/>
        <v>0.72383231488560695</v>
      </c>
      <c r="E40" s="67">
        <f t="shared" ca="1" si="5"/>
        <v>2.1220721468025432</v>
      </c>
      <c r="F40" s="67">
        <f t="shared" ca="1" si="6"/>
        <v>0.71474835498793676</v>
      </c>
      <c r="G40" s="67">
        <f t="shared" ca="1" si="7"/>
        <v>5.7669301633386345</v>
      </c>
      <c r="H40" s="67">
        <f t="shared" ca="1" si="8"/>
        <v>14.512608712377538</v>
      </c>
      <c r="I40" s="67">
        <f t="shared" ca="1" si="9"/>
        <v>5.9793460799420766</v>
      </c>
      <c r="J40" s="447">
        <f t="shared" si="11"/>
        <v>0.02</v>
      </c>
    </row>
    <row r="41" spans="2:10" x14ac:dyDescent="0.3">
      <c r="B41" s="15">
        <f t="shared" si="3"/>
        <v>2042</v>
      </c>
      <c r="C41" s="67">
        <f t="shared" ca="1" si="10"/>
        <v>7.2468250081828689</v>
      </c>
      <c r="D41" s="67">
        <f t="shared" ca="1" si="4"/>
        <v>0.72383231488560695</v>
      </c>
      <c r="E41" s="67">
        <f t="shared" ca="1" si="5"/>
        <v>2.1220721468025432</v>
      </c>
      <c r="F41" s="67">
        <f t="shared" ca="1" si="6"/>
        <v>0.71474835498793676</v>
      </c>
      <c r="G41" s="67">
        <f t="shared" ca="1" si="7"/>
        <v>5.7669301633386345</v>
      </c>
      <c r="H41" s="67">
        <f t="shared" ca="1" si="8"/>
        <v>14.512608712377538</v>
      </c>
      <c r="I41" s="67">
        <f t="shared" ca="1" si="9"/>
        <v>5.9793460799420766</v>
      </c>
      <c r="J41" s="447">
        <f t="shared" si="11"/>
        <v>0.02</v>
      </c>
    </row>
    <row r="42" spans="2:10" x14ac:dyDescent="0.3">
      <c r="B42" s="15">
        <f t="shared" si="3"/>
        <v>2043</v>
      </c>
      <c r="C42" s="67">
        <f t="shared" ca="1" si="10"/>
        <v>7.2468250081828689</v>
      </c>
      <c r="D42" s="67">
        <f t="shared" ca="1" si="4"/>
        <v>0.72383231488560695</v>
      </c>
      <c r="E42" s="67">
        <f t="shared" ca="1" si="5"/>
        <v>2.1220721468025432</v>
      </c>
      <c r="F42" s="67">
        <f t="shared" ca="1" si="6"/>
        <v>0.71474835498793676</v>
      </c>
      <c r="G42" s="67">
        <f t="shared" ca="1" si="7"/>
        <v>5.7669301633386345</v>
      </c>
      <c r="H42" s="67">
        <f t="shared" ca="1" si="8"/>
        <v>14.512608712377538</v>
      </c>
      <c r="I42" s="67">
        <f t="shared" ca="1" si="9"/>
        <v>5.9793460799420766</v>
      </c>
      <c r="J42" s="447">
        <f t="shared" si="11"/>
        <v>0.02</v>
      </c>
    </row>
    <row r="43" spans="2:10" x14ac:dyDescent="0.3">
      <c r="B43" s="15">
        <f t="shared" si="3"/>
        <v>2044</v>
      </c>
      <c r="C43" s="67">
        <f t="shared" ca="1" si="10"/>
        <v>7.2468250081828689</v>
      </c>
      <c r="D43" s="67">
        <f t="shared" ca="1" si="4"/>
        <v>0.72383231488560695</v>
      </c>
      <c r="E43" s="67">
        <f t="shared" ca="1" si="5"/>
        <v>2.1220721468025432</v>
      </c>
      <c r="F43" s="67">
        <f t="shared" ca="1" si="6"/>
        <v>0.71474835498793676</v>
      </c>
      <c r="G43" s="67">
        <f t="shared" ca="1" si="7"/>
        <v>5.7669301633386345</v>
      </c>
      <c r="H43" s="67">
        <f t="shared" ca="1" si="8"/>
        <v>14.512608712377538</v>
      </c>
      <c r="I43" s="67">
        <f t="shared" ca="1" si="9"/>
        <v>5.9793460799420766</v>
      </c>
      <c r="J43" s="447">
        <f t="shared" si="11"/>
        <v>0.02</v>
      </c>
    </row>
    <row r="44" spans="2:10" x14ac:dyDescent="0.3">
      <c r="B44" s="15">
        <f t="shared" si="3"/>
        <v>2045</v>
      </c>
      <c r="C44" s="67">
        <f t="shared" ca="1" si="10"/>
        <v>7.2468250081828689</v>
      </c>
      <c r="D44" s="67">
        <f t="shared" ca="1" si="4"/>
        <v>0.72383231488560695</v>
      </c>
      <c r="E44" s="67">
        <f t="shared" ca="1" si="5"/>
        <v>2.1220721468025432</v>
      </c>
      <c r="F44" s="67">
        <f t="shared" ca="1" si="6"/>
        <v>0.71474835498793676</v>
      </c>
      <c r="G44" s="67">
        <f t="shared" ca="1" si="7"/>
        <v>5.7669301633386345</v>
      </c>
      <c r="H44" s="67">
        <f t="shared" ca="1" si="8"/>
        <v>14.512608712377538</v>
      </c>
      <c r="I44" s="67">
        <f t="shared" ca="1" si="9"/>
        <v>5.9793460799420766</v>
      </c>
      <c r="J44" s="447">
        <f t="shared" si="11"/>
        <v>0.02</v>
      </c>
    </row>
    <row r="45" spans="2:10" x14ac:dyDescent="0.3">
      <c r="B45" s="15">
        <f t="shared" si="3"/>
        <v>2046</v>
      </c>
      <c r="C45" s="67">
        <f t="shared" ca="1" si="10"/>
        <v>7.2468250081828689</v>
      </c>
      <c r="D45" s="67">
        <f t="shared" ca="1" si="4"/>
        <v>0.72383231488560695</v>
      </c>
      <c r="E45" s="67">
        <f t="shared" ca="1" si="5"/>
        <v>2.1220721468025432</v>
      </c>
      <c r="F45" s="67">
        <f t="shared" ca="1" si="6"/>
        <v>0.71474835498793676</v>
      </c>
      <c r="G45" s="67">
        <f t="shared" ca="1" si="7"/>
        <v>5.7669301633386345</v>
      </c>
      <c r="H45" s="67">
        <f t="shared" ca="1" si="8"/>
        <v>14.512608712377538</v>
      </c>
      <c r="I45" s="67">
        <f t="shared" ca="1" si="9"/>
        <v>5.9793460799420766</v>
      </c>
      <c r="J45" s="447">
        <f t="shared" si="11"/>
        <v>0.02</v>
      </c>
    </row>
    <row r="46" spans="2:10" x14ac:dyDescent="0.3">
      <c r="B46" s="15">
        <f t="shared" si="3"/>
        <v>2047</v>
      </c>
      <c r="C46" s="67">
        <f t="shared" ca="1" si="10"/>
        <v>7.2468250081828689</v>
      </c>
      <c r="D46" s="67">
        <f t="shared" ca="1" si="4"/>
        <v>0.72383231488560695</v>
      </c>
      <c r="E46" s="67">
        <f t="shared" ca="1" si="5"/>
        <v>2.1220721468025432</v>
      </c>
      <c r="F46" s="67">
        <f t="shared" ca="1" si="6"/>
        <v>0.71474835498793676</v>
      </c>
      <c r="G46" s="67">
        <f t="shared" ca="1" si="7"/>
        <v>5.7669301633386345</v>
      </c>
      <c r="H46" s="67">
        <f t="shared" ca="1" si="8"/>
        <v>14.512608712377538</v>
      </c>
      <c r="I46" s="67">
        <f t="shared" ca="1" si="9"/>
        <v>5.9793460799420766</v>
      </c>
      <c r="J46" s="447">
        <f t="shared" si="11"/>
        <v>0.02</v>
      </c>
    </row>
    <row r="47" spans="2:10" x14ac:dyDescent="0.3">
      <c r="B47" s="15"/>
      <c r="J47" s="38"/>
    </row>
    <row r="48" spans="2:10" x14ac:dyDescent="0.3">
      <c r="B48" s="15"/>
      <c r="J48" s="38"/>
    </row>
    <row r="49" spans="2:10" x14ac:dyDescent="0.3">
      <c r="B49" s="116" t="str">
        <f>"Transition Scenario ("&amp;'Recovery amounts'!K18&amp;", "&amp;'Residential Cap'!AC4&amp;")"</f>
        <v>Transition Scenario (WACC adjustment applied, capped)</v>
      </c>
      <c r="J49" s="38"/>
    </row>
    <row r="50" spans="2:10" x14ac:dyDescent="0.3">
      <c r="B50" s="68" t="s">
        <v>772</v>
      </c>
      <c r="C50" s="287" t="str">
        <f t="shared" ref="C50:H50" ca="1" si="12">C18</f>
        <v>CHH</v>
      </c>
      <c r="D50" s="287" t="str">
        <f t="shared" ca="1" si="12"/>
        <v>Juken</v>
      </c>
      <c r="E50" s="287" t="str">
        <f t="shared" ca="1" si="12"/>
        <v>Kiwirail</v>
      </c>
      <c r="F50" s="287" t="str">
        <f t="shared" ca="1" si="12"/>
        <v>Methanex</v>
      </c>
      <c r="G50" s="287" t="str">
        <f t="shared" ca="1" si="12"/>
        <v>Norske Skog</v>
      </c>
      <c r="H50" s="287" t="str">
        <f t="shared" ca="1" si="12"/>
        <v>NZ Steel</v>
      </c>
      <c r="I50" s="287" t="str">
        <f t="shared" ref="I50" ca="1" si="13">I18</f>
        <v>PanPac</v>
      </c>
      <c r="J50" s="38"/>
    </row>
    <row r="51" spans="2:10" x14ac:dyDescent="0.3">
      <c r="B51" s="452" t="s">
        <v>773</v>
      </c>
      <c r="C51" s="287">
        <f t="shared" ref="C51:I51" ca="1" si="14">OFFSET($B$18,(MATCH(C$43,C$19:C$42,0)),0)</f>
        <v>2020</v>
      </c>
      <c r="D51" s="287">
        <f t="shared" ca="1" si="14"/>
        <v>2020</v>
      </c>
      <c r="E51" s="287">
        <f t="shared" ca="1" si="14"/>
        <v>2038</v>
      </c>
      <c r="F51" s="287">
        <f t="shared" ca="1" si="14"/>
        <v>2020</v>
      </c>
      <c r="G51" s="287">
        <f t="shared" ca="1" si="14"/>
        <v>2031</v>
      </c>
      <c r="H51" s="287">
        <f t="shared" ca="1" si="14"/>
        <v>2028</v>
      </c>
      <c r="I51" s="287">
        <f t="shared" ca="1" si="14"/>
        <v>2025</v>
      </c>
      <c r="J51" s="38"/>
    </row>
    <row r="52" spans="2:10" x14ac:dyDescent="0.3">
      <c r="B52" s="15"/>
      <c r="C52" s="23"/>
      <c r="D52" s="23"/>
      <c r="E52" s="23"/>
      <c r="F52" s="23"/>
      <c r="G52" s="23"/>
      <c r="H52" s="23"/>
      <c r="J52" s="38"/>
    </row>
    <row r="53" spans="2:10" x14ac:dyDescent="0.3">
      <c r="B53" s="15"/>
      <c r="J53" s="38"/>
    </row>
    <row r="54" spans="2:10" x14ac:dyDescent="0.3">
      <c r="B54" s="15"/>
      <c r="J54" s="38"/>
    </row>
    <row r="55" spans="2:10" x14ac:dyDescent="0.3">
      <c r="B55" s="15"/>
    </row>
    <row r="56" spans="2:10" x14ac:dyDescent="0.3">
      <c r="B56" s="15"/>
    </row>
    <row r="57" spans="2:10" x14ac:dyDescent="0.3">
      <c r="B57" s="15"/>
    </row>
    <row r="58" spans="2:10" x14ac:dyDescent="0.3">
      <c r="B58" s="15"/>
    </row>
    <row r="59" spans="2:10" x14ac:dyDescent="0.3">
      <c r="B59" s="15"/>
    </row>
    <row r="60" spans="2:10" x14ac:dyDescent="0.3">
      <c r="B60" s="15"/>
    </row>
    <row r="61" spans="2:10" x14ac:dyDescent="0.3">
      <c r="B61" s="15"/>
    </row>
    <row r="62" spans="2:10" x14ac:dyDescent="0.3">
      <c r="B62" s="15"/>
    </row>
    <row r="63" spans="2:10" x14ac:dyDescent="0.3">
      <c r="B63" s="15"/>
    </row>
    <row r="64" spans="2:10" x14ac:dyDescent="0.3">
      <c r="B64" s="15"/>
    </row>
    <row r="65" spans="2:2" x14ac:dyDescent="0.3">
      <c r="B65" s="15"/>
    </row>
    <row r="66" spans="2:2" x14ac:dyDescent="0.3">
      <c r="B66" s="15"/>
    </row>
    <row r="67" spans="2:2" x14ac:dyDescent="0.3">
      <c r="B67" s="15"/>
    </row>
    <row r="68" spans="2:2" x14ac:dyDescent="0.3">
      <c r="B68" s="15"/>
    </row>
    <row r="69" spans="2:2" x14ac:dyDescent="0.3">
      <c r="B69" s="15"/>
    </row>
    <row r="70" spans="2:2" x14ac:dyDescent="0.3">
      <c r="B70" s="15"/>
    </row>
    <row r="71" spans="2:2" x14ac:dyDescent="0.3">
      <c r="B71" s="15"/>
    </row>
    <row r="72" spans="2:2" x14ac:dyDescent="0.3">
      <c r="B72" s="15"/>
    </row>
    <row r="73" spans="2:2" x14ac:dyDescent="0.3">
      <c r="B73" s="15"/>
    </row>
    <row r="74" spans="2:2" x14ac:dyDescent="0.3">
      <c r="B74" s="15"/>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V1200"/>
  <sheetViews>
    <sheetView topLeftCell="A531" zoomScale="70" zoomScaleNormal="70" workbookViewId="0">
      <selection activeCell="AW117" sqref="AW117"/>
    </sheetView>
  </sheetViews>
  <sheetFormatPr defaultRowHeight="14.4" x14ac:dyDescent="0.3"/>
  <cols>
    <col min="1" max="1" width="9.109375" style="116"/>
    <col min="2" max="2" width="18.5546875" style="14" customWidth="1"/>
    <col min="3" max="3" width="24.109375" customWidth="1"/>
    <col min="4" max="4" width="47.6640625" customWidth="1"/>
    <col min="5" max="5" width="26" customWidth="1"/>
    <col min="6" max="6" width="23.6640625" customWidth="1"/>
    <col min="10" max="10" width="4.5546875" customWidth="1"/>
    <col min="11" max="11" width="11.88671875" customWidth="1"/>
    <col min="12" max="12" width="20" style="18" customWidth="1"/>
    <col min="13" max="16" width="9.109375" style="18"/>
    <col min="17" max="17" width="31.33203125" style="18" customWidth="1"/>
    <col min="18" max="22" width="9.109375" style="18"/>
  </cols>
  <sheetData>
    <row r="2" spans="1:12" x14ac:dyDescent="0.3">
      <c r="B2" s="15" t="s">
        <v>641</v>
      </c>
      <c r="L2" s="19"/>
    </row>
    <row r="3" spans="1:12" x14ac:dyDescent="0.3">
      <c r="D3" s="18"/>
      <c r="E3" s="18"/>
      <c r="F3" s="18"/>
      <c r="G3" s="18"/>
      <c r="H3" s="18"/>
    </row>
    <row r="4" spans="1:12" x14ac:dyDescent="0.3">
      <c r="B4" s="60" t="s">
        <v>55</v>
      </c>
      <c r="C4" s="18" t="s">
        <v>458</v>
      </c>
      <c r="D4" s="18"/>
      <c r="E4" s="18"/>
      <c r="F4" s="18"/>
      <c r="G4" s="18"/>
      <c r="H4" s="18"/>
    </row>
    <row r="5" spans="1:12" x14ac:dyDescent="0.3">
      <c r="B5" s="60"/>
      <c r="C5" s="559" t="s">
        <v>361</v>
      </c>
      <c r="D5" s="559" t="s">
        <v>401</v>
      </c>
      <c r="E5" s="559"/>
      <c r="F5" s="18"/>
      <c r="G5" s="18"/>
      <c r="H5" s="18" t="s">
        <v>460</v>
      </c>
    </row>
    <row r="6" spans="1:12" x14ac:dyDescent="0.3">
      <c r="A6" s="116" t="str">
        <f>LEFT(C6,3)</f>
        <v>ABY</v>
      </c>
      <c r="B6" s="60" t="str">
        <f>A6&amp;D6</f>
        <v>ABYAll consumers</v>
      </c>
      <c r="C6" s="559" t="s">
        <v>95</v>
      </c>
      <c r="D6" s="559" t="s">
        <v>402</v>
      </c>
      <c r="E6" s="559">
        <v>1</v>
      </c>
      <c r="F6" s="18"/>
      <c r="G6" s="18"/>
      <c r="H6" s="18"/>
    </row>
    <row r="7" spans="1:12" x14ac:dyDescent="0.3">
      <c r="A7" s="116" t="str">
        <f t="shared" ref="A7:A70" si="0">LEFT(C7,3)</f>
        <v>ADD</v>
      </c>
      <c r="B7" s="60" t="str">
        <f t="shared" ref="B7:B70" si="1">A7&amp;D7</f>
        <v>ADDAll consumers</v>
      </c>
      <c r="C7" s="559" t="s">
        <v>362</v>
      </c>
      <c r="D7" s="559" t="s">
        <v>402</v>
      </c>
      <c r="E7" s="559">
        <v>1</v>
      </c>
      <c r="F7" s="18"/>
      <c r="G7" s="18"/>
      <c r="H7" s="18"/>
    </row>
    <row r="8" spans="1:12" x14ac:dyDescent="0.3">
      <c r="A8" s="116" t="str">
        <f t="shared" si="0"/>
        <v>ADD</v>
      </c>
      <c r="B8" s="60" t="str">
        <f t="shared" si="1"/>
        <v>ADDAll consumers</v>
      </c>
      <c r="C8" s="559" t="s">
        <v>363</v>
      </c>
      <c r="D8" s="559" t="s">
        <v>402</v>
      </c>
      <c r="E8" s="559">
        <v>1</v>
      </c>
      <c r="F8" s="18"/>
      <c r="G8" s="18"/>
      <c r="H8" s="18"/>
    </row>
    <row r="9" spans="1:12" x14ac:dyDescent="0.3">
      <c r="A9" s="116" t="str">
        <f t="shared" si="0"/>
        <v>ALB</v>
      </c>
      <c r="B9" s="60" t="str">
        <f t="shared" si="1"/>
        <v>ALBAll consumers</v>
      </c>
      <c r="C9" s="559" t="s">
        <v>97</v>
      </c>
      <c r="D9" s="559" t="s">
        <v>402</v>
      </c>
      <c r="E9" s="559">
        <v>1</v>
      </c>
      <c r="F9" s="18"/>
      <c r="G9" s="18"/>
      <c r="H9" s="18"/>
    </row>
    <row r="10" spans="1:12" x14ac:dyDescent="0.3">
      <c r="A10" s="116" t="str">
        <f t="shared" si="0"/>
        <v>ALB</v>
      </c>
      <c r="B10" s="60" t="str">
        <f t="shared" si="1"/>
        <v>ALBAll consumers</v>
      </c>
      <c r="C10" s="559" t="s">
        <v>98</v>
      </c>
      <c r="D10" s="559" t="s">
        <v>402</v>
      </c>
      <c r="E10" s="559">
        <v>1</v>
      </c>
      <c r="F10" s="18"/>
      <c r="G10" s="18"/>
      <c r="H10" s="18"/>
    </row>
    <row r="11" spans="1:12" x14ac:dyDescent="0.3">
      <c r="A11" s="116" t="str">
        <f t="shared" si="0"/>
        <v>APS</v>
      </c>
      <c r="B11" s="60" t="str">
        <f t="shared" si="1"/>
        <v>APSAll consumers</v>
      </c>
      <c r="C11" s="559" t="s">
        <v>99</v>
      </c>
      <c r="D11" s="559" t="s">
        <v>402</v>
      </c>
      <c r="E11" s="559">
        <v>1</v>
      </c>
      <c r="F11" s="18"/>
      <c r="G11" s="18"/>
      <c r="H11" s="18"/>
    </row>
    <row r="12" spans="1:12" x14ac:dyDescent="0.3">
      <c r="A12" s="116" t="str">
        <f t="shared" si="0"/>
        <v>ARG</v>
      </c>
      <c r="B12" s="60" t="str">
        <f t="shared" si="1"/>
        <v>ARGAll consumers</v>
      </c>
      <c r="C12" s="559" t="s">
        <v>102</v>
      </c>
      <c r="D12" s="559" t="s">
        <v>402</v>
      </c>
      <c r="E12" s="559">
        <v>1</v>
      </c>
      <c r="F12" s="18"/>
      <c r="G12" s="18"/>
      <c r="H12" s="18"/>
    </row>
    <row r="13" spans="1:12" x14ac:dyDescent="0.3">
      <c r="A13" s="116" t="str">
        <f t="shared" si="0"/>
        <v>ASB</v>
      </c>
      <c r="B13" s="60" t="str">
        <f t="shared" si="1"/>
        <v>ASBAll consumers</v>
      </c>
      <c r="C13" s="559" t="s">
        <v>107</v>
      </c>
      <c r="D13" s="559" t="s">
        <v>402</v>
      </c>
      <c r="E13" s="559">
        <v>1</v>
      </c>
      <c r="F13" s="18"/>
      <c r="G13" s="18"/>
      <c r="H13" s="18"/>
    </row>
    <row r="14" spans="1:12" x14ac:dyDescent="0.3">
      <c r="A14" s="116" t="str">
        <f t="shared" si="0"/>
        <v>ASB</v>
      </c>
      <c r="B14" s="60" t="str">
        <f t="shared" si="1"/>
        <v>ASBAll consumers</v>
      </c>
      <c r="C14" s="559" t="s">
        <v>108</v>
      </c>
      <c r="D14" s="559" t="s">
        <v>402</v>
      </c>
      <c r="E14" s="559">
        <v>1</v>
      </c>
      <c r="F14" s="18"/>
      <c r="G14" s="18"/>
      <c r="H14" s="18"/>
    </row>
    <row r="15" spans="1:12" x14ac:dyDescent="0.3">
      <c r="A15" s="116" t="str">
        <f t="shared" si="0"/>
        <v>ASY</v>
      </c>
      <c r="B15" s="60" t="str">
        <f t="shared" si="1"/>
        <v>ASYAll consumers</v>
      </c>
      <c r="C15" s="559" t="s">
        <v>111</v>
      </c>
      <c r="D15" s="559" t="s">
        <v>402</v>
      </c>
      <c r="E15" s="559">
        <v>1</v>
      </c>
      <c r="F15" s="18"/>
      <c r="G15" s="18"/>
      <c r="H15" s="18"/>
    </row>
    <row r="16" spans="1:12" x14ac:dyDescent="0.3">
      <c r="A16" s="116" t="str">
        <f t="shared" si="0"/>
        <v>ATU</v>
      </c>
      <c r="B16" s="60" t="str">
        <f t="shared" si="1"/>
        <v>ATUAll consumers</v>
      </c>
      <c r="C16" s="559" t="s">
        <v>113</v>
      </c>
      <c r="D16" s="559" t="s">
        <v>402</v>
      </c>
      <c r="E16" s="559">
        <v>1</v>
      </c>
      <c r="F16" s="18"/>
      <c r="G16" s="18"/>
      <c r="H16" s="18"/>
    </row>
    <row r="17" spans="1:8" x14ac:dyDescent="0.3">
      <c r="A17" s="116" t="str">
        <f t="shared" si="0"/>
        <v>BAL</v>
      </c>
      <c r="B17" s="60" t="str">
        <f t="shared" si="1"/>
        <v>BALAll consumers</v>
      </c>
      <c r="C17" s="559" t="s">
        <v>115</v>
      </c>
      <c r="D17" s="559" t="s">
        <v>402</v>
      </c>
      <c r="E17" s="559">
        <v>1</v>
      </c>
      <c r="F17" s="18"/>
      <c r="G17" s="18"/>
      <c r="H17" s="18"/>
    </row>
    <row r="18" spans="1:8" x14ac:dyDescent="0.3">
      <c r="A18" s="116" t="str">
        <f t="shared" si="0"/>
        <v>BDE</v>
      </c>
      <c r="B18" s="60" t="str">
        <f t="shared" si="1"/>
        <v>BDEAll consumers</v>
      </c>
      <c r="C18" s="559" t="s">
        <v>116</v>
      </c>
      <c r="D18" s="559" t="s">
        <v>402</v>
      </c>
      <c r="E18" s="559">
        <v>1</v>
      </c>
      <c r="F18" s="18"/>
      <c r="G18" s="18"/>
      <c r="H18" s="18"/>
    </row>
    <row r="19" spans="1:8" x14ac:dyDescent="0.3">
      <c r="A19" s="116" t="str">
        <f t="shared" si="0"/>
        <v>BLN</v>
      </c>
      <c r="B19" s="60" t="str">
        <f t="shared" si="1"/>
        <v>BLNAll consumers</v>
      </c>
      <c r="C19" s="559" t="s">
        <v>118</v>
      </c>
      <c r="D19" s="559" t="s">
        <v>402</v>
      </c>
      <c r="E19" s="559">
        <v>1</v>
      </c>
      <c r="F19" s="18"/>
      <c r="G19" s="18"/>
      <c r="H19" s="18"/>
    </row>
    <row r="20" spans="1:8" x14ac:dyDescent="0.3">
      <c r="A20" s="116" t="str">
        <f t="shared" si="0"/>
        <v>BOB</v>
      </c>
      <c r="B20" s="60" t="str">
        <f t="shared" si="1"/>
        <v>BOBAll consumers</v>
      </c>
      <c r="C20" s="559" t="s">
        <v>119</v>
      </c>
      <c r="D20" s="559" t="s">
        <v>402</v>
      </c>
      <c r="E20" s="559">
        <v>1</v>
      </c>
      <c r="F20" s="18"/>
      <c r="G20" s="18"/>
      <c r="H20" s="18"/>
    </row>
    <row r="21" spans="1:8" x14ac:dyDescent="0.3">
      <c r="A21" s="116" t="str">
        <f t="shared" si="0"/>
        <v>BOB</v>
      </c>
      <c r="B21" s="60" t="str">
        <f t="shared" si="1"/>
        <v>BOBAll consumers</v>
      </c>
      <c r="C21" s="559" t="s">
        <v>120</v>
      </c>
      <c r="D21" s="559" t="s">
        <v>402</v>
      </c>
      <c r="E21" s="559">
        <v>1</v>
      </c>
      <c r="F21" s="18"/>
      <c r="G21" s="18"/>
      <c r="H21" s="18"/>
    </row>
    <row r="22" spans="1:8" x14ac:dyDescent="0.3">
      <c r="A22" s="116" t="str">
        <f t="shared" si="0"/>
        <v>BPD</v>
      </c>
      <c r="B22" s="60" t="str">
        <f t="shared" si="1"/>
        <v>BPDAll consumers</v>
      </c>
      <c r="C22" s="559" t="s">
        <v>121</v>
      </c>
      <c r="D22" s="559" t="s">
        <v>402</v>
      </c>
      <c r="E22" s="559">
        <v>1</v>
      </c>
      <c r="F22" s="18"/>
      <c r="G22" s="18"/>
      <c r="H22" s="18"/>
    </row>
    <row r="23" spans="1:8" x14ac:dyDescent="0.3">
      <c r="A23" s="116" t="str">
        <f t="shared" si="0"/>
        <v>BPE</v>
      </c>
      <c r="B23" s="60" t="str">
        <f t="shared" si="1"/>
        <v>BPEAll consumers</v>
      </c>
      <c r="C23" s="559" t="s">
        <v>122</v>
      </c>
      <c r="D23" s="559" t="s">
        <v>402</v>
      </c>
      <c r="E23" s="559">
        <v>1</v>
      </c>
      <c r="F23" s="18"/>
      <c r="G23" s="18"/>
      <c r="H23" s="18"/>
    </row>
    <row r="24" spans="1:8" x14ac:dyDescent="0.3">
      <c r="A24" s="116" t="str">
        <f t="shared" si="0"/>
        <v>BPE</v>
      </c>
      <c r="B24" s="60" t="str">
        <f t="shared" si="1"/>
        <v>BPEAll consumers</v>
      </c>
      <c r="C24" s="559" t="s">
        <v>124</v>
      </c>
      <c r="D24" s="559" t="s">
        <v>402</v>
      </c>
      <c r="E24" s="559">
        <v>1</v>
      </c>
      <c r="F24" s="18"/>
      <c r="G24" s="18"/>
      <c r="H24" s="18"/>
    </row>
    <row r="25" spans="1:8" x14ac:dyDescent="0.3">
      <c r="A25" s="116" t="str">
        <f t="shared" si="0"/>
        <v>BPT</v>
      </c>
      <c r="B25" s="60" t="str">
        <f t="shared" si="1"/>
        <v>BPTAll consumers</v>
      </c>
      <c r="C25" s="559" t="s">
        <v>125</v>
      </c>
      <c r="D25" s="559" t="s">
        <v>402</v>
      </c>
      <c r="E25" s="559">
        <v>1</v>
      </c>
      <c r="F25" s="18"/>
      <c r="G25" s="18"/>
      <c r="H25" s="18"/>
    </row>
    <row r="26" spans="1:8" x14ac:dyDescent="0.3">
      <c r="A26" s="116" t="str">
        <f t="shared" si="0"/>
        <v>BRB</v>
      </c>
      <c r="B26" s="60" t="str">
        <f t="shared" si="1"/>
        <v>BRBAll consumers</v>
      </c>
      <c r="C26" s="559" t="s">
        <v>126</v>
      </c>
      <c r="D26" s="559" t="s">
        <v>402</v>
      </c>
      <c r="E26" s="559">
        <v>1</v>
      </c>
      <c r="F26" s="18"/>
      <c r="G26" s="18"/>
      <c r="H26" s="18"/>
    </row>
    <row r="27" spans="1:8" x14ac:dyDescent="0.3">
      <c r="A27" s="116" t="str">
        <f t="shared" si="0"/>
        <v>BRK</v>
      </c>
      <c r="B27" s="60" t="str">
        <f t="shared" si="1"/>
        <v>BRKAll consumers</v>
      </c>
      <c r="C27" s="559" t="s">
        <v>127</v>
      </c>
      <c r="D27" s="559" t="s">
        <v>402</v>
      </c>
      <c r="E27" s="559">
        <v>1</v>
      </c>
      <c r="F27" s="18"/>
      <c r="G27" s="18"/>
      <c r="H27" s="18"/>
    </row>
    <row r="28" spans="1:8" x14ac:dyDescent="0.3">
      <c r="A28" s="116" t="str">
        <f t="shared" si="0"/>
        <v>BRY</v>
      </c>
      <c r="B28" s="60" t="str">
        <f t="shared" si="1"/>
        <v>BRYAll consumers</v>
      </c>
      <c r="C28" s="559" t="s">
        <v>364</v>
      </c>
      <c r="D28" s="559" t="s">
        <v>402</v>
      </c>
      <c r="E28" s="559">
        <v>1</v>
      </c>
      <c r="F28" s="18"/>
      <c r="G28" s="18"/>
      <c r="H28" s="18"/>
    </row>
    <row r="29" spans="1:8" x14ac:dyDescent="0.3">
      <c r="A29" s="116" t="str">
        <f t="shared" si="0"/>
        <v>BRY</v>
      </c>
      <c r="B29" s="60" t="str">
        <f t="shared" si="1"/>
        <v>BRYAll consumers</v>
      </c>
      <c r="C29" s="559" t="s">
        <v>128</v>
      </c>
      <c r="D29" s="559" t="s">
        <v>402</v>
      </c>
      <c r="E29" s="559">
        <v>1</v>
      </c>
      <c r="F29" s="18"/>
      <c r="G29" s="18"/>
      <c r="H29" s="18"/>
    </row>
    <row r="30" spans="1:8" x14ac:dyDescent="0.3">
      <c r="A30" s="116" t="str">
        <f t="shared" si="0"/>
        <v>BWK</v>
      </c>
      <c r="B30" s="60" t="str">
        <f t="shared" si="1"/>
        <v>BWKAll consumers</v>
      </c>
      <c r="C30" s="559" t="s">
        <v>129</v>
      </c>
      <c r="D30" s="559" t="s">
        <v>402</v>
      </c>
      <c r="E30" s="559">
        <v>1</v>
      </c>
      <c r="F30" s="18"/>
      <c r="G30" s="18"/>
      <c r="H30" s="18"/>
    </row>
    <row r="31" spans="1:8" x14ac:dyDescent="0.3">
      <c r="A31" s="116" t="str">
        <f t="shared" si="0"/>
        <v>CBG</v>
      </c>
      <c r="B31" s="60" t="str">
        <f t="shared" si="1"/>
        <v>CBGAll consumers</v>
      </c>
      <c r="C31" s="559" t="s">
        <v>131</v>
      </c>
      <c r="D31" s="559" t="s">
        <v>402</v>
      </c>
      <c r="E31" s="559">
        <v>1</v>
      </c>
      <c r="F31" s="18"/>
      <c r="G31" s="18"/>
      <c r="H31" s="18"/>
    </row>
    <row r="32" spans="1:8" x14ac:dyDescent="0.3">
      <c r="A32" s="116" t="str">
        <f t="shared" si="0"/>
        <v>CLH</v>
      </c>
      <c r="B32" s="60" t="str">
        <f t="shared" si="1"/>
        <v>CLHAll consumers</v>
      </c>
      <c r="C32" s="559" t="s">
        <v>132</v>
      </c>
      <c r="D32" s="559" t="s">
        <v>402</v>
      </c>
      <c r="E32" s="559">
        <v>1</v>
      </c>
      <c r="F32" s="18"/>
      <c r="G32" s="18"/>
      <c r="H32" s="18"/>
    </row>
    <row r="33" spans="1:8" x14ac:dyDescent="0.3">
      <c r="A33" s="116" t="str">
        <f t="shared" si="0"/>
        <v>CML</v>
      </c>
      <c r="B33" s="60" t="str">
        <f t="shared" si="1"/>
        <v>CMLAll consumers</v>
      </c>
      <c r="C33" s="559" t="s">
        <v>133</v>
      </c>
      <c r="D33" s="559" t="s">
        <v>402</v>
      </c>
      <c r="E33" s="559">
        <v>1</v>
      </c>
      <c r="F33" s="18"/>
      <c r="G33" s="18"/>
      <c r="H33" s="18"/>
    </row>
    <row r="34" spans="1:8" x14ac:dyDescent="0.3">
      <c r="A34" s="116" t="str">
        <f t="shared" si="0"/>
        <v>COL</v>
      </c>
      <c r="B34" s="60" t="str">
        <f t="shared" si="1"/>
        <v>COLAll consumers</v>
      </c>
      <c r="C34" s="559" t="s">
        <v>134</v>
      </c>
      <c r="D34" s="559" t="s">
        <v>402</v>
      </c>
      <c r="E34" s="559">
        <v>1</v>
      </c>
      <c r="F34" s="18"/>
      <c r="G34" s="18"/>
      <c r="H34" s="18"/>
    </row>
    <row r="35" spans="1:8" x14ac:dyDescent="0.3">
      <c r="A35" s="116" t="str">
        <f t="shared" si="0"/>
        <v>COL</v>
      </c>
      <c r="B35" s="60" t="str">
        <f t="shared" si="1"/>
        <v>COLAll consumers</v>
      </c>
      <c r="C35" s="559" t="s">
        <v>135</v>
      </c>
      <c r="D35" s="559" t="s">
        <v>402</v>
      </c>
      <c r="E35" s="559">
        <v>1</v>
      </c>
      <c r="F35" s="18"/>
      <c r="G35" s="18"/>
      <c r="H35" s="18"/>
    </row>
    <row r="36" spans="1:8" x14ac:dyDescent="0.3">
      <c r="A36" s="116" t="str">
        <f t="shared" si="0"/>
        <v>CPK</v>
      </c>
      <c r="B36" s="60" t="str">
        <f t="shared" si="1"/>
        <v>CPKAll consumers</v>
      </c>
      <c r="C36" s="559" t="s">
        <v>137</v>
      </c>
      <c r="D36" s="559" t="s">
        <v>402</v>
      </c>
      <c r="E36" s="559">
        <v>1</v>
      </c>
      <c r="F36" s="18"/>
      <c r="G36" s="18"/>
      <c r="H36" s="18"/>
    </row>
    <row r="37" spans="1:8" x14ac:dyDescent="0.3">
      <c r="A37" s="116" t="str">
        <f t="shared" si="0"/>
        <v>CPK</v>
      </c>
      <c r="B37" s="60" t="str">
        <f t="shared" si="1"/>
        <v>CPKAll consumers</v>
      </c>
      <c r="C37" s="559" t="s">
        <v>138</v>
      </c>
      <c r="D37" s="559" t="s">
        <v>402</v>
      </c>
      <c r="E37" s="559">
        <v>1</v>
      </c>
      <c r="F37" s="18"/>
      <c r="G37" s="18"/>
      <c r="H37" s="18"/>
    </row>
    <row r="38" spans="1:8" x14ac:dyDescent="0.3">
      <c r="A38" s="116" t="str">
        <f t="shared" si="0"/>
        <v>CST</v>
      </c>
      <c r="B38" s="60" t="str">
        <f t="shared" si="1"/>
        <v>CSTAll consumers</v>
      </c>
      <c r="C38" s="559" t="s">
        <v>139</v>
      </c>
      <c r="D38" s="559" t="s">
        <v>402</v>
      </c>
      <c r="E38" s="559">
        <v>1</v>
      </c>
      <c r="F38" s="18"/>
      <c r="G38" s="18"/>
      <c r="H38" s="18"/>
    </row>
    <row r="39" spans="1:8" x14ac:dyDescent="0.3">
      <c r="A39" s="116" t="str">
        <f t="shared" si="0"/>
        <v>CUL</v>
      </c>
      <c r="B39" s="60" t="str">
        <f t="shared" si="1"/>
        <v>CULAll consumers</v>
      </c>
      <c r="C39" s="559" t="s">
        <v>140</v>
      </c>
      <c r="D39" s="559" t="s">
        <v>402</v>
      </c>
      <c r="E39" s="559">
        <v>1</v>
      </c>
      <c r="F39" s="18"/>
      <c r="G39" s="18"/>
      <c r="H39" s="18"/>
    </row>
    <row r="40" spans="1:8" x14ac:dyDescent="0.3">
      <c r="A40" s="116" t="str">
        <f t="shared" si="0"/>
        <v>CUL</v>
      </c>
      <c r="B40" s="60" t="str">
        <f t="shared" si="1"/>
        <v>CULAll consumers</v>
      </c>
      <c r="C40" s="559" t="s">
        <v>141</v>
      </c>
      <c r="D40" s="559" t="s">
        <v>402</v>
      </c>
      <c r="E40" s="559">
        <v>1</v>
      </c>
      <c r="F40" s="18"/>
      <c r="G40" s="18"/>
      <c r="H40" s="18"/>
    </row>
    <row r="41" spans="1:8" x14ac:dyDescent="0.3">
      <c r="A41" s="116" t="str">
        <f t="shared" si="0"/>
        <v>CYD</v>
      </c>
      <c r="B41" s="60" t="str">
        <f t="shared" si="1"/>
        <v>CYDAll consumers</v>
      </c>
      <c r="C41" s="559" t="s">
        <v>142</v>
      </c>
      <c r="D41" s="559" t="s">
        <v>402</v>
      </c>
      <c r="E41" s="559">
        <v>1</v>
      </c>
      <c r="F41" s="18"/>
      <c r="G41" s="18"/>
      <c r="H41" s="18"/>
    </row>
    <row r="42" spans="1:8" x14ac:dyDescent="0.3">
      <c r="A42" s="116" t="str">
        <f t="shared" si="0"/>
        <v>CYD</v>
      </c>
      <c r="B42" s="60" t="str">
        <f t="shared" si="1"/>
        <v>CYDAll consumers</v>
      </c>
      <c r="C42" s="559" t="s">
        <v>143</v>
      </c>
      <c r="D42" s="559" t="s">
        <v>402</v>
      </c>
      <c r="E42" s="559">
        <v>1</v>
      </c>
      <c r="F42" s="18"/>
      <c r="G42" s="18"/>
      <c r="H42" s="18"/>
    </row>
    <row r="43" spans="1:8" x14ac:dyDescent="0.3">
      <c r="A43" s="116" t="str">
        <f t="shared" si="0"/>
        <v>DOB</v>
      </c>
      <c r="B43" s="60" t="str">
        <f t="shared" si="1"/>
        <v>DOBAll consumers</v>
      </c>
      <c r="C43" s="559" t="s">
        <v>145</v>
      </c>
      <c r="D43" s="559" t="s">
        <v>402</v>
      </c>
      <c r="E43" s="559">
        <v>1</v>
      </c>
      <c r="F43" s="18"/>
      <c r="G43" s="18"/>
      <c r="H43" s="18"/>
    </row>
    <row r="44" spans="1:8" x14ac:dyDescent="0.3">
      <c r="A44" s="116" t="str">
        <f t="shared" si="0"/>
        <v>DVK</v>
      </c>
      <c r="B44" s="60" t="str">
        <f t="shared" si="1"/>
        <v>DVKAll consumers</v>
      </c>
      <c r="C44" s="559" t="s">
        <v>146</v>
      </c>
      <c r="D44" s="559" t="s">
        <v>402</v>
      </c>
      <c r="E44" s="559">
        <v>1</v>
      </c>
      <c r="F44" s="18"/>
      <c r="G44" s="18"/>
      <c r="H44" s="18"/>
    </row>
    <row r="45" spans="1:8" x14ac:dyDescent="0.3">
      <c r="A45" s="116" t="str">
        <f t="shared" si="0"/>
        <v>EDG</v>
      </c>
      <c r="B45" s="60" t="str">
        <f t="shared" si="1"/>
        <v>EDGAll consumers</v>
      </c>
      <c r="C45" s="559" t="s">
        <v>147</v>
      </c>
      <c r="D45" s="559" t="s">
        <v>402</v>
      </c>
      <c r="E45" s="559">
        <v>1</v>
      </c>
      <c r="F45" s="18"/>
      <c r="G45" s="18"/>
      <c r="H45" s="18"/>
    </row>
    <row r="46" spans="1:8" x14ac:dyDescent="0.3">
      <c r="A46" s="116" t="str">
        <f t="shared" si="0"/>
        <v>EDN</v>
      </c>
      <c r="B46" s="60" t="str">
        <f t="shared" si="1"/>
        <v>EDNAll consumers</v>
      </c>
      <c r="C46" s="559" t="s">
        <v>148</v>
      </c>
      <c r="D46" s="559" t="s">
        <v>402</v>
      </c>
      <c r="E46" s="559">
        <v>1</v>
      </c>
      <c r="F46" s="18"/>
      <c r="G46" s="18"/>
      <c r="H46" s="18"/>
    </row>
    <row r="47" spans="1:8" x14ac:dyDescent="0.3">
      <c r="A47" s="116" t="str">
        <f t="shared" si="0"/>
        <v>FHL</v>
      </c>
      <c r="B47" s="60" t="str">
        <f t="shared" si="1"/>
        <v>FHLAll consumers</v>
      </c>
      <c r="C47" s="559" t="s">
        <v>149</v>
      </c>
      <c r="D47" s="559" t="s">
        <v>402</v>
      </c>
      <c r="E47" s="559">
        <v>1</v>
      </c>
      <c r="F47" s="18"/>
      <c r="G47" s="18"/>
      <c r="H47" s="18"/>
    </row>
    <row r="48" spans="1:8" x14ac:dyDescent="0.3">
      <c r="A48" s="116" t="str">
        <f t="shared" si="0"/>
        <v>FKN</v>
      </c>
      <c r="B48" s="60" t="str">
        <f t="shared" si="1"/>
        <v>FKNAll consumers</v>
      </c>
      <c r="C48" s="559" t="s">
        <v>150</v>
      </c>
      <c r="D48" s="559" t="s">
        <v>402</v>
      </c>
      <c r="E48" s="559">
        <v>1</v>
      </c>
      <c r="F48" s="18"/>
      <c r="G48" s="18"/>
      <c r="H48" s="18"/>
    </row>
    <row r="49" spans="1:8" x14ac:dyDescent="0.3">
      <c r="A49" s="116" t="str">
        <f t="shared" si="0"/>
        <v>GFD</v>
      </c>
      <c r="B49" s="60" t="str">
        <f t="shared" si="1"/>
        <v>GFDAll consumers</v>
      </c>
      <c r="C49" s="559" t="s">
        <v>151</v>
      </c>
      <c r="D49" s="559" t="s">
        <v>402</v>
      </c>
      <c r="E49" s="559">
        <v>1</v>
      </c>
      <c r="F49" s="18"/>
      <c r="G49" s="18"/>
      <c r="H49" s="18"/>
    </row>
    <row r="50" spans="1:8" x14ac:dyDescent="0.3">
      <c r="A50" s="116" t="str">
        <f t="shared" si="0"/>
        <v>GIS</v>
      </c>
      <c r="B50" s="60" t="str">
        <f t="shared" si="1"/>
        <v>GISAll consumers</v>
      </c>
      <c r="C50" s="559" t="s">
        <v>365</v>
      </c>
      <c r="D50" s="559" t="s">
        <v>402</v>
      </c>
      <c r="E50" s="559">
        <v>1</v>
      </c>
      <c r="F50" s="18"/>
      <c r="G50" s="18"/>
      <c r="H50" s="18"/>
    </row>
    <row r="51" spans="1:8" x14ac:dyDescent="0.3">
      <c r="A51" s="116" t="str">
        <f t="shared" si="0"/>
        <v>GLN</v>
      </c>
      <c r="B51" s="60" t="str">
        <f t="shared" si="1"/>
        <v>GLNAll consumers</v>
      </c>
      <c r="C51" s="559" t="s">
        <v>366</v>
      </c>
      <c r="D51" s="559" t="s">
        <v>402</v>
      </c>
      <c r="E51" s="559">
        <v>1</v>
      </c>
      <c r="F51" s="18"/>
      <c r="G51" s="18"/>
      <c r="H51" s="18"/>
    </row>
    <row r="52" spans="1:8" x14ac:dyDescent="0.3">
      <c r="A52" s="116" t="str">
        <f t="shared" si="0"/>
        <v>GLN</v>
      </c>
      <c r="B52" s="60" t="str">
        <f t="shared" si="1"/>
        <v>GLNAll consumers</v>
      </c>
      <c r="C52" s="559" t="s">
        <v>367</v>
      </c>
      <c r="D52" s="559" t="s">
        <v>402</v>
      </c>
      <c r="E52" s="559">
        <v>1</v>
      </c>
      <c r="F52" s="18"/>
      <c r="G52" s="18"/>
      <c r="H52" s="18"/>
    </row>
    <row r="53" spans="1:8" x14ac:dyDescent="0.3">
      <c r="A53" s="116" t="str">
        <f t="shared" si="0"/>
        <v>GOR</v>
      </c>
      <c r="B53" s="60" t="str">
        <f t="shared" si="1"/>
        <v>GORAll consumers</v>
      </c>
      <c r="C53" s="559" t="s">
        <v>153</v>
      </c>
      <c r="D53" s="559" t="s">
        <v>402</v>
      </c>
      <c r="E53" s="559">
        <v>1</v>
      </c>
      <c r="F53" s="18"/>
      <c r="G53" s="18"/>
      <c r="H53" s="18"/>
    </row>
    <row r="54" spans="1:8" x14ac:dyDescent="0.3">
      <c r="A54" s="116" t="str">
        <f t="shared" si="0"/>
        <v>GYM</v>
      </c>
      <c r="B54" s="60" t="str">
        <f t="shared" si="1"/>
        <v>GYMAll consumers</v>
      </c>
      <c r="C54" s="559" t="s">
        <v>154</v>
      </c>
      <c r="D54" s="559" t="s">
        <v>402</v>
      </c>
      <c r="E54" s="559">
        <v>1</v>
      </c>
      <c r="F54" s="18"/>
      <c r="G54" s="18"/>
      <c r="H54" s="18"/>
    </row>
    <row r="55" spans="1:8" x14ac:dyDescent="0.3">
      <c r="A55" s="116" t="str">
        <f t="shared" si="0"/>
        <v>GYT</v>
      </c>
      <c r="B55" s="60" t="str">
        <f t="shared" si="1"/>
        <v>GYTAll consumers</v>
      </c>
      <c r="C55" s="559" t="s">
        <v>155</v>
      </c>
      <c r="D55" s="559" t="s">
        <v>402</v>
      </c>
      <c r="E55" s="559">
        <v>1</v>
      </c>
      <c r="F55" s="18"/>
      <c r="G55" s="18"/>
      <c r="H55" s="18"/>
    </row>
    <row r="56" spans="1:8" x14ac:dyDescent="0.3">
      <c r="A56" s="116" t="str">
        <f t="shared" si="0"/>
        <v>HAM</v>
      </c>
      <c r="B56" s="60" t="str">
        <f t="shared" si="1"/>
        <v>HAMAll consumers</v>
      </c>
      <c r="C56" s="559" t="s">
        <v>156</v>
      </c>
      <c r="D56" s="559" t="s">
        <v>402</v>
      </c>
      <c r="E56" s="559">
        <v>1</v>
      </c>
      <c r="F56" s="18"/>
      <c r="G56" s="18"/>
      <c r="H56" s="18"/>
    </row>
    <row r="57" spans="1:8" x14ac:dyDescent="0.3">
      <c r="A57" s="116" t="str">
        <f t="shared" si="0"/>
        <v>HAM</v>
      </c>
      <c r="B57" s="60" t="str">
        <f t="shared" si="1"/>
        <v>HAMAll consumers</v>
      </c>
      <c r="C57" s="559" t="s">
        <v>157</v>
      </c>
      <c r="D57" s="559" t="s">
        <v>402</v>
      </c>
      <c r="E57" s="559">
        <v>1</v>
      </c>
      <c r="F57" s="18"/>
      <c r="G57" s="18"/>
      <c r="H57" s="18"/>
    </row>
    <row r="58" spans="1:8" x14ac:dyDescent="0.3">
      <c r="A58" s="116" t="str">
        <f t="shared" si="0"/>
        <v>HAM</v>
      </c>
      <c r="B58" s="60" t="str">
        <f t="shared" si="1"/>
        <v>HAMAll consumers</v>
      </c>
      <c r="C58" s="559" t="s">
        <v>158</v>
      </c>
      <c r="D58" s="559" t="s">
        <v>402</v>
      </c>
      <c r="E58" s="559">
        <v>1</v>
      </c>
      <c r="F58" s="18"/>
      <c r="G58" s="18"/>
      <c r="H58" s="18"/>
    </row>
    <row r="59" spans="1:8" x14ac:dyDescent="0.3">
      <c r="A59" s="116" t="str">
        <f t="shared" si="0"/>
        <v>HAY</v>
      </c>
      <c r="B59" s="60" t="str">
        <f t="shared" si="1"/>
        <v>HAYAll consumers</v>
      </c>
      <c r="C59" s="559" t="s">
        <v>159</v>
      </c>
      <c r="D59" s="559" t="s">
        <v>402</v>
      </c>
      <c r="E59" s="559">
        <v>1</v>
      </c>
      <c r="F59" s="18"/>
      <c r="G59" s="18"/>
      <c r="H59" s="18"/>
    </row>
    <row r="60" spans="1:8" x14ac:dyDescent="0.3">
      <c r="A60" s="116" t="str">
        <f t="shared" si="0"/>
        <v>HAY</v>
      </c>
      <c r="B60" s="60" t="str">
        <f t="shared" si="1"/>
        <v>HAYAll consumers</v>
      </c>
      <c r="C60" s="559" t="s">
        <v>160</v>
      </c>
      <c r="D60" s="559" t="s">
        <v>402</v>
      </c>
      <c r="E60" s="559">
        <v>1</v>
      </c>
      <c r="F60" s="18"/>
      <c r="G60" s="18"/>
      <c r="H60" s="18"/>
    </row>
    <row r="61" spans="1:8" x14ac:dyDescent="0.3">
      <c r="A61" s="116" t="str">
        <f t="shared" si="0"/>
        <v>HEN</v>
      </c>
      <c r="B61" s="60" t="str">
        <f t="shared" si="1"/>
        <v>HENAll consumers</v>
      </c>
      <c r="C61" s="559" t="s">
        <v>161</v>
      </c>
      <c r="D61" s="559" t="s">
        <v>402</v>
      </c>
      <c r="E61" s="559">
        <v>1</v>
      </c>
      <c r="F61" s="18"/>
      <c r="G61" s="18"/>
      <c r="H61" s="18"/>
    </row>
    <row r="62" spans="1:8" x14ac:dyDescent="0.3">
      <c r="A62" s="116" t="str">
        <f t="shared" si="0"/>
        <v>HEP</v>
      </c>
      <c r="B62" s="60" t="str">
        <f t="shared" si="1"/>
        <v>HEPAll consumers</v>
      </c>
      <c r="C62" s="559" t="s">
        <v>162</v>
      </c>
      <c r="D62" s="559" t="s">
        <v>402</v>
      </c>
      <c r="E62" s="559">
        <v>1</v>
      </c>
      <c r="F62" s="18"/>
      <c r="G62" s="18"/>
      <c r="H62" s="18"/>
    </row>
    <row r="63" spans="1:8" x14ac:dyDescent="0.3">
      <c r="A63" s="116" t="str">
        <f t="shared" si="0"/>
        <v>HIN</v>
      </c>
      <c r="B63" s="60" t="str">
        <f t="shared" si="1"/>
        <v>HINAll consumers</v>
      </c>
      <c r="C63" s="559" t="s">
        <v>163</v>
      </c>
      <c r="D63" s="559" t="s">
        <v>402</v>
      </c>
      <c r="E63" s="559">
        <v>1</v>
      </c>
      <c r="F63" s="18"/>
      <c r="G63" s="18"/>
      <c r="H63" s="18"/>
    </row>
    <row r="64" spans="1:8" x14ac:dyDescent="0.3">
      <c r="A64" s="116" t="str">
        <f t="shared" si="0"/>
        <v>HKK</v>
      </c>
      <c r="B64" s="60" t="str">
        <f t="shared" si="1"/>
        <v>HKKAll consumers</v>
      </c>
      <c r="C64" s="559" t="s">
        <v>164</v>
      </c>
      <c r="D64" s="559" t="s">
        <v>402</v>
      </c>
      <c r="E64" s="559">
        <v>1</v>
      </c>
      <c r="F64" s="18"/>
      <c r="G64" s="18"/>
      <c r="H64" s="18"/>
    </row>
    <row r="65" spans="1:22" x14ac:dyDescent="0.3">
      <c r="A65" s="116" t="str">
        <f t="shared" si="0"/>
        <v>HLY</v>
      </c>
      <c r="B65" s="60" t="str">
        <f t="shared" si="1"/>
        <v>HLYAll consumers</v>
      </c>
      <c r="C65" s="559" t="s">
        <v>165</v>
      </c>
      <c r="D65" s="559" t="s">
        <v>402</v>
      </c>
      <c r="E65" s="559">
        <v>1</v>
      </c>
      <c r="F65" s="18"/>
      <c r="G65" s="18"/>
      <c r="H65" s="18"/>
    </row>
    <row r="66" spans="1:22" s="116" customFormat="1" x14ac:dyDescent="0.3">
      <c r="A66" s="116" t="str">
        <f t="shared" si="0"/>
        <v>HOB</v>
      </c>
      <c r="B66" s="60" t="str">
        <f t="shared" si="1"/>
        <v>HOBAll consumers</v>
      </c>
      <c r="C66" s="559" t="s">
        <v>170</v>
      </c>
      <c r="D66" s="559" t="s">
        <v>402</v>
      </c>
      <c r="E66" s="559">
        <v>1</v>
      </c>
      <c r="F66" s="18"/>
      <c r="G66" s="18"/>
      <c r="H66" s="18"/>
      <c r="L66" s="18"/>
      <c r="M66" s="18"/>
      <c r="N66" s="18"/>
      <c r="O66" s="18"/>
      <c r="P66" s="18"/>
      <c r="Q66" s="18"/>
      <c r="R66" s="18"/>
      <c r="S66" s="18"/>
      <c r="T66" s="18"/>
      <c r="U66" s="18"/>
      <c r="V66" s="18"/>
    </row>
    <row r="67" spans="1:22" x14ac:dyDescent="0.3">
      <c r="A67" s="116" t="str">
        <f t="shared" si="0"/>
        <v>HOR</v>
      </c>
      <c r="B67" s="60" t="str">
        <f t="shared" si="1"/>
        <v>HORAll consumers</v>
      </c>
      <c r="C67" s="559" t="s">
        <v>171</v>
      </c>
      <c r="D67" s="559" t="s">
        <v>402</v>
      </c>
      <c r="E67" s="559">
        <v>1</v>
      </c>
      <c r="F67" s="18"/>
      <c r="G67" s="18"/>
      <c r="H67" s="18"/>
    </row>
    <row r="68" spans="1:22" x14ac:dyDescent="0.3">
      <c r="A68" s="116" t="str">
        <f t="shared" si="0"/>
        <v>HOR</v>
      </c>
      <c r="B68" s="60" t="str">
        <f t="shared" si="1"/>
        <v>HORAll consumers</v>
      </c>
      <c r="C68" s="559" t="s">
        <v>172</v>
      </c>
      <c r="D68" s="559" t="s">
        <v>402</v>
      </c>
      <c r="E68" s="559">
        <v>1</v>
      </c>
      <c r="F68" s="18"/>
      <c r="G68" s="18"/>
      <c r="H68" s="18"/>
    </row>
    <row r="69" spans="1:22" x14ac:dyDescent="0.3">
      <c r="A69" s="116" t="str">
        <f t="shared" si="0"/>
        <v>HTI</v>
      </c>
      <c r="B69" s="60" t="str">
        <f t="shared" si="1"/>
        <v>HTIAll consumers</v>
      </c>
      <c r="C69" s="559" t="s">
        <v>173</v>
      </c>
      <c r="D69" s="559" t="s">
        <v>402</v>
      </c>
      <c r="E69" s="559">
        <v>1</v>
      </c>
      <c r="F69" s="18"/>
      <c r="G69" s="18"/>
      <c r="H69" s="18"/>
    </row>
    <row r="70" spans="1:22" x14ac:dyDescent="0.3">
      <c r="A70" s="116" t="str">
        <f t="shared" si="0"/>
        <v>HUI</v>
      </c>
      <c r="B70" s="60" t="str">
        <f t="shared" si="1"/>
        <v>HUIAll consumers</v>
      </c>
      <c r="C70" s="559" t="s">
        <v>174</v>
      </c>
      <c r="D70" s="559" t="s">
        <v>402</v>
      </c>
      <c r="E70" s="559">
        <v>1</v>
      </c>
      <c r="F70" s="18"/>
      <c r="G70" s="18"/>
      <c r="H70" s="18"/>
    </row>
    <row r="71" spans="1:22" x14ac:dyDescent="0.3">
      <c r="A71" s="116" t="str">
        <f t="shared" ref="A71:A134" si="2">LEFT(C71,3)</f>
        <v>HWA</v>
      </c>
      <c r="B71" s="60" t="str">
        <f t="shared" ref="B71:B134" si="3">A71&amp;D71</f>
        <v>HWAAll consumers</v>
      </c>
      <c r="C71" s="559" t="s">
        <v>175</v>
      </c>
      <c r="D71" s="559" t="s">
        <v>402</v>
      </c>
      <c r="E71" s="559">
        <v>1</v>
      </c>
      <c r="F71" s="18"/>
      <c r="G71" s="18"/>
      <c r="H71" s="18"/>
    </row>
    <row r="72" spans="1:22" x14ac:dyDescent="0.3">
      <c r="A72" s="116" t="str">
        <f t="shared" si="2"/>
        <v>HWA</v>
      </c>
      <c r="B72" s="60" t="str">
        <f t="shared" si="3"/>
        <v>HWAAll consumers</v>
      </c>
      <c r="C72" s="559" t="s">
        <v>176</v>
      </c>
      <c r="D72" s="559" t="s">
        <v>402</v>
      </c>
      <c r="E72" s="559">
        <v>1</v>
      </c>
      <c r="F72" s="18"/>
      <c r="G72" s="18"/>
      <c r="H72" s="18"/>
    </row>
    <row r="73" spans="1:22" x14ac:dyDescent="0.3">
      <c r="A73" s="116" t="str">
        <f t="shared" si="2"/>
        <v>HWA</v>
      </c>
      <c r="B73" s="60" t="str">
        <f t="shared" si="3"/>
        <v>HWAAll consumers</v>
      </c>
      <c r="C73" s="559" t="s">
        <v>177</v>
      </c>
      <c r="D73" s="559" t="s">
        <v>402</v>
      </c>
      <c r="E73" s="559">
        <v>1</v>
      </c>
      <c r="F73" s="18"/>
      <c r="G73" s="18"/>
      <c r="H73" s="18"/>
    </row>
    <row r="74" spans="1:22" x14ac:dyDescent="0.3">
      <c r="A74" s="116" t="str">
        <f t="shared" si="2"/>
        <v>HWA</v>
      </c>
      <c r="B74" s="60" t="str">
        <f t="shared" si="3"/>
        <v>HWAAll consumers</v>
      </c>
      <c r="C74" s="559" t="s">
        <v>181</v>
      </c>
      <c r="D74" s="559" t="s">
        <v>402</v>
      </c>
      <c r="E74" s="559">
        <v>1</v>
      </c>
      <c r="F74" s="18"/>
      <c r="G74" s="18"/>
      <c r="H74" s="18"/>
    </row>
    <row r="75" spans="1:22" x14ac:dyDescent="0.3">
      <c r="A75" s="116" t="str">
        <f t="shared" si="2"/>
        <v>HWB</v>
      </c>
      <c r="B75" s="60" t="str">
        <f t="shared" si="3"/>
        <v>HWBAll consumers</v>
      </c>
      <c r="C75" s="559" t="s">
        <v>184</v>
      </c>
      <c r="D75" s="559" t="s">
        <v>402</v>
      </c>
      <c r="E75" s="559">
        <v>1</v>
      </c>
      <c r="F75" s="18"/>
      <c r="G75" s="18"/>
      <c r="H75" s="18"/>
    </row>
    <row r="76" spans="1:22" x14ac:dyDescent="0.3">
      <c r="A76" s="116" t="str">
        <f t="shared" si="2"/>
        <v>HWB</v>
      </c>
      <c r="B76" s="60" t="str">
        <f t="shared" si="3"/>
        <v>HWBAll consumers</v>
      </c>
      <c r="C76" s="559" t="s">
        <v>186</v>
      </c>
      <c r="D76" s="559" t="s">
        <v>402</v>
      </c>
      <c r="E76" s="559">
        <v>1</v>
      </c>
      <c r="F76" s="18"/>
      <c r="G76" s="18"/>
      <c r="H76" s="18"/>
    </row>
    <row r="77" spans="1:22" x14ac:dyDescent="0.3">
      <c r="A77" s="116" t="str">
        <f t="shared" si="2"/>
        <v>HWB</v>
      </c>
      <c r="B77" s="60" t="str">
        <f t="shared" si="3"/>
        <v>HWBAll consumers</v>
      </c>
      <c r="C77" s="559" t="s">
        <v>187</v>
      </c>
      <c r="D77" s="559" t="s">
        <v>402</v>
      </c>
      <c r="E77" s="559">
        <v>1</v>
      </c>
      <c r="F77" s="18"/>
      <c r="G77" s="18"/>
      <c r="H77" s="18"/>
    </row>
    <row r="78" spans="1:22" x14ac:dyDescent="0.3">
      <c r="A78" s="116" t="str">
        <f t="shared" si="2"/>
        <v>INV</v>
      </c>
      <c r="B78" s="60" t="str">
        <f t="shared" si="3"/>
        <v>INVAll consumers</v>
      </c>
      <c r="C78" s="559" t="s">
        <v>188</v>
      </c>
      <c r="D78" s="559" t="s">
        <v>402</v>
      </c>
      <c r="E78" s="559">
        <v>1</v>
      </c>
      <c r="F78" s="18"/>
      <c r="G78" s="18"/>
      <c r="H78" s="18"/>
    </row>
    <row r="79" spans="1:22" x14ac:dyDescent="0.3">
      <c r="A79" s="116" t="str">
        <f t="shared" si="2"/>
        <v>ISL</v>
      </c>
      <c r="B79" s="60" t="str">
        <f t="shared" si="3"/>
        <v>ISLAll consumers</v>
      </c>
      <c r="C79" s="559" t="s">
        <v>189</v>
      </c>
      <c r="D79" s="559" t="s">
        <v>402</v>
      </c>
      <c r="E79" s="559">
        <v>1</v>
      </c>
      <c r="F79" s="18"/>
      <c r="G79" s="18"/>
      <c r="H79" s="18"/>
    </row>
    <row r="80" spans="1:22" x14ac:dyDescent="0.3">
      <c r="A80" s="116" t="str">
        <f t="shared" si="2"/>
        <v>ISL</v>
      </c>
      <c r="B80" s="60" t="str">
        <f t="shared" si="3"/>
        <v>ISLAll consumers</v>
      </c>
      <c r="C80" s="559" t="s">
        <v>190</v>
      </c>
      <c r="D80" s="559" t="s">
        <v>402</v>
      </c>
      <c r="E80" s="559">
        <v>1</v>
      </c>
      <c r="F80" s="18"/>
      <c r="G80" s="18"/>
      <c r="H80" s="18"/>
    </row>
    <row r="81" spans="1:8" x14ac:dyDescent="0.3">
      <c r="A81" s="116" t="str">
        <f t="shared" si="2"/>
        <v>KAI</v>
      </c>
      <c r="B81" s="60" t="str">
        <f t="shared" si="3"/>
        <v>KAIAll consumers</v>
      </c>
      <c r="C81" s="559" t="s">
        <v>191</v>
      </c>
      <c r="D81" s="559" t="s">
        <v>402</v>
      </c>
      <c r="E81" s="559">
        <v>1</v>
      </c>
      <c r="F81" s="18"/>
      <c r="G81" s="18"/>
      <c r="H81" s="18"/>
    </row>
    <row r="82" spans="1:8" x14ac:dyDescent="0.3">
      <c r="A82" s="116" t="str">
        <f t="shared" si="2"/>
        <v>KAW</v>
      </c>
      <c r="B82" s="60" t="str">
        <f t="shared" si="3"/>
        <v>KAWAll consumers</v>
      </c>
      <c r="C82" s="559" t="s">
        <v>193</v>
      </c>
      <c r="D82" s="559" t="s">
        <v>402</v>
      </c>
      <c r="E82" s="559">
        <v>1</v>
      </c>
      <c r="F82" s="18"/>
      <c r="G82" s="18"/>
      <c r="H82" s="18"/>
    </row>
    <row r="83" spans="1:8" x14ac:dyDescent="0.3">
      <c r="A83" s="116" t="str">
        <f t="shared" si="2"/>
        <v>KAW</v>
      </c>
      <c r="B83" s="60" t="str">
        <f t="shared" si="3"/>
        <v>KAWAll consumers</v>
      </c>
      <c r="C83" s="559" t="s">
        <v>368</v>
      </c>
      <c r="D83" s="559" t="s">
        <v>402</v>
      </c>
      <c r="E83" s="559">
        <v>1</v>
      </c>
      <c r="F83" s="18"/>
      <c r="G83" s="18"/>
      <c r="H83" s="18"/>
    </row>
    <row r="84" spans="1:8" x14ac:dyDescent="0.3">
      <c r="A84" s="116" t="str">
        <f t="shared" si="2"/>
        <v>KAW</v>
      </c>
      <c r="B84" s="60" t="str">
        <f t="shared" si="3"/>
        <v>KAWAll consumers</v>
      </c>
      <c r="C84" s="559" t="s">
        <v>681</v>
      </c>
      <c r="D84" s="559" t="s">
        <v>402</v>
      </c>
      <c r="E84" s="559">
        <v>1</v>
      </c>
      <c r="F84" s="18"/>
      <c r="G84" s="18"/>
      <c r="H84" s="18"/>
    </row>
    <row r="85" spans="1:8" x14ac:dyDescent="0.3">
      <c r="A85" s="116" t="str">
        <f t="shared" si="2"/>
        <v>KAW</v>
      </c>
      <c r="B85" s="60" t="str">
        <f t="shared" si="3"/>
        <v>KAWAll consumers</v>
      </c>
      <c r="C85" s="559" t="s">
        <v>369</v>
      </c>
      <c r="D85" s="559" t="s">
        <v>402</v>
      </c>
      <c r="E85" s="559">
        <v>1</v>
      </c>
      <c r="F85" s="18"/>
      <c r="G85" s="18"/>
      <c r="H85" s="18"/>
    </row>
    <row r="86" spans="1:8" x14ac:dyDescent="0.3">
      <c r="A86" s="116" t="str">
        <f t="shared" si="2"/>
        <v>KAW</v>
      </c>
      <c r="B86" s="60" t="str">
        <f t="shared" si="3"/>
        <v>KAWAll consumers</v>
      </c>
      <c r="C86" s="559" t="s">
        <v>682</v>
      </c>
      <c r="D86" s="559" t="s">
        <v>402</v>
      </c>
      <c r="E86" s="559">
        <v>1</v>
      </c>
      <c r="F86" s="18"/>
      <c r="G86" s="18"/>
      <c r="H86" s="18"/>
    </row>
    <row r="87" spans="1:8" x14ac:dyDescent="0.3">
      <c r="A87" s="116" t="str">
        <f t="shared" si="2"/>
        <v>KAW</v>
      </c>
      <c r="B87" s="60" t="str">
        <f t="shared" si="3"/>
        <v>KAWAll consumers</v>
      </c>
      <c r="C87" s="559" t="s">
        <v>370</v>
      </c>
      <c r="D87" s="559" t="s">
        <v>402</v>
      </c>
      <c r="E87" s="559">
        <v>1</v>
      </c>
      <c r="F87" s="18"/>
      <c r="G87" s="18"/>
      <c r="H87" s="18"/>
    </row>
    <row r="88" spans="1:8" x14ac:dyDescent="0.3">
      <c r="A88" s="116" t="str">
        <f t="shared" si="2"/>
        <v>KBY</v>
      </c>
      <c r="B88" s="60" t="str">
        <f t="shared" si="3"/>
        <v>KBYAll consumers</v>
      </c>
      <c r="C88" s="559" t="s">
        <v>194</v>
      </c>
      <c r="D88" s="559" t="s">
        <v>402</v>
      </c>
      <c r="E88" s="559">
        <v>1</v>
      </c>
      <c r="F88" s="18"/>
      <c r="G88" s="18"/>
      <c r="H88" s="18"/>
    </row>
    <row r="89" spans="1:8" x14ac:dyDescent="0.3">
      <c r="A89" s="116" t="str">
        <f t="shared" si="2"/>
        <v>KBY</v>
      </c>
      <c r="B89" s="60" t="str">
        <f t="shared" si="3"/>
        <v>KBYAll consumers</v>
      </c>
      <c r="C89" s="559" t="s">
        <v>195</v>
      </c>
      <c r="D89" s="559" t="s">
        <v>402</v>
      </c>
      <c r="E89" s="559">
        <v>1</v>
      </c>
      <c r="F89" s="18"/>
      <c r="G89" s="18"/>
      <c r="H89" s="18"/>
    </row>
    <row r="90" spans="1:8" x14ac:dyDescent="0.3">
      <c r="A90" s="116" t="str">
        <f t="shared" si="2"/>
        <v>KEN</v>
      </c>
      <c r="B90" s="60" t="str">
        <f t="shared" si="3"/>
        <v>KENAll consumers</v>
      </c>
      <c r="C90" s="559" t="s">
        <v>371</v>
      </c>
      <c r="D90" s="559" t="s">
        <v>402</v>
      </c>
      <c r="E90" s="559">
        <v>1</v>
      </c>
      <c r="F90" s="18"/>
      <c r="G90" s="18"/>
      <c r="H90" s="18"/>
    </row>
    <row r="91" spans="1:8" x14ac:dyDescent="0.3">
      <c r="A91" s="116" t="str">
        <f t="shared" si="2"/>
        <v>KIK</v>
      </c>
      <c r="B91" s="60" t="str">
        <f t="shared" si="3"/>
        <v>KIKAll consumers</v>
      </c>
      <c r="C91" s="559" t="s">
        <v>196</v>
      </c>
      <c r="D91" s="559" t="s">
        <v>402</v>
      </c>
      <c r="E91" s="559">
        <v>1</v>
      </c>
      <c r="F91" s="18"/>
      <c r="G91" s="18"/>
      <c r="H91" s="18"/>
    </row>
    <row r="92" spans="1:8" x14ac:dyDescent="0.3">
      <c r="A92" s="116" t="str">
        <f t="shared" si="2"/>
        <v>KIN</v>
      </c>
      <c r="B92" s="60" t="str">
        <f t="shared" si="3"/>
        <v>KINAll consumers</v>
      </c>
      <c r="C92" s="559" t="s">
        <v>372</v>
      </c>
      <c r="D92" s="559" t="s">
        <v>402</v>
      </c>
      <c r="E92" s="559">
        <v>1</v>
      </c>
      <c r="F92" s="18"/>
      <c r="G92" s="18"/>
      <c r="H92" s="18"/>
    </row>
    <row r="93" spans="1:8" x14ac:dyDescent="0.3">
      <c r="A93" s="116" t="str">
        <f t="shared" si="2"/>
        <v>KIN</v>
      </c>
      <c r="B93" s="60" t="str">
        <f t="shared" si="3"/>
        <v>KINAll consumers</v>
      </c>
      <c r="C93" s="559" t="s">
        <v>373</v>
      </c>
      <c r="D93" s="559" t="s">
        <v>402</v>
      </c>
      <c r="E93" s="559">
        <v>1</v>
      </c>
      <c r="F93" s="18"/>
      <c r="G93" s="18"/>
      <c r="H93" s="18"/>
    </row>
    <row r="94" spans="1:8" x14ac:dyDescent="0.3">
      <c r="A94" s="116" t="str">
        <f t="shared" si="2"/>
        <v>KIN</v>
      </c>
      <c r="B94" s="60" t="str">
        <f t="shared" si="3"/>
        <v>KINAll consumers</v>
      </c>
      <c r="C94" s="559" t="s">
        <v>374</v>
      </c>
      <c r="D94" s="559" t="s">
        <v>402</v>
      </c>
      <c r="E94" s="559">
        <v>1</v>
      </c>
      <c r="F94" s="18"/>
      <c r="G94" s="18"/>
      <c r="H94" s="18"/>
    </row>
    <row r="95" spans="1:8" x14ac:dyDescent="0.3">
      <c r="A95" s="116" t="str">
        <f t="shared" si="2"/>
        <v>KIN</v>
      </c>
      <c r="B95" s="60" t="str">
        <f t="shared" si="3"/>
        <v>KINAll consumers</v>
      </c>
      <c r="C95" s="559" t="s">
        <v>198</v>
      </c>
      <c r="D95" s="559" t="s">
        <v>402</v>
      </c>
      <c r="E95" s="559">
        <v>1</v>
      </c>
      <c r="F95" s="18"/>
      <c r="G95" s="18"/>
      <c r="H95" s="18"/>
    </row>
    <row r="96" spans="1:8" x14ac:dyDescent="0.3">
      <c r="A96" s="116" t="str">
        <f t="shared" si="2"/>
        <v>KMO</v>
      </c>
      <c r="B96" s="60" t="str">
        <f t="shared" si="3"/>
        <v>KMOAll consumers</v>
      </c>
      <c r="C96" s="559" t="s">
        <v>199</v>
      </c>
      <c r="D96" s="559" t="s">
        <v>402</v>
      </c>
      <c r="E96" s="559">
        <v>1</v>
      </c>
      <c r="F96" s="18"/>
      <c r="G96" s="18"/>
      <c r="H96" s="18"/>
    </row>
    <row r="97" spans="1:8" x14ac:dyDescent="0.3">
      <c r="A97" s="116" t="str">
        <f t="shared" si="2"/>
        <v>KOE</v>
      </c>
      <c r="B97" s="60" t="str">
        <f t="shared" si="3"/>
        <v>KOEAll consumers</v>
      </c>
      <c r="C97" s="559" t="s">
        <v>200</v>
      </c>
      <c r="D97" s="559" t="s">
        <v>402</v>
      </c>
      <c r="E97" s="559">
        <v>1</v>
      </c>
      <c r="F97" s="18"/>
      <c r="G97" s="18"/>
      <c r="H97" s="18"/>
    </row>
    <row r="98" spans="1:8" x14ac:dyDescent="0.3">
      <c r="A98" s="116" t="str">
        <f t="shared" si="2"/>
        <v>KPA</v>
      </c>
      <c r="B98" s="60" t="str">
        <f t="shared" si="3"/>
        <v>KPAAll consumers</v>
      </c>
      <c r="C98" s="559" t="s">
        <v>375</v>
      </c>
      <c r="D98" s="559" t="s">
        <v>402</v>
      </c>
      <c r="E98" s="559">
        <v>1</v>
      </c>
      <c r="F98" s="18"/>
      <c r="G98" s="18"/>
      <c r="H98" s="18"/>
    </row>
    <row r="99" spans="1:8" x14ac:dyDescent="0.3">
      <c r="A99" s="116" t="str">
        <f t="shared" si="2"/>
        <v>KPU</v>
      </c>
      <c r="B99" s="60" t="str">
        <f t="shared" si="3"/>
        <v>KPUAll consumers</v>
      </c>
      <c r="C99" s="559" t="s">
        <v>204</v>
      </c>
      <c r="D99" s="559" t="s">
        <v>402</v>
      </c>
      <c r="E99" s="559">
        <v>1</v>
      </c>
      <c r="F99" s="18"/>
      <c r="G99" s="18"/>
      <c r="H99" s="18"/>
    </row>
    <row r="100" spans="1:8" x14ac:dyDescent="0.3">
      <c r="A100" s="116" t="str">
        <f t="shared" si="2"/>
        <v>KUM</v>
      </c>
      <c r="B100" s="60" t="str">
        <f t="shared" si="3"/>
        <v>KUMAll consumers</v>
      </c>
      <c r="C100" s="559" t="s">
        <v>205</v>
      </c>
      <c r="D100" s="559" t="s">
        <v>402</v>
      </c>
      <c r="E100" s="559">
        <v>1</v>
      </c>
      <c r="F100" s="18"/>
      <c r="G100" s="18"/>
      <c r="H100" s="18"/>
    </row>
    <row r="101" spans="1:8" x14ac:dyDescent="0.3">
      <c r="A101" s="116" t="str">
        <f t="shared" si="2"/>
        <v>KWA</v>
      </c>
      <c r="B101" s="60" t="str">
        <f t="shared" si="3"/>
        <v>KWAAll consumers</v>
      </c>
      <c r="C101" s="559" t="s">
        <v>207</v>
      </c>
      <c r="D101" s="559" t="s">
        <v>402</v>
      </c>
      <c r="E101" s="559">
        <v>1</v>
      </c>
      <c r="F101" s="18"/>
      <c r="G101" s="18"/>
      <c r="H101" s="18"/>
    </row>
    <row r="102" spans="1:8" x14ac:dyDescent="0.3">
      <c r="A102" s="116" t="str">
        <f t="shared" si="2"/>
        <v>LFD</v>
      </c>
      <c r="B102" s="60" t="str">
        <f t="shared" si="3"/>
        <v>LFDAll consumers</v>
      </c>
      <c r="C102" s="559" t="s">
        <v>208</v>
      </c>
      <c r="D102" s="559" t="s">
        <v>402</v>
      </c>
      <c r="E102" s="559">
        <v>1</v>
      </c>
      <c r="F102" s="18"/>
      <c r="G102" s="18"/>
      <c r="H102" s="18"/>
    </row>
    <row r="103" spans="1:8" x14ac:dyDescent="0.3">
      <c r="A103" s="116" t="str">
        <f t="shared" si="2"/>
        <v>LFD</v>
      </c>
      <c r="B103" s="60" t="str">
        <f t="shared" si="3"/>
        <v>LFDAll consumers</v>
      </c>
      <c r="C103" s="559" t="s">
        <v>209</v>
      </c>
      <c r="D103" s="559" t="s">
        <v>402</v>
      </c>
      <c r="E103" s="559">
        <v>1</v>
      </c>
      <c r="F103" s="18"/>
      <c r="G103" s="18"/>
      <c r="H103" s="18"/>
    </row>
    <row r="104" spans="1:8" x14ac:dyDescent="0.3">
      <c r="A104" s="116" t="str">
        <f t="shared" si="2"/>
        <v>LTN</v>
      </c>
      <c r="B104" s="60" t="str">
        <f t="shared" si="3"/>
        <v>LTNAll consumers</v>
      </c>
      <c r="C104" s="559" t="s">
        <v>210</v>
      </c>
      <c r="D104" s="559" t="s">
        <v>402</v>
      </c>
      <c r="E104" s="559">
        <v>1</v>
      </c>
      <c r="F104" s="18"/>
      <c r="G104" s="18"/>
      <c r="H104" s="18"/>
    </row>
    <row r="105" spans="1:8" x14ac:dyDescent="0.3">
      <c r="A105" s="116" t="str">
        <f t="shared" si="2"/>
        <v>LTN</v>
      </c>
      <c r="B105" s="60" t="str">
        <f t="shared" si="3"/>
        <v>LTNAll consumers</v>
      </c>
      <c r="C105" s="559" t="s">
        <v>211</v>
      </c>
      <c r="D105" s="559" t="s">
        <v>402</v>
      </c>
      <c r="E105" s="559">
        <v>1</v>
      </c>
      <c r="F105" s="18"/>
      <c r="G105" s="18"/>
      <c r="H105" s="18"/>
    </row>
    <row r="106" spans="1:8" x14ac:dyDescent="0.3">
      <c r="A106" s="116" t="str">
        <f t="shared" si="2"/>
        <v>MAN</v>
      </c>
      <c r="B106" s="60" t="str">
        <f t="shared" si="3"/>
        <v>MANAll consumers</v>
      </c>
      <c r="C106" s="559" t="s">
        <v>376</v>
      </c>
      <c r="D106" s="559" t="s">
        <v>402</v>
      </c>
      <c r="E106" s="559">
        <v>1</v>
      </c>
      <c r="F106" s="18"/>
      <c r="G106" s="18"/>
      <c r="H106" s="18"/>
    </row>
    <row r="107" spans="1:8" x14ac:dyDescent="0.3">
      <c r="A107" s="116" t="str">
        <f t="shared" si="2"/>
        <v>MAT</v>
      </c>
      <c r="B107" s="60" t="str">
        <f t="shared" si="3"/>
        <v>MATAll consumers</v>
      </c>
      <c r="C107" s="559" t="s">
        <v>213</v>
      </c>
      <c r="D107" s="559" t="s">
        <v>402</v>
      </c>
      <c r="E107" s="559">
        <v>1</v>
      </c>
      <c r="F107" s="18"/>
      <c r="G107" s="18"/>
      <c r="H107" s="18"/>
    </row>
    <row r="108" spans="1:8" x14ac:dyDescent="0.3">
      <c r="A108" s="116" t="str">
        <f t="shared" si="2"/>
        <v>MCH</v>
      </c>
      <c r="B108" s="60" t="str">
        <f t="shared" si="3"/>
        <v>MCHAll consumers</v>
      </c>
      <c r="C108" s="559" t="s">
        <v>217</v>
      </c>
      <c r="D108" s="559" t="s">
        <v>402</v>
      </c>
      <c r="E108" s="559">
        <v>1</v>
      </c>
      <c r="F108" s="18"/>
      <c r="G108" s="18"/>
      <c r="H108" s="18"/>
    </row>
    <row r="109" spans="1:8" x14ac:dyDescent="0.3">
      <c r="A109" s="116" t="str">
        <f t="shared" si="2"/>
        <v>MER</v>
      </c>
      <c r="B109" s="60" t="str">
        <f t="shared" si="3"/>
        <v>MERAll consumers</v>
      </c>
      <c r="C109" s="559" t="s">
        <v>218</v>
      </c>
      <c r="D109" s="559" t="s">
        <v>402</v>
      </c>
      <c r="E109" s="559">
        <v>1</v>
      </c>
      <c r="F109" s="18"/>
      <c r="G109" s="18"/>
      <c r="H109" s="18"/>
    </row>
    <row r="110" spans="1:8" x14ac:dyDescent="0.3">
      <c r="A110" s="116" t="str">
        <f t="shared" si="2"/>
        <v>MGM</v>
      </c>
      <c r="B110" s="60" t="str">
        <f t="shared" si="3"/>
        <v>MGMAll consumers</v>
      </c>
      <c r="C110" s="559" t="s">
        <v>219</v>
      </c>
      <c r="D110" s="559" t="s">
        <v>402</v>
      </c>
      <c r="E110" s="559">
        <v>1</v>
      </c>
      <c r="F110" s="18"/>
      <c r="G110" s="18"/>
      <c r="H110" s="18"/>
    </row>
    <row r="111" spans="1:8" x14ac:dyDescent="0.3">
      <c r="A111" s="116" t="str">
        <f t="shared" si="2"/>
        <v>MHO</v>
      </c>
      <c r="B111" s="60" t="str">
        <f t="shared" si="3"/>
        <v>MHOAll consumers</v>
      </c>
      <c r="C111" s="559" t="s">
        <v>220</v>
      </c>
      <c r="D111" s="559" t="s">
        <v>402</v>
      </c>
      <c r="E111" s="559">
        <v>1</v>
      </c>
      <c r="F111" s="18"/>
      <c r="G111" s="18"/>
      <c r="H111" s="18"/>
    </row>
    <row r="112" spans="1:8" x14ac:dyDescent="0.3">
      <c r="A112" s="116" t="str">
        <f t="shared" si="2"/>
        <v>MKE</v>
      </c>
      <c r="B112" s="60" t="str">
        <f t="shared" si="3"/>
        <v>MKEAll consumers</v>
      </c>
      <c r="C112" s="559" t="s">
        <v>222</v>
      </c>
      <c r="D112" s="559" t="s">
        <v>402</v>
      </c>
      <c r="E112" s="559">
        <v>1</v>
      </c>
      <c r="F112" s="18"/>
      <c r="G112" s="18"/>
      <c r="H112" s="18"/>
    </row>
    <row r="113" spans="1:8" x14ac:dyDescent="0.3">
      <c r="A113" s="116" t="str">
        <f t="shared" si="2"/>
        <v>MLG</v>
      </c>
      <c r="B113" s="60" t="str">
        <f t="shared" si="3"/>
        <v>MLGAll consumers</v>
      </c>
      <c r="C113" s="559" t="s">
        <v>224</v>
      </c>
      <c r="D113" s="559" t="s">
        <v>402</v>
      </c>
      <c r="E113" s="559">
        <v>1</v>
      </c>
      <c r="F113" s="18"/>
      <c r="G113" s="18"/>
      <c r="H113" s="18"/>
    </row>
    <row r="114" spans="1:8" x14ac:dyDescent="0.3">
      <c r="A114" s="116" t="str">
        <f t="shared" si="2"/>
        <v>MLG</v>
      </c>
      <c r="B114" s="60" t="str">
        <f t="shared" si="3"/>
        <v>MLGAll consumers</v>
      </c>
      <c r="C114" s="559" t="s">
        <v>225</v>
      </c>
      <c r="D114" s="559" t="s">
        <v>402</v>
      </c>
      <c r="E114" s="559">
        <v>1</v>
      </c>
      <c r="F114" s="18"/>
      <c r="G114" s="18"/>
      <c r="H114" s="18"/>
    </row>
    <row r="115" spans="1:8" x14ac:dyDescent="0.3">
      <c r="A115" s="116" t="str">
        <f t="shared" si="2"/>
        <v>MLN</v>
      </c>
      <c r="B115" s="60" t="str">
        <f t="shared" si="3"/>
        <v>MLNAll consumers</v>
      </c>
      <c r="C115" s="559" t="s">
        <v>377</v>
      </c>
      <c r="D115" s="559" t="s">
        <v>402</v>
      </c>
      <c r="E115" s="559">
        <v>1</v>
      </c>
      <c r="F115" s="18"/>
      <c r="G115" s="18"/>
      <c r="H115" s="18"/>
    </row>
    <row r="116" spans="1:8" x14ac:dyDescent="0.3">
      <c r="A116" s="116" t="str">
        <f t="shared" si="2"/>
        <v>MLN</v>
      </c>
      <c r="B116" s="60" t="str">
        <f t="shared" si="3"/>
        <v>MLNAll consumers</v>
      </c>
      <c r="C116" s="559" t="s">
        <v>378</v>
      </c>
      <c r="D116" s="559" t="s">
        <v>402</v>
      </c>
      <c r="E116" s="559">
        <v>1</v>
      </c>
      <c r="F116" s="18"/>
      <c r="G116" s="18"/>
      <c r="H116" s="18"/>
    </row>
    <row r="117" spans="1:8" x14ac:dyDescent="0.3">
      <c r="A117" s="116" t="str">
        <f t="shared" si="2"/>
        <v>MNG</v>
      </c>
      <c r="B117" s="60" t="str">
        <f t="shared" si="3"/>
        <v>MNGAll consumers</v>
      </c>
      <c r="C117" s="559" t="s">
        <v>226</v>
      </c>
      <c r="D117" s="559" t="s">
        <v>402</v>
      </c>
      <c r="E117" s="559">
        <v>1</v>
      </c>
      <c r="F117" s="18"/>
      <c r="G117" s="18"/>
      <c r="H117" s="18"/>
    </row>
    <row r="118" spans="1:8" x14ac:dyDescent="0.3">
      <c r="A118" s="116" t="str">
        <f t="shared" si="2"/>
        <v>MNG</v>
      </c>
      <c r="B118" s="60" t="str">
        <f t="shared" si="3"/>
        <v>MNGAll consumers</v>
      </c>
      <c r="C118" s="559" t="s">
        <v>227</v>
      </c>
      <c r="D118" s="559" t="s">
        <v>402</v>
      </c>
      <c r="E118" s="559">
        <v>1</v>
      </c>
      <c r="F118" s="18"/>
      <c r="G118" s="18"/>
      <c r="H118" s="18"/>
    </row>
    <row r="119" spans="1:8" x14ac:dyDescent="0.3">
      <c r="A119" s="116" t="str">
        <f t="shared" si="2"/>
        <v>MNI</v>
      </c>
      <c r="B119" s="60" t="str">
        <f t="shared" si="3"/>
        <v>MNIAll consumers</v>
      </c>
      <c r="C119" s="559" t="s">
        <v>228</v>
      </c>
      <c r="D119" s="559" t="s">
        <v>402</v>
      </c>
      <c r="E119" s="559">
        <v>1</v>
      </c>
      <c r="F119" s="18"/>
      <c r="G119" s="18"/>
      <c r="H119" s="18"/>
    </row>
    <row r="120" spans="1:8" x14ac:dyDescent="0.3">
      <c r="A120" s="116" t="str">
        <f t="shared" si="2"/>
        <v>MOT</v>
      </c>
      <c r="B120" s="60" t="str">
        <f t="shared" si="3"/>
        <v>MOTAll consumers</v>
      </c>
      <c r="C120" s="559" t="s">
        <v>379</v>
      </c>
      <c r="D120" s="559" t="s">
        <v>402</v>
      </c>
      <c r="E120" s="559">
        <v>1</v>
      </c>
      <c r="F120" s="18"/>
      <c r="G120" s="18"/>
      <c r="H120" s="18"/>
    </row>
    <row r="121" spans="1:8" x14ac:dyDescent="0.3">
      <c r="A121" s="116" t="str">
        <f t="shared" si="2"/>
        <v>MPE</v>
      </c>
      <c r="B121" s="60" t="str">
        <f t="shared" si="3"/>
        <v>MPEAll consumers</v>
      </c>
      <c r="C121" s="559" t="s">
        <v>229</v>
      </c>
      <c r="D121" s="559" t="s">
        <v>402</v>
      </c>
      <c r="E121" s="559">
        <v>1</v>
      </c>
      <c r="F121" s="18"/>
      <c r="G121" s="18"/>
      <c r="H121" s="18"/>
    </row>
    <row r="122" spans="1:8" x14ac:dyDescent="0.3">
      <c r="A122" s="116" t="str">
        <f t="shared" si="2"/>
        <v>MPI</v>
      </c>
      <c r="B122" s="60" t="str">
        <f t="shared" si="3"/>
        <v>MPIAll consumers</v>
      </c>
      <c r="C122" s="559" t="s">
        <v>380</v>
      </c>
      <c r="D122" s="559" t="s">
        <v>402</v>
      </c>
      <c r="E122" s="559">
        <v>1</v>
      </c>
      <c r="F122" s="18"/>
      <c r="G122" s="18"/>
      <c r="H122" s="18"/>
    </row>
    <row r="123" spans="1:8" x14ac:dyDescent="0.3">
      <c r="A123" s="116" t="str">
        <f t="shared" si="2"/>
        <v>MST</v>
      </c>
      <c r="B123" s="60" t="str">
        <f t="shared" si="3"/>
        <v>MSTAll consumers</v>
      </c>
      <c r="C123" s="559" t="s">
        <v>230</v>
      </c>
      <c r="D123" s="559" t="s">
        <v>402</v>
      </c>
      <c r="E123" s="559">
        <v>1</v>
      </c>
      <c r="F123" s="18"/>
      <c r="G123" s="18"/>
      <c r="H123" s="18"/>
    </row>
    <row r="124" spans="1:8" x14ac:dyDescent="0.3">
      <c r="A124" s="116" t="str">
        <f t="shared" si="2"/>
        <v>MTM</v>
      </c>
      <c r="B124" s="60" t="str">
        <f t="shared" si="3"/>
        <v>MTMAll consumers</v>
      </c>
      <c r="C124" s="559" t="s">
        <v>232</v>
      </c>
      <c r="D124" s="559" t="s">
        <v>402</v>
      </c>
      <c r="E124" s="559">
        <v>1</v>
      </c>
      <c r="F124" s="18"/>
      <c r="G124" s="18"/>
      <c r="H124" s="18"/>
    </row>
    <row r="125" spans="1:8" x14ac:dyDescent="0.3">
      <c r="A125" s="116" t="str">
        <f t="shared" si="2"/>
        <v>MTN</v>
      </c>
      <c r="B125" s="60" t="str">
        <f t="shared" si="3"/>
        <v>MTNAll consumers</v>
      </c>
      <c r="C125" s="559" t="s">
        <v>233</v>
      </c>
      <c r="D125" s="559" t="s">
        <v>402</v>
      </c>
      <c r="E125" s="559">
        <v>1</v>
      </c>
      <c r="F125" s="18"/>
      <c r="G125" s="18"/>
      <c r="H125" s="18"/>
    </row>
    <row r="126" spans="1:8" x14ac:dyDescent="0.3">
      <c r="A126" s="116" t="str">
        <f t="shared" si="2"/>
        <v>MTO</v>
      </c>
      <c r="B126" s="60" t="str">
        <f t="shared" si="3"/>
        <v>MTOAll consumers</v>
      </c>
      <c r="C126" s="559" t="s">
        <v>234</v>
      </c>
      <c r="D126" s="559" t="s">
        <v>402</v>
      </c>
      <c r="E126" s="559">
        <v>1</v>
      </c>
      <c r="F126" s="18"/>
      <c r="G126" s="18"/>
      <c r="H126" s="18"/>
    </row>
    <row r="127" spans="1:8" x14ac:dyDescent="0.3">
      <c r="A127" s="116" t="str">
        <f t="shared" si="2"/>
        <v>MTR</v>
      </c>
      <c r="B127" s="60" t="str">
        <f t="shared" si="3"/>
        <v>MTRAll consumers</v>
      </c>
      <c r="C127" s="559" t="s">
        <v>235</v>
      </c>
      <c r="D127" s="559" t="s">
        <v>402</v>
      </c>
      <c r="E127" s="559">
        <v>1</v>
      </c>
      <c r="F127" s="18"/>
      <c r="G127" s="18"/>
      <c r="H127" s="18"/>
    </row>
    <row r="128" spans="1:8" x14ac:dyDescent="0.3">
      <c r="A128" s="116" t="str">
        <f t="shared" si="2"/>
        <v>NAP</v>
      </c>
      <c r="B128" s="60" t="str">
        <f t="shared" si="3"/>
        <v>NAPAll consumers</v>
      </c>
      <c r="C128" s="559" t="s">
        <v>236</v>
      </c>
      <c r="D128" s="559" t="s">
        <v>402</v>
      </c>
      <c r="E128" s="559">
        <v>1</v>
      </c>
      <c r="F128" s="18"/>
      <c r="G128" s="18"/>
      <c r="H128" s="18"/>
    </row>
    <row r="129" spans="1:8" x14ac:dyDescent="0.3">
      <c r="A129" s="116" t="str">
        <f t="shared" si="2"/>
        <v>NAP</v>
      </c>
      <c r="B129" s="60" t="str">
        <f t="shared" si="3"/>
        <v>NAPAll consumers</v>
      </c>
      <c r="C129" s="559" t="s">
        <v>238</v>
      </c>
      <c r="D129" s="559" t="s">
        <v>402</v>
      </c>
      <c r="E129" s="559">
        <v>1</v>
      </c>
      <c r="F129" s="18"/>
      <c r="G129" s="18"/>
      <c r="H129" s="18"/>
    </row>
    <row r="130" spans="1:8" x14ac:dyDescent="0.3">
      <c r="A130" s="116" t="str">
        <f t="shared" si="2"/>
        <v>NMA</v>
      </c>
      <c r="B130" s="60" t="str">
        <f t="shared" si="3"/>
        <v>NMAAll consumers</v>
      </c>
      <c r="C130" s="559" t="s">
        <v>240</v>
      </c>
      <c r="D130" s="559" t="s">
        <v>402</v>
      </c>
      <c r="E130" s="559">
        <v>1</v>
      </c>
      <c r="F130" s="18"/>
      <c r="G130" s="18"/>
      <c r="H130" s="18"/>
    </row>
    <row r="131" spans="1:8" x14ac:dyDescent="0.3">
      <c r="A131" s="116" t="str">
        <f t="shared" si="2"/>
        <v>NPK</v>
      </c>
      <c r="B131" s="60" t="str">
        <f t="shared" si="3"/>
        <v>NPKAll consumers</v>
      </c>
      <c r="C131" s="559" t="s">
        <v>242</v>
      </c>
      <c r="D131" s="559" t="s">
        <v>402</v>
      </c>
      <c r="E131" s="559">
        <v>1</v>
      </c>
      <c r="F131" s="18"/>
      <c r="G131" s="18"/>
      <c r="H131" s="18"/>
    </row>
    <row r="132" spans="1:8" x14ac:dyDescent="0.3">
      <c r="A132" s="116" t="str">
        <f t="shared" si="2"/>
        <v>NPL</v>
      </c>
      <c r="B132" s="60" t="str">
        <f t="shared" si="3"/>
        <v>NPLAll consumers</v>
      </c>
      <c r="C132" s="559" t="s">
        <v>243</v>
      </c>
      <c r="D132" s="559" t="s">
        <v>402</v>
      </c>
      <c r="E132" s="559">
        <v>1</v>
      </c>
      <c r="F132" s="18"/>
      <c r="G132" s="18"/>
      <c r="H132" s="18"/>
    </row>
    <row r="133" spans="1:8" x14ac:dyDescent="0.3">
      <c r="A133" s="116" t="str">
        <f t="shared" si="2"/>
        <v>NSY</v>
      </c>
      <c r="B133" s="60" t="str">
        <f t="shared" si="3"/>
        <v>NSYAll consumers</v>
      </c>
      <c r="C133" s="559" t="s">
        <v>244</v>
      </c>
      <c r="D133" s="559" t="s">
        <v>402</v>
      </c>
      <c r="E133" s="559">
        <v>1</v>
      </c>
      <c r="F133" s="18"/>
      <c r="G133" s="18"/>
      <c r="H133" s="18"/>
    </row>
    <row r="134" spans="1:8" x14ac:dyDescent="0.3">
      <c r="A134" s="116" t="str">
        <f t="shared" si="2"/>
        <v>OAM</v>
      </c>
      <c r="B134" s="60" t="str">
        <f t="shared" si="3"/>
        <v>OAMAll consumers</v>
      </c>
      <c r="C134" s="559" t="s">
        <v>246</v>
      </c>
      <c r="D134" s="559" t="s">
        <v>402</v>
      </c>
      <c r="E134" s="559">
        <v>1</v>
      </c>
      <c r="F134" s="18"/>
      <c r="G134" s="18"/>
      <c r="H134" s="18"/>
    </row>
    <row r="135" spans="1:8" x14ac:dyDescent="0.3">
      <c r="A135" s="116" t="str">
        <f t="shared" ref="A135:A198" si="4">LEFT(C135,3)</f>
        <v>OKN</v>
      </c>
      <c r="B135" s="60" t="str">
        <f t="shared" ref="B135:B198" si="5">A135&amp;D135</f>
        <v>OKNAll consumers</v>
      </c>
      <c r="C135" s="559" t="s">
        <v>252</v>
      </c>
      <c r="D135" s="559" t="s">
        <v>402</v>
      </c>
      <c r="E135" s="559">
        <v>1</v>
      </c>
      <c r="F135" s="18"/>
      <c r="G135" s="18"/>
      <c r="H135" s="18"/>
    </row>
    <row r="136" spans="1:8" x14ac:dyDescent="0.3">
      <c r="A136" s="116" t="str">
        <f t="shared" si="4"/>
        <v>ONG</v>
      </c>
      <c r="B136" s="60" t="str">
        <f t="shared" si="5"/>
        <v>ONGAll consumers</v>
      </c>
      <c r="C136" s="559" t="s">
        <v>253</v>
      </c>
      <c r="D136" s="559" t="s">
        <v>402</v>
      </c>
      <c r="E136" s="559">
        <v>1</v>
      </c>
      <c r="F136" s="18"/>
      <c r="G136" s="18"/>
      <c r="H136" s="18"/>
    </row>
    <row r="137" spans="1:8" x14ac:dyDescent="0.3">
      <c r="A137" s="116" t="str">
        <f t="shared" si="4"/>
        <v>OPK</v>
      </c>
      <c r="B137" s="60" t="str">
        <f t="shared" si="5"/>
        <v>OPKAll consumers</v>
      </c>
      <c r="C137" s="559" t="s">
        <v>254</v>
      </c>
      <c r="D137" s="559" t="s">
        <v>402</v>
      </c>
      <c r="E137" s="559">
        <v>1</v>
      </c>
      <c r="F137" s="18"/>
      <c r="G137" s="18"/>
      <c r="H137" s="18"/>
    </row>
    <row r="138" spans="1:8" x14ac:dyDescent="0.3">
      <c r="A138" s="116" t="str">
        <f t="shared" si="4"/>
        <v>ORO</v>
      </c>
      <c r="B138" s="60" t="str">
        <f t="shared" si="5"/>
        <v>OROAll consumers</v>
      </c>
      <c r="C138" s="559" t="s">
        <v>255</v>
      </c>
      <c r="D138" s="559" t="s">
        <v>402</v>
      </c>
      <c r="E138" s="559">
        <v>1</v>
      </c>
      <c r="F138" s="18"/>
      <c r="G138" s="18"/>
      <c r="H138" s="18"/>
    </row>
    <row r="139" spans="1:8" x14ac:dyDescent="0.3">
      <c r="A139" s="116" t="str">
        <f t="shared" si="4"/>
        <v>ORO</v>
      </c>
      <c r="B139" s="60" t="str">
        <f t="shared" si="5"/>
        <v>OROAll consumers</v>
      </c>
      <c r="C139" s="559" t="s">
        <v>256</v>
      </c>
      <c r="D139" s="559" t="s">
        <v>402</v>
      </c>
      <c r="E139" s="559">
        <v>1</v>
      </c>
      <c r="F139" s="18"/>
      <c r="G139" s="18"/>
      <c r="H139" s="18"/>
    </row>
    <row r="140" spans="1:8" x14ac:dyDescent="0.3">
      <c r="A140" s="116" t="str">
        <f t="shared" si="4"/>
        <v>OTA</v>
      </c>
      <c r="B140" s="60" t="str">
        <f t="shared" si="5"/>
        <v>OTAAll consumers</v>
      </c>
      <c r="C140" s="559" t="s">
        <v>257</v>
      </c>
      <c r="D140" s="559" t="s">
        <v>402</v>
      </c>
      <c r="E140" s="559">
        <v>1</v>
      </c>
      <c r="F140" s="18"/>
      <c r="G140" s="18"/>
      <c r="H140" s="18"/>
    </row>
    <row r="141" spans="1:8" x14ac:dyDescent="0.3">
      <c r="A141" s="116" t="str">
        <f t="shared" si="4"/>
        <v>OTA</v>
      </c>
      <c r="B141" s="60" t="str">
        <f t="shared" si="5"/>
        <v>OTAAll consumers</v>
      </c>
      <c r="C141" s="559" t="s">
        <v>381</v>
      </c>
      <c r="D141" s="559" t="s">
        <v>402</v>
      </c>
      <c r="E141" s="559">
        <v>1</v>
      </c>
      <c r="F141" s="18"/>
      <c r="G141" s="18"/>
      <c r="H141" s="18"/>
    </row>
    <row r="142" spans="1:8" x14ac:dyDescent="0.3">
      <c r="A142" s="116" t="str">
        <f t="shared" si="4"/>
        <v>OTA</v>
      </c>
      <c r="B142" s="60" t="str">
        <f t="shared" si="5"/>
        <v>OTAAll consumers</v>
      </c>
      <c r="C142" s="559" t="s">
        <v>382</v>
      </c>
      <c r="D142" s="559" t="s">
        <v>402</v>
      </c>
      <c r="E142" s="559">
        <v>1</v>
      </c>
      <c r="F142" s="18"/>
      <c r="G142" s="18"/>
      <c r="H142" s="18"/>
    </row>
    <row r="143" spans="1:8" x14ac:dyDescent="0.3">
      <c r="A143" s="116" t="str">
        <f t="shared" si="4"/>
        <v>OTI</v>
      </c>
      <c r="B143" s="60" t="str">
        <f t="shared" si="5"/>
        <v>OTIAll consumers</v>
      </c>
      <c r="C143" s="559" t="s">
        <v>258</v>
      </c>
      <c r="D143" s="559" t="s">
        <v>402</v>
      </c>
      <c r="E143" s="559">
        <v>1</v>
      </c>
      <c r="F143" s="18"/>
      <c r="G143" s="18"/>
      <c r="H143" s="18"/>
    </row>
    <row r="144" spans="1:8" x14ac:dyDescent="0.3">
      <c r="A144" s="116" t="str">
        <f t="shared" si="4"/>
        <v>OWH</v>
      </c>
      <c r="B144" s="60" t="str">
        <f t="shared" si="5"/>
        <v>OWHAll consumers</v>
      </c>
      <c r="C144" s="559" t="s">
        <v>259</v>
      </c>
      <c r="D144" s="559" t="s">
        <v>402</v>
      </c>
      <c r="E144" s="559">
        <v>1</v>
      </c>
      <c r="F144" s="18"/>
      <c r="G144" s="18"/>
      <c r="H144" s="18"/>
    </row>
    <row r="145" spans="1:8" x14ac:dyDescent="0.3">
      <c r="A145" s="116" t="str">
        <f t="shared" si="4"/>
        <v>PAK</v>
      </c>
      <c r="B145" s="60" t="str">
        <f t="shared" si="5"/>
        <v>PAKAll consumers</v>
      </c>
      <c r="C145" s="559" t="s">
        <v>260</v>
      </c>
      <c r="D145" s="559" t="s">
        <v>402</v>
      </c>
      <c r="E145" s="559">
        <v>1</v>
      </c>
      <c r="F145" s="18"/>
      <c r="G145" s="18"/>
      <c r="H145" s="18"/>
    </row>
    <row r="146" spans="1:8" x14ac:dyDescent="0.3">
      <c r="A146" s="116" t="str">
        <f t="shared" si="4"/>
        <v>PAL</v>
      </c>
      <c r="B146" s="60" t="str">
        <f t="shared" si="5"/>
        <v>PALAll consumers</v>
      </c>
      <c r="C146" s="559" t="s">
        <v>383</v>
      </c>
      <c r="D146" s="559" t="s">
        <v>402</v>
      </c>
      <c r="E146" s="559">
        <v>1</v>
      </c>
      <c r="F146" s="18"/>
      <c r="G146" s="18"/>
      <c r="H146" s="18"/>
    </row>
    <row r="147" spans="1:8" x14ac:dyDescent="0.3">
      <c r="A147" s="116" t="str">
        <f t="shared" si="4"/>
        <v>PAO</v>
      </c>
      <c r="B147" s="60" t="str">
        <f t="shared" si="5"/>
        <v>PAOAll consumers</v>
      </c>
      <c r="C147" s="559" t="s">
        <v>261</v>
      </c>
      <c r="D147" s="559" t="s">
        <v>402</v>
      </c>
      <c r="E147" s="559">
        <v>1</v>
      </c>
      <c r="F147" s="18"/>
      <c r="G147" s="18"/>
      <c r="H147" s="18"/>
    </row>
    <row r="148" spans="1:8" x14ac:dyDescent="0.3">
      <c r="A148" s="116" t="str">
        <f t="shared" si="4"/>
        <v>PEN</v>
      </c>
      <c r="B148" s="60" t="str">
        <f t="shared" si="5"/>
        <v>PENAll consumers</v>
      </c>
      <c r="C148" s="559" t="s">
        <v>262</v>
      </c>
      <c r="D148" s="559" t="s">
        <v>402</v>
      </c>
      <c r="E148" s="559">
        <v>1</v>
      </c>
      <c r="F148" s="18"/>
      <c r="G148" s="18"/>
      <c r="H148" s="18"/>
    </row>
    <row r="149" spans="1:8" x14ac:dyDescent="0.3">
      <c r="A149" s="116" t="str">
        <f t="shared" si="4"/>
        <v>PEN</v>
      </c>
      <c r="B149" s="60" t="str">
        <f t="shared" si="5"/>
        <v>PENAll consumers</v>
      </c>
      <c r="C149" s="559" t="s">
        <v>263</v>
      </c>
      <c r="D149" s="559" t="s">
        <v>402</v>
      </c>
      <c r="E149" s="559">
        <v>1</v>
      </c>
      <c r="F149" s="18"/>
      <c r="G149" s="18"/>
      <c r="H149" s="18"/>
    </row>
    <row r="150" spans="1:8" x14ac:dyDescent="0.3">
      <c r="A150" s="116" t="str">
        <f t="shared" si="4"/>
        <v>PEN</v>
      </c>
      <c r="B150" s="60" t="str">
        <f t="shared" si="5"/>
        <v>PENAll consumers</v>
      </c>
      <c r="C150" s="559" t="s">
        <v>264</v>
      </c>
      <c r="D150" s="559" t="s">
        <v>402</v>
      </c>
      <c r="E150" s="559">
        <v>1</v>
      </c>
      <c r="F150" s="18"/>
      <c r="G150" s="18"/>
      <c r="H150" s="18"/>
    </row>
    <row r="151" spans="1:8" x14ac:dyDescent="0.3">
      <c r="A151" s="116" t="str">
        <f t="shared" si="4"/>
        <v>PEN</v>
      </c>
      <c r="B151" s="60" t="str">
        <f t="shared" si="5"/>
        <v>PENAll consumers</v>
      </c>
      <c r="C151" s="559" t="s">
        <v>265</v>
      </c>
      <c r="D151" s="559" t="s">
        <v>402</v>
      </c>
      <c r="E151" s="559">
        <v>1</v>
      </c>
      <c r="F151" s="18"/>
      <c r="G151" s="18"/>
      <c r="H151" s="18"/>
    </row>
    <row r="152" spans="1:8" x14ac:dyDescent="0.3">
      <c r="A152" s="116" t="str">
        <f t="shared" si="4"/>
        <v>PNI</v>
      </c>
      <c r="B152" s="60" t="str">
        <f t="shared" si="5"/>
        <v>PNIAll consumers</v>
      </c>
      <c r="C152" s="559" t="s">
        <v>266</v>
      </c>
      <c r="D152" s="559" t="s">
        <v>402</v>
      </c>
      <c r="E152" s="559">
        <v>1</v>
      </c>
      <c r="F152" s="18"/>
      <c r="G152" s="18"/>
      <c r="H152" s="18"/>
    </row>
    <row r="153" spans="1:8" x14ac:dyDescent="0.3">
      <c r="A153" s="116" t="str">
        <f t="shared" si="4"/>
        <v>PPI</v>
      </c>
      <c r="B153" s="60" t="str">
        <f t="shared" si="5"/>
        <v>PPIAll consumers</v>
      </c>
      <c r="C153" s="559" t="s">
        <v>267</v>
      </c>
      <c r="D153" s="559" t="s">
        <v>402</v>
      </c>
      <c r="E153" s="559">
        <v>1</v>
      </c>
      <c r="F153" s="18"/>
      <c r="G153" s="18"/>
      <c r="H153" s="18"/>
    </row>
    <row r="154" spans="1:8" x14ac:dyDescent="0.3">
      <c r="A154" s="116" t="str">
        <f t="shared" si="4"/>
        <v>PRM</v>
      </c>
      <c r="B154" s="60" t="str">
        <f t="shared" si="5"/>
        <v>PRMAll consumers</v>
      </c>
      <c r="C154" s="559" t="s">
        <v>269</v>
      </c>
      <c r="D154" s="559" t="s">
        <v>402</v>
      </c>
      <c r="E154" s="559">
        <v>1</v>
      </c>
      <c r="F154" s="18"/>
      <c r="G154" s="18"/>
      <c r="H154" s="18"/>
    </row>
    <row r="155" spans="1:8" x14ac:dyDescent="0.3">
      <c r="A155" s="116" t="str">
        <f t="shared" si="4"/>
        <v>RDF</v>
      </c>
      <c r="B155" s="60" t="str">
        <f t="shared" si="5"/>
        <v>RDFAll consumers</v>
      </c>
      <c r="C155" s="559" t="s">
        <v>270</v>
      </c>
      <c r="D155" s="559" t="s">
        <v>402</v>
      </c>
      <c r="E155" s="559">
        <v>1</v>
      </c>
      <c r="F155" s="18"/>
      <c r="G155" s="18"/>
      <c r="H155" s="18"/>
    </row>
    <row r="156" spans="1:8" x14ac:dyDescent="0.3">
      <c r="A156" s="116" t="str">
        <f t="shared" si="4"/>
        <v>RFN</v>
      </c>
      <c r="B156" s="60" t="str">
        <f t="shared" si="5"/>
        <v>RFNAll consumers</v>
      </c>
      <c r="C156" s="559" t="s">
        <v>271</v>
      </c>
      <c r="D156" s="559" t="s">
        <v>402</v>
      </c>
      <c r="E156" s="559">
        <v>1</v>
      </c>
      <c r="F156" s="18"/>
      <c r="G156" s="18"/>
      <c r="H156" s="18"/>
    </row>
    <row r="157" spans="1:8" x14ac:dyDescent="0.3">
      <c r="A157" s="116" t="str">
        <f t="shared" si="4"/>
        <v>RFN</v>
      </c>
      <c r="B157" s="60" t="str">
        <f t="shared" si="5"/>
        <v>RFNAll consumers</v>
      </c>
      <c r="C157" s="559" t="s">
        <v>272</v>
      </c>
      <c r="D157" s="559" t="s">
        <v>402</v>
      </c>
      <c r="E157" s="559">
        <v>1</v>
      </c>
      <c r="F157" s="18"/>
      <c r="G157" s="18"/>
      <c r="H157" s="18"/>
    </row>
    <row r="158" spans="1:8" x14ac:dyDescent="0.3">
      <c r="A158" s="116" t="str">
        <f t="shared" si="4"/>
        <v>ROS</v>
      </c>
      <c r="B158" s="60" t="str">
        <f t="shared" si="5"/>
        <v>ROSAll consumers</v>
      </c>
      <c r="C158" s="559" t="s">
        <v>273</v>
      </c>
      <c r="D158" s="559" t="s">
        <v>402</v>
      </c>
      <c r="E158" s="559">
        <v>1</v>
      </c>
      <c r="F158" s="18"/>
      <c r="G158" s="18"/>
      <c r="H158" s="18"/>
    </row>
    <row r="159" spans="1:8" x14ac:dyDescent="0.3">
      <c r="A159" s="116" t="str">
        <f t="shared" si="4"/>
        <v>ROS</v>
      </c>
      <c r="B159" s="60" t="str">
        <f t="shared" si="5"/>
        <v>ROSAll consumers</v>
      </c>
      <c r="C159" s="559" t="s">
        <v>274</v>
      </c>
      <c r="D159" s="559" t="s">
        <v>402</v>
      </c>
      <c r="E159" s="559">
        <v>1</v>
      </c>
      <c r="F159" s="18"/>
      <c r="G159" s="18"/>
      <c r="H159" s="18"/>
    </row>
    <row r="160" spans="1:8" x14ac:dyDescent="0.3">
      <c r="A160" s="116" t="str">
        <f t="shared" si="4"/>
        <v>ROT</v>
      </c>
      <c r="B160" s="60" t="str">
        <f t="shared" si="5"/>
        <v>ROTAll consumers</v>
      </c>
      <c r="C160" s="559" t="s">
        <v>275</v>
      </c>
      <c r="D160" s="559" t="s">
        <v>402</v>
      </c>
      <c r="E160" s="559">
        <v>1</v>
      </c>
      <c r="F160" s="18"/>
      <c r="G160" s="18"/>
      <c r="H160" s="18"/>
    </row>
    <row r="161" spans="1:8" x14ac:dyDescent="0.3">
      <c r="A161" s="116" t="str">
        <f t="shared" si="4"/>
        <v>ROT</v>
      </c>
      <c r="B161" s="60" t="str">
        <f t="shared" si="5"/>
        <v>ROTAll consumers</v>
      </c>
      <c r="C161" s="559" t="s">
        <v>276</v>
      </c>
      <c r="D161" s="559" t="s">
        <v>402</v>
      </c>
      <c r="E161" s="559">
        <v>1</v>
      </c>
      <c r="F161" s="18"/>
      <c r="G161" s="18"/>
      <c r="H161" s="18"/>
    </row>
    <row r="162" spans="1:8" x14ac:dyDescent="0.3">
      <c r="A162" s="116" t="str">
        <f t="shared" si="4"/>
        <v>ROT</v>
      </c>
      <c r="B162" s="60" t="str">
        <f t="shared" si="5"/>
        <v>ROTAll consumers</v>
      </c>
      <c r="C162" s="559" t="s">
        <v>277</v>
      </c>
      <c r="D162" s="559" t="s">
        <v>402</v>
      </c>
      <c r="E162" s="559">
        <v>1</v>
      </c>
      <c r="F162" s="18"/>
      <c r="G162" s="18"/>
      <c r="H162" s="18"/>
    </row>
    <row r="163" spans="1:8" x14ac:dyDescent="0.3">
      <c r="A163" s="116" t="str">
        <f t="shared" si="4"/>
        <v>SBK</v>
      </c>
      <c r="B163" s="60" t="str">
        <f t="shared" si="5"/>
        <v>SBKAll consumers</v>
      </c>
      <c r="C163" s="559" t="s">
        <v>282</v>
      </c>
      <c r="D163" s="559" t="s">
        <v>402</v>
      </c>
      <c r="E163" s="559">
        <v>1</v>
      </c>
      <c r="F163" s="18"/>
      <c r="G163" s="18"/>
      <c r="H163" s="18"/>
    </row>
    <row r="164" spans="1:8" x14ac:dyDescent="0.3">
      <c r="A164" s="116" t="str">
        <f t="shared" si="4"/>
        <v>SDN</v>
      </c>
      <c r="B164" s="60" t="str">
        <f t="shared" si="5"/>
        <v>SDNAll consumers</v>
      </c>
      <c r="C164" s="559" t="s">
        <v>283</v>
      </c>
      <c r="D164" s="559" t="s">
        <v>402</v>
      </c>
      <c r="E164" s="559">
        <v>1</v>
      </c>
      <c r="F164" s="18"/>
      <c r="G164" s="18"/>
      <c r="H164" s="18"/>
    </row>
    <row r="165" spans="1:8" x14ac:dyDescent="0.3">
      <c r="A165" s="116" t="str">
        <f t="shared" si="4"/>
        <v>SFD</v>
      </c>
      <c r="B165" s="60" t="str">
        <f t="shared" si="5"/>
        <v>SFDAll consumers</v>
      </c>
      <c r="C165" s="559" t="s">
        <v>284</v>
      </c>
      <c r="D165" s="559" t="s">
        <v>402</v>
      </c>
      <c r="E165" s="559">
        <v>1</v>
      </c>
      <c r="F165" s="18"/>
      <c r="G165" s="18"/>
      <c r="H165" s="18"/>
    </row>
    <row r="166" spans="1:8" x14ac:dyDescent="0.3">
      <c r="A166" s="116" t="str">
        <f t="shared" si="4"/>
        <v>SFD</v>
      </c>
      <c r="B166" s="60" t="str">
        <f t="shared" si="5"/>
        <v>SFDAll consumers</v>
      </c>
      <c r="C166" s="559" t="s">
        <v>285</v>
      </c>
      <c r="D166" s="559" t="s">
        <v>402</v>
      </c>
      <c r="E166" s="559">
        <v>1</v>
      </c>
      <c r="F166" s="18"/>
      <c r="G166" s="18"/>
      <c r="H166" s="18"/>
    </row>
    <row r="167" spans="1:8" x14ac:dyDescent="0.3">
      <c r="A167" s="116" t="str">
        <f t="shared" si="4"/>
        <v>SPN</v>
      </c>
      <c r="B167" s="60" t="str">
        <f t="shared" si="5"/>
        <v>SPNAll consumers</v>
      </c>
      <c r="C167" s="559" t="s">
        <v>384</v>
      </c>
      <c r="D167" s="559" t="s">
        <v>402</v>
      </c>
      <c r="E167" s="559">
        <v>1</v>
      </c>
      <c r="F167" s="18"/>
      <c r="G167" s="18"/>
      <c r="H167" s="18"/>
    </row>
    <row r="168" spans="1:8" x14ac:dyDescent="0.3">
      <c r="A168" s="116" t="str">
        <f t="shared" si="4"/>
        <v>SPN</v>
      </c>
      <c r="B168" s="60" t="str">
        <f t="shared" si="5"/>
        <v>SPNAll consumers</v>
      </c>
      <c r="C168" s="559" t="s">
        <v>385</v>
      </c>
      <c r="D168" s="559" t="s">
        <v>402</v>
      </c>
      <c r="E168" s="559">
        <v>1</v>
      </c>
      <c r="F168" s="18"/>
      <c r="G168" s="18"/>
      <c r="H168" s="18"/>
    </row>
    <row r="169" spans="1:8" x14ac:dyDescent="0.3">
      <c r="A169" s="116" t="str">
        <f t="shared" si="4"/>
        <v>STK</v>
      </c>
      <c r="B169" s="60" t="str">
        <f t="shared" si="5"/>
        <v>STKAll consumers</v>
      </c>
      <c r="C169" s="559" t="s">
        <v>289</v>
      </c>
      <c r="D169" s="559" t="s">
        <v>402</v>
      </c>
      <c r="E169" s="559">
        <v>1</v>
      </c>
      <c r="F169" s="18"/>
      <c r="G169" s="18"/>
      <c r="H169" s="18"/>
    </row>
    <row r="170" spans="1:8" x14ac:dyDescent="0.3">
      <c r="A170" s="116" t="str">
        <f t="shared" si="4"/>
        <v>STU</v>
      </c>
      <c r="B170" s="60" t="str">
        <f t="shared" si="5"/>
        <v>STUAll consumers</v>
      </c>
      <c r="C170" s="559" t="s">
        <v>291</v>
      </c>
      <c r="D170" s="559" t="s">
        <v>402</v>
      </c>
      <c r="E170" s="559">
        <v>1</v>
      </c>
      <c r="F170" s="18"/>
      <c r="G170" s="18"/>
      <c r="H170" s="18"/>
    </row>
    <row r="171" spans="1:8" x14ac:dyDescent="0.3">
      <c r="A171" s="116" t="str">
        <f t="shared" si="4"/>
        <v>SVL</v>
      </c>
      <c r="B171" s="60" t="str">
        <f t="shared" si="5"/>
        <v>SVLAll consumers</v>
      </c>
      <c r="C171" s="559" t="s">
        <v>292</v>
      </c>
      <c r="D171" s="559" t="s">
        <v>402</v>
      </c>
      <c r="E171" s="559">
        <v>1</v>
      </c>
      <c r="F171" s="18"/>
      <c r="G171" s="18"/>
      <c r="H171" s="18"/>
    </row>
    <row r="172" spans="1:8" x14ac:dyDescent="0.3">
      <c r="A172" s="116" t="str">
        <f t="shared" si="4"/>
        <v>SWN</v>
      </c>
      <c r="B172" s="60" t="str">
        <f t="shared" si="5"/>
        <v>SWNAll consumers</v>
      </c>
      <c r="C172" s="559" t="s">
        <v>293</v>
      </c>
      <c r="D172" s="559" t="s">
        <v>402</v>
      </c>
      <c r="E172" s="559">
        <v>1</v>
      </c>
      <c r="F172" s="18"/>
      <c r="G172" s="18"/>
      <c r="H172" s="18"/>
    </row>
    <row r="173" spans="1:8" x14ac:dyDescent="0.3">
      <c r="A173" s="116" t="str">
        <f t="shared" si="4"/>
        <v>SWN</v>
      </c>
      <c r="B173" s="60" t="str">
        <f t="shared" si="5"/>
        <v>SWNAll consumers</v>
      </c>
      <c r="C173" s="559" t="s">
        <v>294</v>
      </c>
      <c r="D173" s="559" t="s">
        <v>402</v>
      </c>
      <c r="E173" s="559">
        <v>1</v>
      </c>
      <c r="F173" s="18"/>
      <c r="G173" s="18"/>
      <c r="H173" s="18"/>
    </row>
    <row r="174" spans="1:8" x14ac:dyDescent="0.3">
      <c r="A174" s="116" t="str">
        <f t="shared" si="4"/>
        <v>TAK</v>
      </c>
      <c r="B174" s="60" t="str">
        <f t="shared" si="5"/>
        <v>TAKAll consumers</v>
      </c>
      <c r="C174" s="559" t="s">
        <v>296</v>
      </c>
      <c r="D174" s="559" t="s">
        <v>402</v>
      </c>
      <c r="E174" s="559">
        <v>1</v>
      </c>
      <c r="F174" s="18"/>
      <c r="G174" s="18"/>
      <c r="H174" s="18"/>
    </row>
    <row r="175" spans="1:8" x14ac:dyDescent="0.3">
      <c r="A175" s="116" t="str">
        <f t="shared" si="4"/>
        <v>TGA</v>
      </c>
      <c r="B175" s="60" t="str">
        <f t="shared" si="5"/>
        <v>TGAAll consumers</v>
      </c>
      <c r="C175" s="559" t="s">
        <v>297</v>
      </c>
      <c r="D175" s="559" t="s">
        <v>402</v>
      </c>
      <c r="E175" s="559">
        <v>1</v>
      </c>
      <c r="F175" s="18"/>
      <c r="G175" s="18"/>
      <c r="H175" s="18"/>
    </row>
    <row r="176" spans="1:8" x14ac:dyDescent="0.3">
      <c r="A176" s="116" t="str">
        <f t="shared" si="4"/>
        <v>TGA</v>
      </c>
      <c r="B176" s="60" t="str">
        <f t="shared" si="5"/>
        <v>TGAAll consumers</v>
      </c>
      <c r="C176" s="559" t="s">
        <v>298</v>
      </c>
      <c r="D176" s="559" t="s">
        <v>402</v>
      </c>
      <c r="E176" s="559">
        <v>1</v>
      </c>
      <c r="F176" s="18"/>
      <c r="G176" s="18"/>
      <c r="H176" s="18"/>
    </row>
    <row r="177" spans="1:8" x14ac:dyDescent="0.3">
      <c r="A177" s="116" t="str">
        <f t="shared" si="4"/>
        <v>THI</v>
      </c>
      <c r="B177" s="60" t="str">
        <f t="shared" si="5"/>
        <v>THIAll consumers</v>
      </c>
      <c r="C177" s="559" t="s">
        <v>300</v>
      </c>
      <c r="D177" s="559" t="s">
        <v>402</v>
      </c>
      <c r="E177" s="559">
        <v>1</v>
      </c>
      <c r="F177" s="18"/>
      <c r="G177" s="18"/>
      <c r="H177" s="18"/>
    </row>
    <row r="178" spans="1:8" x14ac:dyDescent="0.3">
      <c r="A178" s="116" t="str">
        <f t="shared" si="4"/>
        <v>TIM</v>
      </c>
      <c r="B178" s="60" t="str">
        <f t="shared" si="5"/>
        <v>TIMAll consumers</v>
      </c>
      <c r="C178" s="559" t="s">
        <v>303</v>
      </c>
      <c r="D178" s="559" t="s">
        <v>402</v>
      </c>
      <c r="E178" s="559">
        <v>1</v>
      </c>
      <c r="F178" s="18"/>
      <c r="G178" s="18"/>
      <c r="H178" s="18"/>
    </row>
    <row r="179" spans="1:8" x14ac:dyDescent="0.3">
      <c r="A179" s="116" t="str">
        <f t="shared" si="4"/>
        <v>TKA</v>
      </c>
      <c r="B179" s="60" t="str">
        <f t="shared" si="5"/>
        <v>TKAAll consumers</v>
      </c>
      <c r="C179" s="559" t="s">
        <v>386</v>
      </c>
      <c r="D179" s="559" t="s">
        <v>402</v>
      </c>
      <c r="E179" s="559">
        <v>1</v>
      </c>
      <c r="F179" s="18"/>
      <c r="G179" s="18"/>
      <c r="H179" s="18"/>
    </row>
    <row r="180" spans="1:8" x14ac:dyDescent="0.3">
      <c r="A180" s="116" t="str">
        <f t="shared" si="4"/>
        <v>TKH</v>
      </c>
      <c r="B180" s="60" t="str">
        <f t="shared" si="5"/>
        <v>TKHAll consumers</v>
      </c>
      <c r="C180" s="559" t="s">
        <v>306</v>
      </c>
      <c r="D180" s="559" t="s">
        <v>402</v>
      </c>
      <c r="E180" s="559">
        <v>1</v>
      </c>
      <c r="F180" s="18"/>
      <c r="G180" s="18"/>
      <c r="H180" s="18"/>
    </row>
    <row r="181" spans="1:8" x14ac:dyDescent="0.3">
      <c r="A181" s="116" t="str">
        <f t="shared" si="4"/>
        <v>TKR</v>
      </c>
      <c r="B181" s="60" t="str">
        <f t="shared" si="5"/>
        <v>TKRAll consumers</v>
      </c>
      <c r="C181" s="559" t="s">
        <v>307</v>
      </c>
      <c r="D181" s="559" t="s">
        <v>402</v>
      </c>
      <c r="E181" s="559">
        <v>1</v>
      </c>
      <c r="F181" s="18"/>
      <c r="G181" s="18"/>
      <c r="H181" s="18"/>
    </row>
    <row r="182" spans="1:8" x14ac:dyDescent="0.3">
      <c r="A182" s="116" t="str">
        <f t="shared" si="4"/>
        <v>TKU</v>
      </c>
      <c r="B182" s="60" t="str">
        <f t="shared" si="5"/>
        <v>TKUAll consumers</v>
      </c>
      <c r="C182" s="559" t="s">
        <v>308</v>
      </c>
      <c r="D182" s="559" t="s">
        <v>402</v>
      </c>
      <c r="E182" s="559">
        <v>1</v>
      </c>
      <c r="F182" s="18"/>
      <c r="G182" s="18"/>
      <c r="H182" s="18"/>
    </row>
    <row r="183" spans="1:8" x14ac:dyDescent="0.3">
      <c r="A183" s="116" t="str">
        <f t="shared" si="4"/>
        <v>TMI</v>
      </c>
      <c r="B183" s="60" t="str">
        <f t="shared" si="5"/>
        <v>TMIAll consumers</v>
      </c>
      <c r="C183" s="559" t="s">
        <v>310</v>
      </c>
      <c r="D183" s="559" t="s">
        <v>402</v>
      </c>
      <c r="E183" s="559">
        <v>1</v>
      </c>
      <c r="F183" s="18"/>
      <c r="G183" s="18"/>
      <c r="H183" s="18"/>
    </row>
    <row r="184" spans="1:8" x14ac:dyDescent="0.3">
      <c r="A184" s="116" t="str">
        <f t="shared" si="4"/>
        <v>TMK</v>
      </c>
      <c r="B184" s="60" t="str">
        <f t="shared" si="5"/>
        <v>TMKAll consumers</v>
      </c>
      <c r="C184" s="559" t="s">
        <v>311</v>
      </c>
      <c r="D184" s="559" t="s">
        <v>402</v>
      </c>
      <c r="E184" s="559">
        <v>1</v>
      </c>
      <c r="F184" s="18"/>
      <c r="G184" s="18"/>
      <c r="H184" s="18"/>
    </row>
    <row r="185" spans="1:8" x14ac:dyDescent="0.3">
      <c r="A185" s="116" t="str">
        <f t="shared" si="4"/>
        <v>TMN</v>
      </c>
      <c r="B185" s="60" t="str">
        <f t="shared" si="5"/>
        <v>TMNAll consumers</v>
      </c>
      <c r="C185" s="559" t="s">
        <v>312</v>
      </c>
      <c r="D185" s="559" t="s">
        <v>402</v>
      </c>
      <c r="E185" s="559">
        <v>1</v>
      </c>
      <c r="F185" s="18"/>
      <c r="G185" s="18"/>
      <c r="H185" s="18"/>
    </row>
    <row r="186" spans="1:8" x14ac:dyDescent="0.3">
      <c r="A186" s="116" t="str">
        <f t="shared" si="4"/>
        <v>TMU</v>
      </c>
      <c r="B186" s="60" t="str">
        <f t="shared" si="5"/>
        <v>TMUAll consumers</v>
      </c>
      <c r="C186" s="559" t="s">
        <v>313</v>
      </c>
      <c r="D186" s="559" t="s">
        <v>402</v>
      </c>
      <c r="E186" s="559">
        <v>1</v>
      </c>
      <c r="F186" s="18"/>
      <c r="G186" s="18"/>
      <c r="H186" s="18"/>
    </row>
    <row r="187" spans="1:8" x14ac:dyDescent="0.3">
      <c r="A187" s="116" t="str">
        <f t="shared" si="4"/>
        <v>TNG</v>
      </c>
      <c r="B187" s="60" t="str">
        <f t="shared" si="5"/>
        <v>TNGAll consumers</v>
      </c>
      <c r="C187" s="559" t="s">
        <v>314</v>
      </c>
      <c r="D187" s="559" t="s">
        <v>402</v>
      </c>
      <c r="E187" s="559">
        <v>1</v>
      </c>
      <c r="F187" s="18"/>
      <c r="G187" s="18"/>
      <c r="H187" s="18"/>
    </row>
    <row r="188" spans="1:8" x14ac:dyDescent="0.3">
      <c r="A188" s="116" t="str">
        <f t="shared" si="4"/>
        <v>TNG</v>
      </c>
      <c r="B188" s="60" t="str">
        <f t="shared" si="5"/>
        <v>TNGAll consumers</v>
      </c>
      <c r="C188" s="559" t="s">
        <v>315</v>
      </c>
      <c r="D188" s="559" t="s">
        <v>402</v>
      </c>
      <c r="E188" s="559">
        <v>1</v>
      </c>
      <c r="F188" s="18"/>
      <c r="G188" s="18"/>
      <c r="H188" s="18"/>
    </row>
    <row r="189" spans="1:8" x14ac:dyDescent="0.3">
      <c r="A189" s="116" t="str">
        <f t="shared" si="4"/>
        <v>TRK</v>
      </c>
      <c r="B189" s="60" t="str">
        <f t="shared" si="5"/>
        <v>TRKAll consumers</v>
      </c>
      <c r="C189" s="559" t="s">
        <v>316</v>
      </c>
      <c r="D189" s="559" t="s">
        <v>402</v>
      </c>
      <c r="E189" s="559">
        <v>1</v>
      </c>
      <c r="F189" s="18"/>
      <c r="G189" s="18"/>
      <c r="H189" s="18"/>
    </row>
    <row r="190" spans="1:8" x14ac:dyDescent="0.3">
      <c r="A190" s="116" t="str">
        <f t="shared" si="4"/>
        <v>TUI</v>
      </c>
      <c r="B190" s="60" t="str">
        <f t="shared" si="5"/>
        <v>TUIAll consumers</v>
      </c>
      <c r="C190" s="559" t="s">
        <v>684</v>
      </c>
      <c r="D190" s="559" t="s">
        <v>402</v>
      </c>
      <c r="E190" s="559">
        <v>1</v>
      </c>
      <c r="F190" s="18"/>
      <c r="G190" s="18"/>
      <c r="H190" s="18"/>
    </row>
    <row r="191" spans="1:8" x14ac:dyDescent="0.3">
      <c r="A191" s="116" t="str">
        <f t="shared" si="4"/>
        <v>TUI</v>
      </c>
      <c r="B191" s="60" t="str">
        <f t="shared" si="5"/>
        <v>TUIAll consumers</v>
      </c>
      <c r="C191" s="559" t="s">
        <v>317</v>
      </c>
      <c r="D191" s="559" t="s">
        <v>402</v>
      </c>
      <c r="E191" s="559">
        <v>1</v>
      </c>
      <c r="F191" s="18"/>
      <c r="G191" s="18"/>
      <c r="H191" s="18"/>
    </row>
    <row r="192" spans="1:8" x14ac:dyDescent="0.3">
      <c r="A192" s="116" t="str">
        <f t="shared" si="4"/>
        <v>TWC</v>
      </c>
      <c r="B192" s="60" t="str">
        <f t="shared" si="5"/>
        <v>TWCAll consumers</v>
      </c>
      <c r="C192" s="559" t="s">
        <v>321</v>
      </c>
      <c r="D192" s="559" t="s">
        <v>402</v>
      </c>
      <c r="E192" s="559">
        <v>1</v>
      </c>
      <c r="F192" s="18"/>
      <c r="G192" s="18"/>
      <c r="H192" s="18"/>
    </row>
    <row r="193" spans="1:8" x14ac:dyDescent="0.3">
      <c r="A193" s="116" t="str">
        <f t="shared" si="4"/>
        <v>TWH</v>
      </c>
      <c r="B193" s="60" t="str">
        <f t="shared" si="5"/>
        <v>TWHAll consumers</v>
      </c>
      <c r="C193" s="559" t="s">
        <v>322</v>
      </c>
      <c r="D193" s="559" t="s">
        <v>402</v>
      </c>
      <c r="E193" s="559">
        <v>1</v>
      </c>
      <c r="F193" s="18"/>
      <c r="G193" s="18"/>
      <c r="H193" s="18"/>
    </row>
    <row r="194" spans="1:8" x14ac:dyDescent="0.3">
      <c r="A194" s="116" t="str">
        <f t="shared" si="4"/>
        <v>TWH</v>
      </c>
      <c r="B194" s="60" t="str">
        <f t="shared" si="5"/>
        <v>TWHAll consumers</v>
      </c>
      <c r="C194" s="559" t="s">
        <v>324</v>
      </c>
      <c r="D194" s="559" t="s">
        <v>402</v>
      </c>
      <c r="E194" s="559">
        <v>1</v>
      </c>
      <c r="F194" s="18"/>
      <c r="G194" s="18"/>
      <c r="H194" s="18"/>
    </row>
    <row r="195" spans="1:8" x14ac:dyDescent="0.3">
      <c r="A195" s="116" t="str">
        <f t="shared" si="4"/>
        <v>TWI</v>
      </c>
      <c r="B195" s="60" t="str">
        <f t="shared" si="5"/>
        <v>TWIAll consumers</v>
      </c>
      <c r="C195" s="559" t="s">
        <v>325</v>
      </c>
      <c r="D195" s="559" t="s">
        <v>402</v>
      </c>
      <c r="E195" s="559">
        <v>1</v>
      </c>
      <c r="F195" s="18"/>
      <c r="G195" s="18"/>
      <c r="H195" s="18"/>
    </row>
    <row r="196" spans="1:8" x14ac:dyDescent="0.3">
      <c r="A196" s="116" t="str">
        <f t="shared" si="4"/>
        <v>TWZ</v>
      </c>
      <c r="B196" s="60" t="str">
        <f t="shared" si="5"/>
        <v>TWZAll consumers</v>
      </c>
      <c r="C196" s="559" t="s">
        <v>326</v>
      </c>
      <c r="D196" s="559" t="s">
        <v>402</v>
      </c>
      <c r="E196" s="559">
        <v>1</v>
      </c>
      <c r="F196" s="18"/>
      <c r="G196" s="18"/>
      <c r="H196" s="18"/>
    </row>
    <row r="197" spans="1:8" x14ac:dyDescent="0.3">
      <c r="A197" s="116" t="str">
        <f t="shared" si="4"/>
        <v>UHT</v>
      </c>
      <c r="B197" s="60" t="str">
        <f t="shared" si="5"/>
        <v>UHTAll consumers</v>
      </c>
      <c r="C197" s="559" t="s">
        <v>327</v>
      </c>
      <c r="D197" s="559" t="s">
        <v>402</v>
      </c>
      <c r="E197" s="559">
        <v>1</v>
      </c>
      <c r="F197" s="18"/>
      <c r="G197" s="18"/>
      <c r="H197" s="18"/>
    </row>
    <row r="198" spans="1:8" x14ac:dyDescent="0.3">
      <c r="A198" s="116" t="str">
        <f t="shared" si="4"/>
        <v>WAI</v>
      </c>
      <c r="B198" s="60" t="str">
        <f t="shared" si="5"/>
        <v>WAIAll consumers</v>
      </c>
      <c r="C198" s="559" t="s">
        <v>328</v>
      </c>
      <c r="D198" s="559" t="s">
        <v>402</v>
      </c>
      <c r="E198" s="559">
        <v>1</v>
      </c>
      <c r="F198" s="18"/>
      <c r="G198" s="18"/>
      <c r="H198" s="18"/>
    </row>
    <row r="199" spans="1:8" x14ac:dyDescent="0.3">
      <c r="A199" s="116" t="str">
        <f t="shared" ref="A199:A262" si="6">LEFT(C199,3)</f>
        <v>WDV</v>
      </c>
      <c r="B199" s="60" t="str">
        <f t="shared" ref="B199:B262" si="7">A199&amp;D199</f>
        <v>WDVAll consumers</v>
      </c>
      <c r="C199" s="559" t="s">
        <v>329</v>
      </c>
      <c r="D199" s="559" t="s">
        <v>402</v>
      </c>
      <c r="E199" s="559">
        <v>1</v>
      </c>
      <c r="F199" s="18"/>
      <c r="G199" s="18"/>
      <c r="H199" s="18"/>
    </row>
    <row r="200" spans="1:8" x14ac:dyDescent="0.3">
      <c r="A200" s="116" t="str">
        <f t="shared" si="6"/>
        <v>WDV</v>
      </c>
      <c r="B200" s="60" t="str">
        <f t="shared" si="7"/>
        <v>WDVAll consumers</v>
      </c>
      <c r="C200" s="559" t="s">
        <v>330</v>
      </c>
      <c r="D200" s="559" t="s">
        <v>402</v>
      </c>
      <c r="E200" s="559">
        <v>1</v>
      </c>
      <c r="F200" s="18"/>
      <c r="G200" s="18"/>
      <c r="H200" s="18"/>
    </row>
    <row r="201" spans="1:8" x14ac:dyDescent="0.3">
      <c r="A201" s="116" t="str">
        <f t="shared" si="6"/>
        <v>WEL</v>
      </c>
      <c r="B201" s="60" t="str">
        <f t="shared" si="7"/>
        <v>WELAll consumers</v>
      </c>
      <c r="C201" s="559" t="s">
        <v>331</v>
      </c>
      <c r="D201" s="559" t="s">
        <v>402</v>
      </c>
      <c r="E201" s="559">
        <v>1</v>
      </c>
      <c r="F201" s="18"/>
      <c r="G201" s="18"/>
      <c r="H201" s="18"/>
    </row>
    <row r="202" spans="1:8" x14ac:dyDescent="0.3">
      <c r="A202" s="116" t="str">
        <f t="shared" si="6"/>
        <v>WGN</v>
      </c>
      <c r="B202" s="60" t="str">
        <f t="shared" si="7"/>
        <v>WGNAll consumers</v>
      </c>
      <c r="C202" s="559" t="s">
        <v>332</v>
      </c>
      <c r="D202" s="559" t="s">
        <v>402</v>
      </c>
      <c r="E202" s="559">
        <v>1</v>
      </c>
      <c r="F202" s="18"/>
      <c r="G202" s="18"/>
      <c r="H202" s="18"/>
    </row>
    <row r="203" spans="1:8" x14ac:dyDescent="0.3">
      <c r="A203" s="116" t="str">
        <f t="shared" si="6"/>
        <v>WHI</v>
      </c>
      <c r="B203" s="60" t="str">
        <f t="shared" si="7"/>
        <v>WHIAll consumers</v>
      </c>
      <c r="C203" s="559" t="s">
        <v>333</v>
      </c>
      <c r="D203" s="559" t="s">
        <v>402</v>
      </c>
      <c r="E203" s="559">
        <v>1</v>
      </c>
      <c r="F203" s="18"/>
      <c r="G203" s="18"/>
      <c r="H203" s="18"/>
    </row>
    <row r="204" spans="1:8" x14ac:dyDescent="0.3">
      <c r="A204" s="116" t="str">
        <f t="shared" si="6"/>
        <v>WHI</v>
      </c>
      <c r="B204" s="60" t="str">
        <f t="shared" si="7"/>
        <v>WHIAll consumers</v>
      </c>
      <c r="C204" s="559" t="s">
        <v>334</v>
      </c>
      <c r="D204" s="559" t="s">
        <v>402</v>
      </c>
      <c r="E204" s="559">
        <v>1</v>
      </c>
      <c r="F204" s="18"/>
      <c r="G204" s="18"/>
      <c r="H204" s="18"/>
    </row>
    <row r="205" spans="1:8" x14ac:dyDescent="0.3">
      <c r="A205" s="116" t="str">
        <f t="shared" si="6"/>
        <v>WHU</v>
      </c>
      <c r="B205" s="60" t="str">
        <f t="shared" si="7"/>
        <v>WHUAll consumers</v>
      </c>
      <c r="C205" s="559" t="s">
        <v>336</v>
      </c>
      <c r="D205" s="559" t="s">
        <v>402</v>
      </c>
      <c r="E205" s="559">
        <v>1</v>
      </c>
      <c r="F205" s="18"/>
      <c r="G205" s="18"/>
      <c r="H205" s="18"/>
    </row>
    <row r="206" spans="1:8" x14ac:dyDescent="0.3">
      <c r="A206" s="116" t="str">
        <f t="shared" si="6"/>
        <v>WIL</v>
      </c>
      <c r="B206" s="60" t="str">
        <f t="shared" si="7"/>
        <v>WILAll consumers</v>
      </c>
      <c r="C206" s="559" t="s">
        <v>337</v>
      </c>
      <c r="D206" s="559" t="s">
        <v>402</v>
      </c>
      <c r="E206" s="559">
        <v>1</v>
      </c>
      <c r="F206" s="18"/>
      <c r="G206" s="18"/>
      <c r="H206" s="18"/>
    </row>
    <row r="207" spans="1:8" x14ac:dyDescent="0.3">
      <c r="A207" s="116" t="str">
        <f t="shared" si="6"/>
        <v>WIR</v>
      </c>
      <c r="B207" s="60" t="str">
        <f t="shared" si="7"/>
        <v>WIRAll consumers</v>
      </c>
      <c r="C207" s="559" t="s">
        <v>338</v>
      </c>
      <c r="D207" s="559" t="s">
        <v>402</v>
      </c>
      <c r="E207" s="559">
        <v>1</v>
      </c>
      <c r="F207" s="18"/>
      <c r="G207" s="18"/>
      <c r="H207" s="18"/>
    </row>
    <row r="208" spans="1:8" x14ac:dyDescent="0.3">
      <c r="A208" s="116" t="str">
        <f t="shared" si="6"/>
        <v>WKM</v>
      </c>
      <c r="B208" s="60" t="str">
        <f t="shared" si="7"/>
        <v>WKMAll consumers</v>
      </c>
      <c r="C208" s="559" t="s">
        <v>339</v>
      </c>
      <c r="D208" s="559" t="s">
        <v>402</v>
      </c>
      <c r="E208" s="559">
        <v>1</v>
      </c>
      <c r="F208" s="18"/>
      <c r="G208" s="18"/>
      <c r="H208" s="18"/>
    </row>
    <row r="209" spans="1:15" x14ac:dyDescent="0.3">
      <c r="A209" s="116" t="str">
        <f t="shared" si="6"/>
        <v>WKO</v>
      </c>
      <c r="B209" s="60" t="str">
        <f t="shared" si="7"/>
        <v>WKOAll consumers</v>
      </c>
      <c r="C209" s="559" t="s">
        <v>342</v>
      </c>
      <c r="D209" s="559" t="s">
        <v>402</v>
      </c>
      <c r="E209" s="559">
        <v>1</v>
      </c>
      <c r="F209" s="18"/>
      <c r="G209" s="18"/>
      <c r="H209" s="18"/>
    </row>
    <row r="210" spans="1:15" x14ac:dyDescent="0.3">
      <c r="A210" s="116" t="str">
        <f t="shared" si="6"/>
        <v>WPR</v>
      </c>
      <c r="B210" s="60" t="str">
        <f t="shared" si="7"/>
        <v>WPRAll consumers</v>
      </c>
      <c r="C210" s="559" t="s">
        <v>344</v>
      </c>
      <c r="D210" s="559" t="s">
        <v>402</v>
      </c>
      <c r="E210" s="559">
        <v>1</v>
      </c>
      <c r="F210" s="18"/>
      <c r="G210" s="18"/>
      <c r="H210" s="18"/>
    </row>
    <row r="211" spans="1:15" x14ac:dyDescent="0.3">
      <c r="A211" s="116" t="str">
        <f t="shared" si="6"/>
        <v>WPR</v>
      </c>
      <c r="B211" s="60" t="str">
        <f t="shared" si="7"/>
        <v>WPRAll consumers</v>
      </c>
      <c r="C211" s="559" t="s">
        <v>345</v>
      </c>
      <c r="D211" s="559" t="s">
        <v>402</v>
      </c>
      <c r="E211" s="559">
        <v>1</v>
      </c>
      <c r="F211" s="18"/>
      <c r="G211" s="18"/>
      <c r="H211" s="18"/>
    </row>
    <row r="212" spans="1:15" x14ac:dyDescent="0.3">
      <c r="A212" s="116" t="str">
        <f t="shared" si="6"/>
        <v>WPT</v>
      </c>
      <c r="B212" s="60" t="str">
        <f t="shared" si="7"/>
        <v>WPTAll consumers</v>
      </c>
      <c r="C212" s="559" t="s">
        <v>346</v>
      </c>
      <c r="D212" s="559" t="s">
        <v>402</v>
      </c>
      <c r="E212" s="559">
        <v>1</v>
      </c>
      <c r="F212" s="18"/>
      <c r="G212" s="18"/>
      <c r="H212" s="18"/>
    </row>
    <row r="213" spans="1:15" x14ac:dyDescent="0.3">
      <c r="A213" s="116" t="str">
        <f t="shared" si="6"/>
        <v>WPW</v>
      </c>
      <c r="B213" s="60" t="str">
        <f t="shared" si="7"/>
        <v>WPWAll consumers</v>
      </c>
      <c r="C213" s="559" t="s">
        <v>347</v>
      </c>
      <c r="D213" s="559" t="s">
        <v>402</v>
      </c>
      <c r="E213" s="559">
        <v>1</v>
      </c>
      <c r="F213" s="18"/>
      <c r="G213" s="18"/>
      <c r="H213" s="18"/>
      <c r="K213" s="94"/>
      <c r="N213" s="61"/>
      <c r="O213" s="61"/>
    </row>
    <row r="214" spans="1:15" x14ac:dyDescent="0.3">
      <c r="A214" s="116" t="str">
        <f t="shared" si="6"/>
        <v>WRA</v>
      </c>
      <c r="B214" s="60" t="str">
        <f t="shared" si="7"/>
        <v>WRAAll consumers</v>
      </c>
      <c r="C214" s="559" t="s">
        <v>387</v>
      </c>
      <c r="D214" s="559" t="s">
        <v>402</v>
      </c>
      <c r="E214" s="559">
        <v>1</v>
      </c>
      <c r="F214" s="18"/>
      <c r="G214" s="18"/>
      <c r="H214" s="18"/>
      <c r="K214" s="94"/>
      <c r="N214" s="61"/>
      <c r="O214" s="61"/>
    </row>
    <row r="215" spans="1:15" x14ac:dyDescent="0.3">
      <c r="A215" s="116" t="str">
        <f t="shared" si="6"/>
        <v>WRD</v>
      </c>
      <c r="B215" s="60" t="str">
        <f t="shared" si="7"/>
        <v>WRDAll consumers</v>
      </c>
      <c r="C215" s="559" t="s">
        <v>348</v>
      </c>
      <c r="D215" s="559" t="s">
        <v>402</v>
      </c>
      <c r="E215" s="559">
        <v>1</v>
      </c>
      <c r="F215" s="18"/>
      <c r="G215" s="18"/>
      <c r="H215" s="18"/>
      <c r="K215" s="94"/>
      <c r="N215" s="61"/>
      <c r="O215" s="61"/>
    </row>
    <row r="216" spans="1:15" x14ac:dyDescent="0.3">
      <c r="A216" s="116" t="str">
        <f t="shared" si="6"/>
        <v>WRK</v>
      </c>
      <c r="B216" s="60" t="str">
        <f t="shared" si="7"/>
        <v>WRKAll consumers</v>
      </c>
      <c r="C216" s="559" t="s">
        <v>349</v>
      </c>
      <c r="D216" s="559" t="s">
        <v>402</v>
      </c>
      <c r="E216" s="559">
        <v>1</v>
      </c>
      <c r="F216" s="18"/>
      <c r="G216" s="18"/>
      <c r="H216" s="18"/>
    </row>
    <row r="217" spans="1:15" x14ac:dyDescent="0.3">
      <c r="A217" s="116" t="str">
        <f t="shared" si="6"/>
        <v>WTK</v>
      </c>
      <c r="B217" s="60" t="str">
        <f t="shared" si="7"/>
        <v>WTKAll consumers</v>
      </c>
      <c r="C217" s="559" t="s">
        <v>353</v>
      </c>
      <c r="D217" s="559" t="s">
        <v>402</v>
      </c>
      <c r="E217" s="559">
        <v>1</v>
      </c>
      <c r="F217" s="18"/>
      <c r="G217" s="18"/>
      <c r="H217" s="18"/>
    </row>
    <row r="218" spans="1:15" x14ac:dyDescent="0.3">
      <c r="A218" s="116" t="str">
        <f t="shared" si="6"/>
        <v>WTK</v>
      </c>
      <c r="B218" s="60" t="str">
        <f t="shared" si="7"/>
        <v>WTKAll consumers</v>
      </c>
      <c r="C218" s="559" t="s">
        <v>685</v>
      </c>
      <c r="D218" s="559" t="s">
        <v>402</v>
      </c>
      <c r="E218" s="559">
        <v>1</v>
      </c>
      <c r="F218" s="18"/>
      <c r="G218" s="18"/>
      <c r="H218" s="18"/>
    </row>
    <row r="219" spans="1:15" x14ac:dyDescent="0.3">
      <c r="A219" s="116" t="str">
        <f t="shared" si="6"/>
        <v>WTU</v>
      </c>
      <c r="B219" s="60" t="str">
        <f t="shared" si="7"/>
        <v>WTUAll consumers</v>
      </c>
      <c r="C219" s="559" t="s">
        <v>355</v>
      </c>
      <c r="D219" s="559" t="s">
        <v>402</v>
      </c>
      <c r="E219" s="559">
        <v>1</v>
      </c>
      <c r="F219" s="18"/>
      <c r="G219" s="18"/>
      <c r="H219" s="18"/>
    </row>
    <row r="220" spans="1:15" x14ac:dyDescent="0.3">
      <c r="A220" s="116" t="str">
        <f t="shared" si="6"/>
        <v>WVY</v>
      </c>
      <c r="B220" s="60" t="str">
        <f t="shared" si="7"/>
        <v>WVYAll consumers</v>
      </c>
      <c r="C220" s="559" t="s">
        <v>356</v>
      </c>
      <c r="D220" s="559" t="s">
        <v>402</v>
      </c>
      <c r="E220" s="559">
        <v>1</v>
      </c>
      <c r="F220" s="18"/>
      <c r="G220" s="18"/>
      <c r="H220" s="18"/>
    </row>
    <row r="221" spans="1:15" x14ac:dyDescent="0.3">
      <c r="A221" s="116" t="str">
        <f t="shared" si="6"/>
        <v>WWD</v>
      </c>
      <c r="B221" s="60" t="str">
        <f t="shared" si="7"/>
        <v>WWDAll consumers</v>
      </c>
      <c r="C221" s="559" t="s">
        <v>357</v>
      </c>
      <c r="D221" s="559" t="s">
        <v>402</v>
      </c>
      <c r="E221" s="559">
        <v>1</v>
      </c>
      <c r="F221" s="18"/>
      <c r="G221" s="18"/>
      <c r="H221" s="18"/>
    </row>
    <row r="222" spans="1:15" x14ac:dyDescent="0.3">
      <c r="A222" s="116" t="str">
        <f t="shared" si="6"/>
        <v>WWD</v>
      </c>
      <c r="B222" s="60" t="str">
        <f t="shared" si="7"/>
        <v>WWDAll consumers</v>
      </c>
      <c r="C222" s="559" t="s">
        <v>358</v>
      </c>
      <c r="D222" s="559" t="s">
        <v>402</v>
      </c>
      <c r="E222" s="559">
        <v>1</v>
      </c>
      <c r="F222" s="18"/>
      <c r="G222" s="18"/>
      <c r="H222" s="18"/>
    </row>
    <row r="223" spans="1:15" x14ac:dyDescent="0.3">
      <c r="A223" s="116" t="str">
        <f t="shared" si="6"/>
        <v>BWK</v>
      </c>
      <c r="B223" s="60" t="str">
        <f t="shared" si="7"/>
        <v>BWKAll LSI generators</v>
      </c>
      <c r="C223" s="559" t="s">
        <v>130</v>
      </c>
      <c r="D223" s="559" t="s">
        <v>403</v>
      </c>
      <c r="E223" s="559">
        <v>1</v>
      </c>
      <c r="F223" s="18"/>
      <c r="G223" s="18"/>
      <c r="H223" s="18"/>
    </row>
    <row r="224" spans="1:15" x14ac:dyDescent="0.3">
      <c r="A224" s="116" t="str">
        <f t="shared" si="6"/>
        <v>CYD</v>
      </c>
      <c r="B224" s="60" t="str">
        <f t="shared" si="7"/>
        <v>CYDAll LSI generators</v>
      </c>
      <c r="C224" s="559" t="s">
        <v>142</v>
      </c>
      <c r="D224" s="559" t="s">
        <v>403</v>
      </c>
      <c r="E224" s="559">
        <v>1</v>
      </c>
      <c r="F224" s="18"/>
      <c r="G224" s="18"/>
      <c r="H224" s="18"/>
    </row>
    <row r="225" spans="1:8" x14ac:dyDescent="0.3">
      <c r="A225" s="116" t="str">
        <f t="shared" si="6"/>
        <v>CYD</v>
      </c>
      <c r="B225" s="60" t="str">
        <f t="shared" si="7"/>
        <v>CYDAll LSI generators</v>
      </c>
      <c r="C225" s="559" t="s">
        <v>144</v>
      </c>
      <c r="D225" s="559" t="s">
        <v>403</v>
      </c>
      <c r="E225" s="559">
        <v>1</v>
      </c>
      <c r="F225" s="18"/>
      <c r="G225" s="18"/>
      <c r="H225" s="18"/>
    </row>
    <row r="226" spans="1:8" x14ac:dyDescent="0.3">
      <c r="A226" s="116" t="str">
        <f t="shared" si="6"/>
        <v>HWB</v>
      </c>
      <c r="B226" s="60" t="str">
        <f t="shared" si="7"/>
        <v>HWBAll LSI generators</v>
      </c>
      <c r="C226" s="559" t="s">
        <v>185</v>
      </c>
      <c r="D226" s="559" t="s">
        <v>403</v>
      </c>
      <c r="E226" s="559">
        <v>1</v>
      </c>
      <c r="F226" s="18"/>
      <c r="G226" s="18"/>
      <c r="H226" s="18"/>
    </row>
    <row r="227" spans="1:8" x14ac:dyDescent="0.3">
      <c r="A227" s="116" t="str">
        <f t="shared" si="6"/>
        <v>MAN</v>
      </c>
      <c r="B227" s="60" t="str">
        <f t="shared" si="7"/>
        <v>MANAll LSI generators</v>
      </c>
      <c r="C227" s="559" t="s">
        <v>212</v>
      </c>
      <c r="D227" s="559" t="s">
        <v>403</v>
      </c>
      <c r="E227" s="559">
        <v>1</v>
      </c>
      <c r="F227" s="18"/>
      <c r="G227" s="18"/>
      <c r="H227" s="18"/>
    </row>
    <row r="228" spans="1:8" x14ac:dyDescent="0.3">
      <c r="A228" s="116" t="str">
        <f t="shared" si="6"/>
        <v>NMA</v>
      </c>
      <c r="B228" s="60" t="str">
        <f t="shared" si="7"/>
        <v>NMAAll LSI generators</v>
      </c>
      <c r="C228" s="559" t="s">
        <v>240</v>
      </c>
      <c r="D228" s="559" t="s">
        <v>403</v>
      </c>
      <c r="E228" s="559">
        <v>1</v>
      </c>
      <c r="F228" s="18"/>
      <c r="G228" s="18"/>
      <c r="H228" s="18"/>
    </row>
    <row r="229" spans="1:8" x14ac:dyDescent="0.3">
      <c r="A229" s="116" t="str">
        <f t="shared" si="6"/>
        <v>NSY</v>
      </c>
      <c r="B229" s="60" t="str">
        <f t="shared" si="7"/>
        <v>NSYAll LSI generators</v>
      </c>
      <c r="C229" s="559" t="s">
        <v>245</v>
      </c>
      <c r="D229" s="559" t="s">
        <v>403</v>
      </c>
      <c r="E229" s="559">
        <v>1</v>
      </c>
      <c r="F229" s="18"/>
      <c r="G229" s="18"/>
      <c r="H229" s="18"/>
    </row>
    <row r="230" spans="1:8" x14ac:dyDescent="0.3">
      <c r="A230" s="116" t="str">
        <f t="shared" si="6"/>
        <v>ROX</v>
      </c>
      <c r="B230" s="60" t="str">
        <f t="shared" si="7"/>
        <v>ROXAll LSI generators</v>
      </c>
      <c r="C230" s="559" t="s">
        <v>279</v>
      </c>
      <c r="D230" s="559" t="s">
        <v>403</v>
      </c>
      <c r="E230" s="559">
        <v>1</v>
      </c>
      <c r="F230" s="18"/>
      <c r="G230" s="18"/>
      <c r="H230" s="18"/>
    </row>
    <row r="231" spans="1:8" x14ac:dyDescent="0.3">
      <c r="A231" s="116" t="str">
        <f t="shared" si="6"/>
        <v>ROX</v>
      </c>
      <c r="B231" s="60" t="str">
        <f t="shared" si="7"/>
        <v>ROXAll LSI generators</v>
      </c>
      <c r="C231" s="559" t="s">
        <v>280</v>
      </c>
      <c r="D231" s="559" t="s">
        <v>403</v>
      </c>
      <c r="E231" s="559">
        <v>1</v>
      </c>
      <c r="F231" s="18"/>
      <c r="G231" s="18"/>
      <c r="H231" s="18"/>
    </row>
    <row r="232" spans="1:8" x14ac:dyDescent="0.3">
      <c r="A232" s="116" t="str">
        <f t="shared" si="6"/>
        <v>ALB</v>
      </c>
      <c r="B232" s="60" t="str">
        <f t="shared" si="7"/>
        <v>ALBAll NI consumers</v>
      </c>
      <c r="C232" s="559" t="s">
        <v>97</v>
      </c>
      <c r="D232" s="559" t="s">
        <v>404</v>
      </c>
      <c r="E232" s="559">
        <v>1</v>
      </c>
      <c r="F232" s="18"/>
      <c r="G232" s="18"/>
      <c r="H232" s="18"/>
    </row>
    <row r="233" spans="1:8" x14ac:dyDescent="0.3">
      <c r="A233" s="116" t="str">
        <f t="shared" si="6"/>
        <v>ALB</v>
      </c>
      <c r="B233" s="60" t="str">
        <f t="shared" si="7"/>
        <v>ALBAll NI consumers</v>
      </c>
      <c r="C233" s="559" t="s">
        <v>98</v>
      </c>
      <c r="D233" s="559" t="s">
        <v>404</v>
      </c>
      <c r="E233" s="559">
        <v>1</v>
      </c>
      <c r="F233" s="18"/>
      <c r="G233" s="18"/>
      <c r="H233" s="18"/>
    </row>
    <row r="234" spans="1:8" x14ac:dyDescent="0.3">
      <c r="A234" s="116" t="str">
        <f t="shared" si="6"/>
        <v>BOB</v>
      </c>
      <c r="B234" s="60" t="str">
        <f t="shared" si="7"/>
        <v>BOBAll NI consumers</v>
      </c>
      <c r="C234" s="559" t="s">
        <v>119</v>
      </c>
      <c r="D234" s="559" t="s">
        <v>404</v>
      </c>
      <c r="E234" s="559">
        <v>1</v>
      </c>
      <c r="F234" s="18"/>
      <c r="G234" s="18"/>
      <c r="H234" s="18"/>
    </row>
    <row r="235" spans="1:8" x14ac:dyDescent="0.3">
      <c r="A235" s="116" t="str">
        <f t="shared" si="6"/>
        <v>BOB</v>
      </c>
      <c r="B235" s="60" t="str">
        <f t="shared" si="7"/>
        <v>BOBAll NI consumers</v>
      </c>
      <c r="C235" s="559" t="s">
        <v>120</v>
      </c>
      <c r="D235" s="559" t="s">
        <v>404</v>
      </c>
      <c r="E235" s="559">
        <v>1</v>
      </c>
      <c r="F235" s="18"/>
      <c r="G235" s="18"/>
      <c r="H235" s="18"/>
    </row>
    <row r="236" spans="1:8" x14ac:dyDescent="0.3">
      <c r="A236" s="116" t="str">
        <f t="shared" si="6"/>
        <v>BPE</v>
      </c>
      <c r="B236" s="60" t="str">
        <f t="shared" si="7"/>
        <v>BPEAll NI consumers</v>
      </c>
      <c r="C236" s="559" t="s">
        <v>122</v>
      </c>
      <c r="D236" s="559" t="s">
        <v>404</v>
      </c>
      <c r="E236" s="559">
        <v>1</v>
      </c>
      <c r="F236" s="18"/>
      <c r="G236" s="18"/>
      <c r="H236" s="18"/>
    </row>
    <row r="237" spans="1:8" x14ac:dyDescent="0.3">
      <c r="A237" s="116" t="str">
        <f t="shared" si="6"/>
        <v>BPE</v>
      </c>
      <c r="B237" s="60" t="str">
        <f t="shared" si="7"/>
        <v>BPEAll NI consumers</v>
      </c>
      <c r="C237" s="559" t="s">
        <v>124</v>
      </c>
      <c r="D237" s="559" t="s">
        <v>404</v>
      </c>
      <c r="E237" s="559">
        <v>1</v>
      </c>
      <c r="F237" s="18"/>
      <c r="G237" s="18"/>
      <c r="H237" s="18"/>
    </row>
    <row r="238" spans="1:8" x14ac:dyDescent="0.3">
      <c r="A238" s="116" t="str">
        <f t="shared" si="6"/>
        <v>BRB</v>
      </c>
      <c r="B238" s="60" t="str">
        <f t="shared" si="7"/>
        <v>BRBAll NI consumers</v>
      </c>
      <c r="C238" s="559" t="s">
        <v>126</v>
      </c>
      <c r="D238" s="559" t="s">
        <v>404</v>
      </c>
      <c r="E238" s="559">
        <v>1</v>
      </c>
      <c r="F238" s="18"/>
      <c r="G238" s="18"/>
      <c r="H238" s="18"/>
    </row>
    <row r="239" spans="1:8" x14ac:dyDescent="0.3">
      <c r="A239" s="116" t="str">
        <f t="shared" si="6"/>
        <v>BRK</v>
      </c>
      <c r="B239" s="60" t="str">
        <f t="shared" si="7"/>
        <v>BRKAll NI consumers</v>
      </c>
      <c r="C239" s="559" t="s">
        <v>127</v>
      </c>
      <c r="D239" s="559" t="s">
        <v>404</v>
      </c>
      <c r="E239" s="559">
        <v>1</v>
      </c>
      <c r="F239" s="18"/>
      <c r="G239" s="18"/>
      <c r="H239" s="18"/>
    </row>
    <row r="240" spans="1:8" x14ac:dyDescent="0.3">
      <c r="A240" s="116" t="str">
        <f t="shared" si="6"/>
        <v>CBG</v>
      </c>
      <c r="B240" s="60" t="str">
        <f t="shared" si="7"/>
        <v>CBGAll NI consumers</v>
      </c>
      <c r="C240" s="559" t="s">
        <v>131</v>
      </c>
      <c r="D240" s="559" t="s">
        <v>404</v>
      </c>
      <c r="E240" s="559">
        <v>1</v>
      </c>
      <c r="F240" s="18"/>
      <c r="G240" s="18"/>
      <c r="H240" s="18"/>
    </row>
    <row r="241" spans="1:22" x14ac:dyDescent="0.3">
      <c r="A241" s="116" t="str">
        <f t="shared" si="6"/>
        <v>CPK</v>
      </c>
      <c r="B241" s="60" t="str">
        <f t="shared" si="7"/>
        <v>CPKAll NI consumers</v>
      </c>
      <c r="C241" s="559" t="s">
        <v>137</v>
      </c>
      <c r="D241" s="559" t="s">
        <v>404</v>
      </c>
      <c r="E241" s="559">
        <v>1</v>
      </c>
      <c r="F241" s="18"/>
      <c r="G241" s="18"/>
      <c r="H241" s="18"/>
    </row>
    <row r="242" spans="1:22" x14ac:dyDescent="0.3">
      <c r="A242" s="116" t="str">
        <f t="shared" si="6"/>
        <v>CPK</v>
      </c>
      <c r="B242" s="60" t="str">
        <f t="shared" si="7"/>
        <v>CPKAll NI consumers</v>
      </c>
      <c r="C242" s="559" t="s">
        <v>138</v>
      </c>
      <c r="D242" s="559" t="s">
        <v>404</v>
      </c>
      <c r="E242" s="559">
        <v>1</v>
      </c>
      <c r="F242" s="18"/>
      <c r="G242" s="18"/>
      <c r="H242" s="18"/>
    </row>
    <row r="243" spans="1:22" x14ac:dyDescent="0.3">
      <c r="A243" s="116" t="str">
        <f t="shared" si="6"/>
        <v>CST</v>
      </c>
      <c r="B243" s="60" t="str">
        <f t="shared" si="7"/>
        <v>CSTAll NI consumers</v>
      </c>
      <c r="C243" s="559" t="s">
        <v>139</v>
      </c>
      <c r="D243" s="559" t="s">
        <v>404</v>
      </c>
      <c r="E243" s="559">
        <v>1</v>
      </c>
      <c r="F243" s="18"/>
      <c r="G243" s="18"/>
      <c r="H243" s="18"/>
    </row>
    <row r="244" spans="1:22" x14ac:dyDescent="0.3">
      <c r="A244" s="116" t="str">
        <f t="shared" si="6"/>
        <v>DVK</v>
      </c>
      <c r="B244" s="60" t="str">
        <f t="shared" si="7"/>
        <v>DVKAll NI consumers</v>
      </c>
      <c r="C244" s="559" t="s">
        <v>146</v>
      </c>
      <c r="D244" s="559" t="s">
        <v>404</v>
      </c>
      <c r="E244" s="559">
        <v>1</v>
      </c>
      <c r="F244" s="18"/>
      <c r="G244" s="18"/>
      <c r="H244" s="18"/>
    </row>
    <row r="245" spans="1:22" x14ac:dyDescent="0.3">
      <c r="A245" s="116" t="str">
        <f t="shared" si="6"/>
        <v>EDG</v>
      </c>
      <c r="B245" s="60" t="str">
        <f t="shared" si="7"/>
        <v>EDGAll NI consumers</v>
      </c>
      <c r="C245" s="559" t="s">
        <v>147</v>
      </c>
      <c r="D245" s="559" t="s">
        <v>404</v>
      </c>
      <c r="E245" s="559">
        <v>1</v>
      </c>
      <c r="F245" s="18"/>
      <c r="G245" s="18"/>
      <c r="H245" s="18"/>
    </row>
    <row r="246" spans="1:22" x14ac:dyDescent="0.3">
      <c r="A246" s="116" t="str">
        <f t="shared" si="6"/>
        <v>FHL</v>
      </c>
      <c r="B246" s="60" t="str">
        <f t="shared" si="7"/>
        <v>FHLAll NI consumers</v>
      </c>
      <c r="C246" s="559" t="s">
        <v>149</v>
      </c>
      <c r="D246" s="559" t="s">
        <v>404</v>
      </c>
      <c r="E246" s="559">
        <v>1</v>
      </c>
      <c r="F246" s="18"/>
      <c r="G246" s="18"/>
      <c r="H246" s="18"/>
    </row>
    <row r="247" spans="1:22" x14ac:dyDescent="0.3">
      <c r="A247" s="116" t="str">
        <f t="shared" si="6"/>
        <v>GFD</v>
      </c>
      <c r="B247" s="60" t="str">
        <f t="shared" si="7"/>
        <v>GFDAll NI consumers</v>
      </c>
      <c r="C247" s="559" t="s">
        <v>151</v>
      </c>
      <c r="D247" s="559" t="s">
        <v>404</v>
      </c>
      <c r="E247" s="559">
        <v>1</v>
      </c>
      <c r="F247" s="18"/>
      <c r="G247" s="18"/>
      <c r="H247" s="18"/>
    </row>
    <row r="248" spans="1:22" x14ac:dyDescent="0.3">
      <c r="A248" s="116" t="str">
        <f t="shared" si="6"/>
        <v>GIS</v>
      </c>
      <c r="B248" s="60" t="str">
        <f t="shared" si="7"/>
        <v>GISAll NI consumers</v>
      </c>
      <c r="C248" s="559" t="s">
        <v>365</v>
      </c>
      <c r="D248" s="559" t="s">
        <v>404</v>
      </c>
      <c r="E248" s="559">
        <v>1</v>
      </c>
      <c r="F248" s="18"/>
      <c r="G248" s="18"/>
      <c r="H248" s="18"/>
    </row>
    <row r="249" spans="1:22" x14ac:dyDescent="0.3">
      <c r="A249" s="116" t="str">
        <f t="shared" si="6"/>
        <v>GLN</v>
      </c>
      <c r="B249" s="60" t="str">
        <f t="shared" si="7"/>
        <v>GLNAll NI consumers</v>
      </c>
      <c r="C249" s="559" t="s">
        <v>366</v>
      </c>
      <c r="D249" s="559" t="s">
        <v>404</v>
      </c>
      <c r="E249" s="559">
        <v>1</v>
      </c>
      <c r="F249" s="18"/>
      <c r="G249" s="18"/>
      <c r="H249" s="18"/>
    </row>
    <row r="250" spans="1:22" x14ac:dyDescent="0.3">
      <c r="A250" s="116" t="str">
        <f t="shared" si="6"/>
        <v>GLN</v>
      </c>
      <c r="B250" s="60" t="str">
        <f t="shared" si="7"/>
        <v>GLNAll NI consumers</v>
      </c>
      <c r="C250" s="559" t="s">
        <v>367</v>
      </c>
      <c r="D250" s="559" t="s">
        <v>404</v>
      </c>
      <c r="E250" s="559">
        <v>1</v>
      </c>
      <c r="F250" s="18"/>
      <c r="G250" s="18"/>
      <c r="H250" s="18"/>
    </row>
    <row r="251" spans="1:22" x14ac:dyDescent="0.3">
      <c r="A251" s="116" t="str">
        <f t="shared" si="6"/>
        <v>GYT</v>
      </c>
      <c r="B251" s="60" t="str">
        <f t="shared" si="7"/>
        <v>GYTAll NI consumers</v>
      </c>
      <c r="C251" s="559" t="s">
        <v>155</v>
      </c>
      <c r="D251" s="559" t="s">
        <v>404</v>
      </c>
      <c r="E251" s="559">
        <v>1</v>
      </c>
      <c r="F251" s="18"/>
      <c r="G251" s="18"/>
      <c r="H251" s="18"/>
    </row>
    <row r="252" spans="1:22" s="116" customFormat="1" x14ac:dyDescent="0.3">
      <c r="A252" s="116" t="str">
        <f t="shared" si="6"/>
        <v>HAM</v>
      </c>
      <c r="B252" s="60" t="str">
        <f t="shared" si="7"/>
        <v>HAMAll NI consumers</v>
      </c>
      <c r="C252" s="559" t="s">
        <v>156</v>
      </c>
      <c r="D252" s="559" t="s">
        <v>404</v>
      </c>
      <c r="E252" s="559">
        <v>1</v>
      </c>
      <c r="F252" s="18"/>
      <c r="G252" s="18"/>
      <c r="H252" s="18"/>
      <c r="L252" s="18"/>
      <c r="M252" s="18"/>
      <c r="N252" s="18"/>
      <c r="O252" s="18"/>
      <c r="P252" s="18"/>
      <c r="Q252" s="18"/>
      <c r="R252" s="18"/>
      <c r="S252" s="18"/>
      <c r="T252" s="18"/>
      <c r="U252" s="18"/>
      <c r="V252" s="18"/>
    </row>
    <row r="253" spans="1:22" x14ac:dyDescent="0.3">
      <c r="A253" s="116" t="str">
        <f t="shared" si="6"/>
        <v>HAM</v>
      </c>
      <c r="B253" s="60" t="str">
        <f t="shared" si="7"/>
        <v>HAMAll NI consumers</v>
      </c>
      <c r="C253" s="559" t="s">
        <v>157</v>
      </c>
      <c r="D253" s="559" t="s">
        <v>404</v>
      </c>
      <c r="E253" s="559">
        <v>1</v>
      </c>
      <c r="F253" s="18"/>
      <c r="G253" s="18"/>
      <c r="H253" s="18"/>
    </row>
    <row r="254" spans="1:22" x14ac:dyDescent="0.3">
      <c r="A254" s="116" t="str">
        <f t="shared" si="6"/>
        <v>HAM</v>
      </c>
      <c r="B254" s="60" t="str">
        <f t="shared" si="7"/>
        <v>HAMAll NI consumers</v>
      </c>
      <c r="C254" s="559" t="s">
        <v>158</v>
      </c>
      <c r="D254" s="559" t="s">
        <v>404</v>
      </c>
      <c r="E254" s="559">
        <v>1</v>
      </c>
      <c r="F254" s="18"/>
      <c r="G254" s="18"/>
      <c r="H254" s="18"/>
    </row>
    <row r="255" spans="1:22" x14ac:dyDescent="0.3">
      <c r="A255" s="116" t="str">
        <f t="shared" si="6"/>
        <v>HAY</v>
      </c>
      <c r="B255" s="60" t="str">
        <f t="shared" si="7"/>
        <v>HAYAll NI consumers</v>
      </c>
      <c r="C255" s="559" t="s">
        <v>159</v>
      </c>
      <c r="D255" s="559" t="s">
        <v>404</v>
      </c>
      <c r="E255" s="559">
        <v>1</v>
      </c>
      <c r="F255" s="18"/>
      <c r="G255" s="18"/>
      <c r="H255" s="18"/>
    </row>
    <row r="256" spans="1:22" x14ac:dyDescent="0.3">
      <c r="A256" s="116" t="str">
        <f t="shared" si="6"/>
        <v>HAY</v>
      </c>
      <c r="B256" s="60" t="str">
        <f t="shared" si="7"/>
        <v>HAYAll NI consumers</v>
      </c>
      <c r="C256" s="559" t="s">
        <v>160</v>
      </c>
      <c r="D256" s="559" t="s">
        <v>404</v>
      </c>
      <c r="E256" s="559">
        <v>1</v>
      </c>
      <c r="F256" s="18"/>
      <c r="G256" s="18"/>
      <c r="H256" s="18"/>
    </row>
    <row r="257" spans="1:8" x14ac:dyDescent="0.3">
      <c r="A257" s="116" t="str">
        <f t="shared" si="6"/>
        <v>HEN</v>
      </c>
      <c r="B257" s="60" t="str">
        <f t="shared" si="7"/>
        <v>HENAll NI consumers</v>
      </c>
      <c r="C257" s="559" t="s">
        <v>161</v>
      </c>
      <c r="D257" s="559" t="s">
        <v>404</v>
      </c>
      <c r="E257" s="559">
        <v>1</v>
      </c>
      <c r="F257" s="18"/>
      <c r="G257" s="18"/>
      <c r="H257" s="18"/>
    </row>
    <row r="258" spans="1:8" x14ac:dyDescent="0.3">
      <c r="A258" s="116" t="str">
        <f t="shared" si="6"/>
        <v>HEP</v>
      </c>
      <c r="B258" s="60" t="str">
        <f t="shared" si="7"/>
        <v>HEPAll NI consumers</v>
      </c>
      <c r="C258" s="559" t="s">
        <v>162</v>
      </c>
      <c r="D258" s="559" t="s">
        <v>404</v>
      </c>
      <c r="E258" s="559">
        <v>1</v>
      </c>
      <c r="F258" s="18"/>
      <c r="G258" s="18"/>
      <c r="H258" s="18"/>
    </row>
    <row r="259" spans="1:8" x14ac:dyDescent="0.3">
      <c r="A259" s="116" t="str">
        <f t="shared" si="6"/>
        <v>HIN</v>
      </c>
      <c r="B259" s="60" t="str">
        <f t="shared" si="7"/>
        <v>HINAll NI consumers</v>
      </c>
      <c r="C259" s="559" t="s">
        <v>163</v>
      </c>
      <c r="D259" s="559" t="s">
        <v>404</v>
      </c>
      <c r="E259" s="559">
        <v>1</v>
      </c>
      <c r="F259" s="18"/>
      <c r="G259" s="18"/>
      <c r="H259" s="18"/>
    </row>
    <row r="260" spans="1:8" x14ac:dyDescent="0.3">
      <c r="A260" s="116" t="str">
        <f t="shared" si="6"/>
        <v>HLY</v>
      </c>
      <c r="B260" s="60" t="str">
        <f t="shared" si="7"/>
        <v>HLYAll NI consumers</v>
      </c>
      <c r="C260" s="559" t="s">
        <v>165</v>
      </c>
      <c r="D260" s="559" t="s">
        <v>404</v>
      </c>
      <c r="E260" s="559">
        <v>1</v>
      </c>
      <c r="F260" s="18"/>
      <c r="G260" s="18"/>
      <c r="H260" s="18"/>
    </row>
    <row r="261" spans="1:8" x14ac:dyDescent="0.3">
      <c r="A261" s="116" t="str">
        <f t="shared" si="6"/>
        <v>HOB</v>
      </c>
      <c r="B261" s="60" t="str">
        <f t="shared" si="7"/>
        <v>HOBAll NI consumers</v>
      </c>
      <c r="C261" s="559" t="s">
        <v>170</v>
      </c>
      <c r="D261" s="559" t="s">
        <v>404</v>
      </c>
      <c r="E261" s="559">
        <v>1</v>
      </c>
      <c r="F261" s="18"/>
      <c r="G261" s="18"/>
      <c r="H261" s="18"/>
    </row>
    <row r="262" spans="1:8" x14ac:dyDescent="0.3">
      <c r="A262" s="116" t="str">
        <f t="shared" si="6"/>
        <v>HTI</v>
      </c>
      <c r="B262" s="60" t="str">
        <f t="shared" si="7"/>
        <v>HTIAll NI consumers</v>
      </c>
      <c r="C262" s="559" t="s">
        <v>173</v>
      </c>
      <c r="D262" s="559" t="s">
        <v>404</v>
      </c>
      <c r="E262" s="559">
        <v>1</v>
      </c>
      <c r="F262" s="18"/>
      <c r="G262" s="18"/>
      <c r="H262" s="18"/>
    </row>
    <row r="263" spans="1:8" x14ac:dyDescent="0.3">
      <c r="A263" s="116" t="str">
        <f t="shared" ref="A263:A326" si="8">LEFT(C263,3)</f>
        <v>HUI</v>
      </c>
      <c r="B263" s="60" t="str">
        <f t="shared" ref="B263:B326" si="9">A263&amp;D263</f>
        <v>HUIAll NI consumers</v>
      </c>
      <c r="C263" s="559" t="s">
        <v>174</v>
      </c>
      <c r="D263" s="559" t="s">
        <v>404</v>
      </c>
      <c r="E263" s="559">
        <v>1</v>
      </c>
      <c r="F263" s="18"/>
      <c r="G263" s="18"/>
      <c r="H263" s="18"/>
    </row>
    <row r="264" spans="1:8" x14ac:dyDescent="0.3">
      <c r="A264" s="116" t="str">
        <f t="shared" si="8"/>
        <v>HWA</v>
      </c>
      <c r="B264" s="60" t="str">
        <f t="shared" si="9"/>
        <v>HWAAll NI consumers</v>
      </c>
      <c r="C264" s="559" t="s">
        <v>175</v>
      </c>
      <c r="D264" s="559" t="s">
        <v>404</v>
      </c>
      <c r="E264" s="559">
        <v>1</v>
      </c>
      <c r="F264" s="18"/>
      <c r="G264" s="18"/>
      <c r="H264" s="18"/>
    </row>
    <row r="265" spans="1:8" x14ac:dyDescent="0.3">
      <c r="A265" s="116" t="str">
        <f t="shared" si="8"/>
        <v>HWA</v>
      </c>
      <c r="B265" s="60" t="str">
        <f t="shared" si="9"/>
        <v>HWAAll NI consumers</v>
      </c>
      <c r="C265" s="559" t="s">
        <v>176</v>
      </c>
      <c r="D265" s="559" t="s">
        <v>404</v>
      </c>
      <c r="E265" s="559">
        <v>1</v>
      </c>
      <c r="F265" s="18"/>
      <c r="G265" s="18"/>
      <c r="H265" s="18"/>
    </row>
    <row r="266" spans="1:8" x14ac:dyDescent="0.3">
      <c r="A266" s="116" t="str">
        <f t="shared" si="8"/>
        <v>HWA</v>
      </c>
      <c r="B266" s="60" t="str">
        <f t="shared" si="9"/>
        <v>HWAAll NI consumers</v>
      </c>
      <c r="C266" s="559" t="s">
        <v>177</v>
      </c>
      <c r="D266" s="559" t="s">
        <v>404</v>
      </c>
      <c r="E266" s="559">
        <v>1</v>
      </c>
      <c r="F266" s="18"/>
      <c r="G266" s="18"/>
      <c r="H266" s="18"/>
    </row>
    <row r="267" spans="1:8" x14ac:dyDescent="0.3">
      <c r="A267" s="116" t="str">
        <f t="shared" si="8"/>
        <v>HWA</v>
      </c>
      <c r="B267" s="60" t="str">
        <f t="shared" si="9"/>
        <v>HWAAll NI consumers</v>
      </c>
      <c r="C267" s="559" t="s">
        <v>181</v>
      </c>
      <c r="D267" s="559" t="s">
        <v>404</v>
      </c>
      <c r="E267" s="559">
        <v>1</v>
      </c>
      <c r="F267" s="18"/>
      <c r="G267" s="18"/>
      <c r="H267" s="18"/>
    </row>
    <row r="268" spans="1:8" x14ac:dyDescent="0.3">
      <c r="A268" s="116" t="str">
        <f t="shared" si="8"/>
        <v>KAW</v>
      </c>
      <c r="B268" s="60" t="str">
        <f t="shared" si="9"/>
        <v>KAWAll NI consumers</v>
      </c>
      <c r="C268" s="559" t="s">
        <v>193</v>
      </c>
      <c r="D268" s="559" t="s">
        <v>404</v>
      </c>
      <c r="E268" s="559">
        <v>1</v>
      </c>
      <c r="F268" s="18"/>
      <c r="G268" s="18"/>
      <c r="H268" s="18"/>
    </row>
    <row r="269" spans="1:8" x14ac:dyDescent="0.3">
      <c r="A269" s="116" t="str">
        <f t="shared" si="8"/>
        <v>KAW</v>
      </c>
      <c r="B269" s="60" t="str">
        <f t="shared" si="9"/>
        <v>KAWAll NI consumers</v>
      </c>
      <c r="C269" s="559" t="s">
        <v>368</v>
      </c>
      <c r="D269" s="559" t="s">
        <v>404</v>
      </c>
      <c r="E269" s="559">
        <v>1</v>
      </c>
      <c r="F269" s="18"/>
      <c r="G269" s="18"/>
      <c r="H269" s="18"/>
    </row>
    <row r="270" spans="1:8" x14ac:dyDescent="0.3">
      <c r="A270" s="116" t="str">
        <f t="shared" si="8"/>
        <v>KAW</v>
      </c>
      <c r="B270" s="60" t="str">
        <f t="shared" si="9"/>
        <v>KAWAll NI consumers</v>
      </c>
      <c r="C270" s="559" t="s">
        <v>681</v>
      </c>
      <c r="D270" s="559" t="s">
        <v>404</v>
      </c>
      <c r="E270" s="559">
        <v>1</v>
      </c>
      <c r="F270" s="18"/>
      <c r="G270" s="18"/>
      <c r="H270" s="18"/>
    </row>
    <row r="271" spans="1:8" x14ac:dyDescent="0.3">
      <c r="A271" s="116" t="str">
        <f t="shared" si="8"/>
        <v>KAW</v>
      </c>
      <c r="B271" s="60" t="str">
        <f t="shared" si="9"/>
        <v>KAWAll NI consumers</v>
      </c>
      <c r="C271" s="559" t="s">
        <v>369</v>
      </c>
      <c r="D271" s="559" t="s">
        <v>404</v>
      </c>
      <c r="E271" s="559">
        <v>1</v>
      </c>
      <c r="F271" s="18"/>
      <c r="G271" s="18"/>
      <c r="H271" s="18"/>
    </row>
    <row r="272" spans="1:8" x14ac:dyDescent="0.3">
      <c r="A272" s="116" t="str">
        <f t="shared" si="8"/>
        <v>KAW</v>
      </c>
      <c r="B272" s="60" t="str">
        <f t="shared" si="9"/>
        <v>KAWAll NI consumers</v>
      </c>
      <c r="C272" s="559" t="s">
        <v>682</v>
      </c>
      <c r="D272" s="559" t="s">
        <v>404</v>
      </c>
      <c r="E272" s="559">
        <v>1</v>
      </c>
      <c r="F272" s="18"/>
      <c r="G272" s="18"/>
      <c r="H272" s="18"/>
    </row>
    <row r="273" spans="1:8" x14ac:dyDescent="0.3">
      <c r="A273" s="116" t="str">
        <f t="shared" si="8"/>
        <v>KAW</v>
      </c>
      <c r="B273" s="60" t="str">
        <f t="shared" si="9"/>
        <v>KAWAll NI consumers</v>
      </c>
      <c r="C273" s="559" t="s">
        <v>370</v>
      </c>
      <c r="D273" s="559" t="s">
        <v>404</v>
      </c>
      <c r="E273" s="559">
        <v>1</v>
      </c>
      <c r="F273" s="18"/>
      <c r="G273" s="18"/>
      <c r="H273" s="18"/>
    </row>
    <row r="274" spans="1:8" x14ac:dyDescent="0.3">
      <c r="A274" s="116" t="str">
        <f t="shared" si="8"/>
        <v>KEN</v>
      </c>
      <c r="B274" s="60" t="str">
        <f t="shared" si="9"/>
        <v>KENAll NI consumers</v>
      </c>
      <c r="C274" s="559" t="s">
        <v>371</v>
      </c>
      <c r="D274" s="559" t="s">
        <v>404</v>
      </c>
      <c r="E274" s="559">
        <v>1</v>
      </c>
      <c r="F274" s="18"/>
      <c r="G274" s="18"/>
      <c r="H274" s="18"/>
    </row>
    <row r="275" spans="1:8" x14ac:dyDescent="0.3">
      <c r="A275" s="116" t="str">
        <f t="shared" si="8"/>
        <v>KIN</v>
      </c>
      <c r="B275" s="60" t="str">
        <f t="shared" si="9"/>
        <v>KINAll NI consumers</v>
      </c>
      <c r="C275" s="559" t="s">
        <v>372</v>
      </c>
      <c r="D275" s="559" t="s">
        <v>404</v>
      </c>
      <c r="E275" s="559">
        <v>1</v>
      </c>
      <c r="F275" s="18"/>
      <c r="G275" s="18"/>
      <c r="H275" s="18"/>
    </row>
    <row r="276" spans="1:8" x14ac:dyDescent="0.3">
      <c r="A276" s="116" t="str">
        <f t="shared" si="8"/>
        <v>KIN</v>
      </c>
      <c r="B276" s="60" t="str">
        <f t="shared" si="9"/>
        <v>KINAll NI consumers</v>
      </c>
      <c r="C276" s="559" t="s">
        <v>373</v>
      </c>
      <c r="D276" s="559" t="s">
        <v>404</v>
      </c>
      <c r="E276" s="559">
        <v>1</v>
      </c>
      <c r="F276" s="18"/>
      <c r="G276" s="18"/>
      <c r="H276" s="18"/>
    </row>
    <row r="277" spans="1:8" x14ac:dyDescent="0.3">
      <c r="A277" s="116" t="str">
        <f t="shared" si="8"/>
        <v>KIN</v>
      </c>
      <c r="B277" s="60" t="str">
        <f t="shared" si="9"/>
        <v>KINAll NI consumers</v>
      </c>
      <c r="C277" s="559" t="s">
        <v>374</v>
      </c>
      <c r="D277" s="559" t="s">
        <v>404</v>
      </c>
      <c r="E277" s="559">
        <v>1</v>
      </c>
      <c r="F277" s="18"/>
      <c r="G277" s="18"/>
      <c r="H277" s="18"/>
    </row>
    <row r="278" spans="1:8" x14ac:dyDescent="0.3">
      <c r="A278" s="116" t="str">
        <f t="shared" si="8"/>
        <v>KIN</v>
      </c>
      <c r="B278" s="60" t="str">
        <f t="shared" si="9"/>
        <v>KINAll NI consumers</v>
      </c>
      <c r="C278" s="559" t="s">
        <v>198</v>
      </c>
      <c r="D278" s="559" t="s">
        <v>404</v>
      </c>
      <c r="E278" s="559">
        <v>1</v>
      </c>
      <c r="F278" s="18"/>
      <c r="G278" s="18"/>
      <c r="H278" s="18"/>
    </row>
    <row r="279" spans="1:8" x14ac:dyDescent="0.3">
      <c r="A279" s="116" t="str">
        <f t="shared" si="8"/>
        <v>KMO</v>
      </c>
      <c r="B279" s="60" t="str">
        <f t="shared" si="9"/>
        <v>KMOAll NI consumers</v>
      </c>
      <c r="C279" s="559" t="s">
        <v>199</v>
      </c>
      <c r="D279" s="559" t="s">
        <v>404</v>
      </c>
      <c r="E279" s="559">
        <v>1</v>
      </c>
      <c r="F279" s="18"/>
      <c r="G279" s="18"/>
      <c r="H279" s="18"/>
    </row>
    <row r="280" spans="1:8" x14ac:dyDescent="0.3">
      <c r="A280" s="116" t="str">
        <f t="shared" si="8"/>
        <v>KOE</v>
      </c>
      <c r="B280" s="60" t="str">
        <f t="shared" si="9"/>
        <v>KOEAll NI consumers</v>
      </c>
      <c r="C280" s="559" t="s">
        <v>200</v>
      </c>
      <c r="D280" s="559" t="s">
        <v>404</v>
      </c>
      <c r="E280" s="559">
        <v>1</v>
      </c>
      <c r="F280" s="18"/>
      <c r="G280" s="18"/>
      <c r="H280" s="18"/>
    </row>
    <row r="281" spans="1:8" x14ac:dyDescent="0.3">
      <c r="A281" s="116" t="str">
        <f t="shared" si="8"/>
        <v>KPA</v>
      </c>
      <c r="B281" s="60" t="str">
        <f t="shared" si="9"/>
        <v>KPAAll NI consumers</v>
      </c>
      <c r="C281" s="559" t="s">
        <v>375</v>
      </c>
      <c r="D281" s="559" t="s">
        <v>404</v>
      </c>
      <c r="E281" s="559">
        <v>1</v>
      </c>
      <c r="F281" s="18"/>
      <c r="G281" s="18"/>
      <c r="H281" s="18"/>
    </row>
    <row r="282" spans="1:8" x14ac:dyDescent="0.3">
      <c r="A282" s="116" t="str">
        <f t="shared" si="8"/>
        <v>KPU</v>
      </c>
      <c r="B282" s="60" t="str">
        <f t="shared" si="9"/>
        <v>KPUAll NI consumers</v>
      </c>
      <c r="C282" s="559" t="s">
        <v>204</v>
      </c>
      <c r="D282" s="559" t="s">
        <v>404</v>
      </c>
      <c r="E282" s="559">
        <v>1</v>
      </c>
      <c r="F282" s="18"/>
      <c r="G282" s="18"/>
      <c r="H282" s="18"/>
    </row>
    <row r="283" spans="1:8" x14ac:dyDescent="0.3">
      <c r="A283" s="116" t="str">
        <f t="shared" si="8"/>
        <v>KWA</v>
      </c>
      <c r="B283" s="60" t="str">
        <f t="shared" si="9"/>
        <v>KWAAll NI consumers</v>
      </c>
      <c r="C283" s="559" t="s">
        <v>207</v>
      </c>
      <c r="D283" s="559" t="s">
        <v>404</v>
      </c>
      <c r="E283" s="559">
        <v>1</v>
      </c>
      <c r="F283" s="18"/>
      <c r="G283" s="18"/>
      <c r="H283" s="18"/>
    </row>
    <row r="284" spans="1:8" x14ac:dyDescent="0.3">
      <c r="A284" s="116" t="str">
        <f t="shared" si="8"/>
        <v>LFD</v>
      </c>
      <c r="B284" s="60" t="str">
        <f t="shared" si="9"/>
        <v>LFDAll NI consumers</v>
      </c>
      <c r="C284" s="559" t="s">
        <v>208</v>
      </c>
      <c r="D284" s="559" t="s">
        <v>404</v>
      </c>
      <c r="E284" s="559">
        <v>1</v>
      </c>
      <c r="F284" s="18"/>
      <c r="G284" s="18"/>
      <c r="H284" s="18"/>
    </row>
    <row r="285" spans="1:8" x14ac:dyDescent="0.3">
      <c r="A285" s="116" t="str">
        <f t="shared" si="8"/>
        <v>LFD</v>
      </c>
      <c r="B285" s="60" t="str">
        <f t="shared" si="9"/>
        <v>LFDAll NI consumers</v>
      </c>
      <c r="C285" s="559" t="s">
        <v>209</v>
      </c>
      <c r="D285" s="559" t="s">
        <v>404</v>
      </c>
      <c r="E285" s="559">
        <v>1</v>
      </c>
      <c r="F285" s="18"/>
      <c r="G285" s="18"/>
      <c r="H285" s="18"/>
    </row>
    <row r="286" spans="1:8" x14ac:dyDescent="0.3">
      <c r="A286" s="116" t="str">
        <f t="shared" si="8"/>
        <v>LTN</v>
      </c>
      <c r="B286" s="60" t="str">
        <f t="shared" si="9"/>
        <v>LTNAll NI consumers</v>
      </c>
      <c r="C286" s="559" t="s">
        <v>210</v>
      </c>
      <c r="D286" s="559" t="s">
        <v>404</v>
      </c>
      <c r="E286" s="559">
        <v>1</v>
      </c>
      <c r="F286" s="18"/>
      <c r="G286" s="18"/>
      <c r="H286" s="18"/>
    </row>
    <row r="287" spans="1:8" x14ac:dyDescent="0.3">
      <c r="A287" s="116" t="str">
        <f t="shared" si="8"/>
        <v>LTN</v>
      </c>
      <c r="B287" s="60" t="str">
        <f t="shared" si="9"/>
        <v>LTNAll NI consumers</v>
      </c>
      <c r="C287" s="559" t="s">
        <v>211</v>
      </c>
      <c r="D287" s="559" t="s">
        <v>404</v>
      </c>
      <c r="E287" s="559">
        <v>1</v>
      </c>
      <c r="F287" s="18"/>
      <c r="G287" s="18"/>
      <c r="H287" s="18"/>
    </row>
    <row r="288" spans="1:8" x14ac:dyDescent="0.3">
      <c r="A288" s="116" t="str">
        <f t="shared" si="8"/>
        <v>MAT</v>
      </c>
      <c r="B288" s="60" t="str">
        <f t="shared" si="9"/>
        <v>MATAll NI consumers</v>
      </c>
      <c r="C288" s="559" t="s">
        <v>213</v>
      </c>
      <c r="D288" s="559" t="s">
        <v>404</v>
      </c>
      <c r="E288" s="559">
        <v>1</v>
      </c>
      <c r="F288" s="18"/>
      <c r="G288" s="18"/>
      <c r="H288" s="18"/>
    </row>
    <row r="289" spans="1:8" x14ac:dyDescent="0.3">
      <c r="A289" s="116" t="str">
        <f t="shared" si="8"/>
        <v>MER</v>
      </c>
      <c r="B289" s="60" t="str">
        <f t="shared" si="9"/>
        <v>MERAll NI consumers</v>
      </c>
      <c r="C289" s="559" t="s">
        <v>218</v>
      </c>
      <c r="D289" s="559" t="s">
        <v>404</v>
      </c>
      <c r="E289" s="559">
        <v>1</v>
      </c>
      <c r="F289" s="18"/>
      <c r="G289" s="18"/>
      <c r="H289" s="18"/>
    </row>
    <row r="290" spans="1:8" x14ac:dyDescent="0.3">
      <c r="A290" s="116" t="str">
        <f t="shared" si="8"/>
        <v>MGM</v>
      </c>
      <c r="B290" s="60" t="str">
        <f t="shared" si="9"/>
        <v>MGMAll NI consumers</v>
      </c>
      <c r="C290" s="559" t="s">
        <v>219</v>
      </c>
      <c r="D290" s="559" t="s">
        <v>404</v>
      </c>
      <c r="E290" s="559">
        <v>1</v>
      </c>
      <c r="F290" s="18"/>
      <c r="G290" s="18"/>
      <c r="H290" s="18"/>
    </row>
    <row r="291" spans="1:8" x14ac:dyDescent="0.3">
      <c r="A291" s="116" t="str">
        <f t="shared" si="8"/>
        <v>MHO</v>
      </c>
      <c r="B291" s="60" t="str">
        <f t="shared" si="9"/>
        <v>MHOAll NI consumers</v>
      </c>
      <c r="C291" s="559" t="s">
        <v>220</v>
      </c>
      <c r="D291" s="559" t="s">
        <v>404</v>
      </c>
      <c r="E291" s="559">
        <v>1</v>
      </c>
      <c r="F291" s="18"/>
      <c r="G291" s="18"/>
      <c r="H291" s="18"/>
    </row>
    <row r="292" spans="1:8" x14ac:dyDescent="0.3">
      <c r="A292" s="116" t="str">
        <f t="shared" si="8"/>
        <v>MKE</v>
      </c>
      <c r="B292" s="60" t="str">
        <f t="shared" si="9"/>
        <v>MKEAll NI consumers</v>
      </c>
      <c r="C292" s="559" t="s">
        <v>222</v>
      </c>
      <c r="D292" s="559" t="s">
        <v>404</v>
      </c>
      <c r="E292" s="559">
        <v>1</v>
      </c>
      <c r="F292" s="18"/>
      <c r="G292" s="18"/>
      <c r="H292" s="18"/>
    </row>
    <row r="293" spans="1:8" x14ac:dyDescent="0.3">
      <c r="A293" s="116" t="str">
        <f t="shared" si="8"/>
        <v>MLG</v>
      </c>
      <c r="B293" s="60" t="str">
        <f t="shared" si="9"/>
        <v>MLGAll NI consumers</v>
      </c>
      <c r="C293" s="559" t="s">
        <v>224</v>
      </c>
      <c r="D293" s="559" t="s">
        <v>404</v>
      </c>
      <c r="E293" s="559">
        <v>1</v>
      </c>
      <c r="F293" s="18"/>
      <c r="G293" s="18"/>
      <c r="H293" s="18"/>
    </row>
    <row r="294" spans="1:8" x14ac:dyDescent="0.3">
      <c r="A294" s="116" t="str">
        <f t="shared" si="8"/>
        <v>MLG</v>
      </c>
      <c r="B294" s="60" t="str">
        <f t="shared" si="9"/>
        <v>MLGAll NI consumers</v>
      </c>
      <c r="C294" s="559" t="s">
        <v>225</v>
      </c>
      <c r="D294" s="559" t="s">
        <v>404</v>
      </c>
      <c r="E294" s="559">
        <v>1</v>
      </c>
      <c r="F294" s="18"/>
      <c r="G294" s="18"/>
      <c r="H294" s="18"/>
    </row>
    <row r="295" spans="1:8" x14ac:dyDescent="0.3">
      <c r="A295" s="116" t="str">
        <f t="shared" si="8"/>
        <v>MNG</v>
      </c>
      <c r="B295" s="60" t="str">
        <f t="shared" si="9"/>
        <v>MNGAll NI consumers</v>
      </c>
      <c r="C295" s="559" t="s">
        <v>226</v>
      </c>
      <c r="D295" s="559" t="s">
        <v>404</v>
      </c>
      <c r="E295" s="559">
        <v>1</v>
      </c>
      <c r="F295" s="18"/>
      <c r="G295" s="18"/>
      <c r="H295" s="18"/>
    </row>
    <row r="296" spans="1:8" x14ac:dyDescent="0.3">
      <c r="A296" s="116" t="str">
        <f t="shared" si="8"/>
        <v>MNG</v>
      </c>
      <c r="B296" s="60" t="str">
        <f t="shared" si="9"/>
        <v>MNGAll NI consumers</v>
      </c>
      <c r="C296" s="559" t="s">
        <v>227</v>
      </c>
      <c r="D296" s="559" t="s">
        <v>404</v>
      </c>
      <c r="E296" s="559">
        <v>1</v>
      </c>
      <c r="F296" s="18"/>
      <c r="G296" s="18"/>
      <c r="H296" s="18"/>
    </row>
    <row r="297" spans="1:8" x14ac:dyDescent="0.3">
      <c r="A297" s="116" t="str">
        <f t="shared" si="8"/>
        <v>MNI</v>
      </c>
      <c r="B297" s="60" t="str">
        <f t="shared" si="9"/>
        <v>MNIAll NI consumers</v>
      </c>
      <c r="C297" s="559" t="s">
        <v>228</v>
      </c>
      <c r="D297" s="559" t="s">
        <v>404</v>
      </c>
      <c r="E297" s="559">
        <v>1</v>
      </c>
      <c r="F297" s="18"/>
      <c r="G297" s="18"/>
      <c r="H297" s="18"/>
    </row>
    <row r="298" spans="1:8" x14ac:dyDescent="0.3">
      <c r="A298" s="116" t="str">
        <f t="shared" si="8"/>
        <v>MPE</v>
      </c>
      <c r="B298" s="60" t="str">
        <f t="shared" si="9"/>
        <v>MPEAll NI consumers</v>
      </c>
      <c r="C298" s="559" t="s">
        <v>229</v>
      </c>
      <c r="D298" s="559" t="s">
        <v>404</v>
      </c>
      <c r="E298" s="559">
        <v>1</v>
      </c>
      <c r="F298" s="18"/>
      <c r="G298" s="18"/>
      <c r="H298" s="18"/>
    </row>
    <row r="299" spans="1:8" x14ac:dyDescent="0.3">
      <c r="A299" s="116" t="str">
        <f t="shared" si="8"/>
        <v>MST</v>
      </c>
      <c r="B299" s="60" t="str">
        <f t="shared" si="9"/>
        <v>MSTAll NI consumers</v>
      </c>
      <c r="C299" s="559" t="s">
        <v>230</v>
      </c>
      <c r="D299" s="559" t="s">
        <v>404</v>
      </c>
      <c r="E299" s="559">
        <v>1</v>
      </c>
      <c r="F299" s="18"/>
      <c r="G299" s="18"/>
      <c r="H299" s="18"/>
    </row>
    <row r="300" spans="1:8" x14ac:dyDescent="0.3">
      <c r="A300" s="116" t="str">
        <f t="shared" si="8"/>
        <v>MTM</v>
      </c>
      <c r="B300" s="60" t="str">
        <f t="shared" si="9"/>
        <v>MTMAll NI consumers</v>
      </c>
      <c r="C300" s="559" t="s">
        <v>232</v>
      </c>
      <c r="D300" s="559" t="s">
        <v>404</v>
      </c>
      <c r="E300" s="559">
        <v>1</v>
      </c>
      <c r="F300" s="18"/>
      <c r="G300" s="18"/>
      <c r="H300" s="18"/>
    </row>
    <row r="301" spans="1:8" x14ac:dyDescent="0.3">
      <c r="A301" s="116" t="str">
        <f t="shared" si="8"/>
        <v>MTN</v>
      </c>
      <c r="B301" s="60" t="str">
        <f t="shared" si="9"/>
        <v>MTNAll NI consumers</v>
      </c>
      <c r="C301" s="559" t="s">
        <v>233</v>
      </c>
      <c r="D301" s="559" t="s">
        <v>404</v>
      </c>
      <c r="E301" s="559">
        <v>1</v>
      </c>
      <c r="F301" s="18"/>
      <c r="G301" s="18"/>
      <c r="H301" s="18"/>
    </row>
    <row r="302" spans="1:8" x14ac:dyDescent="0.3">
      <c r="A302" s="116" t="str">
        <f t="shared" si="8"/>
        <v>MTO</v>
      </c>
      <c r="B302" s="60" t="str">
        <f t="shared" si="9"/>
        <v>MTOAll NI consumers</v>
      </c>
      <c r="C302" s="559" t="s">
        <v>234</v>
      </c>
      <c r="D302" s="559" t="s">
        <v>404</v>
      </c>
      <c r="E302" s="559">
        <v>1</v>
      </c>
      <c r="F302" s="18"/>
      <c r="G302" s="18"/>
      <c r="H302" s="18"/>
    </row>
    <row r="303" spans="1:8" x14ac:dyDescent="0.3">
      <c r="A303" s="116" t="str">
        <f t="shared" si="8"/>
        <v>MTR</v>
      </c>
      <c r="B303" s="60" t="str">
        <f t="shared" si="9"/>
        <v>MTRAll NI consumers</v>
      </c>
      <c r="C303" s="559" t="s">
        <v>235</v>
      </c>
      <c r="D303" s="559" t="s">
        <v>404</v>
      </c>
      <c r="E303" s="559">
        <v>1</v>
      </c>
      <c r="F303" s="18"/>
      <c r="G303" s="18"/>
      <c r="H303" s="18"/>
    </row>
    <row r="304" spans="1:8" x14ac:dyDescent="0.3">
      <c r="A304" s="116" t="str">
        <f t="shared" si="8"/>
        <v>NAP</v>
      </c>
      <c r="B304" s="60" t="str">
        <f t="shared" si="9"/>
        <v>NAPAll NI consumers</v>
      </c>
      <c r="C304" s="559" t="s">
        <v>236</v>
      </c>
      <c r="D304" s="559" t="s">
        <v>404</v>
      </c>
      <c r="E304" s="559">
        <v>1</v>
      </c>
      <c r="F304" s="18"/>
      <c r="G304" s="18"/>
      <c r="H304" s="18"/>
    </row>
    <row r="305" spans="1:8" x14ac:dyDescent="0.3">
      <c r="A305" s="116" t="str">
        <f t="shared" si="8"/>
        <v>NAP</v>
      </c>
      <c r="B305" s="60" t="str">
        <f t="shared" si="9"/>
        <v>NAPAll NI consumers</v>
      </c>
      <c r="C305" s="559" t="s">
        <v>238</v>
      </c>
      <c r="D305" s="559" t="s">
        <v>404</v>
      </c>
      <c r="E305" s="559">
        <v>1</v>
      </c>
      <c r="F305" s="18"/>
      <c r="G305" s="18"/>
      <c r="H305" s="18"/>
    </row>
    <row r="306" spans="1:8" x14ac:dyDescent="0.3">
      <c r="A306" s="116" t="str">
        <f t="shared" si="8"/>
        <v>NPK</v>
      </c>
      <c r="B306" s="60" t="str">
        <f t="shared" si="9"/>
        <v>NPKAll NI consumers</v>
      </c>
      <c r="C306" s="559" t="s">
        <v>242</v>
      </c>
      <c r="D306" s="559" t="s">
        <v>404</v>
      </c>
      <c r="E306" s="559">
        <v>1</v>
      </c>
      <c r="F306" s="18"/>
      <c r="G306" s="18"/>
      <c r="H306" s="18"/>
    </row>
    <row r="307" spans="1:8" x14ac:dyDescent="0.3">
      <c r="A307" s="116" t="str">
        <f t="shared" si="8"/>
        <v>NPL</v>
      </c>
      <c r="B307" s="60" t="str">
        <f t="shared" si="9"/>
        <v>NPLAll NI consumers</v>
      </c>
      <c r="C307" s="559" t="s">
        <v>243</v>
      </c>
      <c r="D307" s="559" t="s">
        <v>404</v>
      </c>
      <c r="E307" s="559">
        <v>1</v>
      </c>
      <c r="F307" s="18"/>
      <c r="G307" s="18"/>
      <c r="H307" s="18"/>
    </row>
    <row r="308" spans="1:8" x14ac:dyDescent="0.3">
      <c r="A308" s="116" t="str">
        <f t="shared" si="8"/>
        <v>OKN</v>
      </c>
      <c r="B308" s="60" t="str">
        <f t="shared" si="9"/>
        <v>OKNAll NI consumers</v>
      </c>
      <c r="C308" s="559" t="s">
        <v>252</v>
      </c>
      <c r="D308" s="559" t="s">
        <v>404</v>
      </c>
      <c r="E308" s="559">
        <v>1</v>
      </c>
      <c r="F308" s="18"/>
      <c r="G308" s="18"/>
      <c r="H308" s="18"/>
    </row>
    <row r="309" spans="1:8" x14ac:dyDescent="0.3">
      <c r="A309" s="116" t="str">
        <f t="shared" si="8"/>
        <v>ONG</v>
      </c>
      <c r="B309" s="60" t="str">
        <f t="shared" si="9"/>
        <v>ONGAll NI consumers</v>
      </c>
      <c r="C309" s="559" t="s">
        <v>253</v>
      </c>
      <c r="D309" s="559" t="s">
        <v>404</v>
      </c>
      <c r="E309" s="559">
        <v>1</v>
      </c>
      <c r="F309" s="18"/>
      <c r="G309" s="18"/>
      <c r="H309" s="18"/>
    </row>
    <row r="310" spans="1:8" x14ac:dyDescent="0.3">
      <c r="A310" s="116" t="str">
        <f t="shared" si="8"/>
        <v>OPK</v>
      </c>
      <c r="B310" s="60" t="str">
        <f t="shared" si="9"/>
        <v>OPKAll NI consumers</v>
      </c>
      <c r="C310" s="559" t="s">
        <v>254</v>
      </c>
      <c r="D310" s="559" t="s">
        <v>404</v>
      </c>
      <c r="E310" s="559">
        <v>1</v>
      </c>
      <c r="F310" s="18"/>
      <c r="G310" s="18"/>
      <c r="H310" s="18"/>
    </row>
    <row r="311" spans="1:8" x14ac:dyDescent="0.3">
      <c r="A311" s="116" t="str">
        <f t="shared" si="8"/>
        <v>OTA</v>
      </c>
      <c r="B311" s="60" t="str">
        <f t="shared" si="9"/>
        <v>OTAAll NI consumers</v>
      </c>
      <c r="C311" s="559" t="s">
        <v>257</v>
      </c>
      <c r="D311" s="559" t="s">
        <v>404</v>
      </c>
      <c r="E311" s="559">
        <v>1</v>
      </c>
      <c r="F311" s="18"/>
      <c r="G311" s="18"/>
      <c r="H311" s="18"/>
    </row>
    <row r="312" spans="1:8" x14ac:dyDescent="0.3">
      <c r="A312" s="116" t="str">
        <f t="shared" si="8"/>
        <v>OTA</v>
      </c>
      <c r="B312" s="60" t="str">
        <f t="shared" si="9"/>
        <v>OTAAll NI consumers</v>
      </c>
      <c r="C312" s="559" t="s">
        <v>381</v>
      </c>
      <c r="D312" s="559" t="s">
        <v>404</v>
      </c>
      <c r="E312" s="559">
        <v>1</v>
      </c>
      <c r="F312" s="18"/>
      <c r="G312" s="18"/>
      <c r="H312" s="18"/>
    </row>
    <row r="313" spans="1:8" x14ac:dyDescent="0.3">
      <c r="A313" s="116" t="str">
        <f t="shared" si="8"/>
        <v>OTA</v>
      </c>
      <c r="B313" s="60" t="str">
        <f t="shared" si="9"/>
        <v>OTAAll NI consumers</v>
      </c>
      <c r="C313" s="559" t="s">
        <v>382</v>
      </c>
      <c r="D313" s="559" t="s">
        <v>404</v>
      </c>
      <c r="E313" s="559">
        <v>1</v>
      </c>
      <c r="F313" s="18"/>
      <c r="G313" s="18"/>
      <c r="H313" s="18"/>
    </row>
    <row r="314" spans="1:8" x14ac:dyDescent="0.3">
      <c r="A314" s="116" t="str">
        <f t="shared" si="8"/>
        <v>OWH</v>
      </c>
      <c r="B314" s="60" t="str">
        <f t="shared" si="9"/>
        <v>OWHAll NI consumers</v>
      </c>
      <c r="C314" s="559" t="s">
        <v>259</v>
      </c>
      <c r="D314" s="559" t="s">
        <v>404</v>
      </c>
      <c r="E314" s="559">
        <v>1</v>
      </c>
      <c r="F314" s="18"/>
      <c r="G314" s="18"/>
      <c r="H314" s="18"/>
    </row>
    <row r="315" spans="1:8" x14ac:dyDescent="0.3">
      <c r="A315" s="116" t="str">
        <f t="shared" si="8"/>
        <v>PAK</v>
      </c>
      <c r="B315" s="60" t="str">
        <f t="shared" si="9"/>
        <v>PAKAll NI consumers</v>
      </c>
      <c r="C315" s="559" t="s">
        <v>260</v>
      </c>
      <c r="D315" s="559" t="s">
        <v>404</v>
      </c>
      <c r="E315" s="559">
        <v>1</v>
      </c>
      <c r="F315" s="18"/>
      <c r="G315" s="18"/>
      <c r="H315" s="18"/>
    </row>
    <row r="316" spans="1:8" x14ac:dyDescent="0.3">
      <c r="A316" s="116" t="str">
        <f t="shared" si="8"/>
        <v>PAO</v>
      </c>
      <c r="B316" s="60" t="str">
        <f t="shared" si="9"/>
        <v>PAOAll NI consumers</v>
      </c>
      <c r="C316" s="559" t="s">
        <v>261</v>
      </c>
      <c r="D316" s="559" t="s">
        <v>404</v>
      </c>
      <c r="E316" s="559">
        <v>1</v>
      </c>
      <c r="F316" s="18"/>
      <c r="G316" s="18"/>
      <c r="H316" s="18"/>
    </row>
    <row r="317" spans="1:8" x14ac:dyDescent="0.3">
      <c r="A317" s="116" t="str">
        <f t="shared" si="8"/>
        <v>PEN</v>
      </c>
      <c r="B317" s="60" t="str">
        <f t="shared" si="9"/>
        <v>PENAll NI consumers</v>
      </c>
      <c r="C317" s="559" t="s">
        <v>262</v>
      </c>
      <c r="D317" s="559" t="s">
        <v>404</v>
      </c>
      <c r="E317" s="559">
        <v>1</v>
      </c>
      <c r="F317" s="18"/>
      <c r="G317" s="18"/>
      <c r="H317" s="18"/>
    </row>
    <row r="318" spans="1:8" x14ac:dyDescent="0.3">
      <c r="A318" s="116" t="str">
        <f t="shared" si="8"/>
        <v>PEN</v>
      </c>
      <c r="B318" s="60" t="str">
        <f t="shared" si="9"/>
        <v>PENAll NI consumers</v>
      </c>
      <c r="C318" s="559" t="s">
        <v>263</v>
      </c>
      <c r="D318" s="559" t="s">
        <v>404</v>
      </c>
      <c r="E318" s="559">
        <v>1</v>
      </c>
      <c r="F318" s="18"/>
      <c r="G318" s="18"/>
      <c r="H318" s="18"/>
    </row>
    <row r="319" spans="1:8" x14ac:dyDescent="0.3">
      <c r="A319" s="116" t="str">
        <f t="shared" si="8"/>
        <v>PEN</v>
      </c>
      <c r="B319" s="60" t="str">
        <f t="shared" si="9"/>
        <v>PENAll NI consumers</v>
      </c>
      <c r="C319" s="559" t="s">
        <v>264</v>
      </c>
      <c r="D319" s="559" t="s">
        <v>404</v>
      </c>
      <c r="E319" s="559">
        <v>1</v>
      </c>
      <c r="F319" s="18"/>
      <c r="G319" s="18"/>
      <c r="H319" s="18"/>
    </row>
    <row r="320" spans="1:8" x14ac:dyDescent="0.3">
      <c r="A320" s="116" t="str">
        <f t="shared" si="8"/>
        <v>PEN</v>
      </c>
      <c r="B320" s="60" t="str">
        <f t="shared" si="9"/>
        <v>PENAll NI consumers</v>
      </c>
      <c r="C320" s="559" t="s">
        <v>265</v>
      </c>
      <c r="D320" s="559" t="s">
        <v>404</v>
      </c>
      <c r="E320" s="559">
        <v>1</v>
      </c>
      <c r="F320" s="18"/>
      <c r="G320" s="18"/>
      <c r="H320" s="18"/>
    </row>
    <row r="321" spans="1:8" x14ac:dyDescent="0.3">
      <c r="A321" s="116" t="str">
        <f t="shared" si="8"/>
        <v>PNI</v>
      </c>
      <c r="B321" s="60" t="str">
        <f t="shared" si="9"/>
        <v>PNIAll NI consumers</v>
      </c>
      <c r="C321" s="559" t="s">
        <v>266</v>
      </c>
      <c r="D321" s="559" t="s">
        <v>404</v>
      </c>
      <c r="E321" s="559">
        <v>1</v>
      </c>
      <c r="F321" s="18"/>
      <c r="G321" s="18"/>
      <c r="H321" s="18"/>
    </row>
    <row r="322" spans="1:8" x14ac:dyDescent="0.3">
      <c r="A322" s="116" t="str">
        <f t="shared" si="8"/>
        <v>PPI</v>
      </c>
      <c r="B322" s="60" t="str">
        <f t="shared" si="9"/>
        <v>PPIAll NI consumers</v>
      </c>
      <c r="C322" s="559" t="s">
        <v>267</v>
      </c>
      <c r="D322" s="559" t="s">
        <v>404</v>
      </c>
      <c r="E322" s="559">
        <v>1</v>
      </c>
      <c r="F322" s="18"/>
      <c r="G322" s="18"/>
      <c r="H322" s="18"/>
    </row>
    <row r="323" spans="1:8" x14ac:dyDescent="0.3">
      <c r="A323" s="116" t="str">
        <f t="shared" si="8"/>
        <v>PRM</v>
      </c>
      <c r="B323" s="60" t="str">
        <f t="shared" si="9"/>
        <v>PRMAll NI consumers</v>
      </c>
      <c r="C323" s="559" t="s">
        <v>269</v>
      </c>
      <c r="D323" s="559" t="s">
        <v>404</v>
      </c>
      <c r="E323" s="559">
        <v>1</v>
      </c>
      <c r="F323" s="18"/>
      <c r="G323" s="18"/>
      <c r="H323" s="18"/>
    </row>
    <row r="324" spans="1:8" x14ac:dyDescent="0.3">
      <c r="A324" s="116" t="str">
        <f t="shared" si="8"/>
        <v>RDF</v>
      </c>
      <c r="B324" s="60" t="str">
        <f t="shared" si="9"/>
        <v>RDFAll NI consumers</v>
      </c>
      <c r="C324" s="559" t="s">
        <v>270</v>
      </c>
      <c r="D324" s="559" t="s">
        <v>404</v>
      </c>
      <c r="E324" s="559">
        <v>1</v>
      </c>
      <c r="F324" s="18"/>
      <c r="G324" s="18"/>
      <c r="H324" s="18"/>
    </row>
    <row r="325" spans="1:8" x14ac:dyDescent="0.3">
      <c r="A325" s="116" t="str">
        <f t="shared" si="8"/>
        <v>ROS</v>
      </c>
      <c r="B325" s="60" t="str">
        <f t="shared" si="9"/>
        <v>ROSAll NI consumers</v>
      </c>
      <c r="C325" s="559" t="s">
        <v>273</v>
      </c>
      <c r="D325" s="559" t="s">
        <v>404</v>
      </c>
      <c r="E325" s="559">
        <v>1</v>
      </c>
      <c r="F325" s="18"/>
      <c r="G325" s="18"/>
      <c r="H325" s="18"/>
    </row>
    <row r="326" spans="1:8" x14ac:dyDescent="0.3">
      <c r="A326" s="116" t="str">
        <f t="shared" si="8"/>
        <v>ROS</v>
      </c>
      <c r="B326" s="60" t="str">
        <f t="shared" si="9"/>
        <v>ROSAll NI consumers</v>
      </c>
      <c r="C326" s="559" t="s">
        <v>274</v>
      </c>
      <c r="D326" s="559" t="s">
        <v>404</v>
      </c>
      <c r="E326" s="559">
        <v>1</v>
      </c>
      <c r="F326" s="18"/>
      <c r="G326" s="18"/>
      <c r="H326" s="18"/>
    </row>
    <row r="327" spans="1:8" x14ac:dyDescent="0.3">
      <c r="A327" s="116" t="str">
        <f t="shared" ref="A327:A390" si="10">LEFT(C327,3)</f>
        <v>ROT</v>
      </c>
      <c r="B327" s="60" t="str">
        <f t="shared" ref="B327:B390" si="11">A327&amp;D327</f>
        <v>ROTAll NI consumers</v>
      </c>
      <c r="C327" s="559" t="s">
        <v>275</v>
      </c>
      <c r="D327" s="559" t="s">
        <v>404</v>
      </c>
      <c r="E327" s="559">
        <v>1</v>
      </c>
      <c r="F327" s="18"/>
      <c r="G327" s="18"/>
      <c r="H327" s="18"/>
    </row>
    <row r="328" spans="1:8" x14ac:dyDescent="0.3">
      <c r="A328" s="116" t="str">
        <f t="shared" si="10"/>
        <v>ROT</v>
      </c>
      <c r="B328" s="60" t="str">
        <f t="shared" si="11"/>
        <v>ROTAll NI consumers</v>
      </c>
      <c r="C328" s="559" t="s">
        <v>276</v>
      </c>
      <c r="D328" s="559" t="s">
        <v>404</v>
      </c>
      <c r="E328" s="559">
        <v>1</v>
      </c>
      <c r="F328" s="18"/>
      <c r="G328" s="18"/>
      <c r="H328" s="18"/>
    </row>
    <row r="329" spans="1:8" x14ac:dyDescent="0.3">
      <c r="A329" s="116" t="str">
        <f t="shared" si="10"/>
        <v>ROT</v>
      </c>
      <c r="B329" s="60" t="str">
        <f t="shared" si="11"/>
        <v>ROTAll NI consumers</v>
      </c>
      <c r="C329" s="559" t="s">
        <v>277</v>
      </c>
      <c r="D329" s="559" t="s">
        <v>404</v>
      </c>
      <c r="E329" s="559">
        <v>1</v>
      </c>
      <c r="F329" s="18"/>
      <c r="G329" s="18"/>
      <c r="H329" s="18"/>
    </row>
    <row r="330" spans="1:8" x14ac:dyDescent="0.3">
      <c r="A330" s="116" t="str">
        <f t="shared" si="10"/>
        <v>SFD</v>
      </c>
      <c r="B330" s="60" t="str">
        <f t="shared" si="11"/>
        <v>SFDAll NI consumers</v>
      </c>
      <c r="C330" s="559" t="s">
        <v>284</v>
      </c>
      <c r="D330" s="559" t="s">
        <v>404</v>
      </c>
      <c r="E330" s="559">
        <v>1</v>
      </c>
      <c r="F330" s="18"/>
      <c r="G330" s="18"/>
      <c r="H330" s="18"/>
    </row>
    <row r="331" spans="1:8" x14ac:dyDescent="0.3">
      <c r="A331" s="116" t="str">
        <f t="shared" si="10"/>
        <v>SFD</v>
      </c>
      <c r="B331" s="60" t="str">
        <f t="shared" si="11"/>
        <v>SFDAll NI consumers</v>
      </c>
      <c r="C331" s="559" t="s">
        <v>285</v>
      </c>
      <c r="D331" s="559" t="s">
        <v>404</v>
      </c>
      <c r="E331" s="559">
        <v>1</v>
      </c>
      <c r="F331" s="18"/>
      <c r="G331" s="18"/>
      <c r="H331" s="18"/>
    </row>
    <row r="332" spans="1:8" x14ac:dyDescent="0.3">
      <c r="A332" s="116" t="str">
        <f t="shared" si="10"/>
        <v>SVL</v>
      </c>
      <c r="B332" s="60" t="str">
        <f t="shared" si="11"/>
        <v>SVLAll NI consumers</v>
      </c>
      <c r="C332" s="559" t="s">
        <v>292</v>
      </c>
      <c r="D332" s="559" t="s">
        <v>404</v>
      </c>
      <c r="E332" s="559">
        <v>1</v>
      </c>
      <c r="F332" s="18"/>
      <c r="G332" s="18"/>
      <c r="H332" s="18"/>
    </row>
    <row r="333" spans="1:8" x14ac:dyDescent="0.3">
      <c r="A333" s="116" t="str">
        <f t="shared" si="10"/>
        <v>SWN</v>
      </c>
      <c r="B333" s="60" t="str">
        <f t="shared" si="11"/>
        <v>SWNAll NI consumers</v>
      </c>
      <c r="C333" s="559" t="s">
        <v>293</v>
      </c>
      <c r="D333" s="559" t="s">
        <v>404</v>
      </c>
      <c r="E333" s="559">
        <v>1</v>
      </c>
      <c r="F333" s="18"/>
      <c r="G333" s="18"/>
      <c r="H333" s="18"/>
    </row>
    <row r="334" spans="1:8" x14ac:dyDescent="0.3">
      <c r="A334" s="116" t="str">
        <f t="shared" si="10"/>
        <v>SWN</v>
      </c>
      <c r="B334" s="60" t="str">
        <f t="shared" si="11"/>
        <v>SWNAll NI consumers</v>
      </c>
      <c r="C334" s="559" t="s">
        <v>294</v>
      </c>
      <c r="D334" s="559" t="s">
        <v>404</v>
      </c>
      <c r="E334" s="559">
        <v>1</v>
      </c>
      <c r="F334" s="18"/>
      <c r="G334" s="18"/>
      <c r="H334" s="18"/>
    </row>
    <row r="335" spans="1:8" x14ac:dyDescent="0.3">
      <c r="A335" s="116" t="str">
        <f t="shared" si="10"/>
        <v>TAK</v>
      </c>
      <c r="B335" s="60" t="str">
        <f t="shared" si="11"/>
        <v>TAKAll NI consumers</v>
      </c>
      <c r="C335" s="559" t="s">
        <v>296</v>
      </c>
      <c r="D335" s="559" t="s">
        <v>404</v>
      </c>
      <c r="E335" s="559">
        <v>1</v>
      </c>
      <c r="F335" s="18"/>
      <c r="G335" s="18"/>
      <c r="H335" s="18"/>
    </row>
    <row r="336" spans="1:8" x14ac:dyDescent="0.3">
      <c r="A336" s="116" t="str">
        <f t="shared" si="10"/>
        <v>TGA</v>
      </c>
      <c r="B336" s="60" t="str">
        <f t="shared" si="11"/>
        <v>TGAAll NI consumers</v>
      </c>
      <c r="C336" s="559" t="s">
        <v>297</v>
      </c>
      <c r="D336" s="559" t="s">
        <v>404</v>
      </c>
      <c r="E336" s="559">
        <v>1</v>
      </c>
      <c r="F336" s="18"/>
      <c r="G336" s="18"/>
      <c r="H336" s="18"/>
    </row>
    <row r="337" spans="1:8" x14ac:dyDescent="0.3">
      <c r="A337" s="116" t="str">
        <f t="shared" si="10"/>
        <v>TGA</v>
      </c>
      <c r="B337" s="60" t="str">
        <f t="shared" si="11"/>
        <v>TGAAll NI consumers</v>
      </c>
      <c r="C337" s="559" t="s">
        <v>298</v>
      </c>
      <c r="D337" s="559" t="s">
        <v>404</v>
      </c>
      <c r="E337" s="559">
        <v>1</v>
      </c>
      <c r="F337" s="18"/>
      <c r="G337" s="18"/>
      <c r="H337" s="18"/>
    </row>
    <row r="338" spans="1:8" x14ac:dyDescent="0.3">
      <c r="A338" s="116" t="str">
        <f t="shared" si="10"/>
        <v>THI</v>
      </c>
      <c r="B338" s="60" t="str">
        <f t="shared" si="11"/>
        <v>THIAll NI consumers</v>
      </c>
      <c r="C338" s="559" t="s">
        <v>300</v>
      </c>
      <c r="D338" s="559" t="s">
        <v>404</v>
      </c>
      <c r="E338" s="559">
        <v>1</v>
      </c>
      <c r="F338" s="18"/>
      <c r="G338" s="18"/>
      <c r="H338" s="18"/>
    </row>
    <row r="339" spans="1:8" x14ac:dyDescent="0.3">
      <c r="A339" s="116" t="str">
        <f t="shared" si="10"/>
        <v>TKH</v>
      </c>
      <c r="B339" s="60" t="str">
        <f t="shared" si="11"/>
        <v>TKHAll NI consumers</v>
      </c>
      <c r="C339" s="559" t="s">
        <v>306</v>
      </c>
      <c r="D339" s="559" t="s">
        <v>404</v>
      </c>
      <c r="E339" s="559">
        <v>1</v>
      </c>
      <c r="F339" s="18"/>
      <c r="G339" s="18"/>
      <c r="H339" s="18"/>
    </row>
    <row r="340" spans="1:8" x14ac:dyDescent="0.3">
      <c r="A340" s="116" t="str">
        <f t="shared" si="10"/>
        <v>TKR</v>
      </c>
      <c r="B340" s="60" t="str">
        <f t="shared" si="11"/>
        <v>TKRAll NI consumers</v>
      </c>
      <c r="C340" s="559" t="s">
        <v>307</v>
      </c>
      <c r="D340" s="559" t="s">
        <v>404</v>
      </c>
      <c r="E340" s="559">
        <v>1</v>
      </c>
      <c r="F340" s="18"/>
      <c r="G340" s="18"/>
      <c r="H340" s="18"/>
    </row>
    <row r="341" spans="1:8" x14ac:dyDescent="0.3">
      <c r="A341" s="116" t="str">
        <f t="shared" si="10"/>
        <v>TKU</v>
      </c>
      <c r="B341" s="60" t="str">
        <f t="shared" si="11"/>
        <v>TKUAll NI consumers</v>
      </c>
      <c r="C341" s="559" t="s">
        <v>308</v>
      </c>
      <c r="D341" s="559" t="s">
        <v>404</v>
      </c>
      <c r="E341" s="559">
        <v>1</v>
      </c>
      <c r="F341" s="18"/>
      <c r="G341" s="18"/>
      <c r="H341" s="18"/>
    </row>
    <row r="342" spans="1:8" x14ac:dyDescent="0.3">
      <c r="A342" s="116" t="str">
        <f t="shared" si="10"/>
        <v>TMI</v>
      </c>
      <c r="B342" s="60" t="str">
        <f t="shared" si="11"/>
        <v>TMIAll NI consumers</v>
      </c>
      <c r="C342" s="559" t="s">
        <v>310</v>
      </c>
      <c r="D342" s="559" t="s">
        <v>404</v>
      </c>
      <c r="E342" s="559">
        <v>1</v>
      </c>
      <c r="F342" s="18"/>
      <c r="G342" s="18"/>
      <c r="H342" s="18"/>
    </row>
    <row r="343" spans="1:8" x14ac:dyDescent="0.3">
      <c r="A343" s="116" t="str">
        <f t="shared" si="10"/>
        <v>TMN</v>
      </c>
      <c r="B343" s="60" t="str">
        <f t="shared" si="11"/>
        <v>TMNAll NI consumers</v>
      </c>
      <c r="C343" s="559" t="s">
        <v>312</v>
      </c>
      <c r="D343" s="559" t="s">
        <v>404</v>
      </c>
      <c r="E343" s="559">
        <v>1</v>
      </c>
      <c r="F343" s="18"/>
      <c r="G343" s="18"/>
      <c r="H343" s="18"/>
    </row>
    <row r="344" spans="1:8" x14ac:dyDescent="0.3">
      <c r="A344" s="116" t="str">
        <f t="shared" si="10"/>
        <v>TMU</v>
      </c>
      <c r="B344" s="60" t="str">
        <f t="shared" si="11"/>
        <v>TMUAll NI consumers</v>
      </c>
      <c r="C344" s="559" t="s">
        <v>313</v>
      </c>
      <c r="D344" s="559" t="s">
        <v>404</v>
      </c>
      <c r="E344" s="559">
        <v>1</v>
      </c>
      <c r="F344" s="18"/>
      <c r="G344" s="18"/>
      <c r="H344" s="18"/>
    </row>
    <row r="345" spans="1:8" x14ac:dyDescent="0.3">
      <c r="A345" s="116" t="str">
        <f t="shared" si="10"/>
        <v>TNG</v>
      </c>
      <c r="B345" s="60" t="str">
        <f t="shared" si="11"/>
        <v>TNGAll NI consumers</v>
      </c>
      <c r="C345" s="559" t="s">
        <v>314</v>
      </c>
      <c r="D345" s="559" t="s">
        <v>404</v>
      </c>
      <c r="E345" s="559">
        <v>1</v>
      </c>
      <c r="F345" s="18"/>
      <c r="G345" s="18"/>
      <c r="H345" s="18"/>
    </row>
    <row r="346" spans="1:8" x14ac:dyDescent="0.3">
      <c r="A346" s="116" t="str">
        <f t="shared" si="10"/>
        <v>TNG</v>
      </c>
      <c r="B346" s="60" t="str">
        <f t="shared" si="11"/>
        <v>TNGAll NI consumers</v>
      </c>
      <c r="C346" s="559" t="s">
        <v>315</v>
      </c>
      <c r="D346" s="559" t="s">
        <v>404</v>
      </c>
      <c r="E346" s="559">
        <v>1</v>
      </c>
      <c r="F346" s="18"/>
      <c r="G346" s="18"/>
      <c r="H346" s="18"/>
    </row>
    <row r="347" spans="1:8" x14ac:dyDescent="0.3">
      <c r="A347" s="116" t="str">
        <f t="shared" si="10"/>
        <v>TRK</v>
      </c>
      <c r="B347" s="60" t="str">
        <f t="shared" si="11"/>
        <v>TRKAll NI consumers</v>
      </c>
      <c r="C347" s="559" t="s">
        <v>316</v>
      </c>
      <c r="D347" s="559" t="s">
        <v>404</v>
      </c>
      <c r="E347" s="559">
        <v>1</v>
      </c>
      <c r="F347" s="18"/>
      <c r="G347" s="18"/>
      <c r="H347" s="18"/>
    </row>
    <row r="348" spans="1:8" x14ac:dyDescent="0.3">
      <c r="A348" s="116" t="str">
        <f t="shared" si="10"/>
        <v>TUI</v>
      </c>
      <c r="B348" s="60" t="str">
        <f t="shared" si="11"/>
        <v>TUIAll NI consumers</v>
      </c>
      <c r="C348" s="559" t="s">
        <v>684</v>
      </c>
      <c r="D348" s="559" t="s">
        <v>404</v>
      </c>
      <c r="E348" s="559">
        <v>1</v>
      </c>
      <c r="F348" s="18"/>
      <c r="G348" s="18"/>
      <c r="H348" s="18"/>
    </row>
    <row r="349" spans="1:8" x14ac:dyDescent="0.3">
      <c r="A349" s="116" t="str">
        <f t="shared" si="10"/>
        <v>TUI</v>
      </c>
      <c r="B349" s="60" t="str">
        <f t="shared" si="11"/>
        <v>TUIAll NI consumers</v>
      </c>
      <c r="C349" s="559" t="s">
        <v>317</v>
      </c>
      <c r="D349" s="559" t="s">
        <v>404</v>
      </c>
      <c r="E349" s="559">
        <v>1</v>
      </c>
      <c r="F349" s="18"/>
      <c r="G349" s="18"/>
      <c r="H349" s="18"/>
    </row>
    <row r="350" spans="1:8" x14ac:dyDescent="0.3">
      <c r="A350" s="116" t="str">
        <f t="shared" si="10"/>
        <v>TWC</v>
      </c>
      <c r="B350" s="60" t="str">
        <f t="shared" si="11"/>
        <v>TWCAll NI consumers</v>
      </c>
      <c r="C350" s="559" t="s">
        <v>321</v>
      </c>
      <c r="D350" s="559" t="s">
        <v>404</v>
      </c>
      <c r="E350" s="559">
        <v>1</v>
      </c>
      <c r="F350" s="18"/>
      <c r="G350" s="18"/>
      <c r="H350" s="18"/>
    </row>
    <row r="351" spans="1:8" x14ac:dyDescent="0.3">
      <c r="A351" s="116" t="str">
        <f t="shared" si="10"/>
        <v>TWH</v>
      </c>
      <c r="B351" s="60" t="str">
        <f t="shared" si="11"/>
        <v>TWHAll NI consumers</v>
      </c>
      <c r="C351" s="559" t="s">
        <v>322</v>
      </c>
      <c r="D351" s="559" t="s">
        <v>404</v>
      </c>
      <c r="E351" s="559">
        <v>1</v>
      </c>
      <c r="F351" s="18"/>
      <c r="G351" s="18"/>
      <c r="H351" s="18"/>
    </row>
    <row r="352" spans="1:8" x14ac:dyDescent="0.3">
      <c r="A352" s="116" t="str">
        <f t="shared" si="10"/>
        <v>TWH</v>
      </c>
      <c r="B352" s="60" t="str">
        <f t="shared" si="11"/>
        <v>TWHAll NI consumers</v>
      </c>
      <c r="C352" s="559" t="s">
        <v>324</v>
      </c>
      <c r="D352" s="559" t="s">
        <v>404</v>
      </c>
      <c r="E352" s="559">
        <v>1</v>
      </c>
      <c r="F352" s="18"/>
      <c r="G352" s="18"/>
      <c r="H352" s="18"/>
    </row>
    <row r="353" spans="1:15" x14ac:dyDescent="0.3">
      <c r="A353" s="116" t="str">
        <f t="shared" si="10"/>
        <v>UHT</v>
      </c>
      <c r="B353" s="60" t="str">
        <f t="shared" si="11"/>
        <v>UHTAll NI consumers</v>
      </c>
      <c r="C353" s="559" t="s">
        <v>327</v>
      </c>
      <c r="D353" s="559" t="s">
        <v>404</v>
      </c>
      <c r="E353" s="559">
        <v>1</v>
      </c>
      <c r="F353" s="18"/>
      <c r="G353" s="18"/>
      <c r="H353" s="18"/>
    </row>
    <row r="354" spans="1:15" x14ac:dyDescent="0.3">
      <c r="A354" s="116" t="str">
        <f t="shared" si="10"/>
        <v>WAI</v>
      </c>
      <c r="B354" s="60" t="str">
        <f t="shared" si="11"/>
        <v>WAIAll NI consumers</v>
      </c>
      <c r="C354" s="559" t="s">
        <v>328</v>
      </c>
      <c r="D354" s="559" t="s">
        <v>404</v>
      </c>
      <c r="E354" s="559">
        <v>1</v>
      </c>
      <c r="F354" s="18"/>
      <c r="G354" s="18"/>
      <c r="H354" s="18"/>
    </row>
    <row r="355" spans="1:15" x14ac:dyDescent="0.3">
      <c r="A355" s="116" t="str">
        <f t="shared" si="10"/>
        <v>WDV</v>
      </c>
      <c r="B355" s="60" t="str">
        <f t="shared" si="11"/>
        <v>WDVAll NI consumers</v>
      </c>
      <c r="C355" s="559" t="s">
        <v>329</v>
      </c>
      <c r="D355" s="559" t="s">
        <v>404</v>
      </c>
      <c r="E355" s="559">
        <v>1</v>
      </c>
      <c r="F355" s="18"/>
      <c r="G355" s="18"/>
      <c r="H355" s="18"/>
    </row>
    <row r="356" spans="1:15" x14ac:dyDescent="0.3">
      <c r="A356" s="116" t="str">
        <f t="shared" si="10"/>
        <v>WDV</v>
      </c>
      <c r="B356" s="60" t="str">
        <f t="shared" si="11"/>
        <v>WDVAll NI consumers</v>
      </c>
      <c r="C356" s="559" t="s">
        <v>330</v>
      </c>
      <c r="D356" s="559" t="s">
        <v>404</v>
      </c>
      <c r="E356" s="559">
        <v>1</v>
      </c>
      <c r="F356" s="18"/>
      <c r="G356" s="18"/>
      <c r="H356" s="18"/>
    </row>
    <row r="357" spans="1:15" x14ac:dyDescent="0.3">
      <c r="A357" s="116" t="str">
        <f t="shared" si="10"/>
        <v>WEL</v>
      </c>
      <c r="B357" s="60" t="str">
        <f t="shared" si="11"/>
        <v>WELAll NI consumers</v>
      </c>
      <c r="C357" s="559" t="s">
        <v>331</v>
      </c>
      <c r="D357" s="559" t="s">
        <v>404</v>
      </c>
      <c r="E357" s="559">
        <v>1</v>
      </c>
      <c r="F357" s="18"/>
      <c r="G357" s="18"/>
      <c r="H357" s="18"/>
    </row>
    <row r="358" spans="1:15" x14ac:dyDescent="0.3">
      <c r="A358" s="116" t="str">
        <f t="shared" si="10"/>
        <v>WGN</v>
      </c>
      <c r="B358" s="60" t="str">
        <f t="shared" si="11"/>
        <v>WGNAll NI consumers</v>
      </c>
      <c r="C358" s="559" t="s">
        <v>332</v>
      </c>
      <c r="D358" s="559" t="s">
        <v>404</v>
      </c>
      <c r="E358" s="559">
        <v>1</v>
      </c>
      <c r="F358" s="18"/>
      <c r="G358" s="18"/>
      <c r="H358" s="18"/>
    </row>
    <row r="359" spans="1:15" x14ac:dyDescent="0.3">
      <c r="A359" s="116" t="str">
        <f t="shared" si="10"/>
        <v>WHI</v>
      </c>
      <c r="B359" s="60" t="str">
        <f t="shared" si="11"/>
        <v>WHIAll NI consumers</v>
      </c>
      <c r="C359" s="559" t="s">
        <v>333</v>
      </c>
      <c r="D359" s="559" t="s">
        <v>404</v>
      </c>
      <c r="E359" s="559">
        <v>1</v>
      </c>
      <c r="F359" s="18"/>
      <c r="G359" s="18"/>
      <c r="H359" s="18"/>
    </row>
    <row r="360" spans="1:15" x14ac:dyDescent="0.3">
      <c r="A360" s="116" t="str">
        <f t="shared" si="10"/>
        <v>WHI</v>
      </c>
      <c r="B360" s="60" t="str">
        <f t="shared" si="11"/>
        <v>WHIAll NI consumers</v>
      </c>
      <c r="C360" s="559" t="s">
        <v>334</v>
      </c>
      <c r="D360" s="559" t="s">
        <v>404</v>
      </c>
      <c r="E360" s="559">
        <v>1</v>
      </c>
      <c r="F360" s="18"/>
      <c r="G360" s="18"/>
      <c r="H360" s="18"/>
    </row>
    <row r="361" spans="1:15" x14ac:dyDescent="0.3">
      <c r="A361" s="116" t="str">
        <f t="shared" si="10"/>
        <v>WHU</v>
      </c>
      <c r="B361" s="60" t="str">
        <f t="shared" si="11"/>
        <v>WHUAll NI consumers</v>
      </c>
      <c r="C361" s="559" t="s">
        <v>336</v>
      </c>
      <c r="D361" s="559" t="s">
        <v>404</v>
      </c>
      <c r="E361" s="559">
        <v>1</v>
      </c>
      <c r="F361" s="18"/>
      <c r="G361" s="18"/>
      <c r="H361" s="18"/>
    </row>
    <row r="362" spans="1:15" x14ac:dyDescent="0.3">
      <c r="A362" s="116" t="str">
        <f t="shared" si="10"/>
        <v>WIL</v>
      </c>
      <c r="B362" s="60" t="str">
        <f t="shared" si="11"/>
        <v>WILAll NI consumers</v>
      </c>
      <c r="C362" s="559" t="s">
        <v>337</v>
      </c>
      <c r="D362" s="559" t="s">
        <v>404</v>
      </c>
      <c r="E362" s="559">
        <v>1</v>
      </c>
      <c r="F362" s="18"/>
      <c r="G362" s="18"/>
      <c r="H362" s="18"/>
    </row>
    <row r="363" spans="1:15" x14ac:dyDescent="0.3">
      <c r="A363" s="116" t="str">
        <f t="shared" si="10"/>
        <v>WIR</v>
      </c>
      <c r="B363" s="60" t="str">
        <f t="shared" si="11"/>
        <v>WIRAll NI consumers</v>
      </c>
      <c r="C363" s="559" t="s">
        <v>338</v>
      </c>
      <c r="D363" s="559" t="s">
        <v>404</v>
      </c>
      <c r="E363" s="559">
        <v>1</v>
      </c>
      <c r="F363" s="18"/>
      <c r="G363" s="18"/>
      <c r="H363" s="18"/>
    </row>
    <row r="364" spans="1:15" x14ac:dyDescent="0.3">
      <c r="A364" s="116" t="str">
        <f t="shared" si="10"/>
        <v>WKM</v>
      </c>
      <c r="B364" s="60" t="str">
        <f t="shared" si="11"/>
        <v>WKMAll NI consumers</v>
      </c>
      <c r="C364" s="559" t="s">
        <v>339</v>
      </c>
      <c r="D364" s="559" t="s">
        <v>404</v>
      </c>
      <c r="E364" s="559">
        <v>1</v>
      </c>
      <c r="F364" s="18"/>
      <c r="G364" s="18"/>
      <c r="H364" s="18"/>
    </row>
    <row r="365" spans="1:15" x14ac:dyDescent="0.3">
      <c r="A365" s="116" t="str">
        <f t="shared" si="10"/>
        <v>WKO</v>
      </c>
      <c r="B365" s="60" t="str">
        <f t="shared" si="11"/>
        <v>WKOAll NI consumers</v>
      </c>
      <c r="C365" s="559" t="s">
        <v>342</v>
      </c>
      <c r="D365" s="559" t="s">
        <v>404</v>
      </c>
      <c r="E365" s="559">
        <v>1</v>
      </c>
      <c r="F365" s="18"/>
      <c r="G365" s="18"/>
      <c r="H365" s="18"/>
    </row>
    <row r="366" spans="1:15" x14ac:dyDescent="0.3">
      <c r="A366" s="116" t="str">
        <f t="shared" si="10"/>
        <v>WPW</v>
      </c>
      <c r="B366" s="60" t="str">
        <f t="shared" si="11"/>
        <v>WPWAll NI consumers</v>
      </c>
      <c r="C366" s="559" t="s">
        <v>347</v>
      </c>
      <c r="D366" s="559" t="s">
        <v>404</v>
      </c>
      <c r="E366" s="559">
        <v>1</v>
      </c>
      <c r="F366" s="18"/>
      <c r="G366" s="18"/>
      <c r="H366" s="18"/>
      <c r="K366" s="94"/>
      <c r="N366" s="61"/>
      <c r="O366" s="61"/>
    </row>
    <row r="367" spans="1:15" x14ac:dyDescent="0.3">
      <c r="A367" s="116" t="str">
        <f t="shared" si="10"/>
        <v>WRA</v>
      </c>
      <c r="B367" s="60" t="str">
        <f t="shared" si="11"/>
        <v>WRAAll NI consumers</v>
      </c>
      <c r="C367" s="559" t="s">
        <v>387</v>
      </c>
      <c r="D367" s="559" t="s">
        <v>404</v>
      </c>
      <c r="E367" s="559">
        <v>1</v>
      </c>
      <c r="F367" s="18"/>
      <c r="G367" s="18"/>
      <c r="H367" s="18"/>
      <c r="K367" s="94"/>
      <c r="N367" s="61"/>
      <c r="O367" s="61"/>
    </row>
    <row r="368" spans="1:15" x14ac:dyDescent="0.3">
      <c r="A368" s="116" t="str">
        <f t="shared" si="10"/>
        <v>WRD</v>
      </c>
      <c r="B368" s="60" t="str">
        <f t="shared" si="11"/>
        <v>WRDAll NI consumers</v>
      </c>
      <c r="C368" s="559" t="s">
        <v>348</v>
      </c>
      <c r="D368" s="559" t="s">
        <v>404</v>
      </c>
      <c r="E368" s="559">
        <v>1</v>
      </c>
      <c r="F368" s="18"/>
      <c r="G368" s="18"/>
      <c r="H368" s="18"/>
      <c r="N368" s="61"/>
      <c r="O368" s="61"/>
    </row>
    <row r="369" spans="1:8" x14ac:dyDescent="0.3">
      <c r="A369" s="116" t="str">
        <f t="shared" si="10"/>
        <v>WRK</v>
      </c>
      <c r="B369" s="60" t="str">
        <f t="shared" si="11"/>
        <v>WRKAll NI consumers</v>
      </c>
      <c r="C369" s="559" t="s">
        <v>349</v>
      </c>
      <c r="D369" s="559" t="s">
        <v>404</v>
      </c>
      <c r="E369" s="559">
        <v>1</v>
      </c>
      <c r="F369" s="18"/>
      <c r="G369" s="18"/>
      <c r="H369" s="18"/>
    </row>
    <row r="370" spans="1:8" x14ac:dyDescent="0.3">
      <c r="A370" s="116" t="str">
        <f t="shared" si="10"/>
        <v>WTU</v>
      </c>
      <c r="B370" s="60" t="str">
        <f t="shared" si="11"/>
        <v>WTUAll NI consumers</v>
      </c>
      <c r="C370" s="559" t="s">
        <v>355</v>
      </c>
      <c r="D370" s="559" t="s">
        <v>404</v>
      </c>
      <c r="E370" s="559">
        <v>1</v>
      </c>
      <c r="F370" s="18"/>
      <c r="G370" s="18"/>
      <c r="H370" s="18"/>
    </row>
    <row r="371" spans="1:8" x14ac:dyDescent="0.3">
      <c r="A371" s="116" t="str">
        <f t="shared" si="10"/>
        <v>WVY</v>
      </c>
      <c r="B371" s="60" t="str">
        <f t="shared" si="11"/>
        <v>WVYAll NI consumers</v>
      </c>
      <c r="C371" s="559" t="s">
        <v>356</v>
      </c>
      <c r="D371" s="559" t="s">
        <v>404</v>
      </c>
      <c r="E371" s="559">
        <v>1</v>
      </c>
      <c r="F371" s="18"/>
      <c r="G371" s="18"/>
      <c r="H371" s="18"/>
    </row>
    <row r="372" spans="1:8" x14ac:dyDescent="0.3">
      <c r="A372" s="116" t="str">
        <f t="shared" si="10"/>
        <v>WWD</v>
      </c>
      <c r="B372" s="60" t="str">
        <f t="shared" si="11"/>
        <v>WWDAll NI consumers</v>
      </c>
      <c r="C372" s="559" t="s">
        <v>357</v>
      </c>
      <c r="D372" s="559" t="s">
        <v>404</v>
      </c>
      <c r="E372" s="559">
        <v>1</v>
      </c>
      <c r="F372" s="18"/>
      <c r="G372" s="18"/>
      <c r="H372" s="18"/>
    </row>
    <row r="373" spans="1:8" x14ac:dyDescent="0.3">
      <c r="A373" s="116" t="str">
        <f t="shared" si="10"/>
        <v>WWD</v>
      </c>
      <c r="B373" s="60" t="str">
        <f t="shared" si="11"/>
        <v>WWDAll NI consumers</v>
      </c>
      <c r="C373" s="559" t="s">
        <v>358</v>
      </c>
      <c r="D373" s="559" t="s">
        <v>404</v>
      </c>
      <c r="E373" s="559">
        <v>1</v>
      </c>
      <c r="F373" s="18"/>
      <c r="G373" s="18"/>
      <c r="H373" s="18"/>
    </row>
    <row r="374" spans="1:8" x14ac:dyDescent="0.3">
      <c r="A374" s="116" t="str">
        <f t="shared" si="10"/>
        <v>ARA</v>
      </c>
      <c r="B374" s="60" t="str">
        <f t="shared" si="11"/>
        <v>ARAAll NI generators</v>
      </c>
      <c r="C374" s="559" t="s">
        <v>100</v>
      </c>
      <c r="D374" s="559" t="s">
        <v>405</v>
      </c>
      <c r="E374" s="559">
        <v>1</v>
      </c>
      <c r="F374" s="18"/>
      <c r="G374" s="18"/>
      <c r="H374" s="18"/>
    </row>
    <row r="375" spans="1:8" x14ac:dyDescent="0.3">
      <c r="A375" s="116" t="str">
        <f t="shared" si="10"/>
        <v>ARI</v>
      </c>
      <c r="B375" s="60" t="str">
        <f t="shared" si="11"/>
        <v>ARIAll NI generators</v>
      </c>
      <c r="C375" s="559" t="s">
        <v>105</v>
      </c>
      <c r="D375" s="559" t="s">
        <v>405</v>
      </c>
      <c r="E375" s="559">
        <v>1</v>
      </c>
      <c r="F375" s="18"/>
      <c r="G375" s="18"/>
      <c r="H375" s="18"/>
    </row>
    <row r="376" spans="1:8" x14ac:dyDescent="0.3">
      <c r="A376" s="116" t="str">
        <f t="shared" si="10"/>
        <v>ARI</v>
      </c>
      <c r="B376" s="60" t="str">
        <f t="shared" si="11"/>
        <v>ARIAll NI generators</v>
      </c>
      <c r="C376" s="559" t="s">
        <v>106</v>
      </c>
      <c r="D376" s="559" t="s">
        <v>405</v>
      </c>
      <c r="E376" s="559">
        <v>1</v>
      </c>
      <c r="F376" s="18"/>
      <c r="G376" s="18"/>
      <c r="H376" s="18"/>
    </row>
    <row r="377" spans="1:8" x14ac:dyDescent="0.3">
      <c r="A377" s="116" t="str">
        <f t="shared" si="10"/>
        <v>ATI</v>
      </c>
      <c r="B377" s="60" t="str">
        <f t="shared" si="11"/>
        <v>ATIAll NI generators</v>
      </c>
      <c r="C377" s="559" t="s">
        <v>112</v>
      </c>
      <c r="D377" s="559" t="s">
        <v>405</v>
      </c>
      <c r="E377" s="559">
        <v>1</v>
      </c>
      <c r="F377" s="18"/>
      <c r="G377" s="18"/>
      <c r="H377" s="18"/>
    </row>
    <row r="378" spans="1:8" x14ac:dyDescent="0.3">
      <c r="A378" s="116" t="str">
        <f t="shared" si="10"/>
        <v>BPE</v>
      </c>
      <c r="B378" s="60" t="str">
        <f t="shared" si="11"/>
        <v>BPEAll NI generators</v>
      </c>
      <c r="C378" s="559" t="s">
        <v>123</v>
      </c>
      <c r="D378" s="559" t="s">
        <v>405</v>
      </c>
      <c r="E378" s="559">
        <v>1</v>
      </c>
      <c r="F378" s="18"/>
      <c r="G378" s="18"/>
      <c r="H378" s="18"/>
    </row>
    <row r="379" spans="1:8" x14ac:dyDescent="0.3">
      <c r="A379" s="116" t="str">
        <f t="shared" si="10"/>
        <v>GLN</v>
      </c>
      <c r="B379" s="60" t="str">
        <f t="shared" si="11"/>
        <v>GLNAll NI generators</v>
      </c>
      <c r="C379" s="559" t="s">
        <v>393</v>
      </c>
      <c r="D379" s="559" t="s">
        <v>405</v>
      </c>
      <c r="E379" s="559">
        <v>1</v>
      </c>
      <c r="F379" s="18"/>
      <c r="G379" s="18"/>
      <c r="H379" s="18"/>
    </row>
    <row r="380" spans="1:8" x14ac:dyDescent="0.3">
      <c r="A380" s="116" t="str">
        <f t="shared" si="10"/>
        <v>HLY</v>
      </c>
      <c r="B380" s="60" t="str">
        <f t="shared" si="11"/>
        <v>HLYAll NI generators</v>
      </c>
      <c r="C380" s="559" t="s">
        <v>166</v>
      </c>
      <c r="D380" s="559" t="s">
        <v>405</v>
      </c>
      <c r="E380" s="559">
        <v>1</v>
      </c>
      <c r="F380" s="18"/>
      <c r="G380" s="18"/>
      <c r="H380" s="18"/>
    </row>
    <row r="381" spans="1:8" x14ac:dyDescent="0.3">
      <c r="A381" s="116" t="str">
        <f t="shared" si="10"/>
        <v>HLY</v>
      </c>
      <c r="B381" s="60" t="str">
        <f t="shared" si="11"/>
        <v>HLYAll NI generators</v>
      </c>
      <c r="C381" s="559" t="s">
        <v>167</v>
      </c>
      <c r="D381" s="559" t="s">
        <v>405</v>
      </c>
      <c r="E381" s="559">
        <v>1</v>
      </c>
      <c r="F381" s="18"/>
      <c r="G381" s="18"/>
      <c r="H381" s="18"/>
    </row>
    <row r="382" spans="1:8" x14ac:dyDescent="0.3">
      <c r="A382" s="116" t="str">
        <f t="shared" si="10"/>
        <v>HLY</v>
      </c>
      <c r="B382" s="60" t="str">
        <f t="shared" si="11"/>
        <v>HLYAll NI generators</v>
      </c>
      <c r="C382" s="559" t="s">
        <v>168</v>
      </c>
      <c r="D382" s="559" t="s">
        <v>405</v>
      </c>
      <c r="E382" s="559">
        <v>1</v>
      </c>
      <c r="F382" s="18"/>
      <c r="G382" s="18"/>
      <c r="H382" s="18"/>
    </row>
    <row r="383" spans="1:8" x14ac:dyDescent="0.3">
      <c r="A383" s="116" t="str">
        <f t="shared" si="10"/>
        <v>HLY</v>
      </c>
      <c r="B383" s="60" t="str">
        <f t="shared" si="11"/>
        <v>HLYAll NI generators</v>
      </c>
      <c r="C383" s="559" t="s">
        <v>169</v>
      </c>
      <c r="D383" s="559" t="s">
        <v>405</v>
      </c>
      <c r="E383" s="559">
        <v>1</v>
      </c>
      <c r="F383" s="18"/>
      <c r="G383" s="18"/>
      <c r="H383" s="18"/>
    </row>
    <row r="384" spans="1:8" x14ac:dyDescent="0.3">
      <c r="A384" s="116" t="str">
        <f t="shared" si="10"/>
        <v>HWA</v>
      </c>
      <c r="B384" s="60" t="str">
        <f t="shared" si="11"/>
        <v>HWAAll NI generators</v>
      </c>
      <c r="C384" s="559" t="s">
        <v>178</v>
      </c>
      <c r="D384" s="559" t="s">
        <v>405</v>
      </c>
      <c r="E384" s="559">
        <v>1</v>
      </c>
      <c r="F384" s="18"/>
      <c r="G384" s="18"/>
      <c r="H384" s="18"/>
    </row>
    <row r="385" spans="1:8" x14ac:dyDescent="0.3">
      <c r="A385" s="116" t="str">
        <f t="shared" si="10"/>
        <v>HWA</v>
      </c>
      <c r="B385" s="60" t="str">
        <f t="shared" si="11"/>
        <v>HWAAll NI generators</v>
      </c>
      <c r="C385" s="559" t="s">
        <v>179</v>
      </c>
      <c r="D385" s="559" t="s">
        <v>405</v>
      </c>
      <c r="E385" s="559">
        <v>1</v>
      </c>
      <c r="F385" s="18"/>
      <c r="G385" s="18"/>
      <c r="H385" s="18"/>
    </row>
    <row r="386" spans="1:8" x14ac:dyDescent="0.3">
      <c r="A386" s="116" t="str">
        <f t="shared" si="10"/>
        <v>HWA</v>
      </c>
      <c r="B386" s="60" t="str">
        <f t="shared" si="11"/>
        <v>HWAAll NI generators</v>
      </c>
      <c r="C386" s="559" t="s">
        <v>180</v>
      </c>
      <c r="D386" s="559" t="s">
        <v>405</v>
      </c>
      <c r="E386" s="559">
        <v>1</v>
      </c>
      <c r="F386" s="18"/>
      <c r="G386" s="18"/>
      <c r="H386" s="18"/>
    </row>
    <row r="387" spans="1:8" x14ac:dyDescent="0.3">
      <c r="A387" s="116" t="str">
        <f t="shared" si="10"/>
        <v>HWA</v>
      </c>
      <c r="B387" s="60" t="str">
        <f t="shared" si="11"/>
        <v>HWAAll NI generators</v>
      </c>
      <c r="C387" s="559" t="s">
        <v>182</v>
      </c>
      <c r="D387" s="559" t="s">
        <v>405</v>
      </c>
      <c r="E387" s="559">
        <v>1</v>
      </c>
      <c r="F387" s="18"/>
      <c r="G387" s="18"/>
      <c r="H387" s="18"/>
    </row>
    <row r="388" spans="1:8" x14ac:dyDescent="0.3">
      <c r="A388" s="116" t="str">
        <f t="shared" si="10"/>
        <v>HWA</v>
      </c>
      <c r="B388" s="60" t="str">
        <f t="shared" si="11"/>
        <v>HWAAll NI generators</v>
      </c>
      <c r="C388" s="559" t="s">
        <v>183</v>
      </c>
      <c r="D388" s="559" t="s">
        <v>405</v>
      </c>
      <c r="E388" s="559">
        <v>1</v>
      </c>
      <c r="F388" s="18"/>
      <c r="G388" s="18"/>
      <c r="H388" s="18"/>
    </row>
    <row r="389" spans="1:8" x14ac:dyDescent="0.3">
      <c r="A389" s="116" t="str">
        <f t="shared" si="10"/>
        <v>KAW</v>
      </c>
      <c r="B389" s="60" t="str">
        <f t="shared" si="11"/>
        <v>KAWAll NI generators</v>
      </c>
      <c r="C389" s="559" t="s">
        <v>394</v>
      </c>
      <c r="D389" s="559" t="s">
        <v>405</v>
      </c>
      <c r="E389" s="559">
        <v>1</v>
      </c>
      <c r="F389" s="18"/>
      <c r="G389" s="18"/>
      <c r="H389" s="18"/>
    </row>
    <row r="390" spans="1:8" x14ac:dyDescent="0.3">
      <c r="A390" s="116" t="str">
        <f t="shared" si="10"/>
        <v>KAW</v>
      </c>
      <c r="B390" s="60" t="str">
        <f t="shared" si="11"/>
        <v>KAWAll NI generators</v>
      </c>
      <c r="C390" s="559" t="s">
        <v>395</v>
      </c>
      <c r="D390" s="559" t="s">
        <v>405</v>
      </c>
      <c r="E390" s="559">
        <v>1</v>
      </c>
      <c r="F390" s="18"/>
      <c r="G390" s="18"/>
      <c r="H390" s="18"/>
    </row>
    <row r="391" spans="1:8" x14ac:dyDescent="0.3">
      <c r="A391" s="116" t="str">
        <f t="shared" ref="A391:A454" si="12">LEFT(C391,3)</f>
        <v>KIN</v>
      </c>
      <c r="B391" s="60" t="str">
        <f t="shared" ref="B391:B454" si="13">A391&amp;D391</f>
        <v>KINAll NI generators</v>
      </c>
      <c r="C391" s="559" t="s">
        <v>396</v>
      </c>
      <c r="D391" s="559" t="s">
        <v>405</v>
      </c>
      <c r="E391" s="559">
        <v>1</v>
      </c>
      <c r="F391" s="18"/>
      <c r="G391" s="18"/>
      <c r="H391" s="18"/>
    </row>
    <row r="392" spans="1:8" x14ac:dyDescent="0.3">
      <c r="A392" s="116" t="str">
        <f t="shared" si="12"/>
        <v>KOE</v>
      </c>
      <c r="B392" s="60" t="str">
        <f t="shared" si="13"/>
        <v>KOEAll NI generators</v>
      </c>
      <c r="C392" s="559" t="s">
        <v>200</v>
      </c>
      <c r="D392" s="559" t="s">
        <v>405</v>
      </c>
      <c r="E392" s="559">
        <v>1</v>
      </c>
      <c r="F392" s="18"/>
      <c r="G392" s="18"/>
      <c r="H392" s="18"/>
    </row>
    <row r="393" spans="1:8" x14ac:dyDescent="0.3">
      <c r="A393" s="116" t="str">
        <f t="shared" si="12"/>
        <v>KOE</v>
      </c>
      <c r="B393" s="60" t="str">
        <f t="shared" si="13"/>
        <v>KOEAll NI generators</v>
      </c>
      <c r="C393" s="559" t="s">
        <v>201</v>
      </c>
      <c r="D393" s="559" t="s">
        <v>405</v>
      </c>
      <c r="E393" s="559">
        <v>1</v>
      </c>
      <c r="F393" s="18"/>
      <c r="G393" s="18"/>
      <c r="H393" s="18"/>
    </row>
    <row r="394" spans="1:8" x14ac:dyDescent="0.3">
      <c r="A394" s="116" t="str">
        <f t="shared" si="12"/>
        <v>KPA</v>
      </c>
      <c r="B394" s="60" t="str">
        <f t="shared" si="13"/>
        <v>KPAAll NI generators</v>
      </c>
      <c r="C394" s="559" t="s">
        <v>202</v>
      </c>
      <c r="D394" s="559" t="s">
        <v>405</v>
      </c>
      <c r="E394" s="559">
        <v>1</v>
      </c>
      <c r="F394" s="18"/>
      <c r="G394" s="18"/>
      <c r="H394" s="18"/>
    </row>
    <row r="395" spans="1:8" x14ac:dyDescent="0.3">
      <c r="A395" s="116" t="str">
        <f t="shared" si="12"/>
        <v>KPO</v>
      </c>
      <c r="B395" s="60" t="str">
        <f t="shared" si="13"/>
        <v>KPOAll NI generators</v>
      </c>
      <c r="C395" s="559" t="s">
        <v>203</v>
      </c>
      <c r="D395" s="559" t="s">
        <v>405</v>
      </c>
      <c r="E395" s="559">
        <v>1</v>
      </c>
      <c r="F395" s="18"/>
      <c r="G395" s="18"/>
      <c r="H395" s="18"/>
    </row>
    <row r="396" spans="1:8" x14ac:dyDescent="0.3">
      <c r="A396" s="116" t="str">
        <f t="shared" si="12"/>
        <v>LTN</v>
      </c>
      <c r="B396" s="60" t="str">
        <f t="shared" si="13"/>
        <v>LTNAll NI generators</v>
      </c>
      <c r="C396" s="559" t="s">
        <v>210</v>
      </c>
      <c r="D396" s="559" t="s">
        <v>405</v>
      </c>
      <c r="E396" s="559">
        <v>1</v>
      </c>
      <c r="F396" s="18"/>
      <c r="G396" s="18"/>
      <c r="H396" s="18"/>
    </row>
    <row r="397" spans="1:8" x14ac:dyDescent="0.3">
      <c r="A397" s="116" t="str">
        <f t="shared" si="12"/>
        <v>LTN</v>
      </c>
      <c r="B397" s="60" t="str">
        <f t="shared" si="13"/>
        <v>LTNAll NI generators</v>
      </c>
      <c r="C397" s="559" t="s">
        <v>211</v>
      </c>
      <c r="D397" s="559" t="s">
        <v>405</v>
      </c>
      <c r="E397" s="559">
        <v>1</v>
      </c>
      <c r="F397" s="18"/>
      <c r="G397" s="18"/>
      <c r="H397" s="18"/>
    </row>
    <row r="398" spans="1:8" x14ac:dyDescent="0.3">
      <c r="A398" s="116" t="str">
        <f t="shared" si="12"/>
        <v>MAT</v>
      </c>
      <c r="B398" s="60" t="str">
        <f t="shared" si="13"/>
        <v>MATAll NI generators</v>
      </c>
      <c r="C398" s="559" t="s">
        <v>213</v>
      </c>
      <c r="D398" s="559" t="s">
        <v>405</v>
      </c>
      <c r="E398" s="559">
        <v>1</v>
      </c>
      <c r="F398" s="18"/>
      <c r="G398" s="18"/>
      <c r="H398" s="18"/>
    </row>
    <row r="399" spans="1:8" x14ac:dyDescent="0.3">
      <c r="A399" s="116" t="str">
        <f t="shared" si="12"/>
        <v>MAT</v>
      </c>
      <c r="B399" s="60" t="str">
        <f t="shared" si="13"/>
        <v>MATAll NI generators</v>
      </c>
      <c r="C399" s="559" t="s">
        <v>214</v>
      </c>
      <c r="D399" s="559" t="s">
        <v>405</v>
      </c>
      <c r="E399" s="559">
        <v>1</v>
      </c>
      <c r="F399" s="18"/>
      <c r="G399" s="18"/>
      <c r="H399" s="18"/>
    </row>
    <row r="400" spans="1:8" x14ac:dyDescent="0.3">
      <c r="A400" s="116" t="str">
        <f t="shared" si="12"/>
        <v>MAT</v>
      </c>
      <c r="B400" s="60" t="str">
        <f t="shared" si="13"/>
        <v>MATAll NI generators</v>
      </c>
      <c r="C400" s="559" t="s">
        <v>215</v>
      </c>
      <c r="D400" s="559" t="s">
        <v>405</v>
      </c>
      <c r="E400" s="559">
        <v>1</v>
      </c>
      <c r="F400" s="18"/>
      <c r="G400" s="18"/>
      <c r="H400" s="18"/>
    </row>
    <row r="401" spans="1:8" x14ac:dyDescent="0.3">
      <c r="A401" s="116" t="str">
        <f t="shared" si="12"/>
        <v>MAT</v>
      </c>
      <c r="B401" s="60" t="str">
        <f t="shared" si="13"/>
        <v>MATAll NI generators</v>
      </c>
      <c r="C401" s="559" t="s">
        <v>216</v>
      </c>
      <c r="D401" s="559" t="s">
        <v>405</v>
      </c>
      <c r="E401" s="559">
        <v>1</v>
      </c>
      <c r="F401" s="18"/>
      <c r="G401" s="18"/>
      <c r="H401" s="18"/>
    </row>
    <row r="402" spans="1:8" x14ac:dyDescent="0.3">
      <c r="A402" s="116" t="str">
        <f t="shared" si="12"/>
        <v>MHO</v>
      </c>
      <c r="B402" s="60" t="str">
        <f t="shared" si="13"/>
        <v>MHOAll NI generators</v>
      </c>
      <c r="C402" s="559" t="s">
        <v>221</v>
      </c>
      <c r="D402" s="559" t="s">
        <v>405</v>
      </c>
      <c r="E402" s="559">
        <v>1</v>
      </c>
      <c r="F402" s="18"/>
      <c r="G402" s="18"/>
      <c r="H402" s="18"/>
    </row>
    <row r="403" spans="1:8" x14ac:dyDescent="0.3">
      <c r="A403" s="116" t="str">
        <f t="shared" si="12"/>
        <v>MKE</v>
      </c>
      <c r="B403" s="60" t="str">
        <f t="shared" si="13"/>
        <v>MKEAll NI generators</v>
      </c>
      <c r="C403" s="559" t="s">
        <v>223</v>
      </c>
      <c r="D403" s="559" t="s">
        <v>405</v>
      </c>
      <c r="E403" s="559">
        <v>1</v>
      </c>
      <c r="F403" s="18"/>
      <c r="G403" s="18"/>
      <c r="H403" s="18"/>
    </row>
    <row r="404" spans="1:8" x14ac:dyDescent="0.3">
      <c r="A404" s="116" t="str">
        <f t="shared" si="12"/>
        <v>MTI</v>
      </c>
      <c r="B404" s="60" t="str">
        <f t="shared" si="13"/>
        <v>MTIAll NI generators</v>
      </c>
      <c r="C404" s="559" t="s">
        <v>231</v>
      </c>
      <c r="D404" s="559" t="s">
        <v>405</v>
      </c>
      <c r="E404" s="559">
        <v>1</v>
      </c>
      <c r="F404" s="18"/>
      <c r="G404" s="18"/>
      <c r="H404" s="18"/>
    </row>
    <row r="405" spans="1:8" x14ac:dyDescent="0.3">
      <c r="A405" s="116" t="str">
        <f t="shared" si="12"/>
        <v>NAP</v>
      </c>
      <c r="B405" s="60" t="str">
        <f t="shared" si="13"/>
        <v>NAPAll NI generators</v>
      </c>
      <c r="C405" s="559" t="s">
        <v>237</v>
      </c>
      <c r="D405" s="559" t="s">
        <v>405</v>
      </c>
      <c r="E405" s="559">
        <v>1</v>
      </c>
      <c r="F405" s="18"/>
      <c r="G405" s="18"/>
      <c r="H405" s="18"/>
    </row>
    <row r="406" spans="1:8" x14ac:dyDescent="0.3">
      <c r="A406" s="116" t="str">
        <f t="shared" si="12"/>
        <v>NAP</v>
      </c>
      <c r="B406" s="60" t="str">
        <f t="shared" si="13"/>
        <v>NAPAll NI generators</v>
      </c>
      <c r="C406" s="559" t="s">
        <v>239</v>
      </c>
      <c r="D406" s="559" t="s">
        <v>405</v>
      </c>
      <c r="E406" s="559">
        <v>1</v>
      </c>
      <c r="F406" s="18"/>
      <c r="G406" s="18"/>
      <c r="H406" s="18"/>
    </row>
    <row r="407" spans="1:8" x14ac:dyDescent="0.3">
      <c r="A407" s="116" t="str">
        <f t="shared" si="12"/>
        <v>OHK</v>
      </c>
      <c r="B407" s="60" t="str">
        <f t="shared" si="13"/>
        <v>OHKAll NI generators</v>
      </c>
      <c r="C407" s="559" t="s">
        <v>250</v>
      </c>
      <c r="D407" s="559" t="s">
        <v>405</v>
      </c>
      <c r="E407" s="559">
        <v>1</v>
      </c>
      <c r="F407" s="18"/>
      <c r="G407" s="18"/>
      <c r="H407" s="18"/>
    </row>
    <row r="408" spans="1:8" x14ac:dyDescent="0.3">
      <c r="A408" s="116" t="str">
        <f t="shared" si="12"/>
        <v>OKI</v>
      </c>
      <c r="B408" s="60" t="str">
        <f t="shared" si="13"/>
        <v>OKIAll NI generators</v>
      </c>
      <c r="C408" s="559" t="s">
        <v>251</v>
      </c>
      <c r="D408" s="559" t="s">
        <v>405</v>
      </c>
      <c r="E408" s="559">
        <v>1</v>
      </c>
      <c r="F408" s="18"/>
      <c r="G408" s="18"/>
      <c r="H408" s="18"/>
    </row>
    <row r="409" spans="1:8" x14ac:dyDescent="0.3">
      <c r="A409" s="116" t="str">
        <f t="shared" si="12"/>
        <v>OTA</v>
      </c>
      <c r="B409" s="60" t="str">
        <f t="shared" si="13"/>
        <v>OTAAll NI generators</v>
      </c>
      <c r="C409" s="559" t="s">
        <v>397</v>
      </c>
      <c r="D409" s="559" t="s">
        <v>405</v>
      </c>
      <c r="E409" s="559">
        <v>1</v>
      </c>
      <c r="F409" s="18"/>
      <c r="G409" s="18"/>
      <c r="H409" s="18"/>
    </row>
    <row r="410" spans="1:8" x14ac:dyDescent="0.3">
      <c r="A410" s="116" t="str">
        <f t="shared" si="12"/>
        <v>PPI</v>
      </c>
      <c r="B410" s="60" t="str">
        <f t="shared" si="13"/>
        <v>PPIAll NI generators</v>
      </c>
      <c r="C410" s="559" t="s">
        <v>268</v>
      </c>
      <c r="D410" s="559" t="s">
        <v>405</v>
      </c>
      <c r="E410" s="559">
        <v>1</v>
      </c>
      <c r="F410" s="18"/>
      <c r="G410" s="18"/>
      <c r="H410" s="18"/>
    </row>
    <row r="411" spans="1:8" x14ac:dyDescent="0.3">
      <c r="A411" s="116" t="str">
        <f t="shared" si="12"/>
        <v>ROT</v>
      </c>
      <c r="B411" s="60" t="str">
        <f t="shared" si="13"/>
        <v>ROTAll NI generators</v>
      </c>
      <c r="C411" s="559" t="s">
        <v>278</v>
      </c>
      <c r="D411" s="559" t="s">
        <v>405</v>
      </c>
      <c r="E411" s="559">
        <v>1</v>
      </c>
      <c r="F411" s="18"/>
      <c r="G411" s="18"/>
      <c r="H411" s="18"/>
    </row>
    <row r="412" spans="1:8" x14ac:dyDescent="0.3">
      <c r="A412" s="116" t="str">
        <f t="shared" si="12"/>
        <v>RPO</v>
      </c>
      <c r="B412" s="60" t="str">
        <f t="shared" si="13"/>
        <v>RPOAll NI generators</v>
      </c>
      <c r="C412" s="559" t="s">
        <v>281</v>
      </c>
      <c r="D412" s="559" t="s">
        <v>405</v>
      </c>
      <c r="E412" s="559">
        <v>1</v>
      </c>
      <c r="F412" s="18"/>
      <c r="G412" s="18"/>
      <c r="H412" s="18"/>
    </row>
    <row r="413" spans="1:8" x14ac:dyDescent="0.3">
      <c r="A413" s="116" t="str">
        <f t="shared" si="12"/>
        <v>SFD</v>
      </c>
      <c r="B413" s="60" t="str">
        <f t="shared" si="13"/>
        <v>SFDAll NI generators</v>
      </c>
      <c r="C413" s="559" t="s">
        <v>286</v>
      </c>
      <c r="D413" s="559" t="s">
        <v>405</v>
      </c>
      <c r="E413" s="559">
        <v>1</v>
      </c>
      <c r="F413" s="18"/>
      <c r="G413" s="18"/>
      <c r="H413" s="18"/>
    </row>
    <row r="414" spans="1:8" x14ac:dyDescent="0.3">
      <c r="A414" s="116" t="str">
        <f t="shared" si="12"/>
        <v>SFD</v>
      </c>
      <c r="B414" s="60" t="str">
        <f t="shared" si="13"/>
        <v>SFDAll NI generators</v>
      </c>
      <c r="C414" s="559" t="s">
        <v>287</v>
      </c>
      <c r="D414" s="559" t="s">
        <v>405</v>
      </c>
      <c r="E414" s="559">
        <v>1</v>
      </c>
      <c r="F414" s="18"/>
      <c r="G414" s="18"/>
      <c r="H414" s="18"/>
    </row>
    <row r="415" spans="1:8" x14ac:dyDescent="0.3">
      <c r="A415" s="116" t="str">
        <f t="shared" si="12"/>
        <v>SFD</v>
      </c>
      <c r="B415" s="60" t="str">
        <f t="shared" si="13"/>
        <v>SFDAll NI generators</v>
      </c>
      <c r="C415" s="559" t="s">
        <v>288</v>
      </c>
      <c r="D415" s="559" t="s">
        <v>405</v>
      </c>
      <c r="E415" s="559">
        <v>1</v>
      </c>
      <c r="F415" s="18"/>
      <c r="G415" s="18"/>
      <c r="H415" s="18"/>
    </row>
    <row r="416" spans="1:8" x14ac:dyDescent="0.3">
      <c r="A416" s="116" t="str">
        <f t="shared" si="12"/>
        <v>SWN</v>
      </c>
      <c r="B416" s="60" t="str">
        <f t="shared" si="13"/>
        <v>SWNAll NI generators</v>
      </c>
      <c r="C416" s="559" t="s">
        <v>398</v>
      </c>
      <c r="D416" s="559" t="s">
        <v>405</v>
      </c>
      <c r="E416" s="559">
        <v>1</v>
      </c>
      <c r="F416" s="18"/>
      <c r="G416" s="18"/>
      <c r="H416" s="18"/>
    </row>
    <row r="417" spans="1:8" x14ac:dyDescent="0.3">
      <c r="A417" s="116" t="str">
        <f t="shared" si="12"/>
        <v>SWN</v>
      </c>
      <c r="B417" s="60" t="str">
        <f t="shared" si="13"/>
        <v>SWNAll NI generators</v>
      </c>
      <c r="C417" s="559" t="s">
        <v>295</v>
      </c>
      <c r="D417" s="559" t="s">
        <v>405</v>
      </c>
      <c r="E417" s="559">
        <v>1</v>
      </c>
      <c r="F417" s="18"/>
      <c r="G417" s="18"/>
      <c r="H417" s="18"/>
    </row>
    <row r="418" spans="1:8" x14ac:dyDescent="0.3">
      <c r="A418" s="116" t="str">
        <f t="shared" si="12"/>
        <v>TGA</v>
      </c>
      <c r="B418" s="60" t="str">
        <f t="shared" si="13"/>
        <v>TGAAll NI generators</v>
      </c>
      <c r="C418" s="559" t="s">
        <v>299</v>
      </c>
      <c r="D418" s="559" t="s">
        <v>405</v>
      </c>
      <c r="E418" s="559">
        <v>1</v>
      </c>
      <c r="F418" s="18"/>
      <c r="G418" s="18"/>
      <c r="H418" s="18"/>
    </row>
    <row r="419" spans="1:8" x14ac:dyDescent="0.3">
      <c r="A419" s="116" t="str">
        <f t="shared" si="12"/>
        <v>THI</v>
      </c>
      <c r="B419" s="60" t="str">
        <f t="shared" si="13"/>
        <v>THIAll NI generators</v>
      </c>
      <c r="C419" s="559" t="s">
        <v>301</v>
      </c>
      <c r="D419" s="559" t="s">
        <v>405</v>
      </c>
      <c r="E419" s="559">
        <v>1</v>
      </c>
      <c r="F419" s="18"/>
      <c r="G419" s="18"/>
      <c r="H419" s="18"/>
    </row>
    <row r="420" spans="1:8" x14ac:dyDescent="0.3">
      <c r="A420" s="116" t="str">
        <f t="shared" si="12"/>
        <v>THI</v>
      </c>
      <c r="B420" s="60" t="str">
        <f t="shared" si="13"/>
        <v>THIAll NI generators</v>
      </c>
      <c r="C420" s="559" t="s">
        <v>302</v>
      </c>
      <c r="D420" s="559" t="s">
        <v>405</v>
      </c>
      <c r="E420" s="559">
        <v>1</v>
      </c>
      <c r="F420" s="18"/>
      <c r="G420" s="18"/>
      <c r="H420" s="18"/>
    </row>
    <row r="421" spans="1:8" x14ac:dyDescent="0.3">
      <c r="A421" s="116" t="str">
        <f t="shared" si="12"/>
        <v>TKU</v>
      </c>
      <c r="B421" s="60" t="str">
        <f t="shared" si="13"/>
        <v>TKUAll NI generators</v>
      </c>
      <c r="C421" s="559" t="s">
        <v>309</v>
      </c>
      <c r="D421" s="559" t="s">
        <v>405</v>
      </c>
      <c r="E421" s="559">
        <v>1</v>
      </c>
      <c r="F421" s="18"/>
      <c r="G421" s="18"/>
      <c r="H421" s="18"/>
    </row>
    <row r="422" spans="1:8" x14ac:dyDescent="0.3">
      <c r="A422" s="116" t="str">
        <f t="shared" si="12"/>
        <v>TUI</v>
      </c>
      <c r="B422" s="60" t="str">
        <f t="shared" si="13"/>
        <v>TUIAll NI generators</v>
      </c>
      <c r="C422" s="559" t="s">
        <v>318</v>
      </c>
      <c r="D422" s="559" t="s">
        <v>405</v>
      </c>
      <c r="E422" s="559">
        <v>1</v>
      </c>
      <c r="F422" s="18"/>
      <c r="G422" s="18"/>
      <c r="H422" s="18"/>
    </row>
    <row r="423" spans="1:8" x14ac:dyDescent="0.3">
      <c r="A423" s="116" t="str">
        <f t="shared" si="12"/>
        <v>TUI</v>
      </c>
      <c r="B423" s="60" t="str">
        <f t="shared" si="13"/>
        <v>TUIAll NI generators</v>
      </c>
      <c r="C423" s="559" t="s">
        <v>319</v>
      </c>
      <c r="D423" s="559" t="s">
        <v>405</v>
      </c>
      <c r="E423" s="559">
        <v>1</v>
      </c>
      <c r="F423" s="18"/>
      <c r="G423" s="18"/>
      <c r="H423" s="18"/>
    </row>
    <row r="424" spans="1:8" x14ac:dyDescent="0.3">
      <c r="A424" s="116" t="str">
        <f t="shared" si="12"/>
        <v>TUI</v>
      </c>
      <c r="B424" s="60" t="str">
        <f t="shared" si="13"/>
        <v>TUIAll NI generators</v>
      </c>
      <c r="C424" s="559" t="s">
        <v>320</v>
      </c>
      <c r="D424" s="559" t="s">
        <v>405</v>
      </c>
      <c r="E424" s="559">
        <v>1</v>
      </c>
      <c r="F424" s="18"/>
      <c r="G424" s="18"/>
      <c r="H424" s="18"/>
    </row>
    <row r="425" spans="1:8" x14ac:dyDescent="0.3">
      <c r="A425" s="116" t="str">
        <f t="shared" si="12"/>
        <v>TWC</v>
      </c>
      <c r="B425" s="60" t="str">
        <f t="shared" si="13"/>
        <v>TWCAll NI generators</v>
      </c>
      <c r="C425" s="559" t="s">
        <v>321</v>
      </c>
      <c r="D425" s="559" t="s">
        <v>405</v>
      </c>
      <c r="E425" s="559">
        <v>1</v>
      </c>
      <c r="F425" s="18"/>
      <c r="G425" s="18"/>
      <c r="H425" s="18"/>
    </row>
    <row r="426" spans="1:8" x14ac:dyDescent="0.3">
      <c r="A426" s="116" t="str">
        <f t="shared" si="12"/>
        <v>TWH</v>
      </c>
      <c r="B426" s="60" t="str">
        <f t="shared" si="13"/>
        <v>TWHAll NI generators</v>
      </c>
      <c r="C426" s="559" t="s">
        <v>322</v>
      </c>
      <c r="D426" s="559" t="s">
        <v>405</v>
      </c>
      <c r="E426" s="559">
        <v>1</v>
      </c>
      <c r="F426" s="18"/>
      <c r="G426" s="18"/>
      <c r="H426" s="18"/>
    </row>
    <row r="427" spans="1:8" x14ac:dyDescent="0.3">
      <c r="A427" s="116" t="str">
        <f t="shared" si="12"/>
        <v>TWH</v>
      </c>
      <c r="B427" s="60" t="str">
        <f t="shared" si="13"/>
        <v>TWHAll NI generators</v>
      </c>
      <c r="C427" s="559" t="s">
        <v>323</v>
      </c>
      <c r="D427" s="559" t="s">
        <v>405</v>
      </c>
      <c r="E427" s="559">
        <v>1</v>
      </c>
      <c r="F427" s="18"/>
      <c r="G427" s="18"/>
      <c r="H427" s="18"/>
    </row>
    <row r="428" spans="1:8" x14ac:dyDescent="0.3">
      <c r="A428" s="116" t="str">
        <f t="shared" si="12"/>
        <v>TWH</v>
      </c>
      <c r="B428" s="60" t="str">
        <f t="shared" si="13"/>
        <v>TWHAll NI generators</v>
      </c>
      <c r="C428" s="559" t="s">
        <v>324</v>
      </c>
      <c r="D428" s="559" t="s">
        <v>405</v>
      </c>
      <c r="E428" s="559">
        <v>1</v>
      </c>
      <c r="F428" s="18"/>
      <c r="G428" s="18"/>
      <c r="H428" s="18"/>
    </row>
    <row r="429" spans="1:8" x14ac:dyDescent="0.3">
      <c r="A429" s="116" t="str">
        <f t="shared" si="12"/>
        <v>WDV</v>
      </c>
      <c r="B429" s="60" t="str">
        <f t="shared" si="13"/>
        <v>WDVAll NI generators</v>
      </c>
      <c r="C429" s="559" t="s">
        <v>330</v>
      </c>
      <c r="D429" s="559" t="s">
        <v>405</v>
      </c>
      <c r="E429" s="559">
        <v>1</v>
      </c>
      <c r="F429" s="18"/>
      <c r="G429" s="18"/>
      <c r="H429" s="18"/>
    </row>
    <row r="430" spans="1:8" x14ac:dyDescent="0.3">
      <c r="A430" s="116" t="str">
        <f t="shared" si="12"/>
        <v>WHI</v>
      </c>
      <c r="B430" s="60" t="str">
        <f t="shared" si="13"/>
        <v>WHIAll NI generators</v>
      </c>
      <c r="C430" s="559" t="s">
        <v>335</v>
      </c>
      <c r="D430" s="559" t="s">
        <v>405</v>
      </c>
      <c r="E430" s="559">
        <v>1</v>
      </c>
      <c r="F430" s="18"/>
      <c r="G430" s="18"/>
      <c r="H430" s="18"/>
    </row>
    <row r="431" spans="1:8" x14ac:dyDescent="0.3">
      <c r="A431" s="116" t="str">
        <f t="shared" si="12"/>
        <v>WKM</v>
      </c>
      <c r="B431" s="60" t="str">
        <f t="shared" si="13"/>
        <v>WKMAll NI generators</v>
      </c>
      <c r="C431" s="559" t="s">
        <v>340</v>
      </c>
      <c r="D431" s="559" t="s">
        <v>405</v>
      </c>
      <c r="E431" s="559">
        <v>1</v>
      </c>
      <c r="F431" s="18"/>
      <c r="G431" s="18"/>
      <c r="H431" s="18"/>
    </row>
    <row r="432" spans="1:8" x14ac:dyDescent="0.3">
      <c r="A432" s="116" t="str">
        <f t="shared" si="12"/>
        <v>WKM</v>
      </c>
      <c r="B432" s="60" t="str">
        <f t="shared" si="13"/>
        <v>WKMAll NI generators</v>
      </c>
      <c r="C432" s="559" t="s">
        <v>341</v>
      </c>
      <c r="D432" s="559" t="s">
        <v>405</v>
      </c>
      <c r="E432" s="559">
        <v>1</v>
      </c>
      <c r="F432" s="18"/>
      <c r="G432" s="18"/>
      <c r="H432" s="18"/>
    </row>
    <row r="433" spans="1:8" x14ac:dyDescent="0.3">
      <c r="A433" s="116" t="str">
        <f t="shared" si="12"/>
        <v>WPA</v>
      </c>
      <c r="B433" s="60" t="str">
        <f t="shared" si="13"/>
        <v>WPAAll NI generators</v>
      </c>
      <c r="C433" s="559" t="s">
        <v>343</v>
      </c>
      <c r="D433" s="559" t="s">
        <v>405</v>
      </c>
      <c r="E433" s="559">
        <v>1</v>
      </c>
      <c r="F433" s="18"/>
      <c r="G433" s="18"/>
      <c r="H433" s="18"/>
    </row>
    <row r="434" spans="1:8" x14ac:dyDescent="0.3">
      <c r="A434" s="116" t="str">
        <f t="shared" si="12"/>
        <v>WRK</v>
      </c>
      <c r="B434" s="60" t="str">
        <f t="shared" si="13"/>
        <v>WRKAll NI generators</v>
      </c>
      <c r="C434" s="559" t="s">
        <v>350</v>
      </c>
      <c r="D434" s="559" t="s">
        <v>405</v>
      </c>
      <c r="E434" s="559">
        <v>1</v>
      </c>
      <c r="F434" s="18"/>
      <c r="G434" s="18"/>
      <c r="H434" s="18"/>
    </row>
    <row r="435" spans="1:8" x14ac:dyDescent="0.3">
      <c r="A435" s="116" t="str">
        <f t="shared" si="12"/>
        <v>WRK</v>
      </c>
      <c r="B435" s="60" t="str">
        <f t="shared" si="13"/>
        <v>WRKAll NI generators</v>
      </c>
      <c r="C435" s="559" t="s">
        <v>351</v>
      </c>
      <c r="D435" s="559" t="s">
        <v>405</v>
      </c>
      <c r="E435" s="559">
        <v>1</v>
      </c>
      <c r="F435" s="18"/>
      <c r="G435" s="18"/>
      <c r="H435" s="18"/>
    </row>
    <row r="436" spans="1:8" x14ac:dyDescent="0.3">
      <c r="A436" s="116" t="str">
        <f t="shared" si="12"/>
        <v>WRK</v>
      </c>
      <c r="B436" s="60" t="str">
        <f t="shared" si="13"/>
        <v>WRKAll NI generators</v>
      </c>
      <c r="C436" s="559" t="s">
        <v>352</v>
      </c>
      <c r="D436" s="559" t="s">
        <v>405</v>
      </c>
      <c r="E436" s="559">
        <v>1</v>
      </c>
      <c r="F436" s="18"/>
      <c r="G436" s="18"/>
      <c r="H436" s="18"/>
    </row>
    <row r="437" spans="1:8" x14ac:dyDescent="0.3">
      <c r="A437" s="116" t="str">
        <f t="shared" si="12"/>
        <v>WWD</v>
      </c>
      <c r="B437" s="60" t="str">
        <f t="shared" si="13"/>
        <v>WWDAll NI generators</v>
      </c>
      <c r="C437" s="559" t="s">
        <v>357</v>
      </c>
      <c r="D437" s="559" t="s">
        <v>405</v>
      </c>
      <c r="E437" s="559">
        <v>1</v>
      </c>
      <c r="F437" s="18"/>
      <c r="G437" s="18"/>
      <c r="H437" s="18"/>
    </row>
    <row r="438" spans="1:8" x14ac:dyDescent="0.3">
      <c r="A438" s="116" t="str">
        <f t="shared" si="12"/>
        <v>WWD</v>
      </c>
      <c r="B438" s="60" t="str">
        <f t="shared" si="13"/>
        <v>WWDAll NI generators</v>
      </c>
      <c r="C438" s="559" t="s">
        <v>358</v>
      </c>
      <c r="D438" s="559" t="s">
        <v>405</v>
      </c>
      <c r="E438" s="559">
        <v>1</v>
      </c>
      <c r="F438" s="18"/>
      <c r="G438" s="18"/>
      <c r="H438" s="18"/>
    </row>
    <row r="439" spans="1:8" x14ac:dyDescent="0.3">
      <c r="A439" s="116" t="str">
        <f t="shared" si="12"/>
        <v>ABY</v>
      </c>
      <c r="B439" s="60" t="str">
        <f t="shared" si="13"/>
        <v>ABYAll SI consumers</v>
      </c>
      <c r="C439" s="559" t="s">
        <v>95</v>
      </c>
      <c r="D439" s="559" t="s">
        <v>406</v>
      </c>
      <c r="E439" s="559">
        <v>1</v>
      </c>
      <c r="F439" s="18"/>
      <c r="G439" s="18"/>
      <c r="H439" s="18"/>
    </row>
    <row r="440" spans="1:8" x14ac:dyDescent="0.3">
      <c r="A440" s="116" t="str">
        <f t="shared" si="12"/>
        <v>ADD</v>
      </c>
      <c r="B440" s="60" t="str">
        <f t="shared" si="13"/>
        <v>ADDAll SI consumers</v>
      </c>
      <c r="C440" s="559" t="s">
        <v>362</v>
      </c>
      <c r="D440" s="559" t="s">
        <v>406</v>
      </c>
      <c r="E440" s="559">
        <v>1</v>
      </c>
      <c r="F440" s="18"/>
      <c r="G440" s="18"/>
      <c r="H440" s="18"/>
    </row>
    <row r="441" spans="1:8" x14ac:dyDescent="0.3">
      <c r="A441" s="116" t="str">
        <f t="shared" si="12"/>
        <v>ADD</v>
      </c>
      <c r="B441" s="60" t="str">
        <f t="shared" si="13"/>
        <v>ADDAll SI consumers</v>
      </c>
      <c r="C441" s="559" t="s">
        <v>363</v>
      </c>
      <c r="D441" s="559" t="s">
        <v>406</v>
      </c>
      <c r="E441" s="559">
        <v>1</v>
      </c>
      <c r="F441" s="18"/>
      <c r="G441" s="18"/>
      <c r="H441" s="18"/>
    </row>
    <row r="442" spans="1:8" x14ac:dyDescent="0.3">
      <c r="A442" s="116" t="str">
        <f t="shared" si="12"/>
        <v>APS</v>
      </c>
      <c r="B442" s="60" t="str">
        <f t="shared" si="13"/>
        <v>APSAll SI consumers</v>
      </c>
      <c r="C442" s="559" t="s">
        <v>99</v>
      </c>
      <c r="D442" s="559" t="s">
        <v>406</v>
      </c>
      <c r="E442" s="559">
        <v>1</v>
      </c>
      <c r="F442" s="18"/>
      <c r="G442" s="18"/>
      <c r="H442" s="18"/>
    </row>
    <row r="443" spans="1:8" x14ac:dyDescent="0.3">
      <c r="A443" s="116" t="str">
        <f t="shared" si="12"/>
        <v>ARG</v>
      </c>
      <c r="B443" s="60" t="str">
        <f t="shared" si="13"/>
        <v>ARGAll SI consumers</v>
      </c>
      <c r="C443" s="559" t="s">
        <v>102</v>
      </c>
      <c r="D443" s="559" t="s">
        <v>406</v>
      </c>
      <c r="E443" s="559">
        <v>1</v>
      </c>
      <c r="F443" s="18"/>
      <c r="G443" s="18"/>
      <c r="H443" s="18"/>
    </row>
    <row r="444" spans="1:8" x14ac:dyDescent="0.3">
      <c r="A444" s="116" t="str">
        <f t="shared" si="12"/>
        <v>ASB</v>
      </c>
      <c r="B444" s="60" t="str">
        <f t="shared" si="13"/>
        <v>ASBAll SI consumers</v>
      </c>
      <c r="C444" s="559" t="s">
        <v>107</v>
      </c>
      <c r="D444" s="559" t="s">
        <v>406</v>
      </c>
      <c r="E444" s="559">
        <v>1</v>
      </c>
      <c r="F444" s="18"/>
      <c r="G444" s="18"/>
      <c r="H444" s="18"/>
    </row>
    <row r="445" spans="1:8" x14ac:dyDescent="0.3">
      <c r="A445" s="116" t="str">
        <f t="shared" si="12"/>
        <v>ASB</v>
      </c>
      <c r="B445" s="60" t="str">
        <f t="shared" si="13"/>
        <v>ASBAll SI consumers</v>
      </c>
      <c r="C445" s="559" t="s">
        <v>108</v>
      </c>
      <c r="D445" s="559" t="s">
        <v>406</v>
      </c>
      <c r="E445" s="559">
        <v>1</v>
      </c>
      <c r="F445" s="18"/>
      <c r="G445" s="18"/>
      <c r="H445" s="18"/>
    </row>
    <row r="446" spans="1:8" x14ac:dyDescent="0.3">
      <c r="A446" s="116" t="str">
        <f t="shared" si="12"/>
        <v>ASY</v>
      </c>
      <c r="B446" s="60" t="str">
        <f t="shared" si="13"/>
        <v>ASYAll SI consumers</v>
      </c>
      <c r="C446" s="559" t="s">
        <v>111</v>
      </c>
      <c r="D446" s="559" t="s">
        <v>406</v>
      </c>
      <c r="E446" s="559">
        <v>1</v>
      </c>
      <c r="F446" s="18"/>
      <c r="G446" s="18"/>
      <c r="H446" s="18"/>
    </row>
    <row r="447" spans="1:8" x14ac:dyDescent="0.3">
      <c r="A447" s="116" t="str">
        <f t="shared" si="12"/>
        <v>ATU</v>
      </c>
      <c r="B447" s="60" t="str">
        <f t="shared" si="13"/>
        <v>ATUAll SI consumers</v>
      </c>
      <c r="C447" s="559" t="s">
        <v>113</v>
      </c>
      <c r="D447" s="559" t="s">
        <v>406</v>
      </c>
      <c r="E447" s="559">
        <v>1</v>
      </c>
      <c r="F447" s="18"/>
      <c r="G447" s="18"/>
      <c r="H447" s="18"/>
    </row>
    <row r="448" spans="1:8" x14ac:dyDescent="0.3">
      <c r="A448" s="116" t="str">
        <f t="shared" si="12"/>
        <v>BAL</v>
      </c>
      <c r="B448" s="60" t="str">
        <f t="shared" si="13"/>
        <v>BALAll SI consumers</v>
      </c>
      <c r="C448" s="559" t="s">
        <v>115</v>
      </c>
      <c r="D448" s="559" t="s">
        <v>406</v>
      </c>
      <c r="E448" s="559">
        <v>1</v>
      </c>
      <c r="F448" s="18"/>
      <c r="G448" s="18"/>
      <c r="H448" s="18"/>
    </row>
    <row r="449" spans="1:8" x14ac:dyDescent="0.3">
      <c r="A449" s="116" t="str">
        <f t="shared" si="12"/>
        <v>BDE</v>
      </c>
      <c r="B449" s="60" t="str">
        <f t="shared" si="13"/>
        <v>BDEAll SI consumers</v>
      </c>
      <c r="C449" s="559" t="s">
        <v>116</v>
      </c>
      <c r="D449" s="559" t="s">
        <v>406</v>
      </c>
      <c r="E449" s="559">
        <v>1</v>
      </c>
      <c r="F449" s="18"/>
      <c r="G449" s="18"/>
      <c r="H449" s="18"/>
    </row>
    <row r="450" spans="1:8" x14ac:dyDescent="0.3">
      <c r="A450" s="116" t="str">
        <f t="shared" si="12"/>
        <v>BLN</v>
      </c>
      <c r="B450" s="60" t="str">
        <f t="shared" si="13"/>
        <v>BLNAll SI consumers</v>
      </c>
      <c r="C450" s="559" t="s">
        <v>118</v>
      </c>
      <c r="D450" s="559" t="s">
        <v>406</v>
      </c>
      <c r="E450" s="559">
        <v>1</v>
      </c>
      <c r="F450" s="18"/>
      <c r="G450" s="18"/>
      <c r="H450" s="18"/>
    </row>
    <row r="451" spans="1:8" x14ac:dyDescent="0.3">
      <c r="A451" s="116" t="str">
        <f t="shared" si="12"/>
        <v>BPD</v>
      </c>
      <c r="B451" s="60" t="str">
        <f t="shared" si="13"/>
        <v>BPDAll SI consumers</v>
      </c>
      <c r="C451" s="559" t="s">
        <v>121</v>
      </c>
      <c r="D451" s="559" t="s">
        <v>406</v>
      </c>
      <c r="E451" s="559">
        <v>1</v>
      </c>
      <c r="F451" s="18"/>
      <c r="G451" s="18"/>
      <c r="H451" s="18"/>
    </row>
    <row r="452" spans="1:8" x14ac:dyDescent="0.3">
      <c r="A452" s="116" t="str">
        <f t="shared" si="12"/>
        <v>BPT</v>
      </c>
      <c r="B452" s="60" t="str">
        <f t="shared" si="13"/>
        <v>BPTAll SI consumers</v>
      </c>
      <c r="C452" s="559" t="s">
        <v>125</v>
      </c>
      <c r="D452" s="559" t="s">
        <v>406</v>
      </c>
      <c r="E452" s="559">
        <v>1</v>
      </c>
      <c r="F452" s="18"/>
      <c r="G452" s="18"/>
      <c r="H452" s="18"/>
    </row>
    <row r="453" spans="1:8" x14ac:dyDescent="0.3">
      <c r="A453" s="116" t="str">
        <f t="shared" si="12"/>
        <v>BRY</v>
      </c>
      <c r="B453" s="60" t="str">
        <f t="shared" si="13"/>
        <v>BRYAll SI consumers</v>
      </c>
      <c r="C453" s="559" t="s">
        <v>364</v>
      </c>
      <c r="D453" s="559" t="s">
        <v>406</v>
      </c>
      <c r="E453" s="559">
        <v>1</v>
      </c>
      <c r="F453" s="18"/>
      <c r="G453" s="18"/>
      <c r="H453" s="18"/>
    </row>
    <row r="454" spans="1:8" x14ac:dyDescent="0.3">
      <c r="A454" s="116" t="str">
        <f t="shared" si="12"/>
        <v>BRY</v>
      </c>
      <c r="B454" s="60" t="str">
        <f t="shared" si="13"/>
        <v>BRYAll SI consumers</v>
      </c>
      <c r="C454" s="559" t="s">
        <v>128</v>
      </c>
      <c r="D454" s="559" t="s">
        <v>406</v>
      </c>
      <c r="E454" s="559">
        <v>1</v>
      </c>
      <c r="F454" s="18"/>
      <c r="G454" s="18"/>
      <c r="H454" s="18"/>
    </row>
    <row r="455" spans="1:8" x14ac:dyDescent="0.3">
      <c r="A455" s="116" t="str">
        <f t="shared" ref="A455:A518" si="14">LEFT(C455,3)</f>
        <v>BWK</v>
      </c>
      <c r="B455" s="60" t="str">
        <f t="shared" ref="B455:B518" si="15">A455&amp;D455</f>
        <v>BWKAll SI consumers</v>
      </c>
      <c r="C455" s="559" t="s">
        <v>129</v>
      </c>
      <c r="D455" s="559" t="s">
        <v>406</v>
      </c>
      <c r="E455" s="559">
        <v>1</v>
      </c>
      <c r="F455" s="18"/>
      <c r="G455" s="18"/>
      <c r="H455" s="18"/>
    </row>
    <row r="456" spans="1:8" x14ac:dyDescent="0.3">
      <c r="A456" s="116" t="str">
        <f t="shared" si="14"/>
        <v>CLH</v>
      </c>
      <c r="B456" s="60" t="str">
        <f t="shared" si="15"/>
        <v>CLHAll SI consumers</v>
      </c>
      <c r="C456" s="559" t="s">
        <v>132</v>
      </c>
      <c r="D456" s="559" t="s">
        <v>406</v>
      </c>
      <c r="E456" s="559">
        <v>1</v>
      </c>
      <c r="F456" s="18"/>
      <c r="G456" s="18"/>
      <c r="H456" s="18"/>
    </row>
    <row r="457" spans="1:8" x14ac:dyDescent="0.3">
      <c r="A457" s="116" t="str">
        <f t="shared" si="14"/>
        <v>CML</v>
      </c>
      <c r="B457" s="60" t="str">
        <f t="shared" si="15"/>
        <v>CMLAll SI consumers</v>
      </c>
      <c r="C457" s="559" t="s">
        <v>133</v>
      </c>
      <c r="D457" s="559" t="s">
        <v>406</v>
      </c>
      <c r="E457" s="559">
        <v>1</v>
      </c>
      <c r="F457" s="18"/>
      <c r="G457" s="18"/>
      <c r="H457" s="18"/>
    </row>
    <row r="458" spans="1:8" x14ac:dyDescent="0.3">
      <c r="A458" s="116" t="str">
        <f t="shared" si="14"/>
        <v>COL</v>
      </c>
      <c r="B458" s="60" t="str">
        <f t="shared" si="15"/>
        <v>COLAll SI consumers</v>
      </c>
      <c r="C458" s="559" t="s">
        <v>134</v>
      </c>
      <c r="D458" s="559" t="s">
        <v>406</v>
      </c>
      <c r="E458" s="559">
        <v>1</v>
      </c>
      <c r="F458" s="18"/>
      <c r="G458" s="18"/>
      <c r="H458" s="18"/>
    </row>
    <row r="459" spans="1:8" x14ac:dyDescent="0.3">
      <c r="A459" s="116" t="str">
        <f t="shared" si="14"/>
        <v>COL</v>
      </c>
      <c r="B459" s="60" t="str">
        <f t="shared" si="15"/>
        <v>COLAll SI consumers</v>
      </c>
      <c r="C459" s="559" t="s">
        <v>135</v>
      </c>
      <c r="D459" s="559" t="s">
        <v>406</v>
      </c>
      <c r="E459" s="559">
        <v>1</v>
      </c>
      <c r="F459" s="18"/>
      <c r="G459" s="18"/>
      <c r="H459" s="18"/>
    </row>
    <row r="460" spans="1:8" x14ac:dyDescent="0.3">
      <c r="A460" s="116" t="str">
        <f t="shared" si="14"/>
        <v>CUL</v>
      </c>
      <c r="B460" s="60" t="str">
        <f t="shared" si="15"/>
        <v>CULAll SI consumers</v>
      </c>
      <c r="C460" s="559" t="s">
        <v>140</v>
      </c>
      <c r="D460" s="559" t="s">
        <v>406</v>
      </c>
      <c r="E460" s="559">
        <v>1</v>
      </c>
      <c r="F460" s="18"/>
      <c r="G460" s="18"/>
      <c r="H460" s="18"/>
    </row>
    <row r="461" spans="1:8" x14ac:dyDescent="0.3">
      <c r="A461" s="116" t="str">
        <f t="shared" si="14"/>
        <v>CUL</v>
      </c>
      <c r="B461" s="60" t="str">
        <f t="shared" si="15"/>
        <v>CULAll SI consumers</v>
      </c>
      <c r="C461" s="559" t="s">
        <v>141</v>
      </c>
      <c r="D461" s="559" t="s">
        <v>406</v>
      </c>
      <c r="E461" s="559">
        <v>1</v>
      </c>
      <c r="F461" s="18"/>
      <c r="G461" s="18"/>
      <c r="H461" s="18"/>
    </row>
    <row r="462" spans="1:8" x14ac:dyDescent="0.3">
      <c r="A462" s="116" t="str">
        <f t="shared" si="14"/>
        <v>CYD</v>
      </c>
      <c r="B462" s="60" t="str">
        <f t="shared" si="15"/>
        <v>CYDAll SI consumers</v>
      </c>
      <c r="C462" s="559" t="s">
        <v>142</v>
      </c>
      <c r="D462" s="559" t="s">
        <v>406</v>
      </c>
      <c r="E462" s="559">
        <v>1</v>
      </c>
      <c r="F462" s="18"/>
      <c r="G462" s="18"/>
      <c r="H462" s="18"/>
    </row>
    <row r="463" spans="1:8" x14ac:dyDescent="0.3">
      <c r="A463" s="116" t="str">
        <f t="shared" si="14"/>
        <v>CYD</v>
      </c>
      <c r="B463" s="60" t="str">
        <f t="shared" si="15"/>
        <v>CYDAll SI consumers</v>
      </c>
      <c r="C463" s="559" t="s">
        <v>143</v>
      </c>
      <c r="D463" s="559" t="s">
        <v>406</v>
      </c>
      <c r="E463" s="559">
        <v>1</v>
      </c>
      <c r="F463" s="18"/>
      <c r="G463" s="18"/>
      <c r="H463" s="18"/>
    </row>
    <row r="464" spans="1:8" x14ac:dyDescent="0.3">
      <c r="A464" s="116" t="str">
        <f t="shared" si="14"/>
        <v>DOB</v>
      </c>
      <c r="B464" s="60" t="str">
        <f t="shared" si="15"/>
        <v>DOBAll SI consumers</v>
      </c>
      <c r="C464" s="559" t="s">
        <v>145</v>
      </c>
      <c r="D464" s="559" t="s">
        <v>406</v>
      </c>
      <c r="E464" s="559">
        <v>1</v>
      </c>
      <c r="F464" s="18"/>
      <c r="G464" s="18"/>
      <c r="H464" s="18"/>
    </row>
    <row r="465" spans="1:8" x14ac:dyDescent="0.3">
      <c r="A465" s="116" t="str">
        <f t="shared" si="14"/>
        <v>EDN</v>
      </c>
      <c r="B465" s="60" t="str">
        <f t="shared" si="15"/>
        <v>EDNAll SI consumers</v>
      </c>
      <c r="C465" s="559" t="s">
        <v>148</v>
      </c>
      <c r="D465" s="559" t="s">
        <v>406</v>
      </c>
      <c r="E465" s="559">
        <v>1</v>
      </c>
      <c r="F465" s="18"/>
      <c r="G465" s="18"/>
      <c r="H465" s="18"/>
    </row>
    <row r="466" spans="1:8" x14ac:dyDescent="0.3">
      <c r="A466" s="116" t="str">
        <f t="shared" si="14"/>
        <v>FKN</v>
      </c>
      <c r="B466" s="60" t="str">
        <f t="shared" si="15"/>
        <v>FKNAll SI consumers</v>
      </c>
      <c r="C466" s="559" t="s">
        <v>150</v>
      </c>
      <c r="D466" s="559" t="s">
        <v>406</v>
      </c>
      <c r="E466" s="559">
        <v>1</v>
      </c>
      <c r="F466" s="18"/>
      <c r="G466" s="18"/>
      <c r="H466" s="18"/>
    </row>
    <row r="467" spans="1:8" x14ac:dyDescent="0.3">
      <c r="A467" s="116" t="str">
        <f t="shared" si="14"/>
        <v>GOR</v>
      </c>
      <c r="B467" s="60" t="str">
        <f t="shared" si="15"/>
        <v>GORAll SI consumers</v>
      </c>
      <c r="C467" s="559" t="s">
        <v>153</v>
      </c>
      <c r="D467" s="559" t="s">
        <v>406</v>
      </c>
      <c r="E467" s="559">
        <v>1</v>
      </c>
      <c r="F467" s="18"/>
      <c r="G467" s="18"/>
      <c r="H467" s="18"/>
    </row>
    <row r="468" spans="1:8" x14ac:dyDescent="0.3">
      <c r="A468" s="116" t="str">
        <f t="shared" si="14"/>
        <v>GYM</v>
      </c>
      <c r="B468" s="60" t="str">
        <f t="shared" si="15"/>
        <v>GYMAll SI consumers</v>
      </c>
      <c r="C468" s="559" t="s">
        <v>154</v>
      </c>
      <c r="D468" s="559" t="s">
        <v>406</v>
      </c>
      <c r="E468" s="559">
        <v>1</v>
      </c>
      <c r="F468" s="18"/>
      <c r="G468" s="18"/>
      <c r="H468" s="18"/>
    </row>
    <row r="469" spans="1:8" x14ac:dyDescent="0.3">
      <c r="A469" s="116" t="str">
        <f t="shared" si="14"/>
        <v>HKK</v>
      </c>
      <c r="B469" s="60" t="str">
        <f t="shared" si="15"/>
        <v>HKKAll SI consumers</v>
      </c>
      <c r="C469" s="559" t="s">
        <v>164</v>
      </c>
      <c r="D469" s="559" t="s">
        <v>406</v>
      </c>
      <c r="E469" s="559">
        <v>1</v>
      </c>
      <c r="F469" s="18"/>
      <c r="G469" s="18"/>
      <c r="H469" s="18"/>
    </row>
    <row r="470" spans="1:8" x14ac:dyDescent="0.3">
      <c r="A470" s="116" t="str">
        <f t="shared" si="14"/>
        <v>HOR</v>
      </c>
      <c r="B470" s="60" t="str">
        <f t="shared" si="15"/>
        <v>HORAll SI consumers</v>
      </c>
      <c r="C470" s="559" t="s">
        <v>171</v>
      </c>
      <c r="D470" s="559" t="s">
        <v>406</v>
      </c>
      <c r="E470" s="559">
        <v>1</v>
      </c>
      <c r="F470" s="18"/>
      <c r="G470" s="18"/>
      <c r="H470" s="18"/>
    </row>
    <row r="471" spans="1:8" x14ac:dyDescent="0.3">
      <c r="A471" s="116" t="str">
        <f t="shared" si="14"/>
        <v>HOR</v>
      </c>
      <c r="B471" s="60" t="str">
        <f t="shared" si="15"/>
        <v>HORAll SI consumers</v>
      </c>
      <c r="C471" s="559" t="s">
        <v>172</v>
      </c>
      <c r="D471" s="559" t="s">
        <v>406</v>
      </c>
      <c r="E471" s="559">
        <v>1</v>
      </c>
      <c r="F471" s="18"/>
      <c r="G471" s="18"/>
      <c r="H471" s="18"/>
    </row>
    <row r="472" spans="1:8" x14ac:dyDescent="0.3">
      <c r="A472" s="116" t="str">
        <f t="shared" si="14"/>
        <v>HWB</v>
      </c>
      <c r="B472" s="60" t="str">
        <f t="shared" si="15"/>
        <v>HWBAll SI consumers</v>
      </c>
      <c r="C472" s="559" t="s">
        <v>184</v>
      </c>
      <c r="D472" s="559" t="s">
        <v>406</v>
      </c>
      <c r="E472" s="559">
        <v>1</v>
      </c>
      <c r="F472" s="18"/>
      <c r="G472" s="18"/>
      <c r="H472" s="18"/>
    </row>
    <row r="473" spans="1:8" x14ac:dyDescent="0.3">
      <c r="A473" s="116" t="str">
        <f t="shared" si="14"/>
        <v>HWB</v>
      </c>
      <c r="B473" s="60" t="str">
        <f t="shared" si="15"/>
        <v>HWBAll SI consumers</v>
      </c>
      <c r="C473" s="559" t="s">
        <v>186</v>
      </c>
      <c r="D473" s="559" t="s">
        <v>406</v>
      </c>
      <c r="E473" s="559">
        <v>1</v>
      </c>
      <c r="F473" s="18"/>
      <c r="G473" s="18"/>
      <c r="H473" s="18"/>
    </row>
    <row r="474" spans="1:8" x14ac:dyDescent="0.3">
      <c r="A474" s="116" t="str">
        <f t="shared" si="14"/>
        <v>HWB</v>
      </c>
      <c r="B474" s="60" t="str">
        <f t="shared" si="15"/>
        <v>HWBAll SI consumers</v>
      </c>
      <c r="C474" s="559" t="s">
        <v>187</v>
      </c>
      <c r="D474" s="559" t="s">
        <v>406</v>
      </c>
      <c r="E474" s="559">
        <v>1</v>
      </c>
      <c r="F474" s="18"/>
      <c r="G474" s="18"/>
      <c r="H474" s="18"/>
    </row>
    <row r="475" spans="1:8" x14ac:dyDescent="0.3">
      <c r="A475" s="116" t="str">
        <f t="shared" si="14"/>
        <v>INV</v>
      </c>
      <c r="B475" s="60" t="str">
        <f t="shared" si="15"/>
        <v>INVAll SI consumers</v>
      </c>
      <c r="C475" s="559" t="s">
        <v>188</v>
      </c>
      <c r="D475" s="559" t="s">
        <v>406</v>
      </c>
      <c r="E475" s="559">
        <v>1</v>
      </c>
      <c r="F475" s="18"/>
      <c r="G475" s="18"/>
      <c r="H475" s="18"/>
    </row>
    <row r="476" spans="1:8" x14ac:dyDescent="0.3">
      <c r="A476" s="116" t="str">
        <f t="shared" si="14"/>
        <v>ISL</v>
      </c>
      <c r="B476" s="60" t="str">
        <f t="shared" si="15"/>
        <v>ISLAll SI consumers</v>
      </c>
      <c r="C476" s="559" t="s">
        <v>189</v>
      </c>
      <c r="D476" s="559" t="s">
        <v>406</v>
      </c>
      <c r="E476" s="559">
        <v>1</v>
      </c>
      <c r="F476" s="18"/>
      <c r="G476" s="18"/>
      <c r="H476" s="18"/>
    </row>
    <row r="477" spans="1:8" x14ac:dyDescent="0.3">
      <c r="A477" s="116" t="str">
        <f t="shared" si="14"/>
        <v>ISL</v>
      </c>
      <c r="B477" s="60" t="str">
        <f t="shared" si="15"/>
        <v>ISLAll SI consumers</v>
      </c>
      <c r="C477" s="559" t="s">
        <v>190</v>
      </c>
      <c r="D477" s="559" t="s">
        <v>406</v>
      </c>
      <c r="E477" s="559">
        <v>1</v>
      </c>
      <c r="F477" s="18"/>
      <c r="G477" s="18"/>
      <c r="H477" s="18"/>
    </row>
    <row r="478" spans="1:8" x14ac:dyDescent="0.3">
      <c r="A478" s="116" t="str">
        <f t="shared" si="14"/>
        <v>KAI</v>
      </c>
      <c r="B478" s="60" t="str">
        <f t="shared" si="15"/>
        <v>KAIAll SI consumers</v>
      </c>
      <c r="C478" s="559" t="s">
        <v>191</v>
      </c>
      <c r="D478" s="559" t="s">
        <v>406</v>
      </c>
      <c r="E478" s="559">
        <v>1</v>
      </c>
      <c r="F478" s="18"/>
      <c r="G478" s="18"/>
      <c r="H478" s="18"/>
    </row>
    <row r="479" spans="1:8" x14ac:dyDescent="0.3">
      <c r="A479" s="116" t="str">
        <f t="shared" si="14"/>
        <v>KBY</v>
      </c>
      <c r="B479" s="60" t="str">
        <f t="shared" si="15"/>
        <v>KBYAll SI consumers</v>
      </c>
      <c r="C479" s="559" t="s">
        <v>194</v>
      </c>
      <c r="D479" s="559" t="s">
        <v>406</v>
      </c>
      <c r="E479" s="559">
        <v>1</v>
      </c>
      <c r="F479" s="18"/>
      <c r="G479" s="18"/>
      <c r="H479" s="18"/>
    </row>
    <row r="480" spans="1:8" x14ac:dyDescent="0.3">
      <c r="A480" s="116" t="str">
        <f t="shared" si="14"/>
        <v>KBY</v>
      </c>
      <c r="B480" s="60" t="str">
        <f t="shared" si="15"/>
        <v>KBYAll SI consumers</v>
      </c>
      <c r="C480" s="559" t="s">
        <v>195</v>
      </c>
      <c r="D480" s="559" t="s">
        <v>406</v>
      </c>
      <c r="E480" s="559">
        <v>1</v>
      </c>
      <c r="F480" s="18"/>
      <c r="G480" s="18"/>
      <c r="H480" s="18"/>
    </row>
    <row r="481" spans="1:8" x14ac:dyDescent="0.3">
      <c r="A481" s="116" t="str">
        <f t="shared" si="14"/>
        <v>KIK</v>
      </c>
      <c r="B481" s="60" t="str">
        <f t="shared" si="15"/>
        <v>KIKAll SI consumers</v>
      </c>
      <c r="C481" s="559" t="s">
        <v>196</v>
      </c>
      <c r="D481" s="559" t="s">
        <v>406</v>
      </c>
      <c r="E481" s="559">
        <v>1</v>
      </c>
      <c r="F481" s="18"/>
      <c r="G481" s="18"/>
      <c r="H481" s="18"/>
    </row>
    <row r="482" spans="1:8" x14ac:dyDescent="0.3">
      <c r="A482" s="116" t="str">
        <f t="shared" si="14"/>
        <v>KUM</v>
      </c>
      <c r="B482" s="60" t="str">
        <f t="shared" si="15"/>
        <v>KUMAll SI consumers</v>
      </c>
      <c r="C482" s="559" t="s">
        <v>205</v>
      </c>
      <c r="D482" s="559" t="s">
        <v>406</v>
      </c>
      <c r="E482" s="559">
        <v>1</v>
      </c>
      <c r="F482" s="18"/>
      <c r="G482" s="18"/>
      <c r="H482" s="18"/>
    </row>
    <row r="483" spans="1:8" x14ac:dyDescent="0.3">
      <c r="A483" s="116" t="str">
        <f t="shared" si="14"/>
        <v>MAN</v>
      </c>
      <c r="B483" s="60" t="str">
        <f t="shared" si="15"/>
        <v>MANAll SI consumers</v>
      </c>
      <c r="C483" s="559" t="s">
        <v>376</v>
      </c>
      <c r="D483" s="559" t="s">
        <v>406</v>
      </c>
      <c r="E483" s="559">
        <v>1</v>
      </c>
      <c r="F483" s="18"/>
      <c r="G483" s="18"/>
      <c r="H483" s="18"/>
    </row>
    <row r="484" spans="1:8" x14ac:dyDescent="0.3">
      <c r="A484" s="116" t="str">
        <f t="shared" si="14"/>
        <v>MCH</v>
      </c>
      <c r="B484" s="60" t="str">
        <f t="shared" si="15"/>
        <v>MCHAll SI consumers</v>
      </c>
      <c r="C484" s="559" t="s">
        <v>217</v>
      </c>
      <c r="D484" s="559" t="s">
        <v>406</v>
      </c>
      <c r="E484" s="559">
        <v>1</v>
      </c>
      <c r="F484" s="18"/>
      <c r="G484" s="18"/>
      <c r="H484" s="18"/>
    </row>
    <row r="485" spans="1:8" x14ac:dyDescent="0.3">
      <c r="A485" s="116" t="str">
        <f t="shared" si="14"/>
        <v>MLN</v>
      </c>
      <c r="B485" s="60" t="str">
        <f t="shared" si="15"/>
        <v>MLNAll SI consumers</v>
      </c>
      <c r="C485" s="559" t="s">
        <v>377</v>
      </c>
      <c r="D485" s="559" t="s">
        <v>406</v>
      </c>
      <c r="E485" s="559">
        <v>1</v>
      </c>
      <c r="F485" s="18"/>
      <c r="G485" s="18"/>
      <c r="H485" s="18"/>
    </row>
    <row r="486" spans="1:8" x14ac:dyDescent="0.3">
      <c r="A486" s="116" t="str">
        <f t="shared" si="14"/>
        <v>MLN</v>
      </c>
      <c r="B486" s="60" t="str">
        <f t="shared" si="15"/>
        <v>MLNAll SI consumers</v>
      </c>
      <c r="C486" s="559" t="s">
        <v>378</v>
      </c>
      <c r="D486" s="559" t="s">
        <v>406</v>
      </c>
      <c r="E486" s="559">
        <v>1</v>
      </c>
      <c r="F486" s="18"/>
      <c r="G486" s="18"/>
      <c r="H486" s="18"/>
    </row>
    <row r="487" spans="1:8" x14ac:dyDescent="0.3">
      <c r="A487" s="116" t="str">
        <f t="shared" si="14"/>
        <v>MOT</v>
      </c>
      <c r="B487" s="60" t="str">
        <f t="shared" si="15"/>
        <v>MOTAll SI consumers</v>
      </c>
      <c r="C487" s="559" t="s">
        <v>379</v>
      </c>
      <c r="D487" s="559" t="s">
        <v>406</v>
      </c>
      <c r="E487" s="559">
        <v>1</v>
      </c>
      <c r="F487" s="18"/>
      <c r="G487" s="18"/>
      <c r="H487" s="18"/>
    </row>
    <row r="488" spans="1:8" x14ac:dyDescent="0.3">
      <c r="A488" s="116" t="str">
        <f t="shared" si="14"/>
        <v>MPI</v>
      </c>
      <c r="B488" s="60" t="str">
        <f t="shared" si="15"/>
        <v>MPIAll SI consumers</v>
      </c>
      <c r="C488" s="559" t="s">
        <v>380</v>
      </c>
      <c r="D488" s="559" t="s">
        <v>406</v>
      </c>
      <c r="E488" s="559">
        <v>1</v>
      </c>
      <c r="F488" s="18"/>
      <c r="G488" s="18"/>
      <c r="H488" s="18"/>
    </row>
    <row r="489" spans="1:8" x14ac:dyDescent="0.3">
      <c r="A489" s="116" t="str">
        <f t="shared" si="14"/>
        <v>NMA</v>
      </c>
      <c r="B489" s="60" t="str">
        <f t="shared" si="15"/>
        <v>NMAAll SI consumers</v>
      </c>
      <c r="C489" s="559" t="s">
        <v>240</v>
      </c>
      <c r="D489" s="559" t="s">
        <v>406</v>
      </c>
      <c r="E489" s="559">
        <v>1</v>
      </c>
      <c r="F489" s="18"/>
      <c r="G489" s="18"/>
      <c r="H489" s="18"/>
    </row>
    <row r="490" spans="1:8" x14ac:dyDescent="0.3">
      <c r="A490" s="116" t="str">
        <f t="shared" si="14"/>
        <v>NSY</v>
      </c>
      <c r="B490" s="60" t="str">
        <f t="shared" si="15"/>
        <v>NSYAll SI consumers</v>
      </c>
      <c r="C490" s="559" t="s">
        <v>244</v>
      </c>
      <c r="D490" s="559" t="s">
        <v>406</v>
      </c>
      <c r="E490" s="559">
        <v>1</v>
      </c>
      <c r="F490" s="18"/>
      <c r="G490" s="18"/>
      <c r="H490" s="18"/>
    </row>
    <row r="491" spans="1:8" x14ac:dyDescent="0.3">
      <c r="A491" s="116" t="str">
        <f t="shared" si="14"/>
        <v>OAM</v>
      </c>
      <c r="B491" s="60" t="str">
        <f t="shared" si="15"/>
        <v>OAMAll SI consumers</v>
      </c>
      <c r="C491" s="559" t="s">
        <v>246</v>
      </c>
      <c r="D491" s="559" t="s">
        <v>406</v>
      </c>
      <c r="E491" s="559">
        <v>1</v>
      </c>
      <c r="F491" s="18"/>
      <c r="G491" s="18"/>
      <c r="H491" s="18"/>
    </row>
    <row r="492" spans="1:8" x14ac:dyDescent="0.3">
      <c r="A492" s="116" t="str">
        <f t="shared" si="14"/>
        <v>ORO</v>
      </c>
      <c r="B492" s="60" t="str">
        <f t="shared" si="15"/>
        <v>OROAll SI consumers</v>
      </c>
      <c r="C492" s="559" t="s">
        <v>255</v>
      </c>
      <c r="D492" s="559" t="s">
        <v>406</v>
      </c>
      <c r="E492" s="559">
        <v>1</v>
      </c>
      <c r="F492" s="18"/>
      <c r="G492" s="18"/>
      <c r="H492" s="18"/>
    </row>
    <row r="493" spans="1:8" x14ac:dyDescent="0.3">
      <c r="A493" s="116" t="str">
        <f t="shared" si="14"/>
        <v>ORO</v>
      </c>
      <c r="B493" s="60" t="str">
        <f t="shared" si="15"/>
        <v>OROAll SI consumers</v>
      </c>
      <c r="C493" s="559" t="s">
        <v>256</v>
      </c>
      <c r="D493" s="559" t="s">
        <v>406</v>
      </c>
      <c r="E493" s="559">
        <v>1</v>
      </c>
      <c r="F493" s="18"/>
      <c r="G493" s="18"/>
      <c r="H493" s="18"/>
    </row>
    <row r="494" spans="1:8" x14ac:dyDescent="0.3">
      <c r="A494" s="116" t="str">
        <f t="shared" si="14"/>
        <v>OTI</v>
      </c>
      <c r="B494" s="60" t="str">
        <f t="shared" si="15"/>
        <v>OTIAll SI consumers</v>
      </c>
      <c r="C494" s="559" t="s">
        <v>258</v>
      </c>
      <c r="D494" s="559" t="s">
        <v>406</v>
      </c>
      <c r="E494" s="559">
        <v>1</v>
      </c>
      <c r="F494" s="18"/>
      <c r="G494" s="18"/>
      <c r="H494" s="18"/>
    </row>
    <row r="495" spans="1:8" x14ac:dyDescent="0.3">
      <c r="A495" s="116" t="str">
        <f t="shared" si="14"/>
        <v>PAL</v>
      </c>
      <c r="B495" s="60" t="str">
        <f t="shared" si="15"/>
        <v>PALAll SI consumers</v>
      </c>
      <c r="C495" s="559" t="s">
        <v>383</v>
      </c>
      <c r="D495" s="559" t="s">
        <v>406</v>
      </c>
      <c r="E495" s="559">
        <v>1</v>
      </c>
      <c r="F495" s="18"/>
      <c r="G495" s="18"/>
      <c r="H495" s="18"/>
    </row>
    <row r="496" spans="1:8" x14ac:dyDescent="0.3">
      <c r="A496" s="116" t="str">
        <f t="shared" si="14"/>
        <v>RFN</v>
      </c>
      <c r="B496" s="60" t="str">
        <f t="shared" si="15"/>
        <v>RFNAll SI consumers</v>
      </c>
      <c r="C496" s="559" t="s">
        <v>271</v>
      </c>
      <c r="D496" s="559" t="s">
        <v>406</v>
      </c>
      <c r="E496" s="559">
        <v>1</v>
      </c>
      <c r="F496" s="18"/>
      <c r="G496" s="18"/>
      <c r="H496" s="18"/>
    </row>
    <row r="497" spans="1:15" x14ac:dyDescent="0.3">
      <c r="A497" s="116" t="str">
        <f t="shared" si="14"/>
        <v>RFN</v>
      </c>
      <c r="B497" s="60" t="str">
        <f t="shared" si="15"/>
        <v>RFNAll SI consumers</v>
      </c>
      <c r="C497" s="559" t="s">
        <v>272</v>
      </c>
      <c r="D497" s="559" t="s">
        <v>406</v>
      </c>
      <c r="E497" s="559">
        <v>1</v>
      </c>
      <c r="F497" s="18"/>
      <c r="G497" s="18"/>
      <c r="H497" s="18"/>
    </row>
    <row r="498" spans="1:15" x14ac:dyDescent="0.3">
      <c r="A498" s="116" t="str">
        <f t="shared" si="14"/>
        <v>SBK</v>
      </c>
      <c r="B498" s="60" t="str">
        <f t="shared" si="15"/>
        <v>SBKAll SI consumers</v>
      </c>
      <c r="C498" s="559" t="s">
        <v>282</v>
      </c>
      <c r="D498" s="559" t="s">
        <v>406</v>
      </c>
      <c r="E498" s="559">
        <v>1</v>
      </c>
      <c r="F498" s="18"/>
      <c r="G498" s="18"/>
      <c r="H498" s="18"/>
    </row>
    <row r="499" spans="1:15" x14ac:dyDescent="0.3">
      <c r="A499" s="116" t="str">
        <f t="shared" si="14"/>
        <v>SDN</v>
      </c>
      <c r="B499" s="60" t="str">
        <f t="shared" si="15"/>
        <v>SDNAll SI consumers</v>
      </c>
      <c r="C499" s="559" t="s">
        <v>283</v>
      </c>
      <c r="D499" s="559" t="s">
        <v>406</v>
      </c>
      <c r="E499" s="559">
        <v>1</v>
      </c>
      <c r="F499" s="18"/>
      <c r="G499" s="18"/>
      <c r="H499" s="18"/>
    </row>
    <row r="500" spans="1:15" x14ac:dyDescent="0.3">
      <c r="A500" s="116" t="str">
        <f t="shared" si="14"/>
        <v>SPN</v>
      </c>
      <c r="B500" s="60" t="str">
        <f t="shared" si="15"/>
        <v>SPNAll SI consumers</v>
      </c>
      <c r="C500" s="559" t="s">
        <v>384</v>
      </c>
      <c r="D500" s="559" t="s">
        <v>406</v>
      </c>
      <c r="E500" s="559">
        <v>1</v>
      </c>
      <c r="F500" s="18"/>
      <c r="G500" s="18"/>
      <c r="H500" s="18"/>
    </row>
    <row r="501" spans="1:15" x14ac:dyDescent="0.3">
      <c r="A501" s="116" t="str">
        <f t="shared" si="14"/>
        <v>SPN</v>
      </c>
      <c r="B501" s="60" t="str">
        <f t="shared" si="15"/>
        <v>SPNAll SI consumers</v>
      </c>
      <c r="C501" s="559" t="s">
        <v>385</v>
      </c>
      <c r="D501" s="559" t="s">
        <v>406</v>
      </c>
      <c r="E501" s="559">
        <v>1</v>
      </c>
      <c r="F501" s="18"/>
      <c r="G501" s="18"/>
      <c r="H501" s="18"/>
    </row>
    <row r="502" spans="1:15" x14ac:dyDescent="0.3">
      <c r="A502" s="116" t="str">
        <f t="shared" si="14"/>
        <v>STK</v>
      </c>
      <c r="B502" s="60" t="str">
        <f t="shared" si="15"/>
        <v>STKAll SI consumers</v>
      </c>
      <c r="C502" s="559" t="s">
        <v>289</v>
      </c>
      <c r="D502" s="559" t="s">
        <v>406</v>
      </c>
      <c r="E502" s="559">
        <v>1</v>
      </c>
      <c r="F502" s="18"/>
      <c r="G502" s="18"/>
      <c r="H502" s="18"/>
    </row>
    <row r="503" spans="1:15" x14ac:dyDescent="0.3">
      <c r="A503" s="116" t="str">
        <f t="shared" si="14"/>
        <v>STU</v>
      </c>
      <c r="B503" s="60" t="str">
        <f t="shared" si="15"/>
        <v>STUAll SI consumers</v>
      </c>
      <c r="C503" s="559" t="s">
        <v>291</v>
      </c>
      <c r="D503" s="559" t="s">
        <v>406</v>
      </c>
      <c r="E503" s="559">
        <v>1</v>
      </c>
      <c r="F503" s="18"/>
      <c r="G503" s="18"/>
      <c r="H503" s="18"/>
    </row>
    <row r="504" spans="1:15" x14ac:dyDescent="0.3">
      <c r="A504" s="116" t="str">
        <f t="shared" si="14"/>
        <v>TIM</v>
      </c>
      <c r="B504" s="60" t="str">
        <f t="shared" si="15"/>
        <v>TIMAll SI consumers</v>
      </c>
      <c r="C504" s="559" t="s">
        <v>303</v>
      </c>
      <c r="D504" s="559" t="s">
        <v>406</v>
      </c>
      <c r="E504" s="559">
        <v>1</v>
      </c>
      <c r="F504" s="18"/>
      <c r="G504" s="18"/>
      <c r="H504" s="18"/>
    </row>
    <row r="505" spans="1:15" x14ac:dyDescent="0.3">
      <c r="A505" s="116" t="str">
        <f t="shared" si="14"/>
        <v>TKA</v>
      </c>
      <c r="B505" s="60" t="str">
        <f t="shared" si="15"/>
        <v>TKAAll SI consumers</v>
      </c>
      <c r="C505" s="559" t="s">
        <v>386</v>
      </c>
      <c r="D505" s="559" t="s">
        <v>406</v>
      </c>
      <c r="E505" s="559">
        <v>1</v>
      </c>
      <c r="F505" s="18"/>
      <c r="G505" s="18"/>
      <c r="H505" s="18"/>
    </row>
    <row r="506" spans="1:15" x14ac:dyDescent="0.3">
      <c r="A506" s="116" t="str">
        <f t="shared" si="14"/>
        <v>TMK</v>
      </c>
      <c r="B506" s="60" t="str">
        <f t="shared" si="15"/>
        <v>TMKAll SI consumers</v>
      </c>
      <c r="C506" s="559" t="s">
        <v>311</v>
      </c>
      <c r="D506" s="559" t="s">
        <v>406</v>
      </c>
      <c r="E506" s="559">
        <v>1</v>
      </c>
      <c r="F506" s="18"/>
      <c r="G506" s="18"/>
      <c r="H506" s="18"/>
    </row>
    <row r="507" spans="1:15" x14ac:dyDescent="0.3">
      <c r="A507" s="116" t="str">
        <f t="shared" si="14"/>
        <v>TWI</v>
      </c>
      <c r="B507" s="60" t="str">
        <f t="shared" si="15"/>
        <v>TWIAll SI consumers</v>
      </c>
      <c r="C507" s="559" t="s">
        <v>325</v>
      </c>
      <c r="D507" s="559" t="s">
        <v>406</v>
      </c>
      <c r="E507" s="559">
        <v>1</v>
      </c>
      <c r="F507" s="18"/>
      <c r="G507" s="18"/>
      <c r="H507" s="18"/>
    </row>
    <row r="508" spans="1:15" x14ac:dyDescent="0.3">
      <c r="A508" s="116" t="str">
        <f t="shared" si="14"/>
        <v>TWZ</v>
      </c>
      <c r="B508" s="60" t="str">
        <f t="shared" si="15"/>
        <v>TWZAll SI consumers</v>
      </c>
      <c r="C508" s="559" t="s">
        <v>326</v>
      </c>
      <c r="D508" s="559" t="s">
        <v>406</v>
      </c>
      <c r="E508" s="559">
        <v>1</v>
      </c>
      <c r="F508" s="18"/>
      <c r="G508" s="18"/>
      <c r="H508" s="18"/>
    </row>
    <row r="509" spans="1:15" x14ac:dyDescent="0.3">
      <c r="A509" s="116" t="str">
        <f t="shared" si="14"/>
        <v>WPR</v>
      </c>
      <c r="B509" s="60" t="str">
        <f t="shared" si="15"/>
        <v>WPRAll SI consumers</v>
      </c>
      <c r="C509" s="559" t="s">
        <v>344</v>
      </c>
      <c r="D509" s="559" t="s">
        <v>406</v>
      </c>
      <c r="E509" s="559">
        <v>1</v>
      </c>
      <c r="F509" s="18"/>
      <c r="G509" s="18"/>
      <c r="H509" s="18"/>
    </row>
    <row r="510" spans="1:15" x14ac:dyDescent="0.3">
      <c r="A510" s="116" t="str">
        <f t="shared" si="14"/>
        <v>WPR</v>
      </c>
      <c r="B510" s="60" t="str">
        <f t="shared" si="15"/>
        <v>WPRAll SI consumers</v>
      </c>
      <c r="C510" s="559" t="s">
        <v>345</v>
      </c>
      <c r="D510" s="559" t="s">
        <v>406</v>
      </c>
      <c r="E510" s="559">
        <v>1</v>
      </c>
      <c r="F510" s="18"/>
      <c r="G510" s="18"/>
      <c r="H510" s="18"/>
    </row>
    <row r="511" spans="1:15" x14ac:dyDescent="0.3">
      <c r="A511" s="116" t="str">
        <f t="shared" si="14"/>
        <v>WPT</v>
      </c>
      <c r="B511" s="60" t="str">
        <f t="shared" si="15"/>
        <v>WPTAll SI consumers</v>
      </c>
      <c r="C511" s="559" t="s">
        <v>346</v>
      </c>
      <c r="D511" s="559" t="s">
        <v>406</v>
      </c>
      <c r="E511" s="559">
        <v>1</v>
      </c>
      <c r="F511" s="18"/>
      <c r="G511" s="18"/>
      <c r="H511" s="18"/>
      <c r="K511" s="94"/>
      <c r="N511" s="35"/>
      <c r="O511" s="96"/>
    </row>
    <row r="512" spans="1:15" x14ac:dyDescent="0.3">
      <c r="A512" s="116" t="str">
        <f t="shared" si="14"/>
        <v>WTK</v>
      </c>
      <c r="B512" s="60" t="str">
        <f t="shared" si="15"/>
        <v>WTKAll SI consumers</v>
      </c>
      <c r="C512" s="559" t="s">
        <v>353</v>
      </c>
      <c r="D512" s="559" t="s">
        <v>406</v>
      </c>
      <c r="E512" s="559">
        <v>1</v>
      </c>
      <c r="F512" s="18"/>
      <c r="G512" s="18"/>
      <c r="H512" s="18"/>
    </row>
    <row r="513" spans="1:8" x14ac:dyDescent="0.3">
      <c r="A513" s="116" t="str">
        <f t="shared" si="14"/>
        <v>WTK</v>
      </c>
      <c r="B513" s="60" t="str">
        <f t="shared" si="15"/>
        <v>WTKAll SI consumers</v>
      </c>
      <c r="C513" s="559" t="s">
        <v>685</v>
      </c>
      <c r="D513" s="559" t="s">
        <v>406</v>
      </c>
      <c r="E513" s="559">
        <v>1</v>
      </c>
      <c r="F513" s="18"/>
      <c r="G513" s="18"/>
      <c r="H513" s="18"/>
    </row>
    <row r="514" spans="1:8" x14ac:dyDescent="0.3">
      <c r="A514" s="116" t="str">
        <f t="shared" si="14"/>
        <v>ARG</v>
      </c>
      <c r="B514" s="60" t="str">
        <f t="shared" si="15"/>
        <v>ARGAll SI generators</v>
      </c>
      <c r="C514" s="559" t="s">
        <v>104</v>
      </c>
      <c r="D514" s="559" t="s">
        <v>407</v>
      </c>
      <c r="E514" s="559">
        <v>1</v>
      </c>
      <c r="F514" s="18"/>
      <c r="G514" s="18"/>
      <c r="H514" s="18"/>
    </row>
    <row r="515" spans="1:8" x14ac:dyDescent="0.3">
      <c r="A515" s="116" t="str">
        <f t="shared" si="14"/>
        <v>ASB</v>
      </c>
      <c r="B515" s="60" t="str">
        <f t="shared" si="15"/>
        <v>ASBAll SI generators</v>
      </c>
      <c r="C515" s="559" t="s">
        <v>109</v>
      </c>
      <c r="D515" s="559" t="s">
        <v>407</v>
      </c>
      <c r="E515" s="559">
        <v>1</v>
      </c>
      <c r="F515" s="18"/>
      <c r="G515" s="18"/>
      <c r="H515" s="18"/>
    </row>
    <row r="516" spans="1:8" x14ac:dyDescent="0.3">
      <c r="A516" s="116" t="str">
        <f t="shared" si="14"/>
        <v>AVI</v>
      </c>
      <c r="B516" s="60" t="str">
        <f t="shared" si="15"/>
        <v>AVIAll SI generators</v>
      </c>
      <c r="C516" s="559" t="s">
        <v>114</v>
      </c>
      <c r="D516" s="559" t="s">
        <v>407</v>
      </c>
      <c r="E516" s="559">
        <v>1</v>
      </c>
      <c r="F516" s="18"/>
      <c r="G516" s="18"/>
      <c r="H516" s="18"/>
    </row>
    <row r="517" spans="1:8" x14ac:dyDescent="0.3">
      <c r="A517" s="116" t="str">
        <f t="shared" si="14"/>
        <v>BEN</v>
      </c>
      <c r="B517" s="60" t="str">
        <f t="shared" si="15"/>
        <v>BENAll SI generators</v>
      </c>
      <c r="C517" s="559" t="s">
        <v>390</v>
      </c>
      <c r="D517" s="559" t="s">
        <v>407</v>
      </c>
      <c r="E517" s="559">
        <v>1</v>
      </c>
      <c r="F517" s="18"/>
      <c r="G517" s="18"/>
      <c r="H517" s="18"/>
    </row>
    <row r="518" spans="1:8" x14ac:dyDescent="0.3">
      <c r="A518" s="116" t="str">
        <f t="shared" si="14"/>
        <v>BEN</v>
      </c>
      <c r="B518" s="60" t="str">
        <f t="shared" si="15"/>
        <v>BENAll SI generators</v>
      </c>
      <c r="C518" s="559" t="s">
        <v>391</v>
      </c>
      <c r="D518" s="559" t="s">
        <v>407</v>
      </c>
      <c r="E518" s="559">
        <v>1</v>
      </c>
      <c r="F518" s="18"/>
      <c r="G518" s="18"/>
      <c r="H518" s="18"/>
    </row>
    <row r="519" spans="1:8" x14ac:dyDescent="0.3">
      <c r="A519" s="116" t="str">
        <f t="shared" ref="A519:A582" si="16">LEFT(C519,3)</f>
        <v>BEN</v>
      </c>
      <c r="B519" s="60" t="str">
        <f t="shared" ref="B519:B582" si="17">A519&amp;D519</f>
        <v>BENAll SI generators</v>
      </c>
      <c r="C519" s="559" t="s">
        <v>117</v>
      </c>
      <c r="D519" s="559" t="s">
        <v>407</v>
      </c>
      <c r="E519" s="559">
        <v>1</v>
      </c>
      <c r="F519" s="18"/>
      <c r="G519" s="18"/>
      <c r="H519" s="18"/>
    </row>
    <row r="520" spans="1:8" x14ac:dyDescent="0.3">
      <c r="A520" s="116" t="str">
        <f t="shared" si="16"/>
        <v>BWK</v>
      </c>
      <c r="B520" s="60" t="str">
        <f t="shared" si="17"/>
        <v>BWKAll SI generators</v>
      </c>
      <c r="C520" s="559" t="s">
        <v>130</v>
      </c>
      <c r="D520" s="559" t="s">
        <v>407</v>
      </c>
      <c r="E520" s="559">
        <v>1</v>
      </c>
      <c r="F520" s="18"/>
      <c r="G520" s="18"/>
      <c r="H520" s="18"/>
    </row>
    <row r="521" spans="1:8" x14ac:dyDescent="0.3">
      <c r="A521" s="116" t="str">
        <f t="shared" si="16"/>
        <v>COB</v>
      </c>
      <c r="B521" s="60" t="str">
        <f t="shared" si="17"/>
        <v>COBAll SI generators</v>
      </c>
      <c r="C521" s="559" t="s">
        <v>392</v>
      </c>
      <c r="D521" s="559" t="s">
        <v>407</v>
      </c>
      <c r="E521" s="559">
        <v>1</v>
      </c>
      <c r="F521" s="18"/>
      <c r="G521" s="18"/>
      <c r="H521" s="18"/>
    </row>
    <row r="522" spans="1:8" x14ac:dyDescent="0.3">
      <c r="A522" s="116" t="str">
        <f t="shared" si="16"/>
        <v>COL</v>
      </c>
      <c r="B522" s="60" t="str">
        <f t="shared" si="17"/>
        <v>COLAll SI generators</v>
      </c>
      <c r="C522" s="559" t="s">
        <v>136</v>
      </c>
      <c r="D522" s="559" t="s">
        <v>407</v>
      </c>
      <c r="E522" s="559">
        <v>1</v>
      </c>
      <c r="F522" s="18"/>
      <c r="G522" s="18"/>
      <c r="H522" s="18"/>
    </row>
    <row r="523" spans="1:8" x14ac:dyDescent="0.3">
      <c r="A523" s="116" t="str">
        <f t="shared" si="16"/>
        <v>CYD</v>
      </c>
      <c r="B523" s="60" t="str">
        <f t="shared" si="17"/>
        <v>CYDAll SI generators</v>
      </c>
      <c r="C523" s="559" t="s">
        <v>142</v>
      </c>
      <c r="D523" s="559" t="s">
        <v>407</v>
      </c>
      <c r="E523" s="559">
        <v>1</v>
      </c>
      <c r="F523" s="18"/>
      <c r="G523" s="18"/>
      <c r="H523" s="18"/>
    </row>
    <row r="524" spans="1:8" x14ac:dyDescent="0.3">
      <c r="A524" s="116" t="str">
        <f t="shared" si="16"/>
        <v>CYD</v>
      </c>
      <c r="B524" s="60" t="str">
        <f t="shared" si="17"/>
        <v>CYDAll SI generators</v>
      </c>
      <c r="C524" s="559" t="s">
        <v>144</v>
      </c>
      <c r="D524" s="559" t="s">
        <v>407</v>
      </c>
      <c r="E524" s="559">
        <v>1</v>
      </c>
      <c r="F524" s="18"/>
      <c r="G524" s="18"/>
      <c r="H524" s="18"/>
    </row>
    <row r="525" spans="1:8" x14ac:dyDescent="0.3">
      <c r="A525" s="116" t="str">
        <f t="shared" si="16"/>
        <v>HWB</v>
      </c>
      <c r="B525" s="60" t="str">
        <f t="shared" si="17"/>
        <v>HWBAll SI generators</v>
      </c>
      <c r="C525" s="559" t="s">
        <v>185</v>
      </c>
      <c r="D525" s="559" t="s">
        <v>407</v>
      </c>
      <c r="E525" s="559">
        <v>1</v>
      </c>
      <c r="F525" s="18"/>
      <c r="G525" s="18"/>
      <c r="H525" s="18"/>
    </row>
    <row r="526" spans="1:8" x14ac:dyDescent="0.3">
      <c r="A526" s="116" t="str">
        <f t="shared" si="16"/>
        <v>KUM</v>
      </c>
      <c r="B526" s="60" t="str">
        <f t="shared" si="17"/>
        <v>KUMAll SI generators</v>
      </c>
      <c r="C526" s="559" t="s">
        <v>205</v>
      </c>
      <c r="D526" s="559" t="s">
        <v>407</v>
      </c>
      <c r="E526" s="559">
        <v>1</v>
      </c>
      <c r="F526" s="18"/>
      <c r="G526" s="18"/>
      <c r="H526" s="18"/>
    </row>
    <row r="527" spans="1:8" x14ac:dyDescent="0.3">
      <c r="A527" s="116" t="str">
        <f t="shared" si="16"/>
        <v>KUM</v>
      </c>
      <c r="B527" s="60" t="str">
        <f t="shared" si="17"/>
        <v>KUMAll SI generators</v>
      </c>
      <c r="C527" s="559" t="s">
        <v>206</v>
      </c>
      <c r="D527" s="559" t="s">
        <v>407</v>
      </c>
      <c r="E527" s="559">
        <v>1</v>
      </c>
      <c r="F527" s="18"/>
      <c r="G527" s="18"/>
      <c r="H527" s="18"/>
    </row>
    <row r="528" spans="1:8" x14ac:dyDescent="0.3">
      <c r="A528" s="116" t="str">
        <f t="shared" si="16"/>
        <v>MAN</v>
      </c>
      <c r="B528" s="60" t="str">
        <f t="shared" si="17"/>
        <v>MANAll SI generators</v>
      </c>
      <c r="C528" s="559" t="s">
        <v>212</v>
      </c>
      <c r="D528" s="559" t="s">
        <v>407</v>
      </c>
      <c r="E528" s="559">
        <v>1</v>
      </c>
      <c r="F528" s="18"/>
      <c r="G528" s="18"/>
      <c r="H528" s="18"/>
    </row>
    <row r="529" spans="1:8" x14ac:dyDescent="0.3">
      <c r="A529" s="116" t="str">
        <f t="shared" si="16"/>
        <v>NMA</v>
      </c>
      <c r="B529" s="60" t="str">
        <f t="shared" si="17"/>
        <v>NMAAll SI generators</v>
      </c>
      <c r="C529" s="559" t="s">
        <v>240</v>
      </c>
      <c r="D529" s="559" t="s">
        <v>407</v>
      </c>
      <c r="E529" s="559">
        <v>1</v>
      </c>
      <c r="F529" s="18"/>
      <c r="G529" s="18"/>
      <c r="H529" s="18"/>
    </row>
    <row r="530" spans="1:8" x14ac:dyDescent="0.3">
      <c r="A530" s="116" t="str">
        <f t="shared" si="16"/>
        <v>NSY</v>
      </c>
      <c r="B530" s="60" t="str">
        <f t="shared" si="17"/>
        <v>NSYAll SI generators</v>
      </c>
      <c r="C530" s="559" t="s">
        <v>245</v>
      </c>
      <c r="D530" s="559" t="s">
        <v>407</v>
      </c>
      <c r="E530" s="559">
        <v>1</v>
      </c>
      <c r="F530" s="18"/>
      <c r="G530" s="18"/>
      <c r="H530" s="18"/>
    </row>
    <row r="531" spans="1:8" x14ac:dyDescent="0.3">
      <c r="A531" s="116" t="str">
        <f t="shared" si="16"/>
        <v>OHA</v>
      </c>
      <c r="B531" s="60" t="str">
        <f t="shared" si="17"/>
        <v>OHAAll SI generators</v>
      </c>
      <c r="C531" s="559" t="s">
        <v>247</v>
      </c>
      <c r="D531" s="559" t="s">
        <v>407</v>
      </c>
      <c r="E531" s="559">
        <v>1</v>
      </c>
      <c r="F531" s="18"/>
      <c r="G531" s="18"/>
      <c r="H531" s="18"/>
    </row>
    <row r="532" spans="1:8" x14ac:dyDescent="0.3">
      <c r="A532" s="116" t="str">
        <f t="shared" si="16"/>
        <v>OHB</v>
      </c>
      <c r="B532" s="60" t="str">
        <f t="shared" si="17"/>
        <v>OHBAll SI generators</v>
      </c>
      <c r="C532" s="559" t="s">
        <v>248</v>
      </c>
      <c r="D532" s="559" t="s">
        <v>407</v>
      </c>
      <c r="E532" s="559">
        <v>1</v>
      </c>
      <c r="F532" s="18"/>
      <c r="G532" s="18"/>
      <c r="H532" s="18"/>
    </row>
    <row r="533" spans="1:8" x14ac:dyDescent="0.3">
      <c r="A533" s="116" t="str">
        <f t="shared" si="16"/>
        <v>OHC</v>
      </c>
      <c r="B533" s="60" t="str">
        <f t="shared" si="17"/>
        <v>OHCAll SI generators</v>
      </c>
      <c r="C533" s="559" t="s">
        <v>249</v>
      </c>
      <c r="D533" s="559" t="s">
        <v>407</v>
      </c>
      <c r="E533" s="559">
        <v>1</v>
      </c>
      <c r="F533" s="18"/>
      <c r="G533" s="18"/>
      <c r="H533" s="18"/>
    </row>
    <row r="534" spans="1:8" x14ac:dyDescent="0.3">
      <c r="A534" s="116" t="str">
        <f t="shared" si="16"/>
        <v>ROX</v>
      </c>
      <c r="B534" s="60" t="str">
        <f t="shared" si="17"/>
        <v>ROXAll SI generators</v>
      </c>
      <c r="C534" s="559" t="s">
        <v>279</v>
      </c>
      <c r="D534" s="559" t="s">
        <v>407</v>
      </c>
      <c r="E534" s="559">
        <v>1</v>
      </c>
      <c r="F534" s="18"/>
      <c r="G534" s="18"/>
      <c r="H534" s="18"/>
    </row>
    <row r="535" spans="1:8" x14ac:dyDescent="0.3">
      <c r="A535" s="116" t="str">
        <f t="shared" si="16"/>
        <v>ROX</v>
      </c>
      <c r="B535" s="60" t="str">
        <f t="shared" si="17"/>
        <v>ROXAll SI generators</v>
      </c>
      <c r="C535" s="559" t="s">
        <v>280</v>
      </c>
      <c r="D535" s="559" t="s">
        <v>407</v>
      </c>
      <c r="E535" s="559">
        <v>1</v>
      </c>
      <c r="F535" s="18"/>
      <c r="G535" s="18"/>
      <c r="H535" s="18"/>
    </row>
    <row r="536" spans="1:8" x14ac:dyDescent="0.3">
      <c r="A536" s="116" t="str">
        <f t="shared" si="16"/>
        <v>STK</v>
      </c>
      <c r="B536" s="60" t="str">
        <f t="shared" si="17"/>
        <v>STKAll SI generators</v>
      </c>
      <c r="C536" s="559" t="s">
        <v>290</v>
      </c>
      <c r="D536" s="559" t="s">
        <v>407</v>
      </c>
      <c r="E536" s="559">
        <v>1</v>
      </c>
      <c r="F536" s="18"/>
      <c r="G536" s="18"/>
      <c r="H536" s="18"/>
    </row>
    <row r="537" spans="1:8" x14ac:dyDescent="0.3">
      <c r="A537" s="116" t="str">
        <f t="shared" si="16"/>
        <v>TKA</v>
      </c>
      <c r="B537" s="60" t="str">
        <f t="shared" si="17"/>
        <v>TKAAll SI generators</v>
      </c>
      <c r="C537" s="559" t="s">
        <v>399</v>
      </c>
      <c r="D537" s="559" t="s">
        <v>407</v>
      </c>
      <c r="E537" s="559">
        <v>1</v>
      </c>
      <c r="F537" s="18"/>
      <c r="G537" s="18"/>
      <c r="H537" s="18"/>
    </row>
    <row r="538" spans="1:8" x14ac:dyDescent="0.3">
      <c r="A538" s="116" t="str">
        <f t="shared" si="16"/>
        <v>TKA</v>
      </c>
      <c r="B538" s="60" t="str">
        <f t="shared" si="17"/>
        <v>TKAAll SI generators</v>
      </c>
      <c r="C538" s="559" t="s">
        <v>304</v>
      </c>
      <c r="D538" s="559" t="s">
        <v>407</v>
      </c>
      <c r="E538" s="559">
        <v>1</v>
      </c>
      <c r="F538" s="18"/>
      <c r="G538" s="18"/>
      <c r="H538" s="18"/>
    </row>
    <row r="539" spans="1:8" x14ac:dyDescent="0.3">
      <c r="A539" s="116" t="str">
        <f t="shared" si="16"/>
        <v>TKB</v>
      </c>
      <c r="B539" s="60" t="str">
        <f t="shared" si="17"/>
        <v>TKBAll SI generators</v>
      </c>
      <c r="C539" s="559" t="s">
        <v>400</v>
      </c>
      <c r="D539" s="559" t="s">
        <v>407</v>
      </c>
      <c r="E539" s="559">
        <v>1</v>
      </c>
      <c r="F539" s="18"/>
      <c r="G539" s="18"/>
      <c r="H539" s="18"/>
    </row>
    <row r="540" spans="1:8" x14ac:dyDescent="0.3">
      <c r="A540" s="116" t="str">
        <f t="shared" si="16"/>
        <v>TKB</v>
      </c>
      <c r="B540" s="60" t="str">
        <f t="shared" si="17"/>
        <v>TKBAll SI generators</v>
      </c>
      <c r="C540" s="559" t="s">
        <v>305</v>
      </c>
      <c r="D540" s="559" t="s">
        <v>407</v>
      </c>
      <c r="E540" s="559">
        <v>1</v>
      </c>
      <c r="F540" s="18"/>
      <c r="G540" s="18"/>
      <c r="H540" s="18"/>
    </row>
    <row r="541" spans="1:8" x14ac:dyDescent="0.3">
      <c r="A541" s="116" t="str">
        <f t="shared" si="16"/>
        <v>WTK</v>
      </c>
      <c r="B541" s="60" t="str">
        <f t="shared" si="17"/>
        <v>WTKAll SI generators</v>
      </c>
      <c r="C541" s="559" t="s">
        <v>354</v>
      </c>
      <c r="D541" s="559" t="s">
        <v>407</v>
      </c>
      <c r="E541" s="559">
        <v>1</v>
      </c>
      <c r="F541" s="18"/>
      <c r="G541" s="18"/>
      <c r="H541" s="18"/>
    </row>
    <row r="542" spans="1:8" x14ac:dyDescent="0.3">
      <c r="A542" s="116" t="str">
        <f t="shared" si="16"/>
        <v>EDG</v>
      </c>
      <c r="B542" s="60" t="str">
        <f t="shared" si="17"/>
        <v>EDGBay of Plenty load</v>
      </c>
      <c r="C542" s="559" t="s">
        <v>147</v>
      </c>
      <c r="D542" s="559" t="s">
        <v>435</v>
      </c>
      <c r="E542" s="559">
        <v>1</v>
      </c>
      <c r="F542" s="18"/>
      <c r="G542" s="18"/>
      <c r="H542" s="18"/>
    </row>
    <row r="543" spans="1:8" x14ac:dyDescent="0.3">
      <c r="A543" s="116" t="str">
        <f t="shared" si="16"/>
        <v>KAW</v>
      </c>
      <c r="B543" s="60" t="str">
        <f t="shared" si="17"/>
        <v>KAWBay of Plenty load</v>
      </c>
      <c r="C543" s="559" t="s">
        <v>193</v>
      </c>
      <c r="D543" s="559" t="s">
        <v>435</v>
      </c>
      <c r="E543" s="559">
        <v>1</v>
      </c>
      <c r="F543" s="18"/>
      <c r="G543" s="18"/>
      <c r="H543" s="18"/>
    </row>
    <row r="544" spans="1:8" x14ac:dyDescent="0.3">
      <c r="A544" s="116" t="str">
        <f t="shared" si="16"/>
        <v>KAW</v>
      </c>
      <c r="B544" s="60" t="str">
        <f t="shared" si="17"/>
        <v>KAWBay of Plenty load</v>
      </c>
      <c r="C544" s="559" t="s">
        <v>368</v>
      </c>
      <c r="D544" s="559" t="s">
        <v>435</v>
      </c>
      <c r="E544" s="559">
        <v>1</v>
      </c>
      <c r="F544" s="18"/>
      <c r="G544" s="18"/>
      <c r="H544" s="18"/>
    </row>
    <row r="545" spans="1:22" x14ac:dyDescent="0.3">
      <c r="A545" s="116" t="str">
        <f t="shared" si="16"/>
        <v>KAW</v>
      </c>
      <c r="B545" s="60" t="str">
        <f t="shared" si="17"/>
        <v>KAWBay of Plenty load</v>
      </c>
      <c r="C545" s="559" t="s">
        <v>681</v>
      </c>
      <c r="D545" s="559" t="s">
        <v>435</v>
      </c>
      <c r="E545" s="559">
        <v>1</v>
      </c>
      <c r="F545" s="18"/>
      <c r="G545" s="18"/>
      <c r="H545" s="18"/>
    </row>
    <row r="546" spans="1:22" x14ac:dyDescent="0.3">
      <c r="A546" s="116" t="str">
        <f t="shared" si="16"/>
        <v>KAW</v>
      </c>
      <c r="B546" s="60" t="str">
        <f t="shared" si="17"/>
        <v>KAWBay of Plenty load</v>
      </c>
      <c r="C546" s="559" t="s">
        <v>369</v>
      </c>
      <c r="D546" s="559" t="s">
        <v>435</v>
      </c>
      <c r="E546" s="559">
        <v>1</v>
      </c>
      <c r="F546" s="18"/>
      <c r="G546" s="18"/>
      <c r="H546" s="18"/>
    </row>
    <row r="547" spans="1:22" x14ac:dyDescent="0.3">
      <c r="A547" s="116" t="str">
        <f t="shared" si="16"/>
        <v>KAW</v>
      </c>
      <c r="B547" s="60" t="str">
        <f t="shared" si="17"/>
        <v>KAWBay of Plenty load</v>
      </c>
      <c r="C547" s="559" t="s">
        <v>682</v>
      </c>
      <c r="D547" s="559" t="s">
        <v>435</v>
      </c>
      <c r="E547" s="559">
        <v>1</v>
      </c>
      <c r="F547" s="18"/>
      <c r="G547" s="18"/>
      <c r="H547" s="18"/>
    </row>
    <row r="548" spans="1:22" x14ac:dyDescent="0.3">
      <c r="A548" s="116" t="str">
        <f t="shared" si="16"/>
        <v>KAW</v>
      </c>
      <c r="B548" s="60" t="str">
        <f t="shared" si="17"/>
        <v>KAWBay of Plenty load</v>
      </c>
      <c r="C548" s="559" t="s">
        <v>370</v>
      </c>
      <c r="D548" s="559" t="s">
        <v>435</v>
      </c>
      <c r="E548" s="559">
        <v>1</v>
      </c>
      <c r="F548" s="18"/>
      <c r="G548" s="18"/>
      <c r="H548" s="18"/>
    </row>
    <row r="549" spans="1:22" x14ac:dyDescent="0.3">
      <c r="A549" s="116" t="str">
        <f t="shared" si="16"/>
        <v>KMO</v>
      </c>
      <c r="B549" s="60" t="str">
        <f t="shared" si="17"/>
        <v>KMOBay of Plenty load</v>
      </c>
      <c r="C549" s="559" t="s">
        <v>199</v>
      </c>
      <c r="D549" s="559" t="s">
        <v>435</v>
      </c>
      <c r="E549" s="559">
        <v>1</v>
      </c>
      <c r="F549" s="18"/>
      <c r="G549" s="18"/>
      <c r="H549" s="18"/>
    </row>
    <row r="550" spans="1:22" x14ac:dyDescent="0.3">
      <c r="A550" s="116" t="str">
        <f t="shared" si="16"/>
        <v>MAT</v>
      </c>
      <c r="B550" s="60" t="str">
        <f t="shared" si="17"/>
        <v>MATBay of Plenty load</v>
      </c>
      <c r="C550" s="559" t="s">
        <v>213</v>
      </c>
      <c r="D550" s="559" t="s">
        <v>435</v>
      </c>
      <c r="E550" s="559">
        <v>1</v>
      </c>
      <c r="F550" s="18"/>
      <c r="G550" s="18"/>
      <c r="H550" s="18"/>
    </row>
    <row r="551" spans="1:22" x14ac:dyDescent="0.3">
      <c r="A551" s="116" t="str">
        <f t="shared" si="16"/>
        <v>MTM</v>
      </c>
      <c r="B551" s="60" t="str">
        <f t="shared" si="17"/>
        <v>MTMBay of Plenty load</v>
      </c>
      <c r="C551" s="559" t="s">
        <v>232</v>
      </c>
      <c r="D551" s="559" t="s">
        <v>435</v>
      </c>
      <c r="E551" s="559">
        <v>1</v>
      </c>
      <c r="F551" s="18"/>
      <c r="G551" s="18"/>
      <c r="H551" s="18"/>
    </row>
    <row r="552" spans="1:22" x14ac:dyDescent="0.3">
      <c r="A552" s="116" t="str">
        <f t="shared" si="16"/>
        <v>OWH</v>
      </c>
      <c r="B552" s="60" t="str">
        <f t="shared" si="17"/>
        <v>OWHBay of Plenty load</v>
      </c>
      <c r="C552" s="559" t="s">
        <v>259</v>
      </c>
      <c r="D552" s="559" t="s">
        <v>435</v>
      </c>
      <c r="E552" s="559">
        <v>1</v>
      </c>
      <c r="F552" s="18"/>
      <c r="G552" s="18"/>
      <c r="H552" s="18"/>
    </row>
    <row r="553" spans="1:22" x14ac:dyDescent="0.3">
      <c r="A553" s="116" t="str">
        <f t="shared" si="16"/>
        <v>ROT</v>
      </c>
      <c r="B553" s="60" t="str">
        <f t="shared" si="17"/>
        <v>ROTBay of Plenty load</v>
      </c>
      <c r="C553" s="559" t="s">
        <v>275</v>
      </c>
      <c r="D553" s="559" t="s">
        <v>435</v>
      </c>
      <c r="E553" s="559">
        <v>1</v>
      </c>
      <c r="F553" s="18"/>
      <c r="G553" s="18"/>
      <c r="H553" s="18"/>
    </row>
    <row r="554" spans="1:22" x14ac:dyDescent="0.3">
      <c r="A554" s="116" t="str">
        <f t="shared" si="16"/>
        <v>ROT</v>
      </c>
      <c r="B554" s="60" t="str">
        <f t="shared" si="17"/>
        <v>ROTBay of Plenty load</v>
      </c>
      <c r="C554" s="559" t="s">
        <v>276</v>
      </c>
      <c r="D554" s="559" t="s">
        <v>435</v>
      </c>
      <c r="E554" s="559">
        <v>1</v>
      </c>
      <c r="F554" s="18"/>
      <c r="G554" s="18"/>
      <c r="H554" s="18"/>
    </row>
    <row r="555" spans="1:22" x14ac:dyDescent="0.3">
      <c r="A555" s="116" t="str">
        <f t="shared" si="16"/>
        <v>ROT</v>
      </c>
      <c r="B555" s="60" t="str">
        <f t="shared" si="17"/>
        <v>ROTBay of Plenty load</v>
      </c>
      <c r="C555" s="559" t="s">
        <v>277</v>
      </c>
      <c r="D555" s="559" t="s">
        <v>435</v>
      </c>
      <c r="E555" s="559">
        <v>1</v>
      </c>
      <c r="F555" s="18"/>
      <c r="G555" s="18"/>
      <c r="H555" s="18"/>
    </row>
    <row r="556" spans="1:22" x14ac:dyDescent="0.3">
      <c r="A556" s="116" t="str">
        <f t="shared" si="16"/>
        <v>TGA</v>
      </c>
      <c r="B556" s="60" t="str">
        <f t="shared" si="17"/>
        <v>TGABay of Plenty load</v>
      </c>
      <c r="C556" s="559" t="s">
        <v>297</v>
      </c>
      <c r="D556" s="559" t="s">
        <v>435</v>
      </c>
      <c r="E556" s="559">
        <v>1</v>
      </c>
      <c r="F556" s="18"/>
      <c r="G556" s="18"/>
      <c r="H556" s="18"/>
    </row>
    <row r="557" spans="1:22" s="116" customFormat="1" x14ac:dyDescent="0.3">
      <c r="A557" s="116" t="str">
        <f t="shared" si="16"/>
        <v>TGA</v>
      </c>
      <c r="B557" s="60" t="str">
        <f t="shared" si="17"/>
        <v>TGABay of Plenty load</v>
      </c>
      <c r="C557" s="559" t="s">
        <v>298</v>
      </c>
      <c r="D557" s="559" t="s">
        <v>435</v>
      </c>
      <c r="E557" s="559">
        <v>1</v>
      </c>
      <c r="F557" s="18"/>
      <c r="G557" s="18"/>
      <c r="H557" s="18"/>
      <c r="L557" s="18"/>
      <c r="M557" s="18"/>
      <c r="N557" s="18"/>
      <c r="O557" s="18"/>
      <c r="P557" s="18"/>
      <c r="Q557" s="18"/>
      <c r="R557" s="18"/>
      <c r="S557" s="18"/>
      <c r="T557" s="18"/>
      <c r="U557" s="18"/>
      <c r="V557" s="18"/>
    </row>
    <row r="558" spans="1:22" x14ac:dyDescent="0.3">
      <c r="A558" s="116" t="str">
        <f t="shared" si="16"/>
        <v>TKH</v>
      </c>
      <c r="B558" s="60" t="str">
        <f t="shared" si="17"/>
        <v>TKHBay of Plenty load</v>
      </c>
      <c r="C558" s="559" t="s">
        <v>306</v>
      </c>
      <c r="D558" s="559" t="s">
        <v>435</v>
      </c>
      <c r="E558" s="559">
        <v>1</v>
      </c>
      <c r="F558" s="18"/>
      <c r="G558" s="18"/>
      <c r="H558" s="18"/>
    </row>
    <row r="559" spans="1:22" x14ac:dyDescent="0.3">
      <c r="A559" s="116" t="str">
        <f t="shared" si="16"/>
        <v>TMI</v>
      </c>
      <c r="B559" s="60" t="str">
        <f t="shared" si="17"/>
        <v>TMIBay of Plenty load</v>
      </c>
      <c r="C559" s="559" t="s">
        <v>310</v>
      </c>
      <c r="D559" s="559" t="s">
        <v>435</v>
      </c>
      <c r="E559" s="559">
        <v>1</v>
      </c>
      <c r="F559" s="18"/>
      <c r="G559" s="18"/>
      <c r="H559" s="18"/>
    </row>
    <row r="560" spans="1:22" x14ac:dyDescent="0.3">
      <c r="A560" s="116" t="str">
        <f t="shared" si="16"/>
        <v>TRK</v>
      </c>
      <c r="B560" s="60" t="str">
        <f t="shared" si="17"/>
        <v>TRKBay of Plenty load</v>
      </c>
      <c r="C560" s="559" t="s">
        <v>316</v>
      </c>
      <c r="D560" s="559" t="s">
        <v>435</v>
      </c>
      <c r="E560" s="559">
        <v>1</v>
      </c>
      <c r="F560" s="18"/>
      <c r="G560" s="18"/>
      <c r="H560" s="18"/>
    </row>
    <row r="561" spans="1:8" x14ac:dyDescent="0.3">
      <c r="A561" s="116" t="str">
        <f t="shared" si="16"/>
        <v>WAI</v>
      </c>
      <c r="B561" s="60" t="str">
        <f t="shared" si="17"/>
        <v>WAIBay of Plenty load</v>
      </c>
      <c r="C561" s="559" t="s">
        <v>328</v>
      </c>
      <c r="D561" s="559" t="s">
        <v>435</v>
      </c>
      <c r="E561" s="559">
        <v>1</v>
      </c>
      <c r="F561" s="18"/>
      <c r="G561" s="18"/>
      <c r="H561" s="18"/>
    </row>
    <row r="562" spans="1:8" x14ac:dyDescent="0.3">
      <c r="A562" s="116" t="str">
        <f t="shared" si="16"/>
        <v>BLN</v>
      </c>
      <c r="B562" s="60" t="str">
        <f t="shared" si="17"/>
        <v>BLNBlenheim load</v>
      </c>
      <c r="C562" s="559" t="s">
        <v>118</v>
      </c>
      <c r="D562" s="559" t="s">
        <v>420</v>
      </c>
      <c r="E562" s="559">
        <v>1</v>
      </c>
      <c r="F562" s="18"/>
      <c r="G562" s="18"/>
      <c r="H562" s="18"/>
    </row>
    <row r="563" spans="1:8" x14ac:dyDescent="0.3">
      <c r="A563" s="116" t="str">
        <f t="shared" si="16"/>
        <v>ARA</v>
      </c>
      <c r="B563" s="60" t="str">
        <f t="shared" si="17"/>
        <v>ARACNI geothermals + Waikato hydro from Atiamuri + BOP generators</v>
      </c>
      <c r="C563" s="559" t="s">
        <v>100</v>
      </c>
      <c r="D563" s="559" t="s">
        <v>408</v>
      </c>
      <c r="E563" s="559">
        <v>1</v>
      </c>
      <c r="F563" s="18"/>
      <c r="G563" s="18"/>
      <c r="H563" s="18"/>
    </row>
    <row r="564" spans="1:8" x14ac:dyDescent="0.3">
      <c r="A564" s="116" t="str">
        <f t="shared" si="16"/>
        <v>ATI</v>
      </c>
      <c r="B564" s="60" t="str">
        <f t="shared" si="17"/>
        <v>ATICNI geothermals + Waikato hydro from Atiamuri + BOP generators</v>
      </c>
      <c r="C564" s="559" t="s">
        <v>112</v>
      </c>
      <c r="D564" s="559" t="s">
        <v>408</v>
      </c>
      <c r="E564" s="559">
        <v>1</v>
      </c>
      <c r="F564" s="18"/>
      <c r="G564" s="18"/>
      <c r="H564" s="18"/>
    </row>
    <row r="565" spans="1:8" x14ac:dyDescent="0.3">
      <c r="A565" s="116" t="str">
        <f t="shared" si="16"/>
        <v>KAW</v>
      </c>
      <c r="B565" s="60" t="str">
        <f t="shared" si="17"/>
        <v>KAWCNI geothermals + Waikato hydro from Atiamuri + BOP generators</v>
      </c>
      <c r="C565" s="559" t="s">
        <v>394</v>
      </c>
      <c r="D565" s="559" t="s">
        <v>408</v>
      </c>
      <c r="E565" s="559">
        <v>1</v>
      </c>
      <c r="F565" s="18"/>
      <c r="G565" s="18"/>
      <c r="H565" s="18"/>
    </row>
    <row r="566" spans="1:8" x14ac:dyDescent="0.3">
      <c r="A566" s="116" t="str">
        <f t="shared" si="16"/>
        <v>KAW</v>
      </c>
      <c r="B566" s="60" t="str">
        <f t="shared" si="17"/>
        <v>KAWCNI geothermals + Waikato hydro from Atiamuri + BOP generators</v>
      </c>
      <c r="C566" s="559" t="s">
        <v>395</v>
      </c>
      <c r="D566" s="559" t="s">
        <v>408</v>
      </c>
      <c r="E566" s="559">
        <v>1</v>
      </c>
      <c r="F566" s="18"/>
      <c r="G566" s="18"/>
      <c r="H566" s="18"/>
    </row>
    <row r="567" spans="1:8" x14ac:dyDescent="0.3">
      <c r="A567" s="116" t="str">
        <f t="shared" si="16"/>
        <v>MAT</v>
      </c>
      <c r="B567" s="60" t="str">
        <f t="shared" si="17"/>
        <v>MATCNI geothermals + Waikato hydro from Atiamuri + BOP generators</v>
      </c>
      <c r="C567" s="559" t="s">
        <v>213</v>
      </c>
      <c r="D567" s="559" t="s">
        <v>408</v>
      </c>
      <c r="E567" s="559">
        <v>1</v>
      </c>
      <c r="F567" s="18"/>
      <c r="G567" s="18"/>
      <c r="H567" s="18"/>
    </row>
    <row r="568" spans="1:8" x14ac:dyDescent="0.3">
      <c r="A568" s="116" t="str">
        <f t="shared" si="16"/>
        <v>MAT</v>
      </c>
      <c r="B568" s="60" t="str">
        <f t="shared" si="17"/>
        <v>MATCNI geothermals + Waikato hydro from Atiamuri + BOP generators</v>
      </c>
      <c r="C568" s="559" t="s">
        <v>214</v>
      </c>
      <c r="D568" s="559" t="s">
        <v>408</v>
      </c>
      <c r="E568" s="559">
        <v>1</v>
      </c>
      <c r="F568" s="18"/>
      <c r="G568" s="18"/>
      <c r="H568" s="18"/>
    </row>
    <row r="569" spans="1:8" x14ac:dyDescent="0.3">
      <c r="A569" s="116" t="str">
        <f t="shared" si="16"/>
        <v>MAT</v>
      </c>
      <c r="B569" s="60" t="str">
        <f t="shared" si="17"/>
        <v>MATCNI geothermals + Waikato hydro from Atiamuri + BOP generators</v>
      </c>
      <c r="C569" s="559" t="s">
        <v>215</v>
      </c>
      <c r="D569" s="559" t="s">
        <v>408</v>
      </c>
      <c r="E569" s="559">
        <v>1</v>
      </c>
      <c r="F569" s="18"/>
      <c r="G569" s="18"/>
      <c r="H569" s="18"/>
    </row>
    <row r="570" spans="1:8" x14ac:dyDescent="0.3">
      <c r="A570" s="116" t="str">
        <f t="shared" si="16"/>
        <v>MAT</v>
      </c>
      <c r="B570" s="60" t="str">
        <f t="shared" si="17"/>
        <v>MATCNI geothermals + Waikato hydro from Atiamuri + BOP generators</v>
      </c>
      <c r="C570" s="559" t="s">
        <v>216</v>
      </c>
      <c r="D570" s="559" t="s">
        <v>408</v>
      </c>
      <c r="E570" s="559">
        <v>1</v>
      </c>
      <c r="F570" s="18"/>
      <c r="G570" s="18"/>
      <c r="H570" s="18"/>
    </row>
    <row r="571" spans="1:8" x14ac:dyDescent="0.3">
      <c r="A571" s="116" t="str">
        <f t="shared" si="16"/>
        <v>NAP</v>
      </c>
      <c r="B571" s="60" t="str">
        <f t="shared" si="17"/>
        <v>NAPCNI geothermals + Waikato hydro from Atiamuri + BOP generators</v>
      </c>
      <c r="C571" s="559" t="s">
        <v>237</v>
      </c>
      <c r="D571" s="559" t="s">
        <v>408</v>
      </c>
      <c r="E571" s="559">
        <v>1</v>
      </c>
      <c r="F571" s="18"/>
      <c r="G571" s="18"/>
      <c r="H571" s="18"/>
    </row>
    <row r="572" spans="1:8" x14ac:dyDescent="0.3">
      <c r="A572" s="116" t="str">
        <f t="shared" si="16"/>
        <v>NAP</v>
      </c>
      <c r="B572" s="60" t="str">
        <f t="shared" si="17"/>
        <v>NAPCNI geothermals + Waikato hydro from Atiamuri + BOP generators</v>
      </c>
      <c r="C572" s="559" t="s">
        <v>239</v>
      </c>
      <c r="D572" s="559" t="s">
        <v>408</v>
      </c>
      <c r="E572" s="559">
        <v>1</v>
      </c>
      <c r="F572" s="18"/>
      <c r="G572" s="18"/>
      <c r="H572" s="18"/>
    </row>
    <row r="573" spans="1:8" x14ac:dyDescent="0.3">
      <c r="A573" s="116" t="str">
        <f t="shared" si="16"/>
        <v>OHK</v>
      </c>
      <c r="B573" s="60" t="str">
        <f t="shared" si="17"/>
        <v>OHKCNI geothermals + Waikato hydro from Atiamuri + BOP generators</v>
      </c>
      <c r="C573" s="559" t="s">
        <v>250</v>
      </c>
      <c r="D573" s="559" t="s">
        <v>408</v>
      </c>
      <c r="E573" s="559">
        <v>1</v>
      </c>
      <c r="F573" s="18"/>
      <c r="G573" s="18"/>
      <c r="H573" s="18"/>
    </row>
    <row r="574" spans="1:8" x14ac:dyDescent="0.3">
      <c r="A574" s="116" t="str">
        <f t="shared" si="16"/>
        <v>OKI</v>
      </c>
      <c r="B574" s="60" t="str">
        <f t="shared" si="17"/>
        <v>OKICNI geothermals + Waikato hydro from Atiamuri + BOP generators</v>
      </c>
      <c r="C574" s="559" t="s">
        <v>251</v>
      </c>
      <c r="D574" s="559" t="s">
        <v>408</v>
      </c>
      <c r="E574" s="559">
        <v>1</v>
      </c>
      <c r="F574" s="18"/>
      <c r="G574" s="18"/>
      <c r="H574" s="18"/>
    </row>
    <row r="575" spans="1:8" x14ac:dyDescent="0.3">
      <c r="A575" s="116" t="str">
        <f t="shared" si="16"/>
        <v>PPI</v>
      </c>
      <c r="B575" s="60" t="str">
        <f t="shared" si="17"/>
        <v>PPICNI geothermals + Waikato hydro from Atiamuri + BOP generators</v>
      </c>
      <c r="C575" s="559" t="s">
        <v>268</v>
      </c>
      <c r="D575" s="559" t="s">
        <v>408</v>
      </c>
      <c r="E575" s="559">
        <v>1</v>
      </c>
      <c r="F575" s="18"/>
      <c r="G575" s="18"/>
      <c r="H575" s="18"/>
    </row>
    <row r="576" spans="1:8" x14ac:dyDescent="0.3">
      <c r="A576" s="116" t="str">
        <f t="shared" si="16"/>
        <v>ROT</v>
      </c>
      <c r="B576" s="60" t="str">
        <f t="shared" si="17"/>
        <v>ROTCNI geothermals + Waikato hydro from Atiamuri + BOP generators</v>
      </c>
      <c r="C576" s="559" t="s">
        <v>278</v>
      </c>
      <c r="D576" s="559" t="s">
        <v>408</v>
      </c>
      <c r="E576" s="559">
        <v>1</v>
      </c>
      <c r="F576" s="18"/>
      <c r="G576" s="18"/>
      <c r="H576" s="18"/>
    </row>
    <row r="577" spans="1:8" x14ac:dyDescent="0.3">
      <c r="A577" s="116" t="str">
        <f t="shared" si="16"/>
        <v>TGA</v>
      </c>
      <c r="B577" s="60" t="str">
        <f t="shared" si="17"/>
        <v>TGACNI geothermals + Waikato hydro from Atiamuri + BOP generators</v>
      </c>
      <c r="C577" s="559" t="s">
        <v>299</v>
      </c>
      <c r="D577" s="559" t="s">
        <v>408</v>
      </c>
      <c r="E577" s="559">
        <v>1</v>
      </c>
      <c r="F577" s="18"/>
      <c r="G577" s="18"/>
      <c r="H577" s="18"/>
    </row>
    <row r="578" spans="1:8" x14ac:dyDescent="0.3">
      <c r="A578" s="116" t="str">
        <f t="shared" si="16"/>
        <v>THI</v>
      </c>
      <c r="B578" s="60" t="str">
        <f t="shared" si="17"/>
        <v>THICNI geothermals + Waikato hydro from Atiamuri + BOP generators</v>
      </c>
      <c r="C578" s="559" t="s">
        <v>301</v>
      </c>
      <c r="D578" s="559" t="s">
        <v>408</v>
      </c>
      <c r="E578" s="559">
        <v>1</v>
      </c>
      <c r="F578" s="18"/>
      <c r="G578" s="18"/>
      <c r="H578" s="18"/>
    </row>
    <row r="579" spans="1:8" x14ac:dyDescent="0.3">
      <c r="A579" s="116" t="str">
        <f t="shared" si="16"/>
        <v>THI</v>
      </c>
      <c r="B579" s="60" t="str">
        <f t="shared" si="17"/>
        <v>THICNI geothermals + Waikato hydro from Atiamuri + BOP generators</v>
      </c>
      <c r="C579" s="559" t="s">
        <v>302</v>
      </c>
      <c r="D579" s="559" t="s">
        <v>408</v>
      </c>
      <c r="E579" s="559">
        <v>1</v>
      </c>
      <c r="F579" s="18"/>
      <c r="G579" s="18"/>
      <c r="H579" s="18"/>
    </row>
    <row r="580" spans="1:8" x14ac:dyDescent="0.3">
      <c r="A580" s="116" t="str">
        <f t="shared" si="16"/>
        <v>WKM</v>
      </c>
      <c r="B580" s="60" t="str">
        <f t="shared" si="17"/>
        <v>WKMCNI geothermals + Waikato hydro from Atiamuri + BOP generators</v>
      </c>
      <c r="C580" s="559" t="s">
        <v>340</v>
      </c>
      <c r="D580" s="559" t="s">
        <v>408</v>
      </c>
      <c r="E580" s="559">
        <v>1</v>
      </c>
      <c r="F580" s="18"/>
      <c r="G580" s="18"/>
      <c r="H580" s="18"/>
    </row>
    <row r="581" spans="1:8" x14ac:dyDescent="0.3">
      <c r="A581" s="116" t="str">
        <f t="shared" si="16"/>
        <v>WRK</v>
      </c>
      <c r="B581" s="60" t="str">
        <f t="shared" si="17"/>
        <v>WRKCNI geothermals + Waikato hydro from Atiamuri + BOP generators</v>
      </c>
      <c r="C581" s="559" t="s">
        <v>350</v>
      </c>
      <c r="D581" s="559" t="s">
        <v>408</v>
      </c>
      <c r="E581" s="559">
        <v>1</v>
      </c>
      <c r="F581" s="18"/>
      <c r="G581" s="18"/>
      <c r="H581" s="18"/>
    </row>
    <row r="582" spans="1:8" x14ac:dyDescent="0.3">
      <c r="A582" s="116" t="str">
        <f t="shared" si="16"/>
        <v>WRK</v>
      </c>
      <c r="B582" s="60" t="str">
        <f t="shared" si="17"/>
        <v>WRKCNI geothermals + Waikato hydro from Atiamuri + BOP generators</v>
      </c>
      <c r="C582" s="559" t="s">
        <v>351</v>
      </c>
      <c r="D582" s="559" t="s">
        <v>408</v>
      </c>
      <c r="E582" s="559">
        <v>1</v>
      </c>
      <c r="F582" s="18"/>
      <c r="G582" s="18"/>
      <c r="H582" s="18"/>
    </row>
    <row r="583" spans="1:8" x14ac:dyDescent="0.3">
      <c r="A583" s="116" t="str">
        <f t="shared" ref="A583:A646" si="18">LEFT(C583,3)</f>
        <v>WRK</v>
      </c>
      <c r="B583" s="60" t="str">
        <f t="shared" ref="B583:B646" si="19">A583&amp;D583</f>
        <v>WRKCNI geothermals + Waikato hydro from Atiamuri + BOP generators</v>
      </c>
      <c r="C583" s="559" t="s">
        <v>352</v>
      </c>
      <c r="D583" s="559" t="s">
        <v>408</v>
      </c>
      <c r="E583" s="559">
        <v>1</v>
      </c>
      <c r="F583" s="18"/>
      <c r="G583" s="18"/>
      <c r="H583" s="18"/>
    </row>
    <row r="584" spans="1:8" x14ac:dyDescent="0.3">
      <c r="A584" s="116" t="str">
        <f t="shared" si="18"/>
        <v>CUL</v>
      </c>
      <c r="B584" s="60" t="str">
        <f t="shared" si="19"/>
        <v>CULCulverden</v>
      </c>
      <c r="C584" s="559" t="s">
        <v>140</v>
      </c>
      <c r="D584" s="559" t="s">
        <v>421</v>
      </c>
      <c r="E584" s="559">
        <v>1</v>
      </c>
      <c r="F584" s="18"/>
      <c r="G584" s="18"/>
      <c r="H584" s="18"/>
    </row>
    <row r="585" spans="1:8" x14ac:dyDescent="0.3">
      <c r="A585" s="116" t="str">
        <f t="shared" si="18"/>
        <v>CUL</v>
      </c>
      <c r="B585" s="60" t="str">
        <f t="shared" si="19"/>
        <v>CULCulverden</v>
      </c>
      <c r="C585" s="559" t="s">
        <v>141</v>
      </c>
      <c r="D585" s="559" t="s">
        <v>421</v>
      </c>
      <c r="E585" s="559">
        <v>1</v>
      </c>
      <c r="F585" s="18"/>
      <c r="G585" s="18"/>
      <c r="H585" s="18"/>
    </row>
    <row r="586" spans="1:8" x14ac:dyDescent="0.3">
      <c r="A586" s="116" t="str">
        <f t="shared" si="18"/>
        <v>HWB</v>
      </c>
      <c r="B586" s="60" t="str">
        <f t="shared" si="19"/>
        <v>HWBDunedin loads</v>
      </c>
      <c r="C586" s="559" t="s">
        <v>184</v>
      </c>
      <c r="D586" s="559" t="s">
        <v>455</v>
      </c>
      <c r="E586" s="559">
        <v>1</v>
      </c>
      <c r="F586" s="18"/>
      <c r="G586" s="18"/>
      <c r="H586" s="18"/>
    </row>
    <row r="587" spans="1:8" x14ac:dyDescent="0.3">
      <c r="A587" s="116" t="str">
        <f t="shared" si="18"/>
        <v>HWB</v>
      </c>
      <c r="B587" s="60" t="str">
        <f t="shared" si="19"/>
        <v>HWBDunedin loads</v>
      </c>
      <c r="C587" s="559" t="s">
        <v>186</v>
      </c>
      <c r="D587" s="559" t="s">
        <v>455</v>
      </c>
      <c r="E587" s="559">
        <v>1</v>
      </c>
      <c r="F587" s="18"/>
      <c r="G587" s="18"/>
      <c r="H587" s="18"/>
    </row>
    <row r="588" spans="1:8" x14ac:dyDescent="0.3">
      <c r="A588" s="116" t="str">
        <f t="shared" si="18"/>
        <v>HWB</v>
      </c>
      <c r="B588" s="60" t="str">
        <f t="shared" si="19"/>
        <v>HWBDunedin loads</v>
      </c>
      <c r="C588" s="559" t="s">
        <v>187</v>
      </c>
      <c r="D588" s="559" t="s">
        <v>455</v>
      </c>
      <c r="E588" s="559">
        <v>1</v>
      </c>
      <c r="F588" s="18"/>
      <c r="G588" s="18"/>
      <c r="H588" s="18"/>
    </row>
    <row r="589" spans="1:8" x14ac:dyDescent="0.3">
      <c r="A589" s="116" t="str">
        <f t="shared" si="18"/>
        <v>SDN</v>
      </c>
      <c r="B589" s="60" t="str">
        <f t="shared" si="19"/>
        <v>SDNDunedin loads</v>
      </c>
      <c r="C589" s="559" t="s">
        <v>283</v>
      </c>
      <c r="D589" s="559" t="s">
        <v>455</v>
      </c>
      <c r="E589" s="559">
        <v>1</v>
      </c>
      <c r="F589" s="18"/>
      <c r="G589" s="18"/>
      <c r="H589" s="18"/>
    </row>
    <row r="590" spans="1:8" x14ac:dyDescent="0.3">
      <c r="A590" s="116" t="str">
        <f t="shared" si="18"/>
        <v>ATI</v>
      </c>
      <c r="B590" s="60" t="str">
        <f t="shared" si="19"/>
        <v>ATIGeneration at Atiamuri Ohakuri and in the Bay of Plenty</v>
      </c>
      <c r="C590" s="559" t="s">
        <v>112</v>
      </c>
      <c r="D590" s="559" t="s">
        <v>449</v>
      </c>
      <c r="E590" s="559">
        <v>1</v>
      </c>
      <c r="F590" s="18"/>
      <c r="G590" s="18"/>
      <c r="H590" s="18"/>
    </row>
    <row r="591" spans="1:8" x14ac:dyDescent="0.3">
      <c r="A591" s="116" t="str">
        <f t="shared" si="18"/>
        <v>KAW</v>
      </c>
      <c r="B591" s="60" t="str">
        <f t="shared" si="19"/>
        <v>KAWGeneration at Atiamuri Ohakuri and in the Bay of Plenty</v>
      </c>
      <c r="C591" s="559" t="s">
        <v>394</v>
      </c>
      <c r="D591" s="559" t="s">
        <v>449</v>
      </c>
      <c r="E591" s="559">
        <v>1</v>
      </c>
      <c r="F591" s="18"/>
      <c r="G591" s="18"/>
      <c r="H591" s="18"/>
    </row>
    <row r="592" spans="1:8" x14ac:dyDescent="0.3">
      <c r="A592" s="116" t="str">
        <f t="shared" si="18"/>
        <v>KAW</v>
      </c>
      <c r="B592" s="60" t="str">
        <f t="shared" si="19"/>
        <v>KAWGeneration at Atiamuri Ohakuri and in the Bay of Plenty</v>
      </c>
      <c r="C592" s="559" t="s">
        <v>395</v>
      </c>
      <c r="D592" s="559" t="s">
        <v>449</v>
      </c>
      <c r="E592" s="559">
        <v>1</v>
      </c>
      <c r="F592" s="18"/>
      <c r="G592" s="18"/>
      <c r="H592" s="18"/>
    </row>
    <row r="593" spans="1:8" x14ac:dyDescent="0.3">
      <c r="A593" s="116" t="str">
        <f t="shared" si="18"/>
        <v>MAT</v>
      </c>
      <c r="B593" s="60" t="str">
        <f t="shared" si="19"/>
        <v>MATGeneration at Atiamuri Ohakuri and in the Bay of Plenty</v>
      </c>
      <c r="C593" s="559" t="s">
        <v>213</v>
      </c>
      <c r="D593" s="559" t="s">
        <v>449</v>
      </c>
      <c r="E593" s="559">
        <v>1</v>
      </c>
      <c r="F593" s="18"/>
      <c r="G593" s="18"/>
      <c r="H593" s="18"/>
    </row>
    <row r="594" spans="1:8" x14ac:dyDescent="0.3">
      <c r="A594" s="116" t="str">
        <f t="shared" si="18"/>
        <v>MAT</v>
      </c>
      <c r="B594" s="60" t="str">
        <f t="shared" si="19"/>
        <v>MATGeneration at Atiamuri Ohakuri and in the Bay of Plenty</v>
      </c>
      <c r="C594" s="559" t="s">
        <v>214</v>
      </c>
      <c r="D594" s="559" t="s">
        <v>449</v>
      </c>
      <c r="E594" s="559">
        <v>1</v>
      </c>
      <c r="F594" s="18"/>
      <c r="G594" s="18"/>
      <c r="H594" s="18"/>
    </row>
    <row r="595" spans="1:8" x14ac:dyDescent="0.3">
      <c r="A595" s="116" t="str">
        <f t="shared" si="18"/>
        <v>MAT</v>
      </c>
      <c r="B595" s="60" t="str">
        <f t="shared" si="19"/>
        <v>MATGeneration at Atiamuri Ohakuri and in the Bay of Plenty</v>
      </c>
      <c r="C595" s="559" t="s">
        <v>215</v>
      </c>
      <c r="D595" s="559" t="s">
        <v>449</v>
      </c>
      <c r="E595" s="559">
        <v>1</v>
      </c>
      <c r="F595" s="18"/>
      <c r="G595" s="18"/>
      <c r="H595" s="18"/>
    </row>
    <row r="596" spans="1:8" x14ac:dyDescent="0.3">
      <c r="A596" s="116" t="str">
        <f t="shared" si="18"/>
        <v>MAT</v>
      </c>
      <c r="B596" s="60" t="str">
        <f t="shared" si="19"/>
        <v>MATGeneration at Atiamuri Ohakuri and in the Bay of Plenty</v>
      </c>
      <c r="C596" s="559" t="s">
        <v>216</v>
      </c>
      <c r="D596" s="559" t="s">
        <v>449</v>
      </c>
      <c r="E596" s="559">
        <v>1</v>
      </c>
      <c r="F596" s="18"/>
      <c r="G596" s="18"/>
      <c r="H596" s="18"/>
    </row>
    <row r="597" spans="1:8" x14ac:dyDescent="0.3">
      <c r="A597" s="116" t="str">
        <f t="shared" si="18"/>
        <v>OHK</v>
      </c>
      <c r="B597" s="60" t="str">
        <f t="shared" si="19"/>
        <v>OHKGeneration at Atiamuri Ohakuri and in the Bay of Plenty</v>
      </c>
      <c r="C597" s="559" t="s">
        <v>250</v>
      </c>
      <c r="D597" s="559" t="s">
        <v>449</v>
      </c>
      <c r="E597" s="559">
        <v>1</v>
      </c>
      <c r="F597" s="18"/>
      <c r="G597" s="18"/>
      <c r="H597" s="18"/>
    </row>
    <row r="598" spans="1:8" x14ac:dyDescent="0.3">
      <c r="A598" s="116" t="str">
        <f t="shared" si="18"/>
        <v>ROT</v>
      </c>
      <c r="B598" s="60" t="str">
        <f t="shared" si="19"/>
        <v>ROTGeneration at Atiamuri Ohakuri and in the Bay of Plenty</v>
      </c>
      <c r="C598" s="559" t="s">
        <v>278</v>
      </c>
      <c r="D598" s="559" t="s">
        <v>449</v>
      </c>
      <c r="E598" s="559">
        <v>1</v>
      </c>
      <c r="F598" s="18"/>
      <c r="G598" s="18"/>
      <c r="H598" s="18"/>
    </row>
    <row r="599" spans="1:8" x14ac:dyDescent="0.3">
      <c r="A599" s="116" t="str">
        <f t="shared" si="18"/>
        <v>TGA</v>
      </c>
      <c r="B599" s="60" t="str">
        <f t="shared" si="19"/>
        <v>TGAGeneration at Atiamuri Ohakuri and in the Bay of Plenty</v>
      </c>
      <c r="C599" s="559" t="s">
        <v>299</v>
      </c>
      <c r="D599" s="559" t="s">
        <v>449</v>
      </c>
      <c r="E599" s="559">
        <v>1</v>
      </c>
      <c r="F599" s="18"/>
      <c r="G599" s="18"/>
      <c r="H599" s="18"/>
    </row>
    <row r="600" spans="1:8" x14ac:dyDescent="0.3">
      <c r="A600" s="116" t="str">
        <f t="shared" si="18"/>
        <v>HWA</v>
      </c>
      <c r="B600" s="60" t="str">
        <f t="shared" si="19"/>
        <v>HWAGeneration at Waverley Hawera and Whareroa</v>
      </c>
      <c r="C600" s="559" t="s">
        <v>178</v>
      </c>
      <c r="D600" s="559" t="s">
        <v>448</v>
      </c>
      <c r="E600" s="559">
        <v>1</v>
      </c>
      <c r="F600" s="18"/>
      <c r="G600" s="18"/>
      <c r="H600" s="18"/>
    </row>
    <row r="601" spans="1:8" x14ac:dyDescent="0.3">
      <c r="A601" s="116" t="str">
        <f t="shared" si="18"/>
        <v>HWA</v>
      </c>
      <c r="B601" s="60" t="str">
        <f t="shared" si="19"/>
        <v>HWAGeneration at Waverley Hawera and Whareroa</v>
      </c>
      <c r="C601" s="559" t="s">
        <v>179</v>
      </c>
      <c r="D601" s="559" t="s">
        <v>448</v>
      </c>
      <c r="E601" s="559">
        <v>1</v>
      </c>
      <c r="F601" s="18"/>
      <c r="G601" s="18"/>
      <c r="H601" s="18"/>
    </row>
    <row r="602" spans="1:8" x14ac:dyDescent="0.3">
      <c r="A602" s="116" t="str">
        <f t="shared" si="18"/>
        <v>HWA</v>
      </c>
      <c r="B602" s="60" t="str">
        <f t="shared" si="19"/>
        <v>HWAGeneration at Waverley Hawera and Whareroa</v>
      </c>
      <c r="C602" s="559" t="s">
        <v>180</v>
      </c>
      <c r="D602" s="559" t="s">
        <v>448</v>
      </c>
      <c r="E602" s="559">
        <v>1</v>
      </c>
      <c r="F602" s="18"/>
      <c r="G602" s="18"/>
      <c r="H602" s="18"/>
    </row>
    <row r="603" spans="1:8" x14ac:dyDescent="0.3">
      <c r="A603" s="116" t="str">
        <f t="shared" si="18"/>
        <v>HWA</v>
      </c>
      <c r="B603" s="60" t="str">
        <f t="shared" si="19"/>
        <v>HWAGeneration at Waverley Hawera and Whareroa</v>
      </c>
      <c r="C603" s="559" t="s">
        <v>182</v>
      </c>
      <c r="D603" s="559" t="s">
        <v>448</v>
      </c>
      <c r="E603" s="559">
        <v>1</v>
      </c>
      <c r="F603" s="18"/>
      <c r="G603" s="18"/>
      <c r="H603" s="18"/>
    </row>
    <row r="604" spans="1:8" x14ac:dyDescent="0.3">
      <c r="A604" s="116" t="str">
        <f t="shared" si="18"/>
        <v>HWA</v>
      </c>
      <c r="B604" s="60" t="str">
        <f t="shared" si="19"/>
        <v>HWAGeneration at Waverley Hawera and Whareroa</v>
      </c>
      <c r="C604" s="559" t="s">
        <v>183</v>
      </c>
      <c r="D604" s="559" t="s">
        <v>448</v>
      </c>
      <c r="E604" s="559">
        <v>1</v>
      </c>
      <c r="F604" s="18"/>
      <c r="G604" s="18"/>
      <c r="H604" s="18"/>
    </row>
    <row r="605" spans="1:8" x14ac:dyDescent="0.3">
      <c r="A605" s="116" t="str">
        <f t="shared" si="18"/>
        <v>GOR</v>
      </c>
      <c r="B605" s="60" t="str">
        <f t="shared" si="19"/>
        <v>GORGore</v>
      </c>
      <c r="C605" s="559" t="s">
        <v>153</v>
      </c>
      <c r="D605" s="559" t="s">
        <v>452</v>
      </c>
      <c r="E605" s="559">
        <v>1</v>
      </c>
      <c r="F605" s="18"/>
      <c r="G605" s="18"/>
      <c r="H605" s="18"/>
    </row>
    <row r="606" spans="1:8" x14ac:dyDescent="0.3">
      <c r="A606" s="116" t="str">
        <f t="shared" si="18"/>
        <v>HLY</v>
      </c>
      <c r="B606" s="60" t="str">
        <f t="shared" si="19"/>
        <v>HLYHuntly</v>
      </c>
      <c r="C606" s="559" t="s">
        <v>166</v>
      </c>
      <c r="D606" s="559" t="s">
        <v>418</v>
      </c>
      <c r="E606" s="559">
        <v>1</v>
      </c>
      <c r="F606" s="18"/>
      <c r="G606" s="18"/>
      <c r="H606" s="18"/>
    </row>
    <row r="607" spans="1:8" x14ac:dyDescent="0.3">
      <c r="A607" s="116" t="str">
        <f t="shared" si="18"/>
        <v>HLY</v>
      </c>
      <c r="B607" s="60" t="str">
        <f t="shared" si="19"/>
        <v>HLYHuntly</v>
      </c>
      <c r="C607" s="559" t="s">
        <v>167</v>
      </c>
      <c r="D607" s="559" t="s">
        <v>418</v>
      </c>
      <c r="E607" s="559">
        <v>1</v>
      </c>
      <c r="F607" s="18"/>
      <c r="G607" s="18"/>
      <c r="H607" s="18"/>
    </row>
    <row r="608" spans="1:8" x14ac:dyDescent="0.3">
      <c r="A608" s="116" t="str">
        <f t="shared" si="18"/>
        <v>HLY</v>
      </c>
      <c r="B608" s="60" t="str">
        <f t="shared" si="19"/>
        <v>HLYHuntly</v>
      </c>
      <c r="C608" s="559" t="s">
        <v>168</v>
      </c>
      <c r="D608" s="559" t="s">
        <v>418</v>
      </c>
      <c r="E608" s="559">
        <v>1</v>
      </c>
      <c r="F608" s="18"/>
      <c r="G608" s="18"/>
      <c r="H608" s="18"/>
    </row>
    <row r="609" spans="1:8" x14ac:dyDescent="0.3">
      <c r="A609" s="116" t="str">
        <f t="shared" si="18"/>
        <v>HLY</v>
      </c>
      <c r="B609" s="60" t="str">
        <f t="shared" si="19"/>
        <v>HLYHuntly</v>
      </c>
      <c r="C609" s="559" t="s">
        <v>169</v>
      </c>
      <c r="D609" s="559" t="s">
        <v>418</v>
      </c>
      <c r="E609" s="559">
        <v>1</v>
      </c>
      <c r="F609" s="18"/>
      <c r="G609" s="18"/>
      <c r="H609" s="18"/>
    </row>
    <row r="610" spans="1:8" x14ac:dyDescent="0.3">
      <c r="A610" s="116" t="str">
        <f t="shared" si="18"/>
        <v>BPE</v>
      </c>
      <c r="B610" s="60" t="str">
        <f t="shared" si="19"/>
        <v>BPELoad at Bunnythorpe</v>
      </c>
      <c r="C610" s="559" t="s">
        <v>122</v>
      </c>
      <c r="D610" s="559" t="s">
        <v>423</v>
      </c>
      <c r="E610" s="559">
        <v>1</v>
      </c>
      <c r="F610" s="18"/>
      <c r="G610" s="18"/>
      <c r="H610" s="18"/>
    </row>
    <row r="611" spans="1:8" x14ac:dyDescent="0.3">
      <c r="A611" s="116" t="str">
        <f t="shared" si="18"/>
        <v>BPE</v>
      </c>
      <c r="B611" s="60" t="str">
        <f t="shared" si="19"/>
        <v>BPELoad at Bunnythorpe</v>
      </c>
      <c r="C611" s="559" t="s">
        <v>124</v>
      </c>
      <c r="D611" s="559" t="s">
        <v>423</v>
      </c>
      <c r="E611" s="559">
        <v>1</v>
      </c>
      <c r="F611" s="18"/>
      <c r="G611" s="18"/>
      <c r="H611" s="18"/>
    </row>
    <row r="612" spans="1:8" x14ac:dyDescent="0.3">
      <c r="A612" s="116" t="str">
        <f t="shared" si="18"/>
        <v>GFD</v>
      </c>
      <c r="B612" s="60" t="str">
        <f t="shared" si="19"/>
        <v>GFDLoad at Haywards Melling Gracefield</v>
      </c>
      <c r="C612" s="559" t="s">
        <v>151</v>
      </c>
      <c r="D612" s="559" t="s">
        <v>424</v>
      </c>
      <c r="E612" s="559">
        <v>1</v>
      </c>
      <c r="F612" s="18"/>
      <c r="G612" s="18"/>
      <c r="H612" s="18"/>
    </row>
    <row r="613" spans="1:8" x14ac:dyDescent="0.3">
      <c r="A613" s="116" t="str">
        <f t="shared" si="18"/>
        <v>HAY</v>
      </c>
      <c r="B613" s="60" t="str">
        <f t="shared" si="19"/>
        <v>HAYLoad at Haywards Melling Gracefield</v>
      </c>
      <c r="C613" s="559" t="s">
        <v>159</v>
      </c>
      <c r="D613" s="559" t="s">
        <v>424</v>
      </c>
      <c r="E613" s="559">
        <v>1</v>
      </c>
      <c r="F613" s="18"/>
      <c r="G613" s="18"/>
      <c r="H613" s="18"/>
    </row>
    <row r="614" spans="1:8" x14ac:dyDescent="0.3">
      <c r="A614" s="116" t="str">
        <f t="shared" si="18"/>
        <v>HAY</v>
      </c>
      <c r="B614" s="60" t="str">
        <f t="shared" si="19"/>
        <v>HAYLoad at Haywards Melling Gracefield</v>
      </c>
      <c r="C614" s="559" t="s">
        <v>160</v>
      </c>
      <c r="D614" s="559" t="s">
        <v>424</v>
      </c>
      <c r="E614" s="559">
        <v>1</v>
      </c>
      <c r="F614" s="18"/>
      <c r="G614" s="18"/>
      <c r="H614" s="18"/>
    </row>
    <row r="615" spans="1:8" x14ac:dyDescent="0.3">
      <c r="A615" s="116" t="str">
        <f t="shared" si="18"/>
        <v>MLG</v>
      </c>
      <c r="B615" s="60" t="str">
        <f t="shared" si="19"/>
        <v>MLGLoad at Haywards Melling Gracefield</v>
      </c>
      <c r="C615" s="559" t="s">
        <v>224</v>
      </c>
      <c r="D615" s="559" t="s">
        <v>424</v>
      </c>
      <c r="E615" s="559">
        <v>1</v>
      </c>
      <c r="F615" s="18"/>
      <c r="G615" s="18"/>
      <c r="H615" s="18"/>
    </row>
    <row r="616" spans="1:8" x14ac:dyDescent="0.3">
      <c r="A616" s="116" t="str">
        <f t="shared" si="18"/>
        <v>MLG</v>
      </c>
      <c r="B616" s="60" t="str">
        <f t="shared" si="19"/>
        <v>MLGLoad at Haywards Melling Gracefield</v>
      </c>
      <c r="C616" s="559" t="s">
        <v>225</v>
      </c>
      <c r="D616" s="559" t="s">
        <v>424</v>
      </c>
      <c r="E616" s="559">
        <v>1</v>
      </c>
      <c r="F616" s="18"/>
      <c r="G616" s="18"/>
      <c r="H616" s="18"/>
    </row>
    <row r="617" spans="1:8" x14ac:dyDescent="0.3">
      <c r="A617" s="116" t="str">
        <f t="shared" si="18"/>
        <v>RDF</v>
      </c>
      <c r="B617" s="60" t="str">
        <f t="shared" si="19"/>
        <v>RDFLoad at Redclyffe Whakatu</v>
      </c>
      <c r="C617" s="559" t="s">
        <v>270</v>
      </c>
      <c r="D617" s="559" t="s">
        <v>434</v>
      </c>
      <c r="E617" s="559">
        <v>1</v>
      </c>
      <c r="F617" s="18"/>
      <c r="G617" s="18"/>
      <c r="H617" s="18"/>
    </row>
    <row r="618" spans="1:8" x14ac:dyDescent="0.3">
      <c r="A618" s="116" t="str">
        <f t="shared" si="18"/>
        <v>WTU</v>
      </c>
      <c r="B618" s="60" t="str">
        <f t="shared" si="19"/>
        <v>WTULoad at Redclyffe Whakatu</v>
      </c>
      <c r="C618" s="559" t="s">
        <v>355</v>
      </c>
      <c r="D618" s="559" t="s">
        <v>434</v>
      </c>
      <c r="E618" s="559">
        <v>1</v>
      </c>
      <c r="F618" s="18"/>
      <c r="G618" s="18"/>
      <c r="H618" s="18"/>
    </row>
    <row r="619" spans="1:8" x14ac:dyDescent="0.3">
      <c r="A619" s="116" t="str">
        <f t="shared" si="18"/>
        <v>MTM</v>
      </c>
      <c r="B619" s="60" t="str">
        <f t="shared" si="19"/>
        <v>MTMLoad at Tarukenga Rotorua Mt Maunganui Tauranga</v>
      </c>
      <c r="C619" s="559" t="s">
        <v>232</v>
      </c>
      <c r="D619" s="559" t="s">
        <v>454</v>
      </c>
      <c r="E619" s="559">
        <v>1</v>
      </c>
      <c r="F619" s="18"/>
      <c r="G619" s="18"/>
      <c r="H619" s="18"/>
    </row>
    <row r="620" spans="1:8" x14ac:dyDescent="0.3">
      <c r="A620" s="116" t="str">
        <f t="shared" si="18"/>
        <v>ROT</v>
      </c>
      <c r="B620" s="60" t="str">
        <f t="shared" si="19"/>
        <v>ROTLoad at Tarukenga Rotorua Mt Maunganui Tauranga</v>
      </c>
      <c r="C620" s="559" t="s">
        <v>276</v>
      </c>
      <c r="D620" s="559" t="s">
        <v>454</v>
      </c>
      <c r="E620" s="559">
        <v>1</v>
      </c>
      <c r="F620" s="18"/>
      <c r="G620" s="18"/>
      <c r="H620" s="18"/>
    </row>
    <row r="621" spans="1:8" x14ac:dyDescent="0.3">
      <c r="A621" s="116" t="str">
        <f t="shared" si="18"/>
        <v>ROT</v>
      </c>
      <c r="B621" s="60" t="str">
        <f t="shared" si="19"/>
        <v>ROTLoad at Tarukenga Rotorua Mt Maunganui Tauranga</v>
      </c>
      <c r="C621" s="559" t="s">
        <v>277</v>
      </c>
      <c r="D621" s="559" t="s">
        <v>454</v>
      </c>
      <c r="E621" s="559">
        <v>1</v>
      </c>
      <c r="F621" s="18"/>
      <c r="G621" s="18"/>
      <c r="H621" s="18"/>
    </row>
    <row r="622" spans="1:8" x14ac:dyDescent="0.3">
      <c r="A622" s="116" t="str">
        <f t="shared" si="18"/>
        <v>TGA</v>
      </c>
      <c r="B622" s="60" t="str">
        <f t="shared" si="19"/>
        <v>TGALoad at Tarukenga Rotorua Mt Maunganui Tauranga</v>
      </c>
      <c r="C622" s="559" t="s">
        <v>297</v>
      </c>
      <c r="D622" s="559" t="s">
        <v>454</v>
      </c>
      <c r="E622" s="559">
        <v>1</v>
      </c>
      <c r="F622" s="18"/>
      <c r="G622" s="18"/>
      <c r="H622" s="18"/>
    </row>
    <row r="623" spans="1:8" x14ac:dyDescent="0.3">
      <c r="A623" s="116" t="str">
        <f t="shared" si="18"/>
        <v>TGA</v>
      </c>
      <c r="B623" s="60" t="str">
        <f t="shared" si="19"/>
        <v>TGALoad at Tarukenga Rotorua Mt Maunganui Tauranga</v>
      </c>
      <c r="C623" s="559" t="s">
        <v>298</v>
      </c>
      <c r="D623" s="559" t="s">
        <v>454</v>
      </c>
      <c r="E623" s="559">
        <v>1</v>
      </c>
      <c r="F623" s="18"/>
      <c r="G623" s="18"/>
      <c r="H623" s="18"/>
    </row>
    <row r="624" spans="1:8" x14ac:dyDescent="0.3">
      <c r="A624" s="116" t="str">
        <f t="shared" si="18"/>
        <v>TRK</v>
      </c>
      <c r="B624" s="60" t="str">
        <f t="shared" si="19"/>
        <v>TRKLoad at Tarukenga Rotorua Mt Maunganui Tauranga</v>
      </c>
      <c r="C624" s="559" t="s">
        <v>316</v>
      </c>
      <c r="D624" s="559" t="s">
        <v>454</v>
      </c>
      <c r="E624" s="559">
        <v>1</v>
      </c>
      <c r="F624" s="18"/>
      <c r="G624" s="18"/>
      <c r="H624" s="18"/>
    </row>
    <row r="625" spans="1:8" x14ac:dyDescent="0.3">
      <c r="A625" s="116" t="str">
        <f t="shared" si="18"/>
        <v>BAL</v>
      </c>
      <c r="B625" s="60" t="str">
        <f t="shared" si="19"/>
        <v>BALLoad at Tiwai and Invercargill and in the Southland 110kV network</v>
      </c>
      <c r="C625" s="559" t="s">
        <v>115</v>
      </c>
      <c r="D625" s="559" t="s">
        <v>436</v>
      </c>
      <c r="E625" s="559">
        <v>1</v>
      </c>
      <c r="F625" s="18"/>
      <c r="G625" s="18"/>
      <c r="H625" s="18"/>
    </row>
    <row r="626" spans="1:8" x14ac:dyDescent="0.3">
      <c r="A626" s="116" t="str">
        <f t="shared" si="18"/>
        <v>BDE</v>
      </c>
      <c r="B626" s="60" t="str">
        <f t="shared" si="19"/>
        <v>BDELoad at Tiwai and Invercargill and in the Southland 110kV network</v>
      </c>
      <c r="C626" s="559" t="s">
        <v>116</v>
      </c>
      <c r="D626" s="559" t="s">
        <v>436</v>
      </c>
      <c r="E626" s="559">
        <v>1</v>
      </c>
      <c r="F626" s="18"/>
      <c r="G626" s="18"/>
      <c r="H626" s="18"/>
    </row>
    <row r="627" spans="1:8" x14ac:dyDescent="0.3">
      <c r="A627" s="116" t="str">
        <f t="shared" si="18"/>
        <v>BWK</v>
      </c>
      <c r="B627" s="60" t="str">
        <f t="shared" si="19"/>
        <v>BWKLoad at Tiwai and Invercargill and in the Southland 110kV network</v>
      </c>
      <c r="C627" s="559" t="s">
        <v>129</v>
      </c>
      <c r="D627" s="559" t="s">
        <v>436</v>
      </c>
      <c r="E627" s="559">
        <v>1</v>
      </c>
      <c r="F627" s="18"/>
      <c r="G627" s="18"/>
      <c r="H627" s="18"/>
    </row>
    <row r="628" spans="1:8" x14ac:dyDescent="0.3">
      <c r="A628" s="116" t="str">
        <f t="shared" si="18"/>
        <v>EDN</v>
      </c>
      <c r="B628" s="60" t="str">
        <f t="shared" si="19"/>
        <v>EDNLoad at Tiwai and Invercargill and in the Southland 110kV network</v>
      </c>
      <c r="C628" s="559" t="s">
        <v>148</v>
      </c>
      <c r="D628" s="559" t="s">
        <v>436</v>
      </c>
      <c r="E628" s="559">
        <v>1</v>
      </c>
      <c r="F628" s="18"/>
      <c r="G628" s="18"/>
      <c r="H628" s="18"/>
    </row>
    <row r="629" spans="1:8" x14ac:dyDescent="0.3">
      <c r="A629" s="116" t="str">
        <f t="shared" si="18"/>
        <v>GOR</v>
      </c>
      <c r="B629" s="60" t="str">
        <f t="shared" si="19"/>
        <v>GORLoad at Tiwai and Invercargill and in the Southland 110kV network</v>
      </c>
      <c r="C629" s="559" t="s">
        <v>153</v>
      </c>
      <c r="D629" s="559" t="s">
        <v>436</v>
      </c>
      <c r="E629" s="559">
        <v>1</v>
      </c>
      <c r="F629" s="18"/>
      <c r="G629" s="18"/>
      <c r="H629" s="18"/>
    </row>
    <row r="630" spans="1:8" x14ac:dyDescent="0.3">
      <c r="A630" s="116" t="str">
        <f t="shared" si="18"/>
        <v>INV</v>
      </c>
      <c r="B630" s="60" t="str">
        <f t="shared" si="19"/>
        <v>INVLoad at Tiwai and Invercargill and in the Southland 110kV network</v>
      </c>
      <c r="C630" s="559" t="s">
        <v>188</v>
      </c>
      <c r="D630" s="559" t="s">
        <v>436</v>
      </c>
      <c r="E630" s="559">
        <v>1</v>
      </c>
      <c r="F630" s="18"/>
      <c r="G630" s="18"/>
      <c r="H630" s="18"/>
    </row>
    <row r="631" spans="1:8" x14ac:dyDescent="0.3">
      <c r="A631" s="116" t="str">
        <f t="shared" si="18"/>
        <v>TWI</v>
      </c>
      <c r="B631" s="60" t="str">
        <f t="shared" si="19"/>
        <v>TWILoad at Tiwai and Invercargill and in the Southland 110kV network</v>
      </c>
      <c r="C631" s="559" t="s">
        <v>325</v>
      </c>
      <c r="D631" s="559" t="s">
        <v>436</v>
      </c>
      <c r="E631" s="559">
        <v>1</v>
      </c>
      <c r="F631" s="18"/>
      <c r="G631" s="18"/>
      <c r="H631" s="18"/>
    </row>
    <row r="632" spans="1:8" x14ac:dyDescent="0.3">
      <c r="A632" s="116" t="str">
        <f t="shared" si="18"/>
        <v>HWA</v>
      </c>
      <c r="B632" s="60" t="str">
        <f t="shared" si="19"/>
        <v>HWALoad at Waverley Hawera and Whareroa</v>
      </c>
      <c r="C632" s="559" t="s">
        <v>175</v>
      </c>
      <c r="D632" s="559" t="s">
        <v>433</v>
      </c>
      <c r="E632" s="559">
        <v>1</v>
      </c>
      <c r="F632" s="18"/>
      <c r="G632" s="18"/>
      <c r="H632" s="18"/>
    </row>
    <row r="633" spans="1:8" x14ac:dyDescent="0.3">
      <c r="A633" s="116" t="str">
        <f t="shared" si="18"/>
        <v>HWA</v>
      </c>
      <c r="B633" s="60" t="str">
        <f t="shared" si="19"/>
        <v>HWALoad at Waverley Hawera and Whareroa</v>
      </c>
      <c r="C633" s="559" t="s">
        <v>176</v>
      </c>
      <c r="D633" s="559" t="s">
        <v>433</v>
      </c>
      <c r="E633" s="559">
        <v>1</v>
      </c>
      <c r="F633" s="18"/>
      <c r="G633" s="18"/>
      <c r="H633" s="18"/>
    </row>
    <row r="634" spans="1:8" x14ac:dyDescent="0.3">
      <c r="A634" s="116" t="str">
        <f t="shared" si="18"/>
        <v>HWA</v>
      </c>
      <c r="B634" s="60" t="str">
        <f t="shared" si="19"/>
        <v>HWALoad at Waverley Hawera and Whareroa</v>
      </c>
      <c r="C634" s="559" t="s">
        <v>177</v>
      </c>
      <c r="D634" s="559" t="s">
        <v>433</v>
      </c>
      <c r="E634" s="559">
        <v>1</v>
      </c>
      <c r="F634" s="18"/>
      <c r="G634" s="18"/>
      <c r="H634" s="18"/>
    </row>
    <row r="635" spans="1:8" x14ac:dyDescent="0.3">
      <c r="A635" s="116" t="str">
        <f t="shared" si="18"/>
        <v>HWA</v>
      </c>
      <c r="B635" s="60" t="str">
        <f t="shared" si="19"/>
        <v>HWALoad at Waverley Hawera and Whareroa</v>
      </c>
      <c r="C635" s="559" t="s">
        <v>181</v>
      </c>
      <c r="D635" s="559" t="s">
        <v>433</v>
      </c>
      <c r="E635" s="559">
        <v>1</v>
      </c>
      <c r="F635" s="18"/>
      <c r="G635" s="18"/>
      <c r="H635" s="18"/>
    </row>
    <row r="636" spans="1:8" x14ac:dyDescent="0.3">
      <c r="A636" s="116" t="str">
        <f t="shared" si="18"/>
        <v>WVY</v>
      </c>
      <c r="B636" s="60" t="str">
        <f t="shared" si="19"/>
        <v>WVYLoad at Waverley Hawera and Whareroa</v>
      </c>
      <c r="C636" s="559" t="s">
        <v>356</v>
      </c>
      <c r="D636" s="559" t="s">
        <v>433</v>
      </c>
      <c r="E636" s="559">
        <v>1</v>
      </c>
      <c r="F636" s="18"/>
      <c r="G636" s="18"/>
      <c r="H636" s="18"/>
    </row>
    <row r="637" spans="1:8" x14ac:dyDescent="0.3">
      <c r="A637" s="116" t="str">
        <f t="shared" si="18"/>
        <v>WDV</v>
      </c>
      <c r="B637" s="60" t="str">
        <f t="shared" si="19"/>
        <v>WDVLoad at Woodville</v>
      </c>
      <c r="C637" s="559" t="s">
        <v>329</v>
      </c>
      <c r="D637" s="559" t="s">
        <v>419</v>
      </c>
      <c r="E637" s="559">
        <v>1</v>
      </c>
      <c r="F637" s="18"/>
      <c r="G637" s="18"/>
      <c r="H637" s="18"/>
    </row>
    <row r="638" spans="1:8" x14ac:dyDescent="0.3">
      <c r="A638" s="116" t="str">
        <f t="shared" si="18"/>
        <v>WDV</v>
      </c>
      <c r="B638" s="60" t="str">
        <f t="shared" si="19"/>
        <v>WDVLoad at Woodville</v>
      </c>
      <c r="C638" s="559" t="s">
        <v>330</v>
      </c>
      <c r="D638" s="559" t="s">
        <v>419</v>
      </c>
      <c r="E638" s="559">
        <v>1</v>
      </c>
      <c r="F638" s="18"/>
      <c r="G638" s="18"/>
      <c r="H638" s="18"/>
    </row>
    <row r="639" spans="1:8" x14ac:dyDescent="0.3">
      <c r="A639" s="116" t="str">
        <f t="shared" si="18"/>
        <v>ALB</v>
      </c>
      <c r="B639" s="60" t="str">
        <f t="shared" si="19"/>
        <v>ALBLoads Albany and north</v>
      </c>
      <c r="C639" s="559" t="s">
        <v>97</v>
      </c>
      <c r="D639" s="559" t="s">
        <v>442</v>
      </c>
      <c r="E639" s="559">
        <v>1</v>
      </c>
      <c r="F639" s="18"/>
      <c r="G639" s="18"/>
      <c r="H639" s="18"/>
    </row>
    <row r="640" spans="1:8" x14ac:dyDescent="0.3">
      <c r="A640" s="116" t="str">
        <f t="shared" si="18"/>
        <v>ALB</v>
      </c>
      <c r="B640" s="60" t="str">
        <f t="shared" si="19"/>
        <v>ALBLoads Albany and north</v>
      </c>
      <c r="C640" s="559" t="s">
        <v>98</v>
      </c>
      <c r="D640" s="559" t="s">
        <v>442</v>
      </c>
      <c r="E640" s="559">
        <v>1</v>
      </c>
      <c r="F640" s="18"/>
      <c r="G640" s="18"/>
      <c r="H640" s="18"/>
    </row>
    <row r="641" spans="1:8" x14ac:dyDescent="0.3">
      <c r="A641" s="116" t="str">
        <f t="shared" si="18"/>
        <v>BRB</v>
      </c>
      <c r="B641" s="60" t="str">
        <f t="shared" si="19"/>
        <v>BRBLoads Albany and north</v>
      </c>
      <c r="C641" s="559" t="s">
        <v>126</v>
      </c>
      <c r="D641" s="559" t="s">
        <v>442</v>
      </c>
      <c r="E641" s="559">
        <v>1</v>
      </c>
      <c r="F641" s="18"/>
      <c r="G641" s="18"/>
      <c r="H641" s="18"/>
    </row>
    <row r="642" spans="1:8" x14ac:dyDescent="0.3">
      <c r="A642" s="116" t="str">
        <f t="shared" si="18"/>
        <v>KEN</v>
      </c>
      <c r="B642" s="60" t="str">
        <f t="shared" si="19"/>
        <v>KENLoads Albany and north</v>
      </c>
      <c r="C642" s="559" t="s">
        <v>371</v>
      </c>
      <c r="D642" s="559" t="s">
        <v>442</v>
      </c>
      <c r="E642" s="559">
        <v>1</v>
      </c>
      <c r="F642" s="18"/>
      <c r="G642" s="18"/>
      <c r="H642" s="18"/>
    </row>
    <row r="643" spans="1:8" x14ac:dyDescent="0.3">
      <c r="A643" s="116" t="str">
        <f t="shared" si="18"/>
        <v>KOE</v>
      </c>
      <c r="B643" s="60" t="str">
        <f t="shared" si="19"/>
        <v>KOELoads Albany and north</v>
      </c>
      <c r="C643" s="559" t="s">
        <v>200</v>
      </c>
      <c r="D643" s="559" t="s">
        <v>442</v>
      </c>
      <c r="E643" s="559">
        <v>1</v>
      </c>
      <c r="F643" s="18"/>
      <c r="G643" s="18"/>
      <c r="H643" s="18"/>
    </row>
    <row r="644" spans="1:8" x14ac:dyDescent="0.3">
      <c r="A644" s="116" t="str">
        <f t="shared" si="18"/>
        <v>MPE</v>
      </c>
      <c r="B644" s="60" t="str">
        <f t="shared" si="19"/>
        <v>MPELoads Albany and north</v>
      </c>
      <c r="C644" s="559" t="s">
        <v>229</v>
      </c>
      <c r="D644" s="559" t="s">
        <v>442</v>
      </c>
      <c r="E644" s="559">
        <v>1</v>
      </c>
      <c r="F644" s="18"/>
      <c r="G644" s="18"/>
      <c r="H644" s="18"/>
    </row>
    <row r="645" spans="1:8" x14ac:dyDescent="0.3">
      <c r="A645" s="116" t="str">
        <f t="shared" si="18"/>
        <v>MTO</v>
      </c>
      <c r="B645" s="60" t="str">
        <f t="shared" si="19"/>
        <v>MTOLoads Albany and north</v>
      </c>
      <c r="C645" s="559" t="s">
        <v>234</v>
      </c>
      <c r="D645" s="559" t="s">
        <v>442</v>
      </c>
      <c r="E645" s="559">
        <v>1</v>
      </c>
      <c r="F645" s="18"/>
      <c r="G645" s="18"/>
      <c r="H645" s="18"/>
    </row>
    <row r="646" spans="1:8" x14ac:dyDescent="0.3">
      <c r="A646" s="116" t="str">
        <f t="shared" si="18"/>
        <v>SVL</v>
      </c>
      <c r="B646" s="60" t="str">
        <f t="shared" si="19"/>
        <v>SVLLoads Albany and north</v>
      </c>
      <c r="C646" s="559" t="s">
        <v>292</v>
      </c>
      <c r="D646" s="559" t="s">
        <v>442</v>
      </c>
      <c r="E646" s="559">
        <v>1</v>
      </c>
      <c r="F646" s="18"/>
      <c r="G646" s="18"/>
      <c r="H646" s="18"/>
    </row>
    <row r="647" spans="1:8" x14ac:dyDescent="0.3">
      <c r="A647" s="116" t="str">
        <f t="shared" ref="A647:A710" si="20">LEFT(C647,3)</f>
        <v>WEL</v>
      </c>
      <c r="B647" s="60" t="str">
        <f t="shared" ref="B647:B710" si="21">A647&amp;D647</f>
        <v>WELLoads Albany and north</v>
      </c>
      <c r="C647" s="559" t="s">
        <v>331</v>
      </c>
      <c r="D647" s="559" t="s">
        <v>442</v>
      </c>
      <c r="E647" s="559">
        <v>1</v>
      </c>
      <c r="F647" s="18"/>
      <c r="G647" s="18"/>
      <c r="H647" s="18"/>
    </row>
    <row r="648" spans="1:8" x14ac:dyDescent="0.3">
      <c r="A648" s="116" t="str">
        <f t="shared" si="20"/>
        <v>BAL</v>
      </c>
      <c r="B648" s="60" t="str">
        <f t="shared" si="21"/>
        <v>BALLoads at Balclutha Berwick Waipori</v>
      </c>
      <c r="C648" s="559" t="s">
        <v>115</v>
      </c>
      <c r="D648" s="559" t="s">
        <v>432</v>
      </c>
      <c r="E648" s="559">
        <v>1</v>
      </c>
      <c r="F648" s="18"/>
      <c r="G648" s="18"/>
      <c r="H648" s="18"/>
    </row>
    <row r="649" spans="1:8" x14ac:dyDescent="0.3">
      <c r="A649" s="116" t="str">
        <f t="shared" si="20"/>
        <v>BWK</v>
      </c>
      <c r="B649" s="60" t="str">
        <f t="shared" si="21"/>
        <v>BWKLoads at Balclutha Berwick Waipori</v>
      </c>
      <c r="C649" s="559" t="s">
        <v>129</v>
      </c>
      <c r="D649" s="559" t="s">
        <v>432</v>
      </c>
      <c r="E649" s="559">
        <v>1</v>
      </c>
      <c r="F649" s="18"/>
      <c r="G649" s="18"/>
      <c r="H649" s="18"/>
    </row>
    <row r="650" spans="1:8" x14ac:dyDescent="0.3">
      <c r="A650" s="116" t="str">
        <f t="shared" si="20"/>
        <v>GLN</v>
      </c>
      <c r="B650" s="60" t="str">
        <f t="shared" si="21"/>
        <v>GLNLoads at Takanini Drury Glenbrook</v>
      </c>
      <c r="C650" s="559" t="s">
        <v>366</v>
      </c>
      <c r="D650" s="559" t="s">
        <v>428</v>
      </c>
      <c r="E650" s="559">
        <v>1</v>
      </c>
      <c r="F650" s="18"/>
      <c r="G650" s="18"/>
      <c r="H650" s="18"/>
    </row>
    <row r="651" spans="1:8" x14ac:dyDescent="0.3">
      <c r="A651" s="116" t="str">
        <f t="shared" si="20"/>
        <v>GLN</v>
      </c>
      <c r="B651" s="60" t="str">
        <f t="shared" si="21"/>
        <v>GLNLoads at Takanini Drury Glenbrook</v>
      </c>
      <c r="C651" s="559" t="s">
        <v>367</v>
      </c>
      <c r="D651" s="559" t="s">
        <v>428</v>
      </c>
      <c r="E651" s="559">
        <v>1</v>
      </c>
      <c r="F651" s="18"/>
      <c r="G651" s="18"/>
      <c r="H651" s="18"/>
    </row>
    <row r="652" spans="1:8" x14ac:dyDescent="0.3">
      <c r="A652" s="116" t="str">
        <f t="shared" si="20"/>
        <v>TAK</v>
      </c>
      <c r="B652" s="60" t="str">
        <f t="shared" si="21"/>
        <v>TAKLoads at Takanini Drury Glenbrook</v>
      </c>
      <c r="C652" s="559" t="s">
        <v>296</v>
      </c>
      <c r="D652" s="559" t="s">
        <v>428</v>
      </c>
      <c r="E652" s="559">
        <v>1</v>
      </c>
      <c r="F652" s="18"/>
      <c r="G652" s="18"/>
      <c r="H652" s="18"/>
    </row>
    <row r="653" spans="1:8" x14ac:dyDescent="0.3">
      <c r="A653" s="116" t="str">
        <f t="shared" si="20"/>
        <v>KMO</v>
      </c>
      <c r="B653" s="60" t="str">
        <f t="shared" si="21"/>
        <v>KMOLoads at Tauranga Mt Maunganui Kaitemako</v>
      </c>
      <c r="C653" s="559" t="s">
        <v>199</v>
      </c>
      <c r="D653" s="559" t="s">
        <v>427</v>
      </c>
      <c r="E653" s="559">
        <v>1</v>
      </c>
      <c r="F653" s="18"/>
      <c r="G653" s="18"/>
      <c r="H653" s="18"/>
    </row>
    <row r="654" spans="1:8" x14ac:dyDescent="0.3">
      <c r="A654" s="116" t="str">
        <f t="shared" si="20"/>
        <v>MTM</v>
      </c>
      <c r="B654" s="60" t="str">
        <f t="shared" si="21"/>
        <v>MTMLoads at Tauranga Mt Maunganui Kaitemako</v>
      </c>
      <c r="C654" s="559" t="s">
        <v>232</v>
      </c>
      <c r="D654" s="559" t="s">
        <v>427</v>
      </c>
      <c r="E654" s="559">
        <v>1</v>
      </c>
      <c r="F654" s="18"/>
      <c r="G654" s="18"/>
      <c r="H654" s="18"/>
    </row>
    <row r="655" spans="1:8" x14ac:dyDescent="0.3">
      <c r="A655" s="116" t="str">
        <f t="shared" si="20"/>
        <v>TGA</v>
      </c>
      <c r="B655" s="60" t="str">
        <f t="shared" si="21"/>
        <v>TGALoads at Tauranga Mt Maunganui Kaitemako</v>
      </c>
      <c r="C655" s="559" t="s">
        <v>297</v>
      </c>
      <c r="D655" s="559" t="s">
        <v>427</v>
      </c>
      <c r="E655" s="559">
        <v>1</v>
      </c>
      <c r="F655" s="18"/>
      <c r="G655" s="18"/>
      <c r="H655" s="18"/>
    </row>
    <row r="656" spans="1:8" x14ac:dyDescent="0.3">
      <c r="A656" s="116" t="str">
        <f t="shared" si="20"/>
        <v>TGA</v>
      </c>
      <c r="B656" s="60" t="str">
        <f t="shared" si="21"/>
        <v>TGALoads at Tauranga Mt Maunganui Kaitemako</v>
      </c>
      <c r="C656" s="559" t="s">
        <v>298</v>
      </c>
      <c r="D656" s="559" t="s">
        <v>427</v>
      </c>
      <c r="E656" s="559">
        <v>1</v>
      </c>
      <c r="F656" s="18"/>
      <c r="G656" s="18"/>
      <c r="H656" s="18"/>
    </row>
    <row r="657" spans="1:8" x14ac:dyDescent="0.3">
      <c r="A657" s="116" t="str">
        <f t="shared" si="20"/>
        <v>BOB</v>
      </c>
      <c r="B657" s="60" t="str">
        <f t="shared" si="21"/>
        <v>BOBLoads at Wiri Bombay</v>
      </c>
      <c r="C657" s="559" t="s">
        <v>119</v>
      </c>
      <c r="D657" s="559" t="s">
        <v>426</v>
      </c>
      <c r="E657" s="559">
        <v>1</v>
      </c>
      <c r="F657" s="18"/>
      <c r="G657" s="18"/>
      <c r="H657" s="18"/>
    </row>
    <row r="658" spans="1:8" x14ac:dyDescent="0.3">
      <c r="A658" s="116" t="str">
        <f t="shared" si="20"/>
        <v>BOB</v>
      </c>
      <c r="B658" s="60" t="str">
        <f t="shared" si="21"/>
        <v>BOBLoads at Wiri Bombay</v>
      </c>
      <c r="C658" s="559" t="s">
        <v>120</v>
      </c>
      <c r="D658" s="559" t="s">
        <v>426</v>
      </c>
      <c r="E658" s="559">
        <v>1</v>
      </c>
      <c r="F658" s="18"/>
      <c r="G658" s="18"/>
      <c r="H658" s="18"/>
    </row>
    <row r="659" spans="1:8" x14ac:dyDescent="0.3">
      <c r="A659" s="116" t="str">
        <f t="shared" si="20"/>
        <v>WIR</v>
      </c>
      <c r="B659" s="60" t="str">
        <f t="shared" si="21"/>
        <v>WIRLoads at Wiri Bombay</v>
      </c>
      <c r="C659" s="559" t="s">
        <v>338</v>
      </c>
      <c r="D659" s="559" t="s">
        <v>426</v>
      </c>
      <c r="E659" s="559">
        <v>1</v>
      </c>
      <c r="F659" s="18"/>
      <c r="G659" s="18"/>
      <c r="H659" s="18"/>
    </row>
    <row r="660" spans="1:8" x14ac:dyDescent="0.3">
      <c r="A660" s="116" t="str">
        <f t="shared" si="20"/>
        <v>ALB</v>
      </c>
      <c r="B660" s="60" t="str">
        <f t="shared" si="21"/>
        <v>ALBLoads Bombay and north</v>
      </c>
      <c r="C660" s="559" t="s">
        <v>97</v>
      </c>
      <c r="D660" s="559" t="s">
        <v>437</v>
      </c>
      <c r="E660" s="559">
        <v>1</v>
      </c>
      <c r="F660" s="18"/>
      <c r="G660" s="18"/>
      <c r="H660" s="18"/>
    </row>
    <row r="661" spans="1:8" x14ac:dyDescent="0.3">
      <c r="A661" s="116" t="str">
        <f t="shared" si="20"/>
        <v>ALB</v>
      </c>
      <c r="B661" s="60" t="str">
        <f t="shared" si="21"/>
        <v>ALBLoads Bombay and north</v>
      </c>
      <c r="C661" s="559" t="s">
        <v>98</v>
      </c>
      <c r="D661" s="559" t="s">
        <v>437</v>
      </c>
      <c r="E661" s="559">
        <v>1</v>
      </c>
      <c r="F661" s="18"/>
      <c r="G661" s="18"/>
      <c r="H661" s="18"/>
    </row>
    <row r="662" spans="1:8" x14ac:dyDescent="0.3">
      <c r="A662" s="116" t="str">
        <f t="shared" si="20"/>
        <v>BOB</v>
      </c>
      <c r="B662" s="60" t="str">
        <f t="shared" si="21"/>
        <v>BOBLoads Bombay and north</v>
      </c>
      <c r="C662" s="559" t="s">
        <v>119</v>
      </c>
      <c r="D662" s="559" t="s">
        <v>437</v>
      </c>
      <c r="E662" s="559">
        <v>1</v>
      </c>
      <c r="F662" s="18"/>
      <c r="G662" s="18"/>
      <c r="H662" s="18"/>
    </row>
    <row r="663" spans="1:8" x14ac:dyDescent="0.3">
      <c r="A663" s="116" t="str">
        <f t="shared" si="20"/>
        <v>BOB</v>
      </c>
      <c r="B663" s="60" t="str">
        <f t="shared" si="21"/>
        <v>BOBLoads Bombay and north</v>
      </c>
      <c r="C663" s="559" t="s">
        <v>120</v>
      </c>
      <c r="D663" s="559" t="s">
        <v>437</v>
      </c>
      <c r="E663" s="559">
        <v>1</v>
      </c>
      <c r="F663" s="18"/>
      <c r="G663" s="18"/>
      <c r="H663" s="18"/>
    </row>
    <row r="664" spans="1:8" x14ac:dyDescent="0.3">
      <c r="A664" s="116" t="str">
        <f t="shared" si="20"/>
        <v>BRB</v>
      </c>
      <c r="B664" s="60" t="str">
        <f t="shared" si="21"/>
        <v>BRBLoads Bombay and north</v>
      </c>
      <c r="C664" s="559" t="s">
        <v>126</v>
      </c>
      <c r="D664" s="559" t="s">
        <v>437</v>
      </c>
      <c r="E664" s="559">
        <v>1</v>
      </c>
      <c r="F664" s="18"/>
      <c r="G664" s="18"/>
      <c r="H664" s="18"/>
    </row>
    <row r="665" spans="1:8" x14ac:dyDescent="0.3">
      <c r="A665" s="116" t="str">
        <f t="shared" si="20"/>
        <v>GLN</v>
      </c>
      <c r="B665" s="60" t="str">
        <f t="shared" si="21"/>
        <v>GLNLoads Bombay and north</v>
      </c>
      <c r="C665" s="559" t="s">
        <v>366</v>
      </c>
      <c r="D665" s="559" t="s">
        <v>437</v>
      </c>
      <c r="E665" s="559">
        <v>1</v>
      </c>
      <c r="F665" s="18"/>
      <c r="G665" s="18"/>
      <c r="H665" s="18"/>
    </row>
    <row r="666" spans="1:8" x14ac:dyDescent="0.3">
      <c r="A666" s="116" t="str">
        <f t="shared" si="20"/>
        <v>GLN</v>
      </c>
      <c r="B666" s="60" t="str">
        <f t="shared" si="21"/>
        <v>GLNLoads Bombay and north</v>
      </c>
      <c r="C666" s="559" t="s">
        <v>367</v>
      </c>
      <c r="D666" s="559" t="s">
        <v>437</v>
      </c>
      <c r="E666" s="559">
        <v>1</v>
      </c>
      <c r="F666" s="18"/>
      <c r="G666" s="18"/>
      <c r="H666" s="18"/>
    </row>
    <row r="667" spans="1:8" x14ac:dyDescent="0.3">
      <c r="A667" s="116" t="str">
        <f t="shared" si="20"/>
        <v>HEN</v>
      </c>
      <c r="B667" s="60" t="str">
        <f t="shared" si="21"/>
        <v>HENLoads Bombay and north</v>
      </c>
      <c r="C667" s="559" t="s">
        <v>161</v>
      </c>
      <c r="D667" s="559" t="s">
        <v>437</v>
      </c>
      <c r="E667" s="559">
        <v>1</v>
      </c>
      <c r="F667" s="18"/>
      <c r="G667" s="18"/>
      <c r="H667" s="18"/>
    </row>
    <row r="668" spans="1:8" x14ac:dyDescent="0.3">
      <c r="A668" s="116" t="str">
        <f t="shared" si="20"/>
        <v>HEP</v>
      </c>
      <c r="B668" s="60" t="str">
        <f t="shared" si="21"/>
        <v>HEPLoads Bombay and north</v>
      </c>
      <c r="C668" s="559" t="s">
        <v>162</v>
      </c>
      <c r="D668" s="559" t="s">
        <v>437</v>
      </c>
      <c r="E668" s="559">
        <v>1</v>
      </c>
      <c r="F668" s="18"/>
      <c r="G668" s="18"/>
      <c r="H668" s="18"/>
    </row>
    <row r="669" spans="1:8" x14ac:dyDescent="0.3">
      <c r="A669" s="116" t="str">
        <f t="shared" si="20"/>
        <v>HOB</v>
      </c>
      <c r="B669" s="60" t="str">
        <f t="shared" si="21"/>
        <v>HOBLoads Bombay and north</v>
      </c>
      <c r="C669" s="559" t="s">
        <v>170</v>
      </c>
      <c r="D669" s="559" t="s">
        <v>437</v>
      </c>
      <c r="E669" s="559">
        <v>1</v>
      </c>
      <c r="F669" s="18"/>
      <c r="G669" s="18"/>
      <c r="H669" s="18"/>
    </row>
    <row r="670" spans="1:8" x14ac:dyDescent="0.3">
      <c r="A670" s="116" t="str">
        <f t="shared" si="20"/>
        <v>KEN</v>
      </c>
      <c r="B670" s="60" t="str">
        <f t="shared" si="21"/>
        <v>KENLoads Bombay and north</v>
      </c>
      <c r="C670" s="559" t="s">
        <v>371</v>
      </c>
      <c r="D670" s="559" t="s">
        <v>437</v>
      </c>
      <c r="E670" s="559">
        <v>1</v>
      </c>
      <c r="F670" s="18"/>
      <c r="G670" s="18"/>
      <c r="H670" s="18"/>
    </row>
    <row r="671" spans="1:8" x14ac:dyDescent="0.3">
      <c r="A671" s="116" t="str">
        <f t="shared" si="20"/>
        <v>KOE</v>
      </c>
      <c r="B671" s="60" t="str">
        <f t="shared" si="21"/>
        <v>KOELoads Bombay and north</v>
      </c>
      <c r="C671" s="559" t="s">
        <v>200</v>
      </c>
      <c r="D671" s="559" t="s">
        <v>437</v>
      </c>
      <c r="E671" s="559">
        <v>1</v>
      </c>
      <c r="F671" s="18"/>
      <c r="G671" s="18"/>
      <c r="H671" s="18"/>
    </row>
    <row r="672" spans="1:8" x14ac:dyDescent="0.3">
      <c r="A672" s="116" t="str">
        <f t="shared" si="20"/>
        <v>MER</v>
      </c>
      <c r="B672" s="60" t="str">
        <f t="shared" si="21"/>
        <v>MERLoads Bombay and north</v>
      </c>
      <c r="C672" s="559" t="s">
        <v>218</v>
      </c>
      <c r="D672" s="559" t="s">
        <v>437</v>
      </c>
      <c r="E672" s="559">
        <v>1</v>
      </c>
      <c r="F672" s="18"/>
      <c r="G672" s="18"/>
      <c r="H672" s="18"/>
    </row>
    <row r="673" spans="1:8" x14ac:dyDescent="0.3">
      <c r="A673" s="116" t="str">
        <f t="shared" si="20"/>
        <v>MNG</v>
      </c>
      <c r="B673" s="60" t="str">
        <f t="shared" si="21"/>
        <v>MNGLoads Bombay and north</v>
      </c>
      <c r="C673" s="559" t="s">
        <v>226</v>
      </c>
      <c r="D673" s="559" t="s">
        <v>437</v>
      </c>
      <c r="E673" s="559">
        <v>1</v>
      </c>
      <c r="F673" s="18"/>
      <c r="G673" s="18"/>
      <c r="H673" s="18"/>
    </row>
    <row r="674" spans="1:8" x14ac:dyDescent="0.3">
      <c r="A674" s="116" t="str">
        <f t="shared" si="20"/>
        <v>MNG</v>
      </c>
      <c r="B674" s="60" t="str">
        <f t="shared" si="21"/>
        <v>MNGLoads Bombay and north</v>
      </c>
      <c r="C674" s="559" t="s">
        <v>227</v>
      </c>
      <c r="D674" s="559" t="s">
        <v>437</v>
      </c>
      <c r="E674" s="559">
        <v>1</v>
      </c>
      <c r="F674" s="18"/>
      <c r="G674" s="18"/>
      <c r="H674" s="18"/>
    </row>
    <row r="675" spans="1:8" x14ac:dyDescent="0.3">
      <c r="A675" s="116" t="str">
        <f t="shared" si="20"/>
        <v>MPE</v>
      </c>
      <c r="B675" s="60" t="str">
        <f t="shared" si="21"/>
        <v>MPELoads Bombay and north</v>
      </c>
      <c r="C675" s="559" t="s">
        <v>229</v>
      </c>
      <c r="D675" s="559" t="s">
        <v>437</v>
      </c>
      <c r="E675" s="559">
        <v>1</v>
      </c>
      <c r="F675" s="18"/>
      <c r="G675" s="18"/>
      <c r="H675" s="18"/>
    </row>
    <row r="676" spans="1:8" x14ac:dyDescent="0.3">
      <c r="A676" s="116" t="str">
        <f t="shared" si="20"/>
        <v>MTO</v>
      </c>
      <c r="B676" s="60" t="str">
        <f t="shared" si="21"/>
        <v>MTOLoads Bombay and north</v>
      </c>
      <c r="C676" s="559" t="s">
        <v>234</v>
      </c>
      <c r="D676" s="559" t="s">
        <v>437</v>
      </c>
      <c r="E676" s="559">
        <v>1</v>
      </c>
      <c r="F676" s="18"/>
      <c r="G676" s="18"/>
      <c r="H676" s="18"/>
    </row>
    <row r="677" spans="1:8" x14ac:dyDescent="0.3">
      <c r="A677" s="116" t="str">
        <f t="shared" si="20"/>
        <v>OTA</v>
      </c>
      <c r="B677" s="60" t="str">
        <f t="shared" si="21"/>
        <v>OTALoads Bombay and north</v>
      </c>
      <c r="C677" s="559" t="s">
        <v>257</v>
      </c>
      <c r="D677" s="559" t="s">
        <v>437</v>
      </c>
      <c r="E677" s="559">
        <v>1</v>
      </c>
      <c r="F677" s="18"/>
      <c r="G677" s="18"/>
      <c r="H677" s="18"/>
    </row>
    <row r="678" spans="1:8" x14ac:dyDescent="0.3">
      <c r="A678" s="116" t="str">
        <f t="shared" si="20"/>
        <v>OTA</v>
      </c>
      <c r="B678" s="60" t="str">
        <f t="shared" si="21"/>
        <v>OTALoads Bombay and north</v>
      </c>
      <c r="C678" s="559" t="s">
        <v>381</v>
      </c>
      <c r="D678" s="559" t="s">
        <v>437</v>
      </c>
      <c r="E678" s="559">
        <v>1</v>
      </c>
      <c r="F678" s="18"/>
      <c r="G678" s="18"/>
      <c r="H678" s="18"/>
    </row>
    <row r="679" spans="1:8" x14ac:dyDescent="0.3">
      <c r="A679" s="116" t="str">
        <f t="shared" si="20"/>
        <v>OTA</v>
      </c>
      <c r="B679" s="60" t="str">
        <f t="shared" si="21"/>
        <v>OTALoads Bombay and north</v>
      </c>
      <c r="C679" s="559" t="s">
        <v>382</v>
      </c>
      <c r="D679" s="559" t="s">
        <v>437</v>
      </c>
      <c r="E679" s="559">
        <v>1</v>
      </c>
      <c r="F679" s="18"/>
      <c r="G679" s="18"/>
      <c r="H679" s="18"/>
    </row>
    <row r="680" spans="1:8" x14ac:dyDescent="0.3">
      <c r="A680" s="116" t="str">
        <f t="shared" si="20"/>
        <v>PAK</v>
      </c>
      <c r="B680" s="60" t="str">
        <f t="shared" si="21"/>
        <v>PAKLoads Bombay and north</v>
      </c>
      <c r="C680" s="559" t="s">
        <v>260</v>
      </c>
      <c r="D680" s="559" t="s">
        <v>437</v>
      </c>
      <c r="E680" s="559">
        <v>1</v>
      </c>
      <c r="F680" s="18"/>
      <c r="G680" s="18"/>
      <c r="H680" s="18"/>
    </row>
    <row r="681" spans="1:8" x14ac:dyDescent="0.3">
      <c r="A681" s="116" t="str">
        <f t="shared" si="20"/>
        <v>PEN</v>
      </c>
      <c r="B681" s="60" t="str">
        <f t="shared" si="21"/>
        <v>PENLoads Bombay and north</v>
      </c>
      <c r="C681" s="559" t="s">
        <v>262</v>
      </c>
      <c r="D681" s="559" t="s">
        <v>437</v>
      </c>
      <c r="E681" s="559">
        <v>1</v>
      </c>
      <c r="F681" s="18"/>
      <c r="G681" s="18"/>
      <c r="H681" s="18"/>
    </row>
    <row r="682" spans="1:8" x14ac:dyDescent="0.3">
      <c r="A682" s="116" t="str">
        <f t="shared" si="20"/>
        <v>PEN</v>
      </c>
      <c r="B682" s="60" t="str">
        <f t="shared" si="21"/>
        <v>PENLoads Bombay and north</v>
      </c>
      <c r="C682" s="559" t="s">
        <v>263</v>
      </c>
      <c r="D682" s="559" t="s">
        <v>437</v>
      </c>
      <c r="E682" s="559">
        <v>1</v>
      </c>
      <c r="F682" s="18"/>
      <c r="G682" s="18"/>
      <c r="H682" s="18"/>
    </row>
    <row r="683" spans="1:8" x14ac:dyDescent="0.3">
      <c r="A683" s="116" t="str">
        <f t="shared" si="20"/>
        <v>PEN</v>
      </c>
      <c r="B683" s="60" t="str">
        <f t="shared" si="21"/>
        <v>PENLoads Bombay and north</v>
      </c>
      <c r="C683" s="559" t="s">
        <v>264</v>
      </c>
      <c r="D683" s="559" t="s">
        <v>437</v>
      </c>
      <c r="E683" s="559">
        <v>1</v>
      </c>
      <c r="F683" s="18"/>
      <c r="G683" s="18"/>
      <c r="H683" s="18"/>
    </row>
    <row r="684" spans="1:8" x14ac:dyDescent="0.3">
      <c r="A684" s="116" t="str">
        <f t="shared" si="20"/>
        <v>PEN</v>
      </c>
      <c r="B684" s="60" t="str">
        <f t="shared" si="21"/>
        <v>PENLoads Bombay and north</v>
      </c>
      <c r="C684" s="559" t="s">
        <v>265</v>
      </c>
      <c r="D684" s="559" t="s">
        <v>437</v>
      </c>
      <c r="E684" s="559">
        <v>1</v>
      </c>
      <c r="F684" s="18"/>
      <c r="G684" s="18"/>
      <c r="H684" s="18"/>
    </row>
    <row r="685" spans="1:8" x14ac:dyDescent="0.3">
      <c r="A685" s="116" t="str">
        <f t="shared" si="20"/>
        <v>ROS</v>
      </c>
      <c r="B685" s="60" t="str">
        <f t="shared" si="21"/>
        <v>ROSLoads Bombay and north</v>
      </c>
      <c r="C685" s="559" t="s">
        <v>273</v>
      </c>
      <c r="D685" s="559" t="s">
        <v>437</v>
      </c>
      <c r="E685" s="559">
        <v>1</v>
      </c>
      <c r="F685" s="18"/>
      <c r="G685" s="18"/>
      <c r="H685" s="18"/>
    </row>
    <row r="686" spans="1:8" x14ac:dyDescent="0.3">
      <c r="A686" s="116" t="str">
        <f t="shared" si="20"/>
        <v>ROS</v>
      </c>
      <c r="B686" s="60" t="str">
        <f t="shared" si="21"/>
        <v>ROSLoads Bombay and north</v>
      </c>
      <c r="C686" s="559" t="s">
        <v>274</v>
      </c>
      <c r="D686" s="559" t="s">
        <v>437</v>
      </c>
      <c r="E686" s="559">
        <v>1</v>
      </c>
      <c r="F686" s="18"/>
      <c r="G686" s="18"/>
      <c r="H686" s="18"/>
    </row>
    <row r="687" spans="1:8" x14ac:dyDescent="0.3">
      <c r="A687" s="116" t="str">
        <f t="shared" si="20"/>
        <v>SVL</v>
      </c>
      <c r="B687" s="60" t="str">
        <f t="shared" si="21"/>
        <v>SVLLoads Bombay and north</v>
      </c>
      <c r="C687" s="559" t="s">
        <v>292</v>
      </c>
      <c r="D687" s="559" t="s">
        <v>437</v>
      </c>
      <c r="E687" s="559">
        <v>1</v>
      </c>
      <c r="F687" s="18"/>
      <c r="G687" s="18"/>
      <c r="H687" s="18"/>
    </row>
    <row r="688" spans="1:8" x14ac:dyDescent="0.3">
      <c r="A688" s="116" t="str">
        <f t="shared" si="20"/>
        <v>SWN</v>
      </c>
      <c r="B688" s="60" t="str">
        <f t="shared" si="21"/>
        <v>SWNLoads Bombay and north</v>
      </c>
      <c r="C688" s="559" t="s">
        <v>293</v>
      </c>
      <c r="D688" s="559" t="s">
        <v>437</v>
      </c>
      <c r="E688" s="559">
        <v>1</v>
      </c>
      <c r="F688" s="18"/>
      <c r="G688" s="18"/>
      <c r="H688" s="18"/>
    </row>
    <row r="689" spans="1:8" x14ac:dyDescent="0.3">
      <c r="A689" s="116" t="str">
        <f t="shared" si="20"/>
        <v>SWN</v>
      </c>
      <c r="B689" s="60" t="str">
        <f t="shared" si="21"/>
        <v>SWNLoads Bombay and north</v>
      </c>
      <c r="C689" s="559" t="s">
        <v>294</v>
      </c>
      <c r="D689" s="559" t="s">
        <v>437</v>
      </c>
      <c r="E689" s="559">
        <v>1</v>
      </c>
      <c r="F689" s="18"/>
      <c r="G689" s="18"/>
      <c r="H689" s="18"/>
    </row>
    <row r="690" spans="1:8" x14ac:dyDescent="0.3">
      <c r="A690" s="116" t="str">
        <f t="shared" si="20"/>
        <v>TAK</v>
      </c>
      <c r="B690" s="60" t="str">
        <f t="shared" si="21"/>
        <v>TAKLoads Bombay and north</v>
      </c>
      <c r="C690" s="559" t="s">
        <v>296</v>
      </c>
      <c r="D690" s="559" t="s">
        <v>437</v>
      </c>
      <c r="E690" s="559">
        <v>1</v>
      </c>
      <c r="F690" s="18"/>
      <c r="G690" s="18"/>
      <c r="H690" s="18"/>
    </row>
    <row r="691" spans="1:8" x14ac:dyDescent="0.3">
      <c r="A691" s="116" t="str">
        <f t="shared" si="20"/>
        <v>WEL</v>
      </c>
      <c r="B691" s="60" t="str">
        <f t="shared" si="21"/>
        <v>WELLoads Bombay and north</v>
      </c>
      <c r="C691" s="559" t="s">
        <v>331</v>
      </c>
      <c r="D691" s="559" t="s">
        <v>437</v>
      </c>
      <c r="E691" s="559">
        <v>1</v>
      </c>
      <c r="F691" s="18"/>
      <c r="G691" s="18"/>
      <c r="H691" s="18"/>
    </row>
    <row r="692" spans="1:8" x14ac:dyDescent="0.3">
      <c r="A692" s="116" t="str">
        <f t="shared" si="20"/>
        <v>WIR</v>
      </c>
      <c r="B692" s="60" t="str">
        <f t="shared" si="21"/>
        <v>WIRLoads Bombay and north</v>
      </c>
      <c r="C692" s="559" t="s">
        <v>338</v>
      </c>
      <c r="D692" s="559" t="s">
        <v>437</v>
      </c>
      <c r="E692" s="559">
        <v>1</v>
      </c>
      <c r="F692" s="18"/>
      <c r="G692" s="18"/>
      <c r="H692" s="18"/>
    </row>
    <row r="693" spans="1:8" x14ac:dyDescent="0.3">
      <c r="A693" s="116" t="str">
        <f t="shared" si="20"/>
        <v>WRD</v>
      </c>
      <c r="B693" s="60" t="str">
        <f t="shared" si="21"/>
        <v>WRDLoads Bombay and north</v>
      </c>
      <c r="C693" s="559" t="s">
        <v>348</v>
      </c>
      <c r="D693" s="559" t="s">
        <v>437</v>
      </c>
      <c r="E693" s="559">
        <v>1</v>
      </c>
      <c r="F693" s="18"/>
      <c r="G693" s="18"/>
      <c r="H693" s="18"/>
    </row>
    <row r="694" spans="1:8" x14ac:dyDescent="0.3">
      <c r="A694" s="116" t="str">
        <f t="shared" si="20"/>
        <v>ALB</v>
      </c>
      <c r="B694" s="60" t="str">
        <f t="shared" si="21"/>
        <v>ALBLoads Henderson and north</v>
      </c>
      <c r="C694" s="559" t="s">
        <v>97</v>
      </c>
      <c r="D694" s="559" t="s">
        <v>440</v>
      </c>
      <c r="E694" s="559">
        <v>1</v>
      </c>
      <c r="F694" s="18"/>
      <c r="G694" s="18"/>
      <c r="H694" s="18"/>
    </row>
    <row r="695" spans="1:8" x14ac:dyDescent="0.3">
      <c r="A695" s="116" t="str">
        <f t="shared" si="20"/>
        <v>ALB</v>
      </c>
      <c r="B695" s="60" t="str">
        <f t="shared" si="21"/>
        <v>ALBLoads Henderson and north</v>
      </c>
      <c r="C695" s="559" t="s">
        <v>98</v>
      </c>
      <c r="D695" s="559" t="s">
        <v>440</v>
      </c>
      <c r="E695" s="559">
        <v>1</v>
      </c>
      <c r="F695" s="18"/>
      <c r="G695" s="18"/>
      <c r="H695" s="18"/>
    </row>
    <row r="696" spans="1:8" x14ac:dyDescent="0.3">
      <c r="A696" s="116" t="str">
        <f t="shared" si="20"/>
        <v>BRB</v>
      </c>
      <c r="B696" s="60" t="str">
        <f t="shared" si="21"/>
        <v>BRBLoads Henderson and north</v>
      </c>
      <c r="C696" s="559" t="s">
        <v>126</v>
      </c>
      <c r="D696" s="559" t="s">
        <v>440</v>
      </c>
      <c r="E696" s="559">
        <v>1</v>
      </c>
      <c r="F696" s="18"/>
      <c r="G696" s="18"/>
      <c r="H696" s="18"/>
    </row>
    <row r="697" spans="1:8" x14ac:dyDescent="0.3">
      <c r="A697" s="116" t="str">
        <f t="shared" si="20"/>
        <v>HEN</v>
      </c>
      <c r="B697" s="60" t="str">
        <f t="shared" si="21"/>
        <v>HENLoads Henderson and north</v>
      </c>
      <c r="C697" s="559" t="s">
        <v>161</v>
      </c>
      <c r="D697" s="559" t="s">
        <v>440</v>
      </c>
      <c r="E697" s="559">
        <v>1</v>
      </c>
      <c r="F697" s="18"/>
      <c r="G697" s="18"/>
      <c r="H697" s="18"/>
    </row>
    <row r="698" spans="1:8" x14ac:dyDescent="0.3">
      <c r="A698" s="116" t="str">
        <f t="shared" si="20"/>
        <v>HEP</v>
      </c>
      <c r="B698" s="60" t="str">
        <f t="shared" si="21"/>
        <v>HEPLoads Henderson and north</v>
      </c>
      <c r="C698" s="559" t="s">
        <v>162</v>
      </c>
      <c r="D698" s="559" t="s">
        <v>440</v>
      </c>
      <c r="E698" s="559">
        <v>1</v>
      </c>
      <c r="F698" s="18"/>
      <c r="G698" s="18"/>
      <c r="H698" s="18"/>
    </row>
    <row r="699" spans="1:8" x14ac:dyDescent="0.3">
      <c r="A699" s="116" t="str">
        <f t="shared" si="20"/>
        <v>KEN</v>
      </c>
      <c r="B699" s="60" t="str">
        <f t="shared" si="21"/>
        <v>KENLoads Henderson and north</v>
      </c>
      <c r="C699" s="559" t="s">
        <v>371</v>
      </c>
      <c r="D699" s="559" t="s">
        <v>440</v>
      </c>
      <c r="E699" s="559">
        <v>1</v>
      </c>
      <c r="F699" s="18"/>
      <c r="G699" s="18"/>
      <c r="H699" s="18"/>
    </row>
    <row r="700" spans="1:8" x14ac:dyDescent="0.3">
      <c r="A700" s="116" t="str">
        <f t="shared" si="20"/>
        <v>KOE</v>
      </c>
      <c r="B700" s="60" t="str">
        <f t="shared" si="21"/>
        <v>KOELoads Henderson and north</v>
      </c>
      <c r="C700" s="559" t="s">
        <v>200</v>
      </c>
      <c r="D700" s="559" t="s">
        <v>440</v>
      </c>
      <c r="E700" s="559">
        <v>1</v>
      </c>
      <c r="F700" s="18"/>
      <c r="G700" s="18"/>
      <c r="H700" s="18"/>
    </row>
    <row r="701" spans="1:8" x14ac:dyDescent="0.3">
      <c r="A701" s="116" t="str">
        <f t="shared" si="20"/>
        <v>MPE</v>
      </c>
      <c r="B701" s="60" t="str">
        <f t="shared" si="21"/>
        <v>MPELoads Henderson and north</v>
      </c>
      <c r="C701" s="559" t="s">
        <v>229</v>
      </c>
      <c r="D701" s="559" t="s">
        <v>440</v>
      </c>
      <c r="E701" s="559">
        <v>1</v>
      </c>
      <c r="F701" s="18"/>
      <c r="G701" s="18"/>
      <c r="H701" s="18"/>
    </row>
    <row r="702" spans="1:8" x14ac:dyDescent="0.3">
      <c r="A702" s="116" t="str">
        <f t="shared" si="20"/>
        <v>MTO</v>
      </c>
      <c r="B702" s="60" t="str">
        <f t="shared" si="21"/>
        <v>MTOLoads Henderson and north</v>
      </c>
      <c r="C702" s="559" t="s">
        <v>234</v>
      </c>
      <c r="D702" s="559" t="s">
        <v>440</v>
      </c>
      <c r="E702" s="559">
        <v>1</v>
      </c>
      <c r="F702" s="18"/>
      <c r="G702" s="18"/>
      <c r="H702" s="18"/>
    </row>
    <row r="703" spans="1:8" x14ac:dyDescent="0.3">
      <c r="A703" s="116" t="str">
        <f t="shared" si="20"/>
        <v>SVL</v>
      </c>
      <c r="B703" s="60" t="str">
        <f t="shared" si="21"/>
        <v>SVLLoads Henderson and north</v>
      </c>
      <c r="C703" s="559" t="s">
        <v>292</v>
      </c>
      <c r="D703" s="559" t="s">
        <v>440</v>
      </c>
      <c r="E703" s="559">
        <v>1</v>
      </c>
      <c r="F703" s="18"/>
      <c r="G703" s="18"/>
      <c r="H703" s="18"/>
    </row>
    <row r="704" spans="1:8" x14ac:dyDescent="0.3">
      <c r="A704" s="116" t="str">
        <f t="shared" si="20"/>
        <v>WEL</v>
      </c>
      <c r="B704" s="60" t="str">
        <f t="shared" si="21"/>
        <v>WELLoads Henderson and north</v>
      </c>
      <c r="C704" s="559" t="s">
        <v>331</v>
      </c>
      <c r="D704" s="559" t="s">
        <v>440</v>
      </c>
      <c r="E704" s="559">
        <v>1</v>
      </c>
      <c r="F704" s="18"/>
      <c r="G704" s="18"/>
      <c r="H704" s="18"/>
    </row>
    <row r="705" spans="1:15" x14ac:dyDescent="0.3">
      <c r="A705" s="116" t="str">
        <f t="shared" si="20"/>
        <v>WRD</v>
      </c>
      <c r="B705" s="60" t="str">
        <f t="shared" si="21"/>
        <v>WRDLoads Henderson and north</v>
      </c>
      <c r="C705" s="559" t="s">
        <v>348</v>
      </c>
      <c r="D705" s="559" t="s">
        <v>440</v>
      </c>
      <c r="E705" s="559">
        <v>1</v>
      </c>
      <c r="F705" s="18"/>
      <c r="G705" s="18"/>
      <c r="H705" s="18"/>
    </row>
    <row r="706" spans="1:15" x14ac:dyDescent="0.3">
      <c r="A706" s="116" t="str">
        <f t="shared" si="20"/>
        <v>ALB</v>
      </c>
      <c r="B706" s="60" t="str">
        <f t="shared" si="21"/>
        <v>ALBLoads Hepburn and north</v>
      </c>
      <c r="C706" s="559" t="s">
        <v>97</v>
      </c>
      <c r="D706" s="559" t="s">
        <v>441</v>
      </c>
      <c r="E706" s="559">
        <v>1</v>
      </c>
      <c r="F706" s="18"/>
      <c r="G706" s="18"/>
      <c r="H706" s="18"/>
    </row>
    <row r="707" spans="1:15" x14ac:dyDescent="0.3">
      <c r="A707" s="116" t="str">
        <f t="shared" si="20"/>
        <v>ALB</v>
      </c>
      <c r="B707" s="60" t="str">
        <f t="shared" si="21"/>
        <v>ALBLoads Hepburn and north</v>
      </c>
      <c r="C707" s="559" t="s">
        <v>98</v>
      </c>
      <c r="D707" s="559" t="s">
        <v>441</v>
      </c>
      <c r="E707" s="559">
        <v>1</v>
      </c>
      <c r="F707" s="18"/>
      <c r="G707" s="18"/>
      <c r="H707" s="18"/>
    </row>
    <row r="708" spans="1:15" x14ac:dyDescent="0.3">
      <c r="A708" s="116" t="str">
        <f t="shared" si="20"/>
        <v>BRB</v>
      </c>
      <c r="B708" s="60" t="str">
        <f t="shared" si="21"/>
        <v>BRBLoads Hepburn and north</v>
      </c>
      <c r="C708" s="559" t="s">
        <v>126</v>
      </c>
      <c r="D708" s="559" t="s">
        <v>441</v>
      </c>
      <c r="E708" s="559">
        <v>1</v>
      </c>
      <c r="F708" s="18"/>
      <c r="G708" s="18"/>
      <c r="H708" s="18"/>
    </row>
    <row r="709" spans="1:15" x14ac:dyDescent="0.3">
      <c r="A709" s="116" t="str">
        <f t="shared" si="20"/>
        <v>HEN</v>
      </c>
      <c r="B709" s="60" t="str">
        <f t="shared" si="21"/>
        <v>HENLoads Hepburn and north</v>
      </c>
      <c r="C709" s="559" t="s">
        <v>161</v>
      </c>
      <c r="D709" s="559" t="s">
        <v>441</v>
      </c>
      <c r="E709" s="559">
        <v>1</v>
      </c>
      <c r="F709" s="18"/>
      <c r="G709" s="18"/>
      <c r="H709" s="18"/>
    </row>
    <row r="710" spans="1:15" x14ac:dyDescent="0.3">
      <c r="A710" s="116" t="str">
        <f t="shared" si="20"/>
        <v>KEN</v>
      </c>
      <c r="B710" s="60" t="str">
        <f t="shared" si="21"/>
        <v>KENLoads Hepburn and north</v>
      </c>
      <c r="C710" s="559" t="s">
        <v>371</v>
      </c>
      <c r="D710" s="559" t="s">
        <v>441</v>
      </c>
      <c r="E710" s="559">
        <v>1</v>
      </c>
      <c r="F710" s="18"/>
      <c r="G710" s="18"/>
      <c r="H710" s="18"/>
    </row>
    <row r="711" spans="1:15" x14ac:dyDescent="0.3">
      <c r="A711" s="116" t="str">
        <f t="shared" ref="A711:A774" si="22">LEFT(C711,3)</f>
        <v>KOE</v>
      </c>
      <c r="B711" s="60" t="str">
        <f t="shared" ref="B711:B774" si="23">A711&amp;D711</f>
        <v>KOELoads Hepburn and north</v>
      </c>
      <c r="C711" s="559" t="s">
        <v>200</v>
      </c>
      <c r="D711" s="559" t="s">
        <v>441</v>
      </c>
      <c r="E711" s="559">
        <v>1</v>
      </c>
      <c r="F711" s="18"/>
      <c r="G711" s="18"/>
      <c r="H711" s="18"/>
    </row>
    <row r="712" spans="1:15" x14ac:dyDescent="0.3">
      <c r="A712" s="116" t="str">
        <f t="shared" si="22"/>
        <v>MPE</v>
      </c>
      <c r="B712" s="60" t="str">
        <f t="shared" si="23"/>
        <v>MPELoads Hepburn and north</v>
      </c>
      <c r="C712" s="559" t="s">
        <v>229</v>
      </c>
      <c r="D712" s="559" t="s">
        <v>441</v>
      </c>
      <c r="E712" s="559">
        <v>1</v>
      </c>
      <c r="F712" s="18"/>
      <c r="G712" s="18"/>
      <c r="H712" s="18"/>
    </row>
    <row r="713" spans="1:15" x14ac:dyDescent="0.3">
      <c r="A713" s="116" t="str">
        <f t="shared" si="22"/>
        <v>MTO</v>
      </c>
      <c r="B713" s="60" t="str">
        <f t="shared" si="23"/>
        <v>MTOLoads Hepburn and north</v>
      </c>
      <c r="C713" s="559" t="s">
        <v>234</v>
      </c>
      <c r="D713" s="559" t="s">
        <v>441</v>
      </c>
      <c r="E713" s="559">
        <v>1</v>
      </c>
      <c r="F713" s="18"/>
      <c r="G713" s="18"/>
      <c r="H713" s="18"/>
    </row>
    <row r="714" spans="1:15" x14ac:dyDescent="0.3">
      <c r="A714" s="116" t="str">
        <f t="shared" si="22"/>
        <v>SVL</v>
      </c>
      <c r="B714" s="60" t="str">
        <f t="shared" si="23"/>
        <v>SVLLoads Hepburn and north</v>
      </c>
      <c r="C714" s="559" t="s">
        <v>292</v>
      </c>
      <c r="D714" s="559" t="s">
        <v>441</v>
      </c>
      <c r="E714" s="559">
        <v>1</v>
      </c>
      <c r="F714" s="18"/>
      <c r="G714" s="18"/>
      <c r="H714" s="18"/>
    </row>
    <row r="715" spans="1:15" x14ac:dyDescent="0.3">
      <c r="A715" s="116" t="str">
        <f t="shared" si="22"/>
        <v>WEL</v>
      </c>
      <c r="B715" s="60" t="str">
        <f t="shared" si="23"/>
        <v>WELLoads Hepburn and north</v>
      </c>
      <c r="C715" s="559" t="s">
        <v>331</v>
      </c>
      <c r="D715" s="559" t="s">
        <v>441</v>
      </c>
      <c r="E715" s="559">
        <v>1</v>
      </c>
      <c r="F715" s="18"/>
      <c r="G715" s="18"/>
      <c r="H715" s="18"/>
    </row>
    <row r="716" spans="1:15" x14ac:dyDescent="0.3">
      <c r="A716" s="116" t="str">
        <f t="shared" si="22"/>
        <v>WRD</v>
      </c>
      <c r="B716" s="60" t="str">
        <f t="shared" si="23"/>
        <v>WRDLoads Hepburn and north</v>
      </c>
      <c r="C716" s="559" t="s">
        <v>348</v>
      </c>
      <c r="D716" s="559" t="s">
        <v>441</v>
      </c>
      <c r="E716" s="559">
        <v>1</v>
      </c>
      <c r="F716" s="18"/>
      <c r="G716" s="18"/>
      <c r="H716" s="18"/>
      <c r="K716" s="18"/>
      <c r="N716" s="19"/>
      <c r="O716" s="82"/>
    </row>
    <row r="717" spans="1:15" x14ac:dyDescent="0.3">
      <c r="A717" s="116" t="str">
        <f t="shared" si="22"/>
        <v>APS</v>
      </c>
      <c r="B717" s="60" t="str">
        <f t="shared" si="23"/>
        <v>APSLoads in Nelson-Marlborough and West Coast</v>
      </c>
      <c r="C717" s="559" t="s">
        <v>99</v>
      </c>
      <c r="D717" s="559" t="s">
        <v>431</v>
      </c>
      <c r="E717" s="559">
        <v>1</v>
      </c>
      <c r="F717" s="18"/>
      <c r="G717" s="18"/>
      <c r="H717" s="18"/>
    </row>
    <row r="718" spans="1:15" x14ac:dyDescent="0.3">
      <c r="A718" s="116" t="str">
        <f t="shared" si="22"/>
        <v>ARG</v>
      </c>
      <c r="B718" s="60" t="str">
        <f t="shared" si="23"/>
        <v>ARGLoads in Nelson-Marlborough and West Coast</v>
      </c>
      <c r="C718" s="559" t="s">
        <v>102</v>
      </c>
      <c r="D718" s="559" t="s">
        <v>431</v>
      </c>
      <c r="E718" s="559">
        <v>1</v>
      </c>
      <c r="F718" s="18"/>
      <c r="G718" s="18"/>
      <c r="H718" s="18"/>
    </row>
    <row r="719" spans="1:15" x14ac:dyDescent="0.3">
      <c r="A719" s="116" t="str">
        <f t="shared" si="22"/>
        <v>ATU</v>
      </c>
      <c r="B719" s="60" t="str">
        <f t="shared" si="23"/>
        <v>ATULoads in Nelson-Marlborough and West Coast</v>
      </c>
      <c r="C719" s="559" t="s">
        <v>113</v>
      </c>
      <c r="D719" s="559" t="s">
        <v>431</v>
      </c>
      <c r="E719" s="559">
        <v>1</v>
      </c>
      <c r="F719" s="18"/>
      <c r="G719" s="18"/>
      <c r="H719" s="18"/>
    </row>
    <row r="720" spans="1:15" x14ac:dyDescent="0.3">
      <c r="A720" s="116" t="str">
        <f t="shared" si="22"/>
        <v>BLN</v>
      </c>
      <c r="B720" s="60" t="str">
        <f t="shared" si="23"/>
        <v>BLNLoads in Nelson-Marlborough and West Coast</v>
      </c>
      <c r="C720" s="559" t="s">
        <v>118</v>
      </c>
      <c r="D720" s="559" t="s">
        <v>431</v>
      </c>
      <c r="E720" s="559">
        <v>1</v>
      </c>
      <c r="F720" s="18"/>
      <c r="G720" s="18"/>
      <c r="H720" s="18"/>
    </row>
    <row r="721" spans="1:15" x14ac:dyDescent="0.3">
      <c r="A721" s="116" t="str">
        <f t="shared" si="22"/>
        <v>CLH</v>
      </c>
      <c r="B721" s="60" t="str">
        <f t="shared" si="23"/>
        <v>CLHLoads in Nelson-Marlborough and West Coast</v>
      </c>
      <c r="C721" s="559" t="s">
        <v>132</v>
      </c>
      <c r="D721" s="559" t="s">
        <v>431</v>
      </c>
      <c r="E721" s="559">
        <v>1</v>
      </c>
      <c r="F721" s="18"/>
      <c r="G721" s="18"/>
      <c r="H721" s="18"/>
    </row>
    <row r="722" spans="1:15" x14ac:dyDescent="0.3">
      <c r="A722" s="116" t="str">
        <f t="shared" si="22"/>
        <v>DOB</v>
      </c>
      <c r="B722" s="60" t="str">
        <f t="shared" si="23"/>
        <v>DOBLoads in Nelson-Marlborough and West Coast</v>
      </c>
      <c r="C722" s="559" t="s">
        <v>145</v>
      </c>
      <c r="D722" s="559" t="s">
        <v>431</v>
      </c>
      <c r="E722" s="559">
        <v>1</v>
      </c>
      <c r="F722" s="18"/>
      <c r="G722" s="18"/>
      <c r="H722" s="18"/>
    </row>
    <row r="723" spans="1:15" x14ac:dyDescent="0.3">
      <c r="A723" s="116" t="str">
        <f t="shared" si="22"/>
        <v>GYM</v>
      </c>
      <c r="B723" s="60" t="str">
        <f t="shared" si="23"/>
        <v>GYMLoads in Nelson-Marlborough and West Coast</v>
      </c>
      <c r="C723" s="559" t="s">
        <v>154</v>
      </c>
      <c r="D723" s="559" t="s">
        <v>431</v>
      </c>
      <c r="E723" s="559">
        <v>1</v>
      </c>
      <c r="F723" s="18"/>
      <c r="G723" s="18"/>
      <c r="H723" s="18"/>
    </row>
    <row r="724" spans="1:15" x14ac:dyDescent="0.3">
      <c r="A724" s="116" t="str">
        <f t="shared" si="22"/>
        <v>HKK</v>
      </c>
      <c r="B724" s="60" t="str">
        <f t="shared" si="23"/>
        <v>HKKLoads in Nelson-Marlborough and West Coast</v>
      </c>
      <c r="C724" s="559" t="s">
        <v>164</v>
      </c>
      <c r="D724" s="559" t="s">
        <v>431</v>
      </c>
      <c r="E724" s="559">
        <v>1</v>
      </c>
      <c r="F724" s="18"/>
      <c r="G724" s="18"/>
      <c r="H724" s="18"/>
    </row>
    <row r="725" spans="1:15" x14ac:dyDescent="0.3">
      <c r="A725" s="116" t="str">
        <f t="shared" si="22"/>
        <v>KIK</v>
      </c>
      <c r="B725" s="60" t="str">
        <f t="shared" si="23"/>
        <v>KIKLoads in Nelson-Marlborough and West Coast</v>
      </c>
      <c r="C725" s="559" t="s">
        <v>196</v>
      </c>
      <c r="D725" s="559" t="s">
        <v>431</v>
      </c>
      <c r="E725" s="559">
        <v>1</v>
      </c>
      <c r="F725" s="18"/>
      <c r="G725" s="18"/>
      <c r="H725" s="18"/>
    </row>
    <row r="726" spans="1:15" x14ac:dyDescent="0.3">
      <c r="A726" s="116" t="str">
        <f t="shared" si="22"/>
        <v>KUM</v>
      </c>
      <c r="B726" s="60" t="str">
        <f t="shared" si="23"/>
        <v>KUMLoads in Nelson-Marlborough and West Coast</v>
      </c>
      <c r="C726" s="559" t="s">
        <v>205</v>
      </c>
      <c r="D726" s="559" t="s">
        <v>431</v>
      </c>
      <c r="E726" s="559">
        <v>1</v>
      </c>
      <c r="F726" s="18"/>
      <c r="G726" s="18"/>
      <c r="H726" s="18"/>
    </row>
    <row r="727" spans="1:15" x14ac:dyDescent="0.3">
      <c r="A727" s="116" t="str">
        <f t="shared" si="22"/>
        <v>MCH</v>
      </c>
      <c r="B727" s="60" t="str">
        <f t="shared" si="23"/>
        <v>MCHLoads in Nelson-Marlborough and West Coast</v>
      </c>
      <c r="C727" s="559" t="s">
        <v>217</v>
      </c>
      <c r="D727" s="559" t="s">
        <v>431</v>
      </c>
      <c r="E727" s="559">
        <v>1</v>
      </c>
      <c r="F727" s="18"/>
      <c r="G727" s="18"/>
      <c r="H727" s="18"/>
    </row>
    <row r="728" spans="1:15" x14ac:dyDescent="0.3">
      <c r="A728" s="116" t="str">
        <f t="shared" si="22"/>
        <v>MOT</v>
      </c>
      <c r="B728" s="60" t="str">
        <f t="shared" si="23"/>
        <v>MOTLoads in Nelson-Marlborough and West Coast</v>
      </c>
      <c r="C728" s="559" t="s">
        <v>379</v>
      </c>
      <c r="D728" s="559" t="s">
        <v>431</v>
      </c>
      <c r="E728" s="559">
        <v>1</v>
      </c>
      <c r="F728" s="18"/>
      <c r="G728" s="18"/>
      <c r="H728" s="18"/>
    </row>
    <row r="729" spans="1:15" x14ac:dyDescent="0.3">
      <c r="A729" s="116" t="str">
        <f t="shared" si="22"/>
        <v>MPI</v>
      </c>
      <c r="B729" s="60" t="str">
        <f t="shared" si="23"/>
        <v>MPILoads in Nelson-Marlborough and West Coast</v>
      </c>
      <c r="C729" s="559" t="s">
        <v>380</v>
      </c>
      <c r="D729" s="559" t="s">
        <v>431</v>
      </c>
      <c r="E729" s="559">
        <v>1</v>
      </c>
      <c r="F729" s="18"/>
      <c r="G729" s="18"/>
      <c r="H729" s="18"/>
    </row>
    <row r="730" spans="1:15" x14ac:dyDescent="0.3">
      <c r="A730" s="116" t="str">
        <f t="shared" si="22"/>
        <v>ORO</v>
      </c>
      <c r="B730" s="60" t="str">
        <f t="shared" si="23"/>
        <v>OROLoads in Nelson-Marlborough and West Coast</v>
      </c>
      <c r="C730" s="559" t="s">
        <v>255</v>
      </c>
      <c r="D730" s="559" t="s">
        <v>431</v>
      </c>
      <c r="E730" s="559">
        <v>1</v>
      </c>
      <c r="F730" s="18"/>
      <c r="G730" s="18"/>
      <c r="H730" s="18"/>
    </row>
    <row r="731" spans="1:15" x14ac:dyDescent="0.3">
      <c r="A731" s="116" t="str">
        <f t="shared" si="22"/>
        <v>ORO</v>
      </c>
      <c r="B731" s="60" t="str">
        <f t="shared" si="23"/>
        <v>OROLoads in Nelson-Marlborough and West Coast</v>
      </c>
      <c r="C731" s="559" t="s">
        <v>256</v>
      </c>
      <c r="D731" s="559" t="s">
        <v>431</v>
      </c>
      <c r="E731" s="559">
        <v>1</v>
      </c>
      <c r="F731" s="18"/>
      <c r="G731" s="18"/>
      <c r="H731" s="18"/>
    </row>
    <row r="732" spans="1:15" x14ac:dyDescent="0.3">
      <c r="A732" s="116" t="str">
        <f t="shared" si="22"/>
        <v>OTI</v>
      </c>
      <c r="B732" s="60" t="str">
        <f t="shared" si="23"/>
        <v>OTILoads in Nelson-Marlborough and West Coast</v>
      </c>
      <c r="C732" s="559" t="s">
        <v>258</v>
      </c>
      <c r="D732" s="559" t="s">
        <v>431</v>
      </c>
      <c r="E732" s="559">
        <v>1</v>
      </c>
      <c r="F732" s="18"/>
      <c r="G732" s="18"/>
      <c r="H732" s="18"/>
    </row>
    <row r="733" spans="1:15" x14ac:dyDescent="0.3">
      <c r="A733" s="116" t="str">
        <f t="shared" si="22"/>
        <v>RFN</v>
      </c>
      <c r="B733" s="60" t="str">
        <f t="shared" si="23"/>
        <v>RFNLoads in Nelson-Marlborough and West Coast</v>
      </c>
      <c r="C733" s="559" t="s">
        <v>271</v>
      </c>
      <c r="D733" s="559" t="s">
        <v>431</v>
      </c>
      <c r="E733" s="559">
        <v>1</v>
      </c>
      <c r="F733" s="18"/>
      <c r="G733" s="18"/>
      <c r="H733" s="18"/>
    </row>
    <row r="734" spans="1:15" x14ac:dyDescent="0.3">
      <c r="A734" s="116" t="str">
        <f t="shared" si="22"/>
        <v>RFN</v>
      </c>
      <c r="B734" s="60" t="str">
        <f t="shared" si="23"/>
        <v>RFNLoads in Nelson-Marlborough and West Coast</v>
      </c>
      <c r="C734" s="559" t="s">
        <v>272</v>
      </c>
      <c r="D734" s="559" t="s">
        <v>431</v>
      </c>
      <c r="E734" s="559">
        <v>1</v>
      </c>
      <c r="F734" s="18"/>
      <c r="G734" s="18"/>
      <c r="H734" s="18"/>
    </row>
    <row r="735" spans="1:15" x14ac:dyDescent="0.3">
      <c r="A735" s="116" t="str">
        <f t="shared" si="22"/>
        <v>STK</v>
      </c>
      <c r="B735" s="60" t="str">
        <f t="shared" si="23"/>
        <v>STKLoads in Nelson-Marlborough and West Coast</v>
      </c>
      <c r="C735" s="559" t="s">
        <v>289</v>
      </c>
      <c r="D735" s="559" t="s">
        <v>431</v>
      </c>
      <c r="E735" s="559">
        <v>1</v>
      </c>
      <c r="F735" s="18"/>
      <c r="G735" s="18"/>
      <c r="H735" s="18"/>
    </row>
    <row r="736" spans="1:15" x14ac:dyDescent="0.3">
      <c r="A736" s="116" t="str">
        <f t="shared" si="22"/>
        <v>WPT</v>
      </c>
      <c r="B736" s="60" t="str">
        <f t="shared" si="23"/>
        <v>WPTLoads in Nelson-Marlborough and West Coast</v>
      </c>
      <c r="C736" s="559" t="s">
        <v>346</v>
      </c>
      <c r="D736" s="559" t="s">
        <v>431</v>
      </c>
      <c r="E736" s="559">
        <v>1</v>
      </c>
      <c r="F736" s="18"/>
      <c r="G736" s="18"/>
      <c r="H736" s="18"/>
      <c r="K736" s="94"/>
      <c r="N736" s="61"/>
      <c r="O736" s="61"/>
    </row>
    <row r="737" spans="1:8" x14ac:dyDescent="0.3">
      <c r="A737" s="116" t="str">
        <f t="shared" si="22"/>
        <v>MTR</v>
      </c>
      <c r="B737" s="60" t="str">
        <f t="shared" si="23"/>
        <v>MTRLoads in Ongarue National Park Ohakune Mataroa</v>
      </c>
      <c r="C737" s="559" t="s">
        <v>235</v>
      </c>
      <c r="D737" s="559" t="s">
        <v>457</v>
      </c>
      <c r="E737" s="559">
        <v>1</v>
      </c>
      <c r="F737" s="18"/>
      <c r="G737" s="18"/>
      <c r="H737" s="18"/>
    </row>
    <row r="738" spans="1:8" x14ac:dyDescent="0.3">
      <c r="A738" s="116" t="str">
        <f t="shared" si="22"/>
        <v>NPK</v>
      </c>
      <c r="B738" s="60" t="str">
        <f t="shared" si="23"/>
        <v>NPKLoads in Ongarue National Park Ohakune Mataroa</v>
      </c>
      <c r="C738" s="559" t="s">
        <v>242</v>
      </c>
      <c r="D738" s="559" t="s">
        <v>457</v>
      </c>
      <c r="E738" s="559">
        <v>1</v>
      </c>
      <c r="F738" s="18"/>
      <c r="G738" s="18"/>
      <c r="H738" s="18"/>
    </row>
    <row r="739" spans="1:8" x14ac:dyDescent="0.3">
      <c r="A739" s="116" t="str">
        <f t="shared" si="22"/>
        <v>OKN</v>
      </c>
      <c r="B739" s="60" t="str">
        <f t="shared" si="23"/>
        <v>OKNLoads in Ongarue National Park Ohakune Mataroa</v>
      </c>
      <c r="C739" s="559" t="s">
        <v>252</v>
      </c>
      <c r="D739" s="559" t="s">
        <v>457</v>
      </c>
      <c r="E739" s="559">
        <v>1</v>
      </c>
      <c r="F739" s="18"/>
      <c r="G739" s="18"/>
      <c r="H739" s="18"/>
    </row>
    <row r="740" spans="1:8" x14ac:dyDescent="0.3">
      <c r="A740" s="116" t="str">
        <f t="shared" si="22"/>
        <v>ONG</v>
      </c>
      <c r="B740" s="60" t="str">
        <f t="shared" si="23"/>
        <v>ONGLoads in Ongarue National Park Ohakune Mataroa</v>
      </c>
      <c r="C740" s="559" t="s">
        <v>253</v>
      </c>
      <c r="D740" s="559" t="s">
        <v>457</v>
      </c>
      <c r="E740" s="559">
        <v>1</v>
      </c>
      <c r="F740" s="18"/>
      <c r="G740" s="18"/>
      <c r="H740" s="18"/>
    </row>
    <row r="741" spans="1:8" x14ac:dyDescent="0.3">
      <c r="A741" s="116" t="str">
        <f t="shared" si="22"/>
        <v>MPE</v>
      </c>
      <c r="B741" s="60" t="str">
        <f t="shared" si="23"/>
        <v>MPELoads in Wellsford Maungaturoto Maungatapere</v>
      </c>
      <c r="C741" s="559" t="s">
        <v>229</v>
      </c>
      <c r="D741" s="559" t="s">
        <v>683</v>
      </c>
      <c r="E741" s="559">
        <v>1</v>
      </c>
      <c r="F741" s="18"/>
      <c r="G741" s="18"/>
      <c r="H741" s="18"/>
    </row>
    <row r="742" spans="1:8" x14ac:dyDescent="0.3">
      <c r="A742" s="116" t="str">
        <f t="shared" si="22"/>
        <v>MTO</v>
      </c>
      <c r="B742" s="60" t="str">
        <f t="shared" si="23"/>
        <v>MTOLoads in Wellsford Maungaturoto Maungatapere</v>
      </c>
      <c r="C742" s="559" t="s">
        <v>234</v>
      </c>
      <c r="D742" s="559" t="s">
        <v>683</v>
      </c>
      <c r="E742" s="559">
        <v>1</v>
      </c>
      <c r="F742" s="18"/>
      <c r="G742" s="18"/>
      <c r="H742" s="18"/>
    </row>
    <row r="743" spans="1:8" x14ac:dyDescent="0.3">
      <c r="A743" s="116" t="str">
        <f t="shared" si="22"/>
        <v>WEL</v>
      </c>
      <c r="B743" s="60" t="str">
        <f t="shared" si="23"/>
        <v>WELLoads in Wellsford Maungaturoto Maungatapere</v>
      </c>
      <c r="C743" s="559" t="s">
        <v>331</v>
      </c>
      <c r="D743" s="559" t="s">
        <v>683</v>
      </c>
      <c r="E743" s="559">
        <v>1</v>
      </c>
      <c r="F743" s="18"/>
      <c r="G743" s="18"/>
      <c r="H743" s="18"/>
    </row>
    <row r="744" spans="1:8" x14ac:dyDescent="0.3">
      <c r="A744" s="116" t="str">
        <f t="shared" si="22"/>
        <v>BRB</v>
      </c>
      <c r="B744" s="60" t="str">
        <f t="shared" si="23"/>
        <v>BRBLoads Marsden and north</v>
      </c>
      <c r="C744" s="559" t="s">
        <v>126</v>
      </c>
      <c r="D744" s="559" t="s">
        <v>443</v>
      </c>
      <c r="E744" s="559">
        <v>1</v>
      </c>
      <c r="F744" s="18"/>
      <c r="G744" s="18"/>
      <c r="H744" s="18"/>
    </row>
    <row r="745" spans="1:8" x14ac:dyDescent="0.3">
      <c r="A745" s="116" t="str">
        <f t="shared" si="22"/>
        <v>KEN</v>
      </c>
      <c r="B745" s="60" t="str">
        <f t="shared" si="23"/>
        <v>KENLoads Marsden and north</v>
      </c>
      <c r="C745" s="559" t="s">
        <v>371</v>
      </c>
      <c r="D745" s="559" t="s">
        <v>443</v>
      </c>
      <c r="E745" s="559">
        <v>1</v>
      </c>
      <c r="F745" s="18"/>
      <c r="G745" s="18"/>
      <c r="H745" s="18"/>
    </row>
    <row r="746" spans="1:8" x14ac:dyDescent="0.3">
      <c r="A746" s="116" t="str">
        <f t="shared" si="22"/>
        <v>KOE</v>
      </c>
      <c r="B746" s="60" t="str">
        <f t="shared" si="23"/>
        <v>KOELoads Marsden and north</v>
      </c>
      <c r="C746" s="559" t="s">
        <v>200</v>
      </c>
      <c r="D746" s="559" t="s">
        <v>443</v>
      </c>
      <c r="E746" s="559">
        <v>1</v>
      </c>
      <c r="F746" s="18"/>
      <c r="G746" s="18"/>
      <c r="H746" s="18"/>
    </row>
    <row r="747" spans="1:8" x14ac:dyDescent="0.3">
      <c r="A747" s="116" t="str">
        <f t="shared" si="22"/>
        <v>MPE</v>
      </c>
      <c r="B747" s="60" t="str">
        <f t="shared" si="23"/>
        <v>MPELoads Marsden and north</v>
      </c>
      <c r="C747" s="559" t="s">
        <v>229</v>
      </c>
      <c r="D747" s="559" t="s">
        <v>443</v>
      </c>
      <c r="E747" s="559">
        <v>1</v>
      </c>
      <c r="F747" s="18"/>
      <c r="G747" s="18"/>
      <c r="H747" s="18"/>
    </row>
    <row r="748" spans="1:8" x14ac:dyDescent="0.3">
      <c r="A748" s="116" t="str">
        <f t="shared" si="22"/>
        <v>ALB</v>
      </c>
      <c r="B748" s="60" t="str">
        <f t="shared" si="23"/>
        <v>ALBLoads north of WKM</v>
      </c>
      <c r="C748" s="559" t="s">
        <v>97</v>
      </c>
      <c r="D748" s="559" t="s">
        <v>409</v>
      </c>
      <c r="E748" s="559">
        <v>1</v>
      </c>
      <c r="F748" s="18"/>
      <c r="G748" s="18"/>
      <c r="H748" s="18"/>
    </row>
    <row r="749" spans="1:8" x14ac:dyDescent="0.3">
      <c r="A749" s="116" t="str">
        <f t="shared" si="22"/>
        <v>ALB</v>
      </c>
      <c r="B749" s="60" t="str">
        <f t="shared" si="23"/>
        <v>ALBLoads north of WKM</v>
      </c>
      <c r="C749" s="559" t="s">
        <v>98</v>
      </c>
      <c r="D749" s="559" t="s">
        <v>409</v>
      </c>
      <c r="E749" s="559">
        <v>1</v>
      </c>
      <c r="F749" s="18"/>
      <c r="G749" s="18"/>
      <c r="H749" s="18"/>
    </row>
    <row r="750" spans="1:8" x14ac:dyDescent="0.3">
      <c r="A750" s="116" t="str">
        <f t="shared" si="22"/>
        <v>BOB</v>
      </c>
      <c r="B750" s="60" t="str">
        <f t="shared" si="23"/>
        <v>BOBLoads north of WKM</v>
      </c>
      <c r="C750" s="559" t="s">
        <v>119</v>
      </c>
      <c r="D750" s="559" t="s">
        <v>409</v>
      </c>
      <c r="E750" s="559">
        <v>1</v>
      </c>
      <c r="F750" s="18"/>
      <c r="G750" s="18"/>
      <c r="H750" s="18"/>
    </row>
    <row r="751" spans="1:8" x14ac:dyDescent="0.3">
      <c r="A751" s="116" t="str">
        <f t="shared" si="22"/>
        <v>BOB</v>
      </c>
      <c r="B751" s="60" t="str">
        <f t="shared" si="23"/>
        <v>BOBLoads north of WKM</v>
      </c>
      <c r="C751" s="559" t="s">
        <v>120</v>
      </c>
      <c r="D751" s="559" t="s">
        <v>409</v>
      </c>
      <c r="E751" s="559">
        <v>1</v>
      </c>
      <c r="F751" s="18"/>
      <c r="G751" s="18"/>
      <c r="H751" s="18"/>
    </row>
    <row r="752" spans="1:8" x14ac:dyDescent="0.3">
      <c r="A752" s="116" t="str">
        <f t="shared" si="22"/>
        <v>BRB</v>
      </c>
      <c r="B752" s="60" t="str">
        <f t="shared" si="23"/>
        <v>BRBLoads north of WKM</v>
      </c>
      <c r="C752" s="559" t="s">
        <v>126</v>
      </c>
      <c r="D752" s="559" t="s">
        <v>409</v>
      </c>
      <c r="E752" s="559">
        <v>1</v>
      </c>
      <c r="F752" s="18"/>
      <c r="G752" s="18"/>
      <c r="H752" s="18"/>
    </row>
    <row r="753" spans="1:8" x14ac:dyDescent="0.3">
      <c r="A753" s="116" t="str">
        <f t="shared" si="22"/>
        <v>CBG</v>
      </c>
      <c r="B753" s="60" t="str">
        <f t="shared" si="23"/>
        <v>CBGLoads north of WKM</v>
      </c>
      <c r="C753" s="559" t="s">
        <v>131</v>
      </c>
      <c r="D753" s="559" t="s">
        <v>409</v>
      </c>
      <c r="E753" s="559">
        <v>1</v>
      </c>
      <c r="F753" s="18"/>
      <c r="G753" s="18"/>
      <c r="H753" s="18"/>
    </row>
    <row r="754" spans="1:8" x14ac:dyDescent="0.3">
      <c r="A754" s="116" t="str">
        <f t="shared" si="22"/>
        <v>EDG</v>
      </c>
      <c r="B754" s="60" t="str">
        <f t="shared" si="23"/>
        <v>EDGLoads north of WKM</v>
      </c>
      <c r="C754" s="559" t="s">
        <v>147</v>
      </c>
      <c r="D754" s="559" t="s">
        <v>409</v>
      </c>
      <c r="E754" s="559">
        <v>1</v>
      </c>
      <c r="F754" s="18"/>
      <c r="G754" s="18"/>
      <c r="H754" s="18"/>
    </row>
    <row r="755" spans="1:8" x14ac:dyDescent="0.3">
      <c r="A755" s="116" t="str">
        <f t="shared" si="22"/>
        <v>FHL</v>
      </c>
      <c r="B755" s="60" t="str">
        <f t="shared" si="23"/>
        <v>FHLLoads north of WKM</v>
      </c>
      <c r="C755" s="559" t="s">
        <v>149</v>
      </c>
      <c r="D755" s="559" t="s">
        <v>409</v>
      </c>
      <c r="E755" s="559">
        <v>1</v>
      </c>
      <c r="F755" s="18"/>
      <c r="G755" s="18"/>
      <c r="H755" s="18"/>
    </row>
    <row r="756" spans="1:8" x14ac:dyDescent="0.3">
      <c r="A756" s="116" t="str">
        <f t="shared" si="22"/>
        <v>GIS</v>
      </c>
      <c r="B756" s="60" t="str">
        <f t="shared" si="23"/>
        <v>GISLoads north of WKM</v>
      </c>
      <c r="C756" s="559" t="s">
        <v>365</v>
      </c>
      <c r="D756" s="559" t="s">
        <v>409</v>
      </c>
      <c r="E756" s="559">
        <v>1</v>
      </c>
      <c r="F756" s="18"/>
      <c r="G756" s="18"/>
      <c r="H756" s="18"/>
    </row>
    <row r="757" spans="1:8" x14ac:dyDescent="0.3">
      <c r="A757" s="116" t="str">
        <f t="shared" si="22"/>
        <v>GLN</v>
      </c>
      <c r="B757" s="60" t="str">
        <f t="shared" si="23"/>
        <v>GLNLoads north of WKM</v>
      </c>
      <c r="C757" s="559" t="s">
        <v>366</v>
      </c>
      <c r="D757" s="559" t="s">
        <v>409</v>
      </c>
      <c r="E757" s="559">
        <v>1</v>
      </c>
      <c r="F757" s="18"/>
      <c r="G757" s="18"/>
      <c r="H757" s="18"/>
    </row>
    <row r="758" spans="1:8" x14ac:dyDescent="0.3">
      <c r="A758" s="116" t="str">
        <f t="shared" si="22"/>
        <v>GLN</v>
      </c>
      <c r="B758" s="60" t="str">
        <f t="shared" si="23"/>
        <v>GLNLoads north of WKM</v>
      </c>
      <c r="C758" s="559" t="s">
        <v>367</v>
      </c>
      <c r="D758" s="559" t="s">
        <v>409</v>
      </c>
      <c r="E758" s="559">
        <v>1</v>
      </c>
      <c r="F758" s="18"/>
      <c r="G758" s="18"/>
      <c r="H758" s="18"/>
    </row>
    <row r="759" spans="1:8" x14ac:dyDescent="0.3">
      <c r="A759" s="116" t="str">
        <f t="shared" si="22"/>
        <v>HAM</v>
      </c>
      <c r="B759" s="60" t="str">
        <f t="shared" si="23"/>
        <v>HAMLoads north of WKM</v>
      </c>
      <c r="C759" s="559" t="s">
        <v>156</v>
      </c>
      <c r="D759" s="559" t="s">
        <v>409</v>
      </c>
      <c r="E759" s="559">
        <v>1</v>
      </c>
      <c r="F759" s="18"/>
      <c r="G759" s="18"/>
      <c r="H759" s="18"/>
    </row>
    <row r="760" spans="1:8" x14ac:dyDescent="0.3">
      <c r="A760" s="116" t="str">
        <f t="shared" si="22"/>
        <v>HAM</v>
      </c>
      <c r="B760" s="60" t="str">
        <f t="shared" si="23"/>
        <v>HAMLoads north of WKM</v>
      </c>
      <c r="C760" s="559" t="s">
        <v>157</v>
      </c>
      <c r="D760" s="559" t="s">
        <v>409</v>
      </c>
      <c r="E760" s="559">
        <v>1</v>
      </c>
      <c r="F760" s="18"/>
      <c r="G760" s="18"/>
      <c r="H760" s="18"/>
    </row>
    <row r="761" spans="1:8" x14ac:dyDescent="0.3">
      <c r="A761" s="116" t="str">
        <f t="shared" si="22"/>
        <v>HAM</v>
      </c>
      <c r="B761" s="60" t="str">
        <f t="shared" si="23"/>
        <v>HAMLoads north of WKM</v>
      </c>
      <c r="C761" s="559" t="s">
        <v>158</v>
      </c>
      <c r="D761" s="559" t="s">
        <v>409</v>
      </c>
      <c r="E761" s="559">
        <v>1</v>
      </c>
      <c r="F761" s="18"/>
      <c r="G761" s="18"/>
      <c r="H761" s="18"/>
    </row>
    <row r="762" spans="1:8" x14ac:dyDescent="0.3">
      <c r="A762" s="116" t="str">
        <f t="shared" si="22"/>
        <v>HEN</v>
      </c>
      <c r="B762" s="60" t="str">
        <f t="shared" si="23"/>
        <v>HENLoads north of WKM</v>
      </c>
      <c r="C762" s="559" t="s">
        <v>161</v>
      </c>
      <c r="D762" s="559" t="s">
        <v>409</v>
      </c>
      <c r="E762" s="559">
        <v>1</v>
      </c>
      <c r="F762" s="18"/>
      <c r="G762" s="18"/>
      <c r="H762" s="18"/>
    </row>
    <row r="763" spans="1:8" x14ac:dyDescent="0.3">
      <c r="A763" s="116" t="str">
        <f t="shared" si="22"/>
        <v>HEP</v>
      </c>
      <c r="B763" s="60" t="str">
        <f t="shared" si="23"/>
        <v>HEPLoads north of WKM</v>
      </c>
      <c r="C763" s="559" t="s">
        <v>162</v>
      </c>
      <c r="D763" s="559" t="s">
        <v>409</v>
      </c>
      <c r="E763" s="559">
        <v>1</v>
      </c>
      <c r="F763" s="18"/>
      <c r="G763" s="18"/>
      <c r="H763" s="18"/>
    </row>
    <row r="764" spans="1:8" x14ac:dyDescent="0.3">
      <c r="A764" s="116" t="str">
        <f t="shared" si="22"/>
        <v>HIN</v>
      </c>
      <c r="B764" s="60" t="str">
        <f t="shared" si="23"/>
        <v>HINLoads north of WKM</v>
      </c>
      <c r="C764" s="559" t="s">
        <v>163</v>
      </c>
      <c r="D764" s="559" t="s">
        <v>409</v>
      </c>
      <c r="E764" s="559">
        <v>1</v>
      </c>
      <c r="F764" s="18"/>
      <c r="G764" s="18"/>
      <c r="H764" s="18"/>
    </row>
    <row r="765" spans="1:8" x14ac:dyDescent="0.3">
      <c r="A765" s="116" t="str">
        <f t="shared" si="22"/>
        <v>HLY</v>
      </c>
      <c r="B765" s="60" t="str">
        <f t="shared" si="23"/>
        <v>HLYLoads north of WKM</v>
      </c>
      <c r="C765" s="559" t="s">
        <v>165</v>
      </c>
      <c r="D765" s="559" t="s">
        <v>409</v>
      </c>
      <c r="E765" s="559">
        <v>1</v>
      </c>
      <c r="F765" s="18"/>
      <c r="G765" s="18"/>
      <c r="H765" s="18"/>
    </row>
    <row r="766" spans="1:8" x14ac:dyDescent="0.3">
      <c r="A766" s="116" t="str">
        <f t="shared" si="22"/>
        <v>HOB</v>
      </c>
      <c r="B766" s="60" t="str">
        <f t="shared" si="23"/>
        <v>HOBLoads north of WKM</v>
      </c>
      <c r="C766" s="559" t="s">
        <v>170</v>
      </c>
      <c r="D766" s="559" t="s">
        <v>409</v>
      </c>
      <c r="E766" s="559">
        <v>1</v>
      </c>
      <c r="F766" s="18"/>
      <c r="G766" s="18"/>
      <c r="H766" s="18"/>
    </row>
    <row r="767" spans="1:8" x14ac:dyDescent="0.3">
      <c r="A767" s="116" t="str">
        <f t="shared" si="22"/>
        <v>HTI</v>
      </c>
      <c r="B767" s="60" t="str">
        <f t="shared" si="23"/>
        <v>HTILoads north of WKM</v>
      </c>
      <c r="C767" s="559" t="s">
        <v>173</v>
      </c>
      <c r="D767" s="559" t="s">
        <v>409</v>
      </c>
      <c r="E767" s="559">
        <v>1</v>
      </c>
      <c r="F767" s="18"/>
      <c r="G767" s="18"/>
      <c r="H767" s="18"/>
    </row>
    <row r="768" spans="1:8" x14ac:dyDescent="0.3">
      <c r="A768" s="116" t="str">
        <f t="shared" si="22"/>
        <v>KAW</v>
      </c>
      <c r="B768" s="60" t="str">
        <f t="shared" si="23"/>
        <v>KAWLoads north of WKM</v>
      </c>
      <c r="C768" s="559" t="s">
        <v>193</v>
      </c>
      <c r="D768" s="559" t="s">
        <v>409</v>
      </c>
      <c r="E768" s="559">
        <v>1</v>
      </c>
      <c r="F768" s="18"/>
      <c r="G768" s="18"/>
      <c r="H768" s="18"/>
    </row>
    <row r="769" spans="1:8" x14ac:dyDescent="0.3">
      <c r="A769" s="116" t="str">
        <f t="shared" si="22"/>
        <v>KAW</v>
      </c>
      <c r="B769" s="60" t="str">
        <f t="shared" si="23"/>
        <v>KAWLoads north of WKM</v>
      </c>
      <c r="C769" s="559" t="s">
        <v>368</v>
      </c>
      <c r="D769" s="559" t="s">
        <v>409</v>
      </c>
      <c r="E769" s="559">
        <v>1</v>
      </c>
      <c r="F769" s="18"/>
      <c r="G769" s="18"/>
      <c r="H769" s="18"/>
    </row>
    <row r="770" spans="1:8" x14ac:dyDescent="0.3">
      <c r="A770" s="116" t="str">
        <f t="shared" si="22"/>
        <v>KAW</v>
      </c>
      <c r="B770" s="60" t="str">
        <f t="shared" si="23"/>
        <v>KAWLoads north of WKM</v>
      </c>
      <c r="C770" s="559" t="s">
        <v>681</v>
      </c>
      <c r="D770" s="559" t="s">
        <v>409</v>
      </c>
      <c r="E770" s="559">
        <v>1</v>
      </c>
      <c r="F770" s="18"/>
      <c r="G770" s="18"/>
      <c r="H770" s="18"/>
    </row>
    <row r="771" spans="1:8" x14ac:dyDescent="0.3">
      <c r="A771" s="116" t="str">
        <f t="shared" si="22"/>
        <v>KAW</v>
      </c>
      <c r="B771" s="60" t="str">
        <f t="shared" si="23"/>
        <v>KAWLoads north of WKM</v>
      </c>
      <c r="C771" s="559" t="s">
        <v>369</v>
      </c>
      <c r="D771" s="559" t="s">
        <v>409</v>
      </c>
      <c r="E771" s="559">
        <v>1</v>
      </c>
      <c r="F771" s="18"/>
      <c r="G771" s="18"/>
      <c r="H771" s="18"/>
    </row>
    <row r="772" spans="1:8" x14ac:dyDescent="0.3">
      <c r="A772" s="116" t="str">
        <f t="shared" si="22"/>
        <v>KAW</v>
      </c>
      <c r="B772" s="60" t="str">
        <f t="shared" si="23"/>
        <v>KAWLoads north of WKM</v>
      </c>
      <c r="C772" s="559" t="s">
        <v>682</v>
      </c>
      <c r="D772" s="559" t="s">
        <v>409</v>
      </c>
      <c r="E772" s="559">
        <v>1</v>
      </c>
      <c r="F772" s="18"/>
      <c r="G772" s="18"/>
      <c r="H772" s="18"/>
    </row>
    <row r="773" spans="1:8" x14ac:dyDescent="0.3">
      <c r="A773" s="116" t="str">
        <f t="shared" si="22"/>
        <v>KAW</v>
      </c>
      <c r="B773" s="60" t="str">
        <f t="shared" si="23"/>
        <v>KAWLoads north of WKM</v>
      </c>
      <c r="C773" s="559" t="s">
        <v>370</v>
      </c>
      <c r="D773" s="559" t="s">
        <v>409</v>
      </c>
      <c r="E773" s="559">
        <v>1</v>
      </c>
      <c r="F773" s="18"/>
      <c r="G773" s="18"/>
      <c r="H773" s="18"/>
    </row>
    <row r="774" spans="1:8" x14ac:dyDescent="0.3">
      <c r="A774" s="116" t="str">
        <f t="shared" si="22"/>
        <v>KEN</v>
      </c>
      <c r="B774" s="60" t="str">
        <f t="shared" si="23"/>
        <v>KENLoads north of WKM</v>
      </c>
      <c r="C774" s="559" t="s">
        <v>371</v>
      </c>
      <c r="D774" s="559" t="s">
        <v>409</v>
      </c>
      <c r="E774" s="559">
        <v>1</v>
      </c>
      <c r="F774" s="18"/>
      <c r="G774" s="18"/>
      <c r="H774" s="18"/>
    </row>
    <row r="775" spans="1:8" x14ac:dyDescent="0.3">
      <c r="A775" s="116" t="str">
        <f t="shared" ref="A775:A838" si="24">LEFT(C775,3)</f>
        <v>KIN</v>
      </c>
      <c r="B775" s="60" t="str">
        <f t="shared" ref="B775:B838" si="25">A775&amp;D775</f>
        <v>KINLoads north of WKM</v>
      </c>
      <c r="C775" s="559" t="s">
        <v>372</v>
      </c>
      <c r="D775" s="559" t="s">
        <v>409</v>
      </c>
      <c r="E775" s="559">
        <v>1</v>
      </c>
      <c r="F775" s="18"/>
      <c r="G775" s="18"/>
      <c r="H775" s="18"/>
    </row>
    <row r="776" spans="1:8" x14ac:dyDescent="0.3">
      <c r="A776" s="116" t="str">
        <f t="shared" si="24"/>
        <v>KIN</v>
      </c>
      <c r="B776" s="60" t="str">
        <f t="shared" si="25"/>
        <v>KINLoads north of WKM</v>
      </c>
      <c r="C776" s="559" t="s">
        <v>373</v>
      </c>
      <c r="D776" s="559" t="s">
        <v>409</v>
      </c>
      <c r="E776" s="559">
        <v>1</v>
      </c>
      <c r="F776" s="18"/>
      <c r="G776" s="18"/>
      <c r="H776" s="18"/>
    </row>
    <row r="777" spans="1:8" x14ac:dyDescent="0.3">
      <c r="A777" s="116" t="str">
        <f t="shared" si="24"/>
        <v>KIN</v>
      </c>
      <c r="B777" s="60" t="str">
        <f t="shared" si="25"/>
        <v>KINLoads north of WKM</v>
      </c>
      <c r="C777" s="559" t="s">
        <v>374</v>
      </c>
      <c r="D777" s="559" t="s">
        <v>409</v>
      </c>
      <c r="E777" s="559">
        <v>1</v>
      </c>
      <c r="F777" s="18"/>
      <c r="G777" s="18"/>
      <c r="H777" s="18"/>
    </row>
    <row r="778" spans="1:8" x14ac:dyDescent="0.3">
      <c r="A778" s="116" t="str">
        <f t="shared" si="24"/>
        <v>KIN</v>
      </c>
      <c r="B778" s="60" t="str">
        <f t="shared" si="25"/>
        <v>KINLoads north of WKM</v>
      </c>
      <c r="C778" s="559" t="s">
        <v>198</v>
      </c>
      <c r="D778" s="559" t="s">
        <v>409</v>
      </c>
      <c r="E778" s="559">
        <v>1</v>
      </c>
      <c r="F778" s="18"/>
      <c r="G778" s="18"/>
      <c r="H778" s="18"/>
    </row>
    <row r="779" spans="1:8" x14ac:dyDescent="0.3">
      <c r="A779" s="116" t="str">
        <f t="shared" si="24"/>
        <v>KMO</v>
      </c>
      <c r="B779" s="60" t="str">
        <f t="shared" si="25"/>
        <v>KMOLoads north of WKM</v>
      </c>
      <c r="C779" s="559" t="s">
        <v>199</v>
      </c>
      <c r="D779" s="559" t="s">
        <v>409</v>
      </c>
      <c r="E779" s="559">
        <v>1</v>
      </c>
      <c r="F779" s="18"/>
      <c r="G779" s="18"/>
      <c r="H779" s="18"/>
    </row>
    <row r="780" spans="1:8" x14ac:dyDescent="0.3">
      <c r="A780" s="116" t="str">
        <f t="shared" si="24"/>
        <v>KOE</v>
      </c>
      <c r="B780" s="60" t="str">
        <f t="shared" si="25"/>
        <v>KOELoads north of WKM</v>
      </c>
      <c r="C780" s="559" t="s">
        <v>200</v>
      </c>
      <c r="D780" s="559" t="s">
        <v>409</v>
      </c>
      <c r="E780" s="559">
        <v>1</v>
      </c>
      <c r="F780" s="18"/>
      <c r="G780" s="18"/>
      <c r="H780" s="18"/>
    </row>
    <row r="781" spans="1:8" x14ac:dyDescent="0.3">
      <c r="A781" s="116" t="str">
        <f t="shared" si="24"/>
        <v>KPU</v>
      </c>
      <c r="B781" s="60" t="str">
        <f t="shared" si="25"/>
        <v>KPULoads north of WKM</v>
      </c>
      <c r="C781" s="559" t="s">
        <v>204</v>
      </c>
      <c r="D781" s="559" t="s">
        <v>409</v>
      </c>
      <c r="E781" s="559">
        <v>1</v>
      </c>
      <c r="F781" s="18"/>
      <c r="G781" s="18"/>
      <c r="H781" s="18"/>
    </row>
    <row r="782" spans="1:8" x14ac:dyDescent="0.3">
      <c r="A782" s="116" t="str">
        <f t="shared" si="24"/>
        <v>LFD</v>
      </c>
      <c r="B782" s="60" t="str">
        <f t="shared" si="25"/>
        <v>LFDLoads north of WKM</v>
      </c>
      <c r="C782" s="559" t="s">
        <v>208</v>
      </c>
      <c r="D782" s="559" t="s">
        <v>409</v>
      </c>
      <c r="E782" s="559">
        <v>1</v>
      </c>
      <c r="F782" s="18"/>
      <c r="G782" s="18"/>
      <c r="H782" s="18"/>
    </row>
    <row r="783" spans="1:8" x14ac:dyDescent="0.3">
      <c r="A783" s="116" t="str">
        <f t="shared" si="24"/>
        <v>LFD</v>
      </c>
      <c r="B783" s="60" t="str">
        <f t="shared" si="25"/>
        <v>LFDLoads north of WKM</v>
      </c>
      <c r="C783" s="559" t="s">
        <v>209</v>
      </c>
      <c r="D783" s="559" t="s">
        <v>409</v>
      </c>
      <c r="E783" s="559">
        <v>1</v>
      </c>
      <c r="F783" s="18"/>
      <c r="G783" s="18"/>
      <c r="H783" s="18"/>
    </row>
    <row r="784" spans="1:8" x14ac:dyDescent="0.3">
      <c r="A784" s="116" t="str">
        <f t="shared" si="24"/>
        <v>MAT</v>
      </c>
      <c r="B784" s="60" t="str">
        <f t="shared" si="25"/>
        <v>MATLoads north of WKM</v>
      </c>
      <c r="C784" s="559" t="s">
        <v>213</v>
      </c>
      <c r="D784" s="559" t="s">
        <v>409</v>
      </c>
      <c r="E784" s="559">
        <v>1</v>
      </c>
      <c r="F784" s="18"/>
      <c r="G784" s="18"/>
      <c r="H784" s="18"/>
    </row>
    <row r="785" spans="1:8" x14ac:dyDescent="0.3">
      <c r="A785" s="116" t="str">
        <f t="shared" si="24"/>
        <v>MER</v>
      </c>
      <c r="B785" s="60" t="str">
        <f t="shared" si="25"/>
        <v>MERLoads north of WKM</v>
      </c>
      <c r="C785" s="559" t="s">
        <v>218</v>
      </c>
      <c r="D785" s="559" t="s">
        <v>409</v>
      </c>
      <c r="E785" s="559">
        <v>1</v>
      </c>
      <c r="F785" s="18"/>
      <c r="G785" s="18"/>
      <c r="H785" s="18"/>
    </row>
    <row r="786" spans="1:8" x14ac:dyDescent="0.3">
      <c r="A786" s="116" t="str">
        <f t="shared" si="24"/>
        <v>MNG</v>
      </c>
      <c r="B786" s="60" t="str">
        <f t="shared" si="25"/>
        <v>MNGLoads north of WKM</v>
      </c>
      <c r="C786" s="559" t="s">
        <v>226</v>
      </c>
      <c r="D786" s="559" t="s">
        <v>409</v>
      </c>
      <c r="E786" s="559">
        <v>1</v>
      </c>
      <c r="F786" s="18"/>
      <c r="G786" s="18"/>
      <c r="H786" s="18"/>
    </row>
    <row r="787" spans="1:8" x14ac:dyDescent="0.3">
      <c r="A787" s="116" t="str">
        <f t="shared" si="24"/>
        <v>MNG</v>
      </c>
      <c r="B787" s="60" t="str">
        <f t="shared" si="25"/>
        <v>MNGLoads north of WKM</v>
      </c>
      <c r="C787" s="559" t="s">
        <v>227</v>
      </c>
      <c r="D787" s="559" t="s">
        <v>409</v>
      </c>
      <c r="E787" s="559">
        <v>1</v>
      </c>
      <c r="F787" s="18"/>
      <c r="G787" s="18"/>
      <c r="H787" s="18"/>
    </row>
    <row r="788" spans="1:8" x14ac:dyDescent="0.3">
      <c r="A788" s="116" t="str">
        <f t="shared" si="24"/>
        <v>MPE</v>
      </c>
      <c r="B788" s="60" t="str">
        <f t="shared" si="25"/>
        <v>MPELoads north of WKM</v>
      </c>
      <c r="C788" s="559" t="s">
        <v>229</v>
      </c>
      <c r="D788" s="559" t="s">
        <v>409</v>
      </c>
      <c r="E788" s="559">
        <v>1</v>
      </c>
      <c r="F788" s="18"/>
      <c r="G788" s="18"/>
      <c r="H788" s="18"/>
    </row>
    <row r="789" spans="1:8" x14ac:dyDescent="0.3">
      <c r="A789" s="116" t="str">
        <f t="shared" si="24"/>
        <v>MTM</v>
      </c>
      <c r="B789" s="60" t="str">
        <f t="shared" si="25"/>
        <v>MTMLoads north of WKM</v>
      </c>
      <c r="C789" s="559" t="s">
        <v>232</v>
      </c>
      <c r="D789" s="559" t="s">
        <v>409</v>
      </c>
      <c r="E789" s="559">
        <v>1</v>
      </c>
      <c r="F789" s="18"/>
      <c r="G789" s="18"/>
      <c r="H789" s="18"/>
    </row>
    <row r="790" spans="1:8" x14ac:dyDescent="0.3">
      <c r="A790" s="116" t="str">
        <f t="shared" si="24"/>
        <v>MTO</v>
      </c>
      <c r="B790" s="60" t="str">
        <f t="shared" si="25"/>
        <v>MTOLoads north of WKM</v>
      </c>
      <c r="C790" s="559" t="s">
        <v>234</v>
      </c>
      <c r="D790" s="559" t="s">
        <v>409</v>
      </c>
      <c r="E790" s="559">
        <v>1</v>
      </c>
      <c r="F790" s="18"/>
      <c r="G790" s="18"/>
      <c r="H790" s="18"/>
    </row>
    <row r="791" spans="1:8" x14ac:dyDescent="0.3">
      <c r="A791" s="116" t="str">
        <f t="shared" si="24"/>
        <v>OTA</v>
      </c>
      <c r="B791" s="60" t="str">
        <f t="shared" si="25"/>
        <v>OTALoads north of WKM</v>
      </c>
      <c r="C791" s="559" t="s">
        <v>257</v>
      </c>
      <c r="D791" s="559" t="s">
        <v>409</v>
      </c>
      <c r="E791" s="559">
        <v>1</v>
      </c>
      <c r="F791" s="18"/>
      <c r="G791" s="18"/>
      <c r="H791" s="18"/>
    </row>
    <row r="792" spans="1:8" x14ac:dyDescent="0.3">
      <c r="A792" s="116" t="str">
        <f t="shared" si="24"/>
        <v>OTA</v>
      </c>
      <c r="B792" s="60" t="str">
        <f t="shared" si="25"/>
        <v>OTALoads north of WKM</v>
      </c>
      <c r="C792" s="559" t="s">
        <v>381</v>
      </c>
      <c r="D792" s="559" t="s">
        <v>409</v>
      </c>
      <c r="E792" s="559">
        <v>1</v>
      </c>
      <c r="F792" s="18"/>
      <c r="G792" s="18"/>
      <c r="H792" s="18"/>
    </row>
    <row r="793" spans="1:8" x14ac:dyDescent="0.3">
      <c r="A793" s="116" t="str">
        <f t="shared" si="24"/>
        <v>OTA</v>
      </c>
      <c r="B793" s="60" t="str">
        <f t="shared" si="25"/>
        <v>OTALoads north of WKM</v>
      </c>
      <c r="C793" s="559" t="s">
        <v>382</v>
      </c>
      <c r="D793" s="559" t="s">
        <v>409</v>
      </c>
      <c r="E793" s="559">
        <v>1</v>
      </c>
      <c r="F793" s="18"/>
      <c r="G793" s="18"/>
      <c r="H793" s="18"/>
    </row>
    <row r="794" spans="1:8" x14ac:dyDescent="0.3">
      <c r="A794" s="116" t="str">
        <f t="shared" si="24"/>
        <v>OWH</v>
      </c>
      <c r="B794" s="60" t="str">
        <f t="shared" si="25"/>
        <v>OWHLoads north of WKM</v>
      </c>
      <c r="C794" s="559" t="s">
        <v>259</v>
      </c>
      <c r="D794" s="559" t="s">
        <v>409</v>
      </c>
      <c r="E794" s="559">
        <v>1</v>
      </c>
      <c r="F794" s="18"/>
      <c r="G794" s="18"/>
      <c r="H794" s="18"/>
    </row>
    <row r="795" spans="1:8" x14ac:dyDescent="0.3">
      <c r="A795" s="116" t="str">
        <f t="shared" si="24"/>
        <v>PAK</v>
      </c>
      <c r="B795" s="60" t="str">
        <f t="shared" si="25"/>
        <v>PAKLoads north of WKM</v>
      </c>
      <c r="C795" s="559" t="s">
        <v>260</v>
      </c>
      <c r="D795" s="559" t="s">
        <v>409</v>
      </c>
      <c r="E795" s="559">
        <v>1</v>
      </c>
      <c r="F795" s="18"/>
      <c r="G795" s="18"/>
      <c r="H795" s="18"/>
    </row>
    <row r="796" spans="1:8" x14ac:dyDescent="0.3">
      <c r="A796" s="116" t="str">
        <f t="shared" si="24"/>
        <v>PEN</v>
      </c>
      <c r="B796" s="60" t="str">
        <f t="shared" si="25"/>
        <v>PENLoads north of WKM</v>
      </c>
      <c r="C796" s="559" t="s">
        <v>262</v>
      </c>
      <c r="D796" s="559" t="s">
        <v>409</v>
      </c>
      <c r="E796" s="559">
        <v>1</v>
      </c>
      <c r="F796" s="18"/>
      <c r="G796" s="18"/>
      <c r="H796" s="18"/>
    </row>
    <row r="797" spans="1:8" x14ac:dyDescent="0.3">
      <c r="A797" s="116" t="str">
        <f t="shared" si="24"/>
        <v>PEN</v>
      </c>
      <c r="B797" s="60" t="str">
        <f t="shared" si="25"/>
        <v>PENLoads north of WKM</v>
      </c>
      <c r="C797" s="559" t="s">
        <v>263</v>
      </c>
      <c r="D797" s="559" t="s">
        <v>409</v>
      </c>
      <c r="E797" s="559">
        <v>1</v>
      </c>
      <c r="F797" s="18"/>
      <c r="G797" s="18"/>
      <c r="H797" s="18"/>
    </row>
    <row r="798" spans="1:8" x14ac:dyDescent="0.3">
      <c r="A798" s="116" t="str">
        <f t="shared" si="24"/>
        <v>PEN</v>
      </c>
      <c r="B798" s="60" t="str">
        <f t="shared" si="25"/>
        <v>PENLoads north of WKM</v>
      </c>
      <c r="C798" s="559" t="s">
        <v>264</v>
      </c>
      <c r="D798" s="559" t="s">
        <v>409</v>
      </c>
      <c r="E798" s="559">
        <v>1</v>
      </c>
      <c r="F798" s="18"/>
      <c r="G798" s="18"/>
      <c r="H798" s="18"/>
    </row>
    <row r="799" spans="1:8" x14ac:dyDescent="0.3">
      <c r="A799" s="116" t="str">
        <f t="shared" si="24"/>
        <v>PEN</v>
      </c>
      <c r="B799" s="60" t="str">
        <f t="shared" si="25"/>
        <v>PENLoads north of WKM</v>
      </c>
      <c r="C799" s="559" t="s">
        <v>265</v>
      </c>
      <c r="D799" s="559" t="s">
        <v>409</v>
      </c>
      <c r="E799" s="559">
        <v>1</v>
      </c>
      <c r="F799" s="18"/>
      <c r="G799" s="18"/>
      <c r="H799" s="18"/>
    </row>
    <row r="800" spans="1:8" x14ac:dyDescent="0.3">
      <c r="A800" s="116" t="str">
        <f t="shared" si="24"/>
        <v>PPI</v>
      </c>
      <c r="B800" s="60" t="str">
        <f t="shared" si="25"/>
        <v>PPILoads north of WKM</v>
      </c>
      <c r="C800" s="559" t="s">
        <v>267</v>
      </c>
      <c r="D800" s="559" t="s">
        <v>409</v>
      </c>
      <c r="E800" s="559">
        <v>1</v>
      </c>
      <c r="F800" s="18"/>
      <c r="G800" s="18"/>
      <c r="H800" s="18"/>
    </row>
    <row r="801" spans="1:8" x14ac:dyDescent="0.3">
      <c r="A801" s="116" t="str">
        <f t="shared" si="24"/>
        <v>RDF</v>
      </c>
      <c r="B801" s="60" t="str">
        <f t="shared" si="25"/>
        <v>RDFLoads north of WKM</v>
      </c>
      <c r="C801" s="559" t="s">
        <v>270</v>
      </c>
      <c r="D801" s="559" t="s">
        <v>409</v>
      </c>
      <c r="E801" s="559">
        <v>1</v>
      </c>
      <c r="F801" s="18"/>
      <c r="G801" s="18"/>
      <c r="H801" s="18"/>
    </row>
    <row r="802" spans="1:8" x14ac:dyDescent="0.3">
      <c r="A802" s="116" t="str">
        <f t="shared" si="24"/>
        <v>ROS</v>
      </c>
      <c r="B802" s="60" t="str">
        <f t="shared" si="25"/>
        <v>ROSLoads north of WKM</v>
      </c>
      <c r="C802" s="559" t="s">
        <v>273</v>
      </c>
      <c r="D802" s="559" t="s">
        <v>409</v>
      </c>
      <c r="E802" s="559">
        <v>1</v>
      </c>
      <c r="F802" s="18"/>
      <c r="G802" s="18"/>
      <c r="H802" s="18"/>
    </row>
    <row r="803" spans="1:8" x14ac:dyDescent="0.3">
      <c r="A803" s="116" t="str">
        <f t="shared" si="24"/>
        <v>ROS</v>
      </c>
      <c r="B803" s="60" t="str">
        <f t="shared" si="25"/>
        <v>ROSLoads north of WKM</v>
      </c>
      <c r="C803" s="559" t="s">
        <v>274</v>
      </c>
      <c r="D803" s="559" t="s">
        <v>409</v>
      </c>
      <c r="E803" s="559">
        <v>1</v>
      </c>
      <c r="F803" s="18"/>
      <c r="G803" s="18"/>
      <c r="H803" s="18"/>
    </row>
    <row r="804" spans="1:8" x14ac:dyDescent="0.3">
      <c r="A804" s="116" t="str">
        <f t="shared" si="24"/>
        <v>ROT</v>
      </c>
      <c r="B804" s="60" t="str">
        <f t="shared" si="25"/>
        <v>ROTLoads north of WKM</v>
      </c>
      <c r="C804" s="559" t="s">
        <v>275</v>
      </c>
      <c r="D804" s="559" t="s">
        <v>409</v>
      </c>
      <c r="E804" s="559">
        <v>1</v>
      </c>
      <c r="F804" s="18"/>
      <c r="G804" s="18"/>
      <c r="H804" s="18"/>
    </row>
    <row r="805" spans="1:8" x14ac:dyDescent="0.3">
      <c r="A805" s="116" t="str">
        <f t="shared" si="24"/>
        <v>ROT</v>
      </c>
      <c r="B805" s="60" t="str">
        <f t="shared" si="25"/>
        <v>ROTLoads north of WKM</v>
      </c>
      <c r="C805" s="559" t="s">
        <v>276</v>
      </c>
      <c r="D805" s="559" t="s">
        <v>409</v>
      </c>
      <c r="E805" s="559">
        <v>1</v>
      </c>
      <c r="F805" s="18"/>
      <c r="G805" s="18"/>
      <c r="H805" s="18"/>
    </row>
    <row r="806" spans="1:8" x14ac:dyDescent="0.3">
      <c r="A806" s="116" t="str">
        <f t="shared" si="24"/>
        <v>ROT</v>
      </c>
      <c r="B806" s="60" t="str">
        <f t="shared" si="25"/>
        <v>ROTLoads north of WKM</v>
      </c>
      <c r="C806" s="559" t="s">
        <v>277</v>
      </c>
      <c r="D806" s="559" t="s">
        <v>409</v>
      </c>
      <c r="E806" s="559">
        <v>1</v>
      </c>
      <c r="F806" s="18"/>
      <c r="G806" s="18"/>
      <c r="H806" s="18"/>
    </row>
    <row r="807" spans="1:8" x14ac:dyDescent="0.3">
      <c r="A807" s="116" t="str">
        <f t="shared" si="24"/>
        <v>SVL</v>
      </c>
      <c r="B807" s="60" t="str">
        <f t="shared" si="25"/>
        <v>SVLLoads north of WKM</v>
      </c>
      <c r="C807" s="559" t="s">
        <v>292</v>
      </c>
      <c r="D807" s="559" t="s">
        <v>409</v>
      </c>
      <c r="E807" s="559">
        <v>1</v>
      </c>
      <c r="F807" s="18"/>
      <c r="G807" s="18"/>
      <c r="H807" s="18"/>
    </row>
    <row r="808" spans="1:8" x14ac:dyDescent="0.3">
      <c r="A808" s="116" t="str">
        <f t="shared" si="24"/>
        <v>SWN</v>
      </c>
      <c r="B808" s="60" t="str">
        <f t="shared" si="25"/>
        <v>SWNLoads north of WKM</v>
      </c>
      <c r="C808" s="559" t="s">
        <v>293</v>
      </c>
      <c r="D808" s="559" t="s">
        <v>409</v>
      </c>
      <c r="E808" s="559">
        <v>1</v>
      </c>
      <c r="F808" s="18"/>
      <c r="G808" s="18"/>
      <c r="H808" s="18"/>
    </row>
    <row r="809" spans="1:8" x14ac:dyDescent="0.3">
      <c r="A809" s="116" t="str">
        <f t="shared" si="24"/>
        <v>SWN</v>
      </c>
      <c r="B809" s="60" t="str">
        <f t="shared" si="25"/>
        <v>SWNLoads north of WKM</v>
      </c>
      <c r="C809" s="559" t="s">
        <v>294</v>
      </c>
      <c r="D809" s="559" t="s">
        <v>409</v>
      </c>
      <c r="E809" s="559">
        <v>1</v>
      </c>
      <c r="F809" s="18"/>
      <c r="G809" s="18"/>
      <c r="H809" s="18"/>
    </row>
    <row r="810" spans="1:8" x14ac:dyDescent="0.3">
      <c r="A810" s="116" t="str">
        <f t="shared" si="24"/>
        <v>TAK</v>
      </c>
      <c r="B810" s="60" t="str">
        <f t="shared" si="25"/>
        <v>TAKLoads north of WKM</v>
      </c>
      <c r="C810" s="559" t="s">
        <v>296</v>
      </c>
      <c r="D810" s="559" t="s">
        <v>409</v>
      </c>
      <c r="E810" s="559">
        <v>1</v>
      </c>
      <c r="F810" s="18"/>
      <c r="G810" s="18"/>
      <c r="H810" s="18"/>
    </row>
    <row r="811" spans="1:8" x14ac:dyDescent="0.3">
      <c r="A811" s="116" t="str">
        <f t="shared" si="24"/>
        <v>TGA</v>
      </c>
      <c r="B811" s="60" t="str">
        <f t="shared" si="25"/>
        <v>TGALoads north of WKM</v>
      </c>
      <c r="C811" s="559" t="s">
        <v>297</v>
      </c>
      <c r="D811" s="559" t="s">
        <v>409</v>
      </c>
      <c r="E811" s="559">
        <v>1</v>
      </c>
      <c r="F811" s="18"/>
      <c r="G811" s="18"/>
      <c r="H811" s="18"/>
    </row>
    <row r="812" spans="1:8" x14ac:dyDescent="0.3">
      <c r="A812" s="116" t="str">
        <f t="shared" si="24"/>
        <v>TGA</v>
      </c>
      <c r="B812" s="60" t="str">
        <f t="shared" si="25"/>
        <v>TGALoads north of WKM</v>
      </c>
      <c r="C812" s="559" t="s">
        <v>298</v>
      </c>
      <c r="D812" s="559" t="s">
        <v>409</v>
      </c>
      <c r="E812" s="559">
        <v>1</v>
      </c>
      <c r="F812" s="18"/>
      <c r="G812" s="18"/>
      <c r="H812" s="18"/>
    </row>
    <row r="813" spans="1:8" x14ac:dyDescent="0.3">
      <c r="A813" s="116" t="str">
        <f t="shared" si="24"/>
        <v>TKH</v>
      </c>
      <c r="B813" s="60" t="str">
        <f t="shared" si="25"/>
        <v>TKHLoads north of WKM</v>
      </c>
      <c r="C813" s="559" t="s">
        <v>306</v>
      </c>
      <c r="D813" s="559" t="s">
        <v>409</v>
      </c>
      <c r="E813" s="559">
        <v>1</v>
      </c>
      <c r="F813" s="18"/>
      <c r="G813" s="18"/>
      <c r="H813" s="18"/>
    </row>
    <row r="814" spans="1:8" x14ac:dyDescent="0.3">
      <c r="A814" s="116" t="str">
        <f t="shared" si="24"/>
        <v>TMI</v>
      </c>
      <c r="B814" s="60" t="str">
        <f t="shared" si="25"/>
        <v>TMILoads north of WKM</v>
      </c>
      <c r="C814" s="559" t="s">
        <v>310</v>
      </c>
      <c r="D814" s="559" t="s">
        <v>409</v>
      </c>
      <c r="E814" s="559">
        <v>1</v>
      </c>
      <c r="F814" s="18"/>
      <c r="G814" s="18"/>
      <c r="H814" s="18"/>
    </row>
    <row r="815" spans="1:8" x14ac:dyDescent="0.3">
      <c r="A815" s="116" t="str">
        <f t="shared" si="24"/>
        <v>TMU</v>
      </c>
      <c r="B815" s="60" t="str">
        <f t="shared" si="25"/>
        <v>TMULoads north of WKM</v>
      </c>
      <c r="C815" s="559" t="s">
        <v>313</v>
      </c>
      <c r="D815" s="559" t="s">
        <v>409</v>
      </c>
      <c r="E815" s="559">
        <v>1</v>
      </c>
      <c r="F815" s="18"/>
      <c r="G815" s="18"/>
      <c r="H815" s="18"/>
    </row>
    <row r="816" spans="1:8" x14ac:dyDescent="0.3">
      <c r="A816" s="116" t="str">
        <f t="shared" si="24"/>
        <v>TRK</v>
      </c>
      <c r="B816" s="60" t="str">
        <f t="shared" si="25"/>
        <v>TRKLoads north of WKM</v>
      </c>
      <c r="C816" s="559" t="s">
        <v>316</v>
      </c>
      <c r="D816" s="559" t="s">
        <v>409</v>
      </c>
      <c r="E816" s="559">
        <v>1</v>
      </c>
      <c r="F816" s="18"/>
      <c r="G816" s="18"/>
      <c r="H816" s="18"/>
    </row>
    <row r="817" spans="1:15" x14ac:dyDescent="0.3">
      <c r="A817" s="116" t="str">
        <f t="shared" si="24"/>
        <v>TUI</v>
      </c>
      <c r="B817" s="60" t="str">
        <f t="shared" si="25"/>
        <v>TUILoads north of WKM</v>
      </c>
      <c r="C817" s="559" t="s">
        <v>684</v>
      </c>
      <c r="D817" s="559" t="s">
        <v>409</v>
      </c>
      <c r="E817" s="559">
        <v>1</v>
      </c>
      <c r="F817" s="18"/>
      <c r="G817" s="18"/>
      <c r="H817" s="18"/>
    </row>
    <row r="818" spans="1:15" x14ac:dyDescent="0.3">
      <c r="A818" s="116" t="str">
        <f t="shared" si="24"/>
        <v>TUI</v>
      </c>
      <c r="B818" s="60" t="str">
        <f t="shared" si="25"/>
        <v>TUILoads north of WKM</v>
      </c>
      <c r="C818" s="559" t="s">
        <v>317</v>
      </c>
      <c r="D818" s="559" t="s">
        <v>409</v>
      </c>
      <c r="E818" s="559">
        <v>1</v>
      </c>
      <c r="F818" s="18"/>
      <c r="G818" s="18"/>
      <c r="H818" s="18"/>
    </row>
    <row r="819" spans="1:15" x14ac:dyDescent="0.3">
      <c r="A819" s="116" t="str">
        <f t="shared" si="24"/>
        <v>TWH</v>
      </c>
      <c r="B819" s="60" t="str">
        <f t="shared" si="25"/>
        <v>TWHLoads north of WKM</v>
      </c>
      <c r="C819" s="559" t="s">
        <v>322</v>
      </c>
      <c r="D819" s="559" t="s">
        <v>409</v>
      </c>
      <c r="E819" s="559">
        <v>1</v>
      </c>
      <c r="F819" s="18"/>
      <c r="G819" s="18"/>
      <c r="H819" s="18"/>
    </row>
    <row r="820" spans="1:15" x14ac:dyDescent="0.3">
      <c r="A820" s="116" t="str">
        <f t="shared" si="24"/>
        <v>TWH</v>
      </c>
      <c r="B820" s="60" t="str">
        <f t="shared" si="25"/>
        <v>TWHLoads north of WKM</v>
      </c>
      <c r="C820" s="559" t="s">
        <v>324</v>
      </c>
      <c r="D820" s="559" t="s">
        <v>409</v>
      </c>
      <c r="E820" s="559">
        <v>1</v>
      </c>
      <c r="F820" s="18"/>
      <c r="G820" s="18"/>
      <c r="H820" s="18"/>
    </row>
    <row r="821" spans="1:15" x14ac:dyDescent="0.3">
      <c r="A821" s="116" t="str">
        <f t="shared" si="24"/>
        <v>WAI</v>
      </c>
      <c r="B821" s="60" t="str">
        <f t="shared" si="25"/>
        <v>WAILoads north of WKM</v>
      </c>
      <c r="C821" s="559" t="s">
        <v>328</v>
      </c>
      <c r="D821" s="559" t="s">
        <v>409</v>
      </c>
      <c r="E821" s="559">
        <v>1</v>
      </c>
      <c r="F821" s="18"/>
      <c r="G821" s="18"/>
      <c r="H821" s="18"/>
    </row>
    <row r="822" spans="1:15" x14ac:dyDescent="0.3">
      <c r="A822" s="116" t="str">
        <f t="shared" si="24"/>
        <v>WEL</v>
      </c>
      <c r="B822" s="60" t="str">
        <f t="shared" si="25"/>
        <v>WELLoads north of WKM</v>
      </c>
      <c r="C822" s="559" t="s">
        <v>331</v>
      </c>
      <c r="D822" s="559" t="s">
        <v>409</v>
      </c>
      <c r="E822" s="559">
        <v>1</v>
      </c>
      <c r="F822" s="18"/>
      <c r="G822" s="18"/>
      <c r="H822" s="18"/>
    </row>
    <row r="823" spans="1:15" x14ac:dyDescent="0.3">
      <c r="A823" s="116" t="str">
        <f t="shared" si="24"/>
        <v>WHI</v>
      </c>
      <c r="B823" s="60" t="str">
        <f t="shared" si="25"/>
        <v>WHILoads north of WKM</v>
      </c>
      <c r="C823" s="559" t="s">
        <v>333</v>
      </c>
      <c r="D823" s="559" t="s">
        <v>409</v>
      </c>
      <c r="E823" s="559">
        <v>1</v>
      </c>
      <c r="F823" s="18"/>
      <c r="G823" s="18"/>
      <c r="H823" s="18"/>
    </row>
    <row r="824" spans="1:15" x14ac:dyDescent="0.3">
      <c r="A824" s="116" t="str">
        <f t="shared" si="24"/>
        <v>WHI</v>
      </c>
      <c r="B824" s="60" t="str">
        <f t="shared" si="25"/>
        <v>WHILoads north of WKM</v>
      </c>
      <c r="C824" s="559" t="s">
        <v>334</v>
      </c>
      <c r="D824" s="559" t="s">
        <v>409</v>
      </c>
      <c r="E824" s="559">
        <v>1</v>
      </c>
      <c r="F824" s="18"/>
      <c r="G824" s="18"/>
      <c r="H824" s="18"/>
    </row>
    <row r="825" spans="1:15" x14ac:dyDescent="0.3">
      <c r="A825" s="116" t="str">
        <f t="shared" si="24"/>
        <v>WHU</v>
      </c>
      <c r="B825" s="60" t="str">
        <f t="shared" si="25"/>
        <v>WHULoads north of WKM</v>
      </c>
      <c r="C825" s="559" t="s">
        <v>336</v>
      </c>
      <c r="D825" s="559" t="s">
        <v>409</v>
      </c>
      <c r="E825" s="559">
        <v>1</v>
      </c>
      <c r="F825" s="18"/>
      <c r="G825" s="18"/>
      <c r="H825" s="18"/>
    </row>
    <row r="826" spans="1:15" x14ac:dyDescent="0.3">
      <c r="A826" s="116" t="str">
        <f t="shared" si="24"/>
        <v>WIR</v>
      </c>
      <c r="B826" s="60" t="str">
        <f t="shared" si="25"/>
        <v>WIRLoads north of WKM</v>
      </c>
      <c r="C826" s="559" t="s">
        <v>338</v>
      </c>
      <c r="D826" s="559" t="s">
        <v>409</v>
      </c>
      <c r="E826" s="559">
        <v>1</v>
      </c>
      <c r="F826" s="18"/>
      <c r="G826" s="18"/>
      <c r="H826" s="18"/>
    </row>
    <row r="827" spans="1:15" x14ac:dyDescent="0.3">
      <c r="A827" s="116" t="str">
        <f t="shared" si="24"/>
        <v>WKO</v>
      </c>
      <c r="B827" s="60" t="str">
        <f t="shared" si="25"/>
        <v>WKOLoads north of WKM</v>
      </c>
      <c r="C827" s="559" t="s">
        <v>342</v>
      </c>
      <c r="D827" s="559" t="s">
        <v>409</v>
      </c>
      <c r="E827" s="559">
        <v>1</v>
      </c>
      <c r="F827" s="18"/>
      <c r="G827" s="18"/>
      <c r="H827" s="18"/>
    </row>
    <row r="828" spans="1:15" x14ac:dyDescent="0.3">
      <c r="A828" s="116" t="str">
        <f t="shared" si="24"/>
        <v>WRA</v>
      </c>
      <c r="B828" s="60" t="str">
        <f t="shared" si="25"/>
        <v>WRALoads north of WKM</v>
      </c>
      <c r="C828" s="559" t="s">
        <v>387</v>
      </c>
      <c r="D828" s="559" t="s">
        <v>409</v>
      </c>
      <c r="E828" s="559">
        <v>1</v>
      </c>
      <c r="F828" s="18"/>
      <c r="G828" s="18"/>
      <c r="H828" s="18"/>
      <c r="K828" s="94"/>
      <c r="N828" s="61"/>
      <c r="O828" s="61"/>
    </row>
    <row r="829" spans="1:15" x14ac:dyDescent="0.3">
      <c r="A829" s="116" t="str">
        <f t="shared" si="24"/>
        <v>WRD</v>
      </c>
      <c r="B829" s="60" t="str">
        <f t="shared" si="25"/>
        <v>WRDLoads north of WKM</v>
      </c>
      <c r="C829" s="559" t="s">
        <v>348</v>
      </c>
      <c r="D829" s="559" t="s">
        <v>409</v>
      </c>
      <c r="E829" s="559">
        <v>1</v>
      </c>
      <c r="F829" s="18"/>
      <c r="G829" s="18"/>
      <c r="H829" s="18"/>
      <c r="K829" s="27"/>
      <c r="N829" s="61"/>
      <c r="O829" s="61"/>
    </row>
    <row r="830" spans="1:15" x14ac:dyDescent="0.3">
      <c r="A830" s="116" t="str">
        <f t="shared" si="24"/>
        <v>WTU</v>
      </c>
      <c r="B830" s="60" t="str">
        <f t="shared" si="25"/>
        <v>WTULoads north of WKM</v>
      </c>
      <c r="C830" s="559" t="s">
        <v>355</v>
      </c>
      <c r="D830" s="559" t="s">
        <v>409</v>
      </c>
      <c r="E830" s="559">
        <v>1</v>
      </c>
      <c r="F830" s="18"/>
      <c r="G830" s="18"/>
      <c r="H830" s="18"/>
    </row>
    <row r="831" spans="1:15" x14ac:dyDescent="0.3">
      <c r="A831" s="116" t="str">
        <f t="shared" si="24"/>
        <v>ALB</v>
      </c>
      <c r="B831" s="60" t="str">
        <f t="shared" si="25"/>
        <v>ALBLoads Pakuranga and north</v>
      </c>
      <c r="C831" s="559" t="s">
        <v>97</v>
      </c>
      <c r="D831" s="559" t="s">
        <v>438</v>
      </c>
      <c r="E831" s="559">
        <v>1</v>
      </c>
      <c r="F831" s="18"/>
      <c r="G831" s="18"/>
      <c r="H831" s="18"/>
    </row>
    <row r="832" spans="1:15" x14ac:dyDescent="0.3">
      <c r="A832" s="116" t="str">
        <f t="shared" si="24"/>
        <v>ALB</v>
      </c>
      <c r="B832" s="60" t="str">
        <f t="shared" si="25"/>
        <v>ALBLoads Pakuranga and north</v>
      </c>
      <c r="C832" s="559" t="s">
        <v>98</v>
      </c>
      <c r="D832" s="559" t="s">
        <v>438</v>
      </c>
      <c r="E832" s="559">
        <v>1</v>
      </c>
      <c r="F832" s="18"/>
      <c r="G832" s="18"/>
      <c r="H832" s="18"/>
    </row>
    <row r="833" spans="1:8" x14ac:dyDescent="0.3">
      <c r="A833" s="116" t="str">
        <f t="shared" si="24"/>
        <v>BRB</v>
      </c>
      <c r="B833" s="60" t="str">
        <f t="shared" si="25"/>
        <v>BRBLoads Pakuranga and north</v>
      </c>
      <c r="C833" s="559" t="s">
        <v>126</v>
      </c>
      <c r="D833" s="559" t="s">
        <v>438</v>
      </c>
      <c r="E833" s="559">
        <v>1</v>
      </c>
      <c r="F833" s="18"/>
      <c r="G833" s="18"/>
      <c r="H833" s="18"/>
    </row>
    <row r="834" spans="1:8" x14ac:dyDescent="0.3">
      <c r="A834" s="116" t="str">
        <f t="shared" si="24"/>
        <v>HEN</v>
      </c>
      <c r="B834" s="60" t="str">
        <f t="shared" si="25"/>
        <v>HENLoads Pakuranga and north</v>
      </c>
      <c r="C834" s="559" t="s">
        <v>161</v>
      </c>
      <c r="D834" s="559" t="s">
        <v>438</v>
      </c>
      <c r="E834" s="559">
        <v>1</v>
      </c>
      <c r="F834" s="18"/>
      <c r="G834" s="18"/>
      <c r="H834" s="18"/>
    </row>
    <row r="835" spans="1:8" x14ac:dyDescent="0.3">
      <c r="A835" s="116" t="str">
        <f t="shared" si="24"/>
        <v>HEP</v>
      </c>
      <c r="B835" s="60" t="str">
        <f t="shared" si="25"/>
        <v>HEPLoads Pakuranga and north</v>
      </c>
      <c r="C835" s="559" t="s">
        <v>162</v>
      </c>
      <c r="D835" s="559" t="s">
        <v>438</v>
      </c>
      <c r="E835" s="559">
        <v>1</v>
      </c>
      <c r="F835" s="18"/>
      <c r="G835" s="18"/>
      <c r="H835" s="18"/>
    </row>
    <row r="836" spans="1:8" x14ac:dyDescent="0.3">
      <c r="A836" s="116" t="str">
        <f t="shared" si="24"/>
        <v>HOB</v>
      </c>
      <c r="B836" s="60" t="str">
        <f t="shared" si="25"/>
        <v>HOBLoads Pakuranga and north</v>
      </c>
      <c r="C836" s="559" t="s">
        <v>170</v>
      </c>
      <c r="D836" s="559" t="s">
        <v>438</v>
      </c>
      <c r="E836" s="559">
        <v>1</v>
      </c>
      <c r="F836" s="18"/>
      <c r="G836" s="18"/>
      <c r="H836" s="18"/>
    </row>
    <row r="837" spans="1:8" x14ac:dyDescent="0.3">
      <c r="A837" s="116" t="str">
        <f t="shared" si="24"/>
        <v>KEN</v>
      </c>
      <c r="B837" s="60" t="str">
        <f t="shared" si="25"/>
        <v>KENLoads Pakuranga and north</v>
      </c>
      <c r="C837" s="559" t="s">
        <v>371</v>
      </c>
      <c r="D837" s="559" t="s">
        <v>438</v>
      </c>
      <c r="E837" s="559">
        <v>1</v>
      </c>
      <c r="F837" s="18"/>
      <c r="G837" s="18"/>
      <c r="H837" s="18"/>
    </row>
    <row r="838" spans="1:8" x14ac:dyDescent="0.3">
      <c r="A838" s="116" t="str">
        <f t="shared" si="24"/>
        <v>KOE</v>
      </c>
      <c r="B838" s="60" t="str">
        <f t="shared" si="25"/>
        <v>KOELoads Pakuranga and north</v>
      </c>
      <c r="C838" s="559" t="s">
        <v>200</v>
      </c>
      <c r="D838" s="559" t="s">
        <v>438</v>
      </c>
      <c r="E838" s="559">
        <v>1</v>
      </c>
      <c r="F838" s="18"/>
      <c r="G838" s="18"/>
      <c r="H838" s="18"/>
    </row>
    <row r="839" spans="1:8" x14ac:dyDescent="0.3">
      <c r="A839" s="116" t="str">
        <f t="shared" ref="A839:A902" si="26">LEFT(C839,3)</f>
        <v>MNG</v>
      </c>
      <c r="B839" s="60" t="str">
        <f t="shared" ref="B839:B902" si="27">A839&amp;D839</f>
        <v>MNGLoads Pakuranga and north</v>
      </c>
      <c r="C839" s="559" t="s">
        <v>226</v>
      </c>
      <c r="D839" s="559" t="s">
        <v>438</v>
      </c>
      <c r="E839" s="559">
        <v>1</v>
      </c>
      <c r="F839" s="18"/>
      <c r="G839" s="18"/>
      <c r="H839" s="18"/>
    </row>
    <row r="840" spans="1:8" x14ac:dyDescent="0.3">
      <c r="A840" s="116" t="str">
        <f t="shared" si="26"/>
        <v>MNG</v>
      </c>
      <c r="B840" s="60" t="str">
        <f t="shared" si="27"/>
        <v>MNGLoads Pakuranga and north</v>
      </c>
      <c r="C840" s="559" t="s">
        <v>227</v>
      </c>
      <c r="D840" s="559" t="s">
        <v>438</v>
      </c>
      <c r="E840" s="559">
        <v>1</v>
      </c>
      <c r="F840" s="18"/>
      <c r="G840" s="18"/>
      <c r="H840" s="18"/>
    </row>
    <row r="841" spans="1:8" x14ac:dyDescent="0.3">
      <c r="A841" s="116" t="str">
        <f t="shared" si="26"/>
        <v>MPE</v>
      </c>
      <c r="B841" s="60" t="str">
        <f t="shared" si="27"/>
        <v>MPELoads Pakuranga and north</v>
      </c>
      <c r="C841" s="559" t="s">
        <v>229</v>
      </c>
      <c r="D841" s="559" t="s">
        <v>438</v>
      </c>
      <c r="E841" s="559">
        <v>1</v>
      </c>
      <c r="F841" s="18"/>
      <c r="G841" s="18"/>
      <c r="H841" s="18"/>
    </row>
    <row r="842" spans="1:8" x14ac:dyDescent="0.3">
      <c r="A842" s="116" t="str">
        <f t="shared" si="26"/>
        <v>MTO</v>
      </c>
      <c r="B842" s="60" t="str">
        <f t="shared" si="27"/>
        <v>MTOLoads Pakuranga and north</v>
      </c>
      <c r="C842" s="559" t="s">
        <v>234</v>
      </c>
      <c r="D842" s="559" t="s">
        <v>438</v>
      </c>
      <c r="E842" s="559">
        <v>1</v>
      </c>
      <c r="F842" s="18"/>
      <c r="G842" s="18"/>
      <c r="H842" s="18"/>
    </row>
    <row r="843" spans="1:8" x14ac:dyDescent="0.3">
      <c r="A843" s="116" t="str">
        <f t="shared" si="26"/>
        <v>PAK</v>
      </c>
      <c r="B843" s="60" t="str">
        <f t="shared" si="27"/>
        <v>PAKLoads Pakuranga and north</v>
      </c>
      <c r="C843" s="559" t="s">
        <v>260</v>
      </c>
      <c r="D843" s="559" t="s">
        <v>438</v>
      </c>
      <c r="E843" s="559">
        <v>1</v>
      </c>
      <c r="F843" s="18"/>
      <c r="G843" s="18"/>
      <c r="H843" s="18"/>
    </row>
    <row r="844" spans="1:8" x14ac:dyDescent="0.3">
      <c r="A844" s="116" t="str">
        <f t="shared" si="26"/>
        <v>PEN</v>
      </c>
      <c r="B844" s="60" t="str">
        <f t="shared" si="27"/>
        <v>PENLoads Pakuranga and north</v>
      </c>
      <c r="C844" s="559" t="s">
        <v>262</v>
      </c>
      <c r="D844" s="559" t="s">
        <v>438</v>
      </c>
      <c r="E844" s="559">
        <v>1</v>
      </c>
      <c r="F844" s="18"/>
      <c r="G844" s="18"/>
      <c r="H844" s="18"/>
    </row>
    <row r="845" spans="1:8" x14ac:dyDescent="0.3">
      <c r="A845" s="116" t="str">
        <f t="shared" si="26"/>
        <v>PEN</v>
      </c>
      <c r="B845" s="60" t="str">
        <f t="shared" si="27"/>
        <v>PENLoads Pakuranga and north</v>
      </c>
      <c r="C845" s="559" t="s">
        <v>263</v>
      </c>
      <c r="D845" s="559" t="s">
        <v>438</v>
      </c>
      <c r="E845" s="559">
        <v>1</v>
      </c>
      <c r="F845" s="18"/>
      <c r="G845" s="18"/>
      <c r="H845" s="18"/>
    </row>
    <row r="846" spans="1:8" x14ac:dyDescent="0.3">
      <c r="A846" s="116" t="str">
        <f t="shared" si="26"/>
        <v>PEN</v>
      </c>
      <c r="B846" s="60" t="str">
        <f t="shared" si="27"/>
        <v>PENLoads Pakuranga and north</v>
      </c>
      <c r="C846" s="559" t="s">
        <v>264</v>
      </c>
      <c r="D846" s="559" t="s">
        <v>438</v>
      </c>
      <c r="E846" s="559">
        <v>1</v>
      </c>
      <c r="F846" s="18"/>
      <c r="G846" s="18"/>
      <c r="H846" s="18"/>
    </row>
    <row r="847" spans="1:8" x14ac:dyDescent="0.3">
      <c r="A847" s="116" t="str">
        <f t="shared" si="26"/>
        <v>PEN</v>
      </c>
      <c r="B847" s="60" t="str">
        <f t="shared" si="27"/>
        <v>PENLoads Pakuranga and north</v>
      </c>
      <c r="C847" s="559" t="s">
        <v>265</v>
      </c>
      <c r="D847" s="559" t="s">
        <v>438</v>
      </c>
      <c r="E847" s="559">
        <v>1</v>
      </c>
      <c r="F847" s="18"/>
      <c r="G847" s="18"/>
      <c r="H847" s="18"/>
    </row>
    <row r="848" spans="1:8" x14ac:dyDescent="0.3">
      <c r="A848" s="116" t="str">
        <f t="shared" si="26"/>
        <v>ROS</v>
      </c>
      <c r="B848" s="60" t="str">
        <f t="shared" si="27"/>
        <v>ROSLoads Pakuranga and north</v>
      </c>
      <c r="C848" s="559" t="s">
        <v>273</v>
      </c>
      <c r="D848" s="559" t="s">
        <v>438</v>
      </c>
      <c r="E848" s="559">
        <v>1</v>
      </c>
      <c r="F848" s="18"/>
      <c r="G848" s="18"/>
      <c r="H848" s="18"/>
    </row>
    <row r="849" spans="1:22" x14ac:dyDescent="0.3">
      <c r="A849" s="116" t="str">
        <f t="shared" si="26"/>
        <v>ROS</v>
      </c>
      <c r="B849" s="60" t="str">
        <f t="shared" si="27"/>
        <v>ROSLoads Pakuranga and north</v>
      </c>
      <c r="C849" s="559" t="s">
        <v>274</v>
      </c>
      <c r="D849" s="559" t="s">
        <v>438</v>
      </c>
      <c r="E849" s="559">
        <v>1</v>
      </c>
      <c r="F849" s="18"/>
      <c r="G849" s="18"/>
      <c r="H849" s="18"/>
    </row>
    <row r="850" spans="1:22" x14ac:dyDescent="0.3">
      <c r="A850" s="116" t="str">
        <f t="shared" si="26"/>
        <v>SVL</v>
      </c>
      <c r="B850" s="60" t="str">
        <f t="shared" si="27"/>
        <v>SVLLoads Pakuranga and north</v>
      </c>
      <c r="C850" s="559" t="s">
        <v>292</v>
      </c>
      <c r="D850" s="559" t="s">
        <v>438</v>
      </c>
      <c r="E850" s="559">
        <v>1</v>
      </c>
      <c r="F850" s="18"/>
      <c r="G850" s="18"/>
      <c r="H850" s="18"/>
    </row>
    <row r="851" spans="1:22" x14ac:dyDescent="0.3">
      <c r="A851" s="116" t="str">
        <f t="shared" si="26"/>
        <v>SWN</v>
      </c>
      <c r="B851" s="60" t="str">
        <f t="shared" si="27"/>
        <v>SWNLoads Pakuranga and north</v>
      </c>
      <c r="C851" s="559" t="s">
        <v>293</v>
      </c>
      <c r="D851" s="559" t="s">
        <v>438</v>
      </c>
      <c r="E851" s="559">
        <v>1</v>
      </c>
      <c r="F851" s="18"/>
      <c r="G851" s="18"/>
      <c r="H851" s="18"/>
    </row>
    <row r="852" spans="1:22" x14ac:dyDescent="0.3">
      <c r="A852" s="116" t="str">
        <f t="shared" si="26"/>
        <v>SWN</v>
      </c>
      <c r="B852" s="60" t="str">
        <f t="shared" si="27"/>
        <v>SWNLoads Pakuranga and north</v>
      </c>
      <c r="C852" s="559" t="s">
        <v>294</v>
      </c>
      <c r="D852" s="559" t="s">
        <v>438</v>
      </c>
      <c r="E852" s="559">
        <v>1</v>
      </c>
      <c r="F852" s="18"/>
      <c r="G852" s="18"/>
      <c r="H852" s="18"/>
    </row>
    <row r="853" spans="1:22" x14ac:dyDescent="0.3">
      <c r="A853" s="116" t="str">
        <f t="shared" si="26"/>
        <v>WEL</v>
      </c>
      <c r="B853" s="60" t="str">
        <f t="shared" si="27"/>
        <v>WELLoads Pakuranga and north</v>
      </c>
      <c r="C853" s="559" t="s">
        <v>331</v>
      </c>
      <c r="D853" s="559" t="s">
        <v>438</v>
      </c>
      <c r="E853" s="559">
        <v>1</v>
      </c>
      <c r="F853" s="18"/>
      <c r="G853" s="18"/>
      <c r="H853" s="18"/>
    </row>
    <row r="854" spans="1:22" x14ac:dyDescent="0.3">
      <c r="A854" s="116" t="str">
        <f t="shared" si="26"/>
        <v>WRD</v>
      </c>
      <c r="B854" s="60" t="str">
        <f t="shared" si="27"/>
        <v>WRDLoads Pakuranga and north</v>
      </c>
      <c r="C854" s="559" t="s">
        <v>348</v>
      </c>
      <c r="D854" s="559" t="s">
        <v>438</v>
      </c>
      <c r="E854" s="559">
        <v>1</v>
      </c>
      <c r="F854" s="18"/>
      <c r="G854" s="18"/>
      <c r="H854" s="18"/>
      <c r="K854" s="18"/>
    </row>
    <row r="855" spans="1:22" x14ac:dyDescent="0.3">
      <c r="A855" s="116" t="str">
        <f t="shared" si="26"/>
        <v>ALB</v>
      </c>
      <c r="B855" s="60" t="str">
        <f t="shared" si="27"/>
        <v>ALBLoads Penrose and north</v>
      </c>
      <c r="C855" s="559" t="s">
        <v>97</v>
      </c>
      <c r="D855" s="559" t="s">
        <v>439</v>
      </c>
      <c r="E855" s="559">
        <v>1</v>
      </c>
      <c r="F855" s="18"/>
      <c r="G855" s="18"/>
      <c r="H855" s="18"/>
    </row>
    <row r="856" spans="1:22" x14ac:dyDescent="0.3">
      <c r="A856" s="116" t="str">
        <f t="shared" si="26"/>
        <v>ALB</v>
      </c>
      <c r="B856" s="60" t="str">
        <f t="shared" si="27"/>
        <v>ALBLoads Penrose and north</v>
      </c>
      <c r="C856" s="559" t="s">
        <v>98</v>
      </c>
      <c r="D856" s="559" t="s">
        <v>439</v>
      </c>
      <c r="E856" s="559">
        <v>1</v>
      </c>
      <c r="F856" s="18"/>
      <c r="G856" s="18"/>
      <c r="H856" s="18"/>
    </row>
    <row r="857" spans="1:22" x14ac:dyDescent="0.3">
      <c r="A857" s="116" t="str">
        <f t="shared" si="26"/>
        <v>BRB</v>
      </c>
      <c r="B857" s="60" t="str">
        <f t="shared" si="27"/>
        <v>BRBLoads Penrose and north</v>
      </c>
      <c r="C857" s="559" t="s">
        <v>126</v>
      </c>
      <c r="D857" s="559" t="s">
        <v>439</v>
      </c>
      <c r="E857" s="559">
        <v>1</v>
      </c>
      <c r="F857" s="18"/>
      <c r="G857" s="18"/>
      <c r="H857" s="18"/>
    </row>
    <row r="858" spans="1:22" x14ac:dyDescent="0.3">
      <c r="A858" s="116" t="str">
        <f t="shared" si="26"/>
        <v>HEN</v>
      </c>
      <c r="B858" s="60" t="str">
        <f t="shared" si="27"/>
        <v>HENLoads Penrose and north</v>
      </c>
      <c r="C858" s="559" t="s">
        <v>161</v>
      </c>
      <c r="D858" s="559" t="s">
        <v>439</v>
      </c>
      <c r="E858" s="559">
        <v>1</v>
      </c>
      <c r="F858" s="18"/>
      <c r="G858" s="18"/>
      <c r="H858" s="18"/>
    </row>
    <row r="859" spans="1:22" s="116" customFormat="1" x14ac:dyDescent="0.3">
      <c r="A859" s="116" t="str">
        <f t="shared" si="26"/>
        <v>HEP</v>
      </c>
      <c r="B859" s="60" t="str">
        <f t="shared" si="27"/>
        <v>HEPLoads Penrose and north</v>
      </c>
      <c r="C859" s="559" t="s">
        <v>162</v>
      </c>
      <c r="D859" s="559" t="s">
        <v>439</v>
      </c>
      <c r="E859" s="559">
        <v>1</v>
      </c>
      <c r="F859" s="18"/>
      <c r="G859" s="18"/>
      <c r="H859" s="18"/>
      <c r="L859" s="18"/>
      <c r="M859" s="18"/>
      <c r="N859" s="18"/>
      <c r="O859" s="18"/>
      <c r="P859" s="18"/>
      <c r="Q859" s="18"/>
      <c r="R859" s="18"/>
      <c r="S859" s="18"/>
      <c r="T859" s="18"/>
      <c r="U859" s="18"/>
      <c r="V859" s="18"/>
    </row>
    <row r="860" spans="1:22" x14ac:dyDescent="0.3">
      <c r="A860" s="116" t="str">
        <f t="shared" si="26"/>
        <v>HOB</v>
      </c>
      <c r="B860" s="60" t="str">
        <f t="shared" si="27"/>
        <v>HOBLoads Penrose and north</v>
      </c>
      <c r="C860" s="559" t="s">
        <v>170</v>
      </c>
      <c r="D860" s="559" t="s">
        <v>439</v>
      </c>
      <c r="E860" s="559">
        <v>1</v>
      </c>
      <c r="F860" s="18"/>
      <c r="G860" s="18"/>
      <c r="H860" s="18"/>
    </row>
    <row r="861" spans="1:22" x14ac:dyDescent="0.3">
      <c r="A861" s="116" t="str">
        <f t="shared" si="26"/>
        <v>KEN</v>
      </c>
      <c r="B861" s="60" t="str">
        <f t="shared" si="27"/>
        <v>KENLoads Penrose and north</v>
      </c>
      <c r="C861" s="559" t="s">
        <v>371</v>
      </c>
      <c r="D861" s="559" t="s">
        <v>439</v>
      </c>
      <c r="E861" s="559">
        <v>1</v>
      </c>
      <c r="F861" s="18"/>
      <c r="G861" s="18"/>
      <c r="H861" s="18"/>
    </row>
    <row r="862" spans="1:22" x14ac:dyDescent="0.3">
      <c r="A862" s="116" t="str">
        <f t="shared" si="26"/>
        <v>KOE</v>
      </c>
      <c r="B862" s="60" t="str">
        <f t="shared" si="27"/>
        <v>KOELoads Penrose and north</v>
      </c>
      <c r="C862" s="559" t="s">
        <v>200</v>
      </c>
      <c r="D862" s="559" t="s">
        <v>439</v>
      </c>
      <c r="E862" s="559">
        <v>1</v>
      </c>
      <c r="F862" s="18"/>
      <c r="G862" s="18"/>
      <c r="H862" s="18"/>
    </row>
    <row r="863" spans="1:22" x14ac:dyDescent="0.3">
      <c r="A863" s="116" t="str">
        <f t="shared" si="26"/>
        <v>MPE</v>
      </c>
      <c r="B863" s="60" t="str">
        <f t="shared" si="27"/>
        <v>MPELoads Penrose and north</v>
      </c>
      <c r="C863" s="559" t="s">
        <v>229</v>
      </c>
      <c r="D863" s="559" t="s">
        <v>439</v>
      </c>
      <c r="E863" s="559">
        <v>1</v>
      </c>
      <c r="F863" s="18"/>
      <c r="G863" s="18"/>
      <c r="H863" s="18"/>
    </row>
    <row r="864" spans="1:22" x14ac:dyDescent="0.3">
      <c r="A864" s="116" t="str">
        <f t="shared" si="26"/>
        <v>MTO</v>
      </c>
      <c r="B864" s="60" t="str">
        <f t="shared" si="27"/>
        <v>MTOLoads Penrose and north</v>
      </c>
      <c r="C864" s="559" t="s">
        <v>234</v>
      </c>
      <c r="D864" s="559" t="s">
        <v>439</v>
      </c>
      <c r="E864" s="559">
        <v>1</v>
      </c>
      <c r="F864" s="18"/>
      <c r="G864" s="18"/>
      <c r="H864" s="18"/>
    </row>
    <row r="865" spans="1:11" x14ac:dyDescent="0.3">
      <c r="A865" s="116" t="str">
        <f t="shared" si="26"/>
        <v>PEN</v>
      </c>
      <c r="B865" s="60" t="str">
        <f t="shared" si="27"/>
        <v>PENLoads Penrose and north</v>
      </c>
      <c r="C865" s="559" t="s">
        <v>262</v>
      </c>
      <c r="D865" s="559" t="s">
        <v>439</v>
      </c>
      <c r="E865" s="559">
        <v>1</v>
      </c>
      <c r="F865" s="18"/>
      <c r="G865" s="18"/>
      <c r="H865" s="18"/>
    </row>
    <row r="866" spans="1:11" x14ac:dyDescent="0.3">
      <c r="A866" s="116" t="str">
        <f t="shared" si="26"/>
        <v>PEN</v>
      </c>
      <c r="B866" s="60" t="str">
        <f t="shared" si="27"/>
        <v>PENLoads Penrose and north</v>
      </c>
      <c r="C866" s="559" t="s">
        <v>263</v>
      </c>
      <c r="D866" s="559" t="s">
        <v>439</v>
      </c>
      <c r="E866" s="559">
        <v>1</v>
      </c>
      <c r="F866" s="18"/>
      <c r="G866" s="18"/>
      <c r="H866" s="18"/>
    </row>
    <row r="867" spans="1:11" x14ac:dyDescent="0.3">
      <c r="A867" s="116" t="str">
        <f t="shared" si="26"/>
        <v>PEN</v>
      </c>
      <c r="B867" s="60" t="str">
        <f t="shared" si="27"/>
        <v>PENLoads Penrose and north</v>
      </c>
      <c r="C867" s="559" t="s">
        <v>264</v>
      </c>
      <c r="D867" s="559" t="s">
        <v>439</v>
      </c>
      <c r="E867" s="559">
        <v>1</v>
      </c>
      <c r="F867" s="18"/>
      <c r="G867" s="18"/>
      <c r="H867" s="18"/>
    </row>
    <row r="868" spans="1:11" x14ac:dyDescent="0.3">
      <c r="A868" s="116" t="str">
        <f t="shared" si="26"/>
        <v>PEN</v>
      </c>
      <c r="B868" s="60" t="str">
        <f t="shared" si="27"/>
        <v>PENLoads Penrose and north</v>
      </c>
      <c r="C868" s="559" t="s">
        <v>265</v>
      </c>
      <c r="D868" s="559" t="s">
        <v>439</v>
      </c>
      <c r="E868" s="559">
        <v>1</v>
      </c>
      <c r="F868" s="18"/>
      <c r="G868" s="18"/>
      <c r="H868" s="18"/>
    </row>
    <row r="869" spans="1:11" x14ac:dyDescent="0.3">
      <c r="A869" s="116" t="str">
        <f t="shared" si="26"/>
        <v>ROS</v>
      </c>
      <c r="B869" s="60" t="str">
        <f t="shared" si="27"/>
        <v>ROSLoads Penrose and north</v>
      </c>
      <c r="C869" s="559" t="s">
        <v>273</v>
      </c>
      <c r="D869" s="559" t="s">
        <v>439</v>
      </c>
      <c r="E869" s="559">
        <v>1</v>
      </c>
      <c r="F869" s="18"/>
      <c r="G869" s="18"/>
      <c r="H869" s="18"/>
    </row>
    <row r="870" spans="1:11" x14ac:dyDescent="0.3">
      <c r="A870" s="116" t="str">
        <f t="shared" si="26"/>
        <v>ROS</v>
      </c>
      <c r="B870" s="60" t="str">
        <f t="shared" si="27"/>
        <v>ROSLoads Penrose and north</v>
      </c>
      <c r="C870" s="559" t="s">
        <v>274</v>
      </c>
      <c r="D870" s="559" t="s">
        <v>439</v>
      </c>
      <c r="E870" s="559">
        <v>1</v>
      </c>
      <c r="F870" s="18"/>
      <c r="G870" s="18"/>
      <c r="H870" s="18"/>
    </row>
    <row r="871" spans="1:11" x14ac:dyDescent="0.3">
      <c r="A871" s="116" t="str">
        <f t="shared" si="26"/>
        <v>SVL</v>
      </c>
      <c r="B871" s="60" t="str">
        <f t="shared" si="27"/>
        <v>SVLLoads Penrose and north</v>
      </c>
      <c r="C871" s="559" t="s">
        <v>292</v>
      </c>
      <c r="D871" s="559" t="s">
        <v>439</v>
      </c>
      <c r="E871" s="559">
        <v>1</v>
      </c>
      <c r="F871" s="18"/>
      <c r="G871" s="18"/>
      <c r="H871" s="18"/>
    </row>
    <row r="872" spans="1:11" x14ac:dyDescent="0.3">
      <c r="A872" s="116" t="str">
        <f t="shared" si="26"/>
        <v>WEL</v>
      </c>
      <c r="B872" s="60" t="str">
        <f t="shared" si="27"/>
        <v>WELLoads Penrose and north</v>
      </c>
      <c r="C872" s="559" t="s">
        <v>331</v>
      </c>
      <c r="D872" s="559" t="s">
        <v>439</v>
      </c>
      <c r="E872" s="559">
        <v>1</v>
      </c>
      <c r="F872" s="18"/>
      <c r="G872" s="18"/>
      <c r="H872" s="18"/>
    </row>
    <row r="873" spans="1:11" x14ac:dyDescent="0.3">
      <c r="A873" s="116" t="str">
        <f t="shared" si="26"/>
        <v>WRD</v>
      </c>
      <c r="B873" s="60" t="str">
        <f t="shared" si="27"/>
        <v>WRDLoads Penrose and north</v>
      </c>
      <c r="C873" s="559" t="s">
        <v>348</v>
      </c>
      <c r="D873" s="559" t="s">
        <v>439</v>
      </c>
      <c r="E873" s="559">
        <v>1</v>
      </c>
      <c r="F873" s="18"/>
      <c r="G873" s="18"/>
      <c r="H873" s="18"/>
      <c r="K873" s="18"/>
    </row>
    <row r="874" spans="1:11" x14ac:dyDescent="0.3">
      <c r="A874" s="116" t="str">
        <f t="shared" si="26"/>
        <v>CPK</v>
      </c>
      <c r="B874" s="60" t="str">
        <f t="shared" si="27"/>
        <v>CPKLoads Wilton Central Park Kaiwharawhara</v>
      </c>
      <c r="C874" s="559" t="s">
        <v>137</v>
      </c>
      <c r="D874" s="559" t="s">
        <v>429</v>
      </c>
      <c r="E874" s="559">
        <v>1</v>
      </c>
      <c r="F874" s="18"/>
      <c r="G874" s="18"/>
      <c r="H874" s="18"/>
    </row>
    <row r="875" spans="1:11" x14ac:dyDescent="0.3">
      <c r="A875" s="116" t="str">
        <f t="shared" si="26"/>
        <v>CPK</v>
      </c>
      <c r="B875" s="60" t="str">
        <f t="shared" si="27"/>
        <v>CPKLoads Wilton Central Park Kaiwharawhara</v>
      </c>
      <c r="C875" s="559" t="s">
        <v>138</v>
      </c>
      <c r="D875" s="559" t="s">
        <v>429</v>
      </c>
      <c r="E875" s="559">
        <v>1</v>
      </c>
      <c r="F875" s="18"/>
      <c r="G875" s="18"/>
      <c r="H875" s="18"/>
    </row>
    <row r="876" spans="1:11" x14ac:dyDescent="0.3">
      <c r="A876" s="116" t="str">
        <f t="shared" si="26"/>
        <v>KWA</v>
      </c>
      <c r="B876" s="60" t="str">
        <f t="shared" si="27"/>
        <v>KWALoads Wilton Central Park Kaiwharawhara</v>
      </c>
      <c r="C876" s="559" t="s">
        <v>207</v>
      </c>
      <c r="D876" s="559" t="s">
        <v>429</v>
      </c>
      <c r="E876" s="559">
        <v>1</v>
      </c>
      <c r="F876" s="18"/>
      <c r="G876" s="18"/>
      <c r="H876" s="18"/>
    </row>
    <row r="877" spans="1:11" x14ac:dyDescent="0.3">
      <c r="A877" s="116" t="str">
        <f t="shared" si="26"/>
        <v>WIL</v>
      </c>
      <c r="B877" s="60" t="str">
        <f t="shared" si="27"/>
        <v>WILLoads Wilton Central Park Kaiwharawhara</v>
      </c>
      <c r="C877" s="559" t="s">
        <v>337</v>
      </c>
      <c r="D877" s="559" t="s">
        <v>429</v>
      </c>
      <c r="E877" s="559">
        <v>1</v>
      </c>
      <c r="F877" s="18"/>
      <c r="G877" s="18"/>
      <c r="H877" s="18"/>
    </row>
    <row r="878" spans="1:11" x14ac:dyDescent="0.3">
      <c r="A878" s="116" t="str">
        <f t="shared" si="26"/>
        <v>MAN</v>
      </c>
      <c r="B878" s="60" t="str">
        <f t="shared" si="27"/>
        <v>MANManapouri</v>
      </c>
      <c r="C878" s="559" t="s">
        <v>212</v>
      </c>
      <c r="D878" s="559" t="s">
        <v>415</v>
      </c>
      <c r="E878" s="559">
        <v>1</v>
      </c>
      <c r="F878" s="18"/>
      <c r="G878" s="18"/>
      <c r="H878" s="18"/>
    </row>
    <row r="879" spans="1:11" x14ac:dyDescent="0.3">
      <c r="A879" s="116" t="str">
        <f t="shared" si="26"/>
        <v>NSY</v>
      </c>
      <c r="B879" s="60" t="str">
        <f t="shared" si="27"/>
        <v>NSYNaseby</v>
      </c>
      <c r="C879" s="559" t="s">
        <v>244</v>
      </c>
      <c r="D879" s="559" t="s">
        <v>414</v>
      </c>
      <c r="E879" s="559">
        <v>1</v>
      </c>
      <c r="F879" s="18"/>
      <c r="G879" s="18"/>
      <c r="H879" s="18"/>
    </row>
    <row r="880" spans="1:11" x14ac:dyDescent="0.3">
      <c r="A880" s="116" t="str">
        <f t="shared" si="26"/>
        <v>APS</v>
      </c>
      <c r="B880" s="60" t="str">
        <f t="shared" si="27"/>
        <v>APSOtira and Arthurs Pass</v>
      </c>
      <c r="C880" s="559" t="s">
        <v>99</v>
      </c>
      <c r="D880" s="559" t="s">
        <v>422</v>
      </c>
      <c r="E880" s="559">
        <v>1</v>
      </c>
      <c r="F880" s="18"/>
      <c r="G880" s="18"/>
      <c r="H880" s="18"/>
    </row>
    <row r="881" spans="1:22" x14ac:dyDescent="0.3">
      <c r="A881" s="116" t="str">
        <f t="shared" si="26"/>
        <v>OTI</v>
      </c>
      <c r="B881" s="60" t="str">
        <f t="shared" si="27"/>
        <v>OTIOtira and Arthurs Pass</v>
      </c>
      <c r="C881" s="559" t="s">
        <v>258</v>
      </c>
      <c r="D881" s="559" t="s">
        <v>422</v>
      </c>
      <c r="E881" s="559">
        <v>1</v>
      </c>
      <c r="F881" s="18"/>
      <c r="G881" s="18"/>
      <c r="H881" s="18"/>
    </row>
    <row r="882" spans="1:22" x14ac:dyDescent="0.3">
      <c r="A882" s="116" t="str">
        <f t="shared" si="26"/>
        <v>PRM</v>
      </c>
      <c r="B882" s="60" t="str">
        <f t="shared" si="27"/>
        <v>PRMParaparaumu</v>
      </c>
      <c r="C882" s="559" t="s">
        <v>269</v>
      </c>
      <c r="D882" s="559" t="s">
        <v>425</v>
      </c>
      <c r="E882" s="559">
        <v>1</v>
      </c>
      <c r="F882" s="18"/>
      <c r="G882" s="18"/>
      <c r="H882" s="18"/>
    </row>
    <row r="883" spans="1:22" x14ac:dyDescent="0.3">
      <c r="A883" s="116" t="str">
        <f t="shared" si="26"/>
        <v>RPO</v>
      </c>
      <c r="B883" s="60" t="str">
        <f t="shared" si="27"/>
        <v>RPORangipo</v>
      </c>
      <c r="C883" s="559" t="s">
        <v>281</v>
      </c>
      <c r="D883" s="559" t="s">
        <v>450</v>
      </c>
      <c r="E883" s="559">
        <v>1</v>
      </c>
      <c r="F883" s="18"/>
      <c r="G883" s="18"/>
      <c r="H883" s="18"/>
    </row>
    <row r="884" spans="1:22" x14ac:dyDescent="0.3">
      <c r="A884" s="116" t="str">
        <f t="shared" si="26"/>
        <v>ADD</v>
      </c>
      <c r="B884" s="60" t="str">
        <f t="shared" si="27"/>
        <v>ADDSI loads Christchurch and north</v>
      </c>
      <c r="C884" s="559" t="s">
        <v>363</v>
      </c>
      <c r="D884" s="559" t="s">
        <v>412</v>
      </c>
      <c r="E884" s="559">
        <v>1</v>
      </c>
      <c r="F884" s="18"/>
      <c r="G884" s="18"/>
      <c r="H884" s="18"/>
    </row>
    <row r="885" spans="1:22" x14ac:dyDescent="0.3">
      <c r="A885" s="116" t="str">
        <f t="shared" si="26"/>
        <v>APS</v>
      </c>
      <c r="B885" s="60" t="str">
        <f t="shared" si="27"/>
        <v>APSSI loads Christchurch and north</v>
      </c>
      <c r="C885" s="559" t="s">
        <v>99</v>
      </c>
      <c r="D885" s="559" t="s">
        <v>412</v>
      </c>
      <c r="E885" s="559">
        <v>1</v>
      </c>
      <c r="F885" s="18"/>
      <c r="G885" s="18"/>
      <c r="H885" s="18"/>
    </row>
    <row r="886" spans="1:22" x14ac:dyDescent="0.3">
      <c r="A886" s="116" t="str">
        <f t="shared" si="26"/>
        <v>ARG</v>
      </c>
      <c r="B886" s="60" t="str">
        <f t="shared" si="27"/>
        <v>ARGSI loads Christchurch and north</v>
      </c>
      <c r="C886" s="559" t="s">
        <v>102</v>
      </c>
      <c r="D886" s="559" t="s">
        <v>412</v>
      </c>
      <c r="E886" s="559">
        <v>1</v>
      </c>
      <c r="F886" s="18"/>
      <c r="G886" s="18"/>
      <c r="H886" s="18"/>
    </row>
    <row r="887" spans="1:22" x14ac:dyDescent="0.3">
      <c r="A887" s="116" t="str">
        <f t="shared" si="26"/>
        <v>ASY</v>
      </c>
      <c r="B887" s="60" t="str">
        <f t="shared" si="27"/>
        <v>ASYSI loads Christchurch and north</v>
      </c>
      <c r="C887" s="559" t="s">
        <v>111</v>
      </c>
      <c r="D887" s="559" t="s">
        <v>412</v>
      </c>
      <c r="E887" s="559">
        <v>1</v>
      </c>
      <c r="F887" s="18"/>
      <c r="G887" s="18"/>
      <c r="H887" s="18"/>
    </row>
    <row r="888" spans="1:22" x14ac:dyDescent="0.3">
      <c r="A888" s="116" t="str">
        <f t="shared" si="26"/>
        <v>ATU</v>
      </c>
      <c r="B888" s="60" t="str">
        <f t="shared" si="27"/>
        <v>ATUSI loads Christchurch and north</v>
      </c>
      <c r="C888" s="559" t="s">
        <v>113</v>
      </c>
      <c r="D888" s="559" t="s">
        <v>412</v>
      </c>
      <c r="E888" s="559">
        <v>1</v>
      </c>
      <c r="F888" s="18"/>
      <c r="G888" s="18"/>
      <c r="H888" s="18"/>
    </row>
    <row r="889" spans="1:22" x14ac:dyDescent="0.3">
      <c r="A889" s="116" t="str">
        <f t="shared" si="26"/>
        <v>BLN</v>
      </c>
      <c r="B889" s="60" t="str">
        <f t="shared" si="27"/>
        <v>BLNSI loads Christchurch and north</v>
      </c>
      <c r="C889" s="559" t="s">
        <v>118</v>
      </c>
      <c r="D889" s="559" t="s">
        <v>412</v>
      </c>
      <c r="E889" s="559">
        <v>1</v>
      </c>
      <c r="F889" s="18"/>
      <c r="G889" s="18"/>
      <c r="H889" s="18"/>
    </row>
    <row r="890" spans="1:22" x14ac:dyDescent="0.3">
      <c r="A890" s="116" t="str">
        <f t="shared" si="26"/>
        <v>BRY</v>
      </c>
      <c r="B890" s="60" t="str">
        <f t="shared" si="27"/>
        <v>BRYSI loads Christchurch and north</v>
      </c>
      <c r="C890" s="559" t="s">
        <v>364</v>
      </c>
      <c r="D890" s="559" t="s">
        <v>412</v>
      </c>
      <c r="E890" s="559">
        <v>1</v>
      </c>
      <c r="F890" s="18"/>
      <c r="G890" s="18"/>
      <c r="H890" s="18"/>
    </row>
    <row r="891" spans="1:22" s="116" customFormat="1" x14ac:dyDescent="0.3">
      <c r="A891" s="116" t="str">
        <f t="shared" si="26"/>
        <v>BRY</v>
      </c>
      <c r="B891" s="60" t="str">
        <f t="shared" si="27"/>
        <v>BRYSI loads Christchurch and north</v>
      </c>
      <c r="C891" s="559" t="s">
        <v>128</v>
      </c>
      <c r="D891" s="559" t="s">
        <v>412</v>
      </c>
      <c r="E891" s="559">
        <v>1</v>
      </c>
      <c r="F891" s="18"/>
      <c r="G891" s="18"/>
      <c r="H891" s="18"/>
      <c r="L891" s="18"/>
      <c r="M891" s="18"/>
      <c r="N891" s="18"/>
      <c r="O891" s="18"/>
      <c r="P891" s="18"/>
      <c r="Q891" s="18"/>
      <c r="R891" s="18"/>
      <c r="S891" s="18"/>
      <c r="T891" s="18"/>
      <c r="U891" s="18"/>
      <c r="V891" s="18"/>
    </row>
    <row r="892" spans="1:22" x14ac:dyDescent="0.3">
      <c r="A892" s="116" t="str">
        <f t="shared" si="26"/>
        <v>CLH</v>
      </c>
      <c r="B892" s="60" t="str">
        <f t="shared" si="27"/>
        <v>CLHSI loads Christchurch and north</v>
      </c>
      <c r="C892" s="559" t="s">
        <v>132</v>
      </c>
      <c r="D892" s="559" t="s">
        <v>412</v>
      </c>
      <c r="E892" s="559">
        <v>1</v>
      </c>
      <c r="F892" s="18"/>
      <c r="G892" s="18"/>
      <c r="H892" s="18"/>
    </row>
    <row r="893" spans="1:22" x14ac:dyDescent="0.3">
      <c r="A893" s="116" t="str">
        <f t="shared" si="26"/>
        <v>COL</v>
      </c>
      <c r="B893" s="60" t="str">
        <f t="shared" si="27"/>
        <v>COLSI loads Christchurch and north</v>
      </c>
      <c r="C893" s="559" t="s">
        <v>134</v>
      </c>
      <c r="D893" s="559" t="s">
        <v>412</v>
      </c>
      <c r="E893" s="559">
        <v>1</v>
      </c>
      <c r="F893" s="18"/>
      <c r="G893" s="18"/>
      <c r="H893" s="18"/>
    </row>
    <row r="894" spans="1:22" x14ac:dyDescent="0.3">
      <c r="A894" s="116" t="str">
        <f t="shared" si="26"/>
        <v>COL</v>
      </c>
      <c r="B894" s="60" t="str">
        <f t="shared" si="27"/>
        <v>COLSI loads Christchurch and north</v>
      </c>
      <c r="C894" s="559" t="s">
        <v>135</v>
      </c>
      <c r="D894" s="559" t="s">
        <v>412</v>
      </c>
      <c r="E894" s="559">
        <v>1</v>
      </c>
      <c r="F894" s="18"/>
      <c r="G894" s="18"/>
      <c r="H894" s="18"/>
    </row>
    <row r="895" spans="1:22" x14ac:dyDescent="0.3">
      <c r="A895" s="116" t="str">
        <f t="shared" si="26"/>
        <v>CUL</v>
      </c>
      <c r="B895" s="60" t="str">
        <f t="shared" si="27"/>
        <v>CULSI loads Christchurch and north</v>
      </c>
      <c r="C895" s="559" t="s">
        <v>140</v>
      </c>
      <c r="D895" s="559" t="s">
        <v>412</v>
      </c>
      <c r="E895" s="559">
        <v>1</v>
      </c>
      <c r="F895" s="18"/>
      <c r="G895" s="18"/>
      <c r="H895" s="18"/>
    </row>
    <row r="896" spans="1:22" x14ac:dyDescent="0.3">
      <c r="A896" s="116" t="str">
        <f t="shared" si="26"/>
        <v>CUL</v>
      </c>
      <c r="B896" s="60" t="str">
        <f t="shared" si="27"/>
        <v>CULSI loads Christchurch and north</v>
      </c>
      <c r="C896" s="559" t="s">
        <v>141</v>
      </c>
      <c r="D896" s="559" t="s">
        <v>412</v>
      </c>
      <c r="E896" s="559">
        <v>1</v>
      </c>
      <c r="F896" s="18"/>
      <c r="G896" s="18"/>
      <c r="H896" s="18"/>
    </row>
    <row r="897" spans="1:8" x14ac:dyDescent="0.3">
      <c r="A897" s="116" t="str">
        <f t="shared" si="26"/>
        <v>DOB</v>
      </c>
      <c r="B897" s="60" t="str">
        <f t="shared" si="27"/>
        <v>DOBSI loads Christchurch and north</v>
      </c>
      <c r="C897" s="559" t="s">
        <v>145</v>
      </c>
      <c r="D897" s="559" t="s">
        <v>412</v>
      </c>
      <c r="E897" s="559">
        <v>1</v>
      </c>
      <c r="F897" s="18"/>
      <c r="G897" s="18"/>
      <c r="H897" s="18"/>
    </row>
    <row r="898" spans="1:8" x14ac:dyDescent="0.3">
      <c r="A898" s="116" t="str">
        <f t="shared" si="26"/>
        <v>GYM</v>
      </c>
      <c r="B898" s="60" t="str">
        <f t="shared" si="27"/>
        <v>GYMSI loads Christchurch and north</v>
      </c>
      <c r="C898" s="559" t="s">
        <v>154</v>
      </c>
      <c r="D898" s="559" t="s">
        <v>412</v>
      </c>
      <c r="E898" s="559">
        <v>1</v>
      </c>
      <c r="F898" s="18"/>
      <c r="G898" s="18"/>
      <c r="H898" s="18"/>
    </row>
    <row r="899" spans="1:8" x14ac:dyDescent="0.3">
      <c r="A899" s="116" t="str">
        <f t="shared" si="26"/>
        <v>HKK</v>
      </c>
      <c r="B899" s="60" t="str">
        <f t="shared" si="27"/>
        <v>HKKSI loads Christchurch and north</v>
      </c>
      <c r="C899" s="559" t="s">
        <v>164</v>
      </c>
      <c r="D899" s="559" t="s">
        <v>412</v>
      </c>
      <c r="E899" s="559">
        <v>1</v>
      </c>
      <c r="F899" s="18"/>
      <c r="G899" s="18"/>
      <c r="H899" s="18"/>
    </row>
    <row r="900" spans="1:8" x14ac:dyDescent="0.3">
      <c r="A900" s="116" t="str">
        <f t="shared" si="26"/>
        <v>HOR</v>
      </c>
      <c r="B900" s="60" t="str">
        <f t="shared" si="27"/>
        <v>HORSI loads Christchurch and north</v>
      </c>
      <c r="C900" s="559" t="s">
        <v>171</v>
      </c>
      <c r="D900" s="559" t="s">
        <v>412</v>
      </c>
      <c r="E900" s="559">
        <v>1</v>
      </c>
      <c r="F900" s="18"/>
      <c r="G900" s="18"/>
      <c r="H900" s="18"/>
    </row>
    <row r="901" spans="1:8" x14ac:dyDescent="0.3">
      <c r="A901" s="116" t="str">
        <f t="shared" si="26"/>
        <v>HOR</v>
      </c>
      <c r="B901" s="60" t="str">
        <f t="shared" si="27"/>
        <v>HORSI loads Christchurch and north</v>
      </c>
      <c r="C901" s="559" t="s">
        <v>172</v>
      </c>
      <c r="D901" s="559" t="s">
        <v>412</v>
      </c>
      <c r="E901" s="559">
        <v>1</v>
      </c>
      <c r="F901" s="18"/>
      <c r="G901" s="18"/>
      <c r="H901" s="18"/>
    </row>
    <row r="902" spans="1:8" x14ac:dyDescent="0.3">
      <c r="A902" s="116" t="str">
        <f t="shared" si="26"/>
        <v>ISL</v>
      </c>
      <c r="B902" s="60" t="str">
        <f t="shared" si="27"/>
        <v>ISLSI loads Christchurch and north</v>
      </c>
      <c r="C902" s="559" t="s">
        <v>189</v>
      </c>
      <c r="D902" s="559" t="s">
        <v>412</v>
      </c>
      <c r="E902" s="559">
        <v>1</v>
      </c>
      <c r="F902" s="18"/>
      <c r="G902" s="18"/>
      <c r="H902" s="18"/>
    </row>
    <row r="903" spans="1:8" x14ac:dyDescent="0.3">
      <c r="A903" s="116" t="str">
        <f t="shared" ref="A903:A966" si="28">LEFT(C903,3)</f>
        <v>ISL</v>
      </c>
      <c r="B903" s="60" t="str">
        <f t="shared" ref="B903:B966" si="29">A903&amp;D903</f>
        <v>ISLSI loads Christchurch and north</v>
      </c>
      <c r="C903" s="559" t="s">
        <v>190</v>
      </c>
      <c r="D903" s="559" t="s">
        <v>412</v>
      </c>
      <c r="E903" s="559">
        <v>1</v>
      </c>
      <c r="F903" s="18"/>
      <c r="G903" s="18"/>
      <c r="H903" s="18"/>
    </row>
    <row r="904" spans="1:8" x14ac:dyDescent="0.3">
      <c r="A904" s="116" t="str">
        <f t="shared" si="28"/>
        <v>KAI</v>
      </c>
      <c r="B904" s="60" t="str">
        <f t="shared" si="29"/>
        <v>KAISI loads Christchurch and north</v>
      </c>
      <c r="C904" s="559" t="s">
        <v>191</v>
      </c>
      <c r="D904" s="559" t="s">
        <v>412</v>
      </c>
      <c r="E904" s="559">
        <v>1</v>
      </c>
      <c r="F904" s="18"/>
      <c r="G904" s="18"/>
      <c r="H904" s="18"/>
    </row>
    <row r="905" spans="1:8" x14ac:dyDescent="0.3">
      <c r="A905" s="116" t="str">
        <f t="shared" si="28"/>
        <v>KBY</v>
      </c>
      <c r="B905" s="60" t="str">
        <f t="shared" si="29"/>
        <v>KBYSI loads Christchurch and north</v>
      </c>
      <c r="C905" s="559" t="s">
        <v>194</v>
      </c>
      <c r="D905" s="559" t="s">
        <v>412</v>
      </c>
      <c r="E905" s="559">
        <v>1</v>
      </c>
      <c r="F905" s="18"/>
      <c r="G905" s="18"/>
      <c r="H905" s="18"/>
    </row>
    <row r="906" spans="1:8" x14ac:dyDescent="0.3">
      <c r="A906" s="116" t="str">
        <f t="shared" si="28"/>
        <v>KBY</v>
      </c>
      <c r="B906" s="60" t="str">
        <f t="shared" si="29"/>
        <v>KBYSI loads Christchurch and north</v>
      </c>
      <c r="C906" s="559" t="s">
        <v>195</v>
      </c>
      <c r="D906" s="559" t="s">
        <v>412</v>
      </c>
      <c r="E906" s="559">
        <v>1</v>
      </c>
      <c r="F906" s="18"/>
      <c r="G906" s="18"/>
      <c r="H906" s="18"/>
    </row>
    <row r="907" spans="1:8" x14ac:dyDescent="0.3">
      <c r="A907" s="116" t="str">
        <f t="shared" si="28"/>
        <v>KIK</v>
      </c>
      <c r="B907" s="60" t="str">
        <f t="shared" si="29"/>
        <v>KIKSI loads Christchurch and north</v>
      </c>
      <c r="C907" s="559" t="s">
        <v>196</v>
      </c>
      <c r="D907" s="559" t="s">
        <v>412</v>
      </c>
      <c r="E907" s="559">
        <v>1</v>
      </c>
      <c r="F907" s="18"/>
      <c r="G907" s="18"/>
      <c r="H907" s="18"/>
    </row>
    <row r="908" spans="1:8" x14ac:dyDescent="0.3">
      <c r="A908" s="116" t="str">
        <f t="shared" si="28"/>
        <v>KUM</v>
      </c>
      <c r="B908" s="60" t="str">
        <f t="shared" si="29"/>
        <v>KUMSI loads Christchurch and north</v>
      </c>
      <c r="C908" s="559" t="s">
        <v>205</v>
      </c>
      <c r="D908" s="559" t="s">
        <v>412</v>
      </c>
      <c r="E908" s="559">
        <v>1</v>
      </c>
      <c r="F908" s="18"/>
      <c r="G908" s="18"/>
      <c r="H908" s="18"/>
    </row>
    <row r="909" spans="1:8" x14ac:dyDescent="0.3">
      <c r="A909" s="116" t="str">
        <f t="shared" si="28"/>
        <v>MCH</v>
      </c>
      <c r="B909" s="60" t="str">
        <f t="shared" si="29"/>
        <v>MCHSI loads Christchurch and north</v>
      </c>
      <c r="C909" s="559" t="s">
        <v>217</v>
      </c>
      <c r="D909" s="559" t="s">
        <v>412</v>
      </c>
      <c r="E909" s="559">
        <v>1</v>
      </c>
      <c r="F909" s="18"/>
      <c r="G909" s="18"/>
      <c r="H909" s="18"/>
    </row>
    <row r="910" spans="1:8" x14ac:dyDescent="0.3">
      <c r="A910" s="116" t="str">
        <f t="shared" si="28"/>
        <v>MLN</v>
      </c>
      <c r="B910" s="60" t="str">
        <f t="shared" si="29"/>
        <v>MLNSI loads Christchurch and north</v>
      </c>
      <c r="C910" s="559" t="s">
        <v>377</v>
      </c>
      <c r="D910" s="559" t="s">
        <v>412</v>
      </c>
      <c r="E910" s="559">
        <v>1</v>
      </c>
      <c r="F910" s="18"/>
      <c r="G910" s="18"/>
      <c r="H910" s="18"/>
    </row>
    <row r="911" spans="1:8" x14ac:dyDescent="0.3">
      <c r="A911" s="116" t="str">
        <f t="shared" si="28"/>
        <v>MLN</v>
      </c>
      <c r="B911" s="60" t="str">
        <f t="shared" si="29"/>
        <v>MLNSI loads Christchurch and north</v>
      </c>
      <c r="C911" s="559" t="s">
        <v>378</v>
      </c>
      <c r="D911" s="559" t="s">
        <v>412</v>
      </c>
      <c r="E911" s="559">
        <v>1</v>
      </c>
      <c r="F911" s="18"/>
      <c r="G911" s="18"/>
      <c r="H911" s="18"/>
    </row>
    <row r="912" spans="1:8" x14ac:dyDescent="0.3">
      <c r="A912" s="116" t="str">
        <f t="shared" si="28"/>
        <v>MOT</v>
      </c>
      <c r="B912" s="60" t="str">
        <f t="shared" si="29"/>
        <v>MOTSI loads Christchurch and north</v>
      </c>
      <c r="C912" s="559" t="s">
        <v>379</v>
      </c>
      <c r="D912" s="559" t="s">
        <v>412</v>
      </c>
      <c r="E912" s="559">
        <v>1</v>
      </c>
      <c r="F912" s="18"/>
      <c r="G912" s="18"/>
      <c r="H912" s="18"/>
    </row>
    <row r="913" spans="1:22" s="116" customFormat="1" x14ac:dyDescent="0.3">
      <c r="A913" s="116" t="str">
        <f t="shared" si="28"/>
        <v>MPI</v>
      </c>
      <c r="B913" s="60" t="str">
        <f t="shared" si="29"/>
        <v>MPISI loads Christchurch and north</v>
      </c>
      <c r="C913" s="559" t="s">
        <v>380</v>
      </c>
      <c r="D913" s="559" t="s">
        <v>412</v>
      </c>
      <c r="E913" s="559">
        <v>1</v>
      </c>
      <c r="F913" s="18"/>
      <c r="G913" s="18"/>
      <c r="H913" s="18"/>
      <c r="L913" s="18"/>
      <c r="M913" s="18"/>
      <c r="N913" s="18"/>
      <c r="O913" s="18"/>
      <c r="P913" s="18"/>
      <c r="Q913" s="18"/>
      <c r="R913" s="18"/>
      <c r="S913" s="18"/>
      <c r="T913" s="18"/>
      <c r="U913" s="18"/>
      <c r="V913" s="18"/>
    </row>
    <row r="914" spans="1:22" x14ac:dyDescent="0.3">
      <c r="A914" s="116" t="str">
        <f t="shared" si="28"/>
        <v>ORO</v>
      </c>
      <c r="B914" s="60" t="str">
        <f t="shared" si="29"/>
        <v>OROSI loads Christchurch and north</v>
      </c>
      <c r="C914" s="559" t="s">
        <v>255</v>
      </c>
      <c r="D914" s="559" t="s">
        <v>412</v>
      </c>
      <c r="E914" s="559">
        <v>1</v>
      </c>
      <c r="F914" s="18"/>
      <c r="G914" s="18"/>
      <c r="H914" s="18"/>
    </row>
    <row r="915" spans="1:22" x14ac:dyDescent="0.3">
      <c r="A915" s="116" t="str">
        <f t="shared" si="28"/>
        <v>ORO</v>
      </c>
      <c r="B915" s="60" t="str">
        <f t="shared" si="29"/>
        <v>OROSI loads Christchurch and north</v>
      </c>
      <c r="C915" s="559" t="s">
        <v>256</v>
      </c>
      <c r="D915" s="559" t="s">
        <v>412</v>
      </c>
      <c r="E915" s="559">
        <v>1</v>
      </c>
      <c r="F915" s="18"/>
      <c r="G915" s="18"/>
      <c r="H915" s="18"/>
    </row>
    <row r="916" spans="1:22" x14ac:dyDescent="0.3">
      <c r="A916" s="116" t="str">
        <f t="shared" si="28"/>
        <v>OTI</v>
      </c>
      <c r="B916" s="60" t="str">
        <f t="shared" si="29"/>
        <v>OTISI loads Christchurch and north</v>
      </c>
      <c r="C916" s="559" t="s">
        <v>258</v>
      </c>
      <c r="D916" s="559" t="s">
        <v>412</v>
      </c>
      <c r="E916" s="559">
        <v>1</v>
      </c>
      <c r="F916" s="18"/>
      <c r="G916" s="18"/>
      <c r="H916" s="18"/>
    </row>
    <row r="917" spans="1:22" x14ac:dyDescent="0.3">
      <c r="A917" s="116" t="str">
        <f t="shared" si="28"/>
        <v>RFN</v>
      </c>
      <c r="B917" s="60" t="str">
        <f t="shared" si="29"/>
        <v>RFNSI loads Christchurch and north</v>
      </c>
      <c r="C917" s="559" t="s">
        <v>271</v>
      </c>
      <c r="D917" s="559" t="s">
        <v>412</v>
      </c>
      <c r="E917" s="559">
        <v>1</v>
      </c>
      <c r="F917" s="18"/>
      <c r="G917" s="18"/>
      <c r="H917" s="18"/>
    </row>
    <row r="918" spans="1:22" x14ac:dyDescent="0.3">
      <c r="A918" s="116" t="str">
        <f t="shared" si="28"/>
        <v>RFN</v>
      </c>
      <c r="B918" s="60" t="str">
        <f t="shared" si="29"/>
        <v>RFNSI loads Christchurch and north</v>
      </c>
      <c r="C918" s="559" t="s">
        <v>272</v>
      </c>
      <c r="D918" s="559" t="s">
        <v>412</v>
      </c>
      <c r="E918" s="559">
        <v>1</v>
      </c>
      <c r="F918" s="18"/>
      <c r="G918" s="18"/>
      <c r="H918" s="18"/>
    </row>
    <row r="919" spans="1:22" x14ac:dyDescent="0.3">
      <c r="A919" s="116" t="str">
        <f t="shared" si="28"/>
        <v>SBK</v>
      </c>
      <c r="B919" s="60" t="str">
        <f t="shared" si="29"/>
        <v>SBKSI loads Christchurch and north</v>
      </c>
      <c r="C919" s="559" t="s">
        <v>282</v>
      </c>
      <c r="D919" s="559" t="s">
        <v>412</v>
      </c>
      <c r="E919" s="559">
        <v>1</v>
      </c>
      <c r="F919" s="18"/>
      <c r="G919" s="18"/>
      <c r="H919" s="18"/>
    </row>
    <row r="920" spans="1:22" x14ac:dyDescent="0.3">
      <c r="A920" s="116" t="str">
        <f t="shared" si="28"/>
        <v>SPN</v>
      </c>
      <c r="B920" s="60" t="str">
        <f t="shared" si="29"/>
        <v>SPNSI loads Christchurch and north</v>
      </c>
      <c r="C920" s="559" t="s">
        <v>384</v>
      </c>
      <c r="D920" s="559" t="s">
        <v>412</v>
      </c>
      <c r="E920" s="559">
        <v>1</v>
      </c>
      <c r="F920" s="18"/>
      <c r="G920" s="18"/>
      <c r="H920" s="18"/>
    </row>
    <row r="921" spans="1:22" x14ac:dyDescent="0.3">
      <c r="A921" s="116" t="str">
        <f t="shared" si="28"/>
        <v>SPN</v>
      </c>
      <c r="B921" s="60" t="str">
        <f t="shared" si="29"/>
        <v>SPNSI loads Christchurch and north</v>
      </c>
      <c r="C921" s="559" t="s">
        <v>385</v>
      </c>
      <c r="D921" s="559" t="s">
        <v>412</v>
      </c>
      <c r="E921" s="559">
        <v>1</v>
      </c>
      <c r="F921" s="18"/>
      <c r="G921" s="18"/>
      <c r="H921" s="18"/>
    </row>
    <row r="922" spans="1:22" x14ac:dyDescent="0.3">
      <c r="A922" s="116" t="str">
        <f t="shared" si="28"/>
        <v>STK</v>
      </c>
      <c r="B922" s="60" t="str">
        <f t="shared" si="29"/>
        <v>STKSI loads Christchurch and north</v>
      </c>
      <c r="C922" s="559" t="s">
        <v>289</v>
      </c>
      <c r="D922" s="559" t="s">
        <v>412</v>
      </c>
      <c r="E922" s="559">
        <v>1</v>
      </c>
      <c r="F922" s="18"/>
      <c r="G922" s="18"/>
      <c r="H922" s="18"/>
    </row>
    <row r="923" spans="1:22" x14ac:dyDescent="0.3">
      <c r="A923" s="116" t="str">
        <f t="shared" si="28"/>
        <v>WPR</v>
      </c>
      <c r="B923" s="60" t="str">
        <f t="shared" si="29"/>
        <v>WPRSI loads Christchurch and north</v>
      </c>
      <c r="C923" s="559" t="s">
        <v>344</v>
      </c>
      <c r="D923" s="559" t="s">
        <v>412</v>
      </c>
      <c r="E923" s="559">
        <v>1</v>
      </c>
      <c r="F923" s="18"/>
      <c r="G923" s="18"/>
      <c r="H923" s="18"/>
    </row>
    <row r="924" spans="1:22" ht="18" x14ac:dyDescent="0.3">
      <c r="A924" s="116" t="str">
        <f t="shared" si="28"/>
        <v>WPR</v>
      </c>
      <c r="B924" s="60" t="str">
        <f t="shared" si="29"/>
        <v>WPRSI loads Christchurch and north</v>
      </c>
      <c r="C924" s="559" t="s">
        <v>345</v>
      </c>
      <c r="D924" s="559" t="s">
        <v>412</v>
      </c>
      <c r="E924" s="559">
        <v>1</v>
      </c>
      <c r="F924" s="18"/>
      <c r="G924" s="18"/>
      <c r="H924" s="18"/>
      <c r="L924" s="95"/>
    </row>
    <row r="925" spans="1:22" x14ac:dyDescent="0.3">
      <c r="A925" s="116" t="str">
        <f t="shared" si="28"/>
        <v>WPT</v>
      </c>
      <c r="B925" s="60" t="str">
        <f t="shared" si="29"/>
        <v>WPTSI loads Christchurch and north</v>
      </c>
      <c r="C925" s="559" t="s">
        <v>346</v>
      </c>
      <c r="D925" s="559" t="s">
        <v>412</v>
      </c>
      <c r="E925" s="559">
        <v>1</v>
      </c>
      <c r="F925" s="18"/>
      <c r="G925" s="18"/>
      <c r="H925" s="18"/>
      <c r="K925" s="94"/>
      <c r="N925" s="61"/>
      <c r="O925" s="61"/>
    </row>
    <row r="926" spans="1:22" x14ac:dyDescent="0.3">
      <c r="A926" s="116" t="str">
        <f t="shared" si="28"/>
        <v>ABY</v>
      </c>
      <c r="B926" s="60" t="str">
        <f t="shared" si="29"/>
        <v>ABYSI loads Studholme and north</v>
      </c>
      <c r="C926" s="559" t="s">
        <v>95</v>
      </c>
      <c r="D926" s="559" t="s">
        <v>413</v>
      </c>
      <c r="E926" s="559">
        <v>1</v>
      </c>
      <c r="F926" s="18"/>
      <c r="G926" s="18"/>
      <c r="H926" s="18"/>
    </row>
    <row r="927" spans="1:22" x14ac:dyDescent="0.3">
      <c r="A927" s="116" t="str">
        <f t="shared" si="28"/>
        <v>ADD</v>
      </c>
      <c r="B927" s="60" t="str">
        <f t="shared" si="29"/>
        <v>ADDSI loads Studholme and north</v>
      </c>
      <c r="C927" s="559" t="s">
        <v>362</v>
      </c>
      <c r="D927" s="559" t="s">
        <v>413</v>
      </c>
      <c r="E927" s="559">
        <v>1</v>
      </c>
      <c r="F927" s="18"/>
      <c r="G927" s="18"/>
      <c r="H927" s="18"/>
    </row>
    <row r="928" spans="1:22" x14ac:dyDescent="0.3">
      <c r="A928" s="116" t="str">
        <f t="shared" si="28"/>
        <v>ADD</v>
      </c>
      <c r="B928" s="60" t="str">
        <f t="shared" si="29"/>
        <v>ADDSI loads Studholme and north</v>
      </c>
      <c r="C928" s="559" t="s">
        <v>363</v>
      </c>
      <c r="D928" s="559" t="s">
        <v>413</v>
      </c>
      <c r="E928" s="559">
        <v>1</v>
      </c>
      <c r="F928" s="18"/>
      <c r="G928" s="18"/>
      <c r="H928" s="18"/>
    </row>
    <row r="929" spans="1:8" x14ac:dyDescent="0.3">
      <c r="A929" s="116" t="str">
        <f t="shared" si="28"/>
        <v>APS</v>
      </c>
      <c r="B929" s="60" t="str">
        <f t="shared" si="29"/>
        <v>APSSI loads Studholme and north</v>
      </c>
      <c r="C929" s="559" t="s">
        <v>99</v>
      </c>
      <c r="D929" s="559" t="s">
        <v>413</v>
      </c>
      <c r="E929" s="559">
        <v>1</v>
      </c>
      <c r="F929" s="18"/>
      <c r="G929" s="18"/>
      <c r="H929" s="18"/>
    </row>
    <row r="930" spans="1:8" x14ac:dyDescent="0.3">
      <c r="A930" s="116" t="str">
        <f t="shared" si="28"/>
        <v>ARG</v>
      </c>
      <c r="B930" s="60" t="str">
        <f t="shared" si="29"/>
        <v>ARGSI loads Studholme and north</v>
      </c>
      <c r="C930" s="559" t="s">
        <v>102</v>
      </c>
      <c r="D930" s="559" t="s">
        <v>413</v>
      </c>
      <c r="E930" s="559">
        <v>1</v>
      </c>
      <c r="F930" s="18"/>
      <c r="G930" s="18"/>
      <c r="H930" s="18"/>
    </row>
    <row r="931" spans="1:8" x14ac:dyDescent="0.3">
      <c r="A931" s="116" t="str">
        <f t="shared" si="28"/>
        <v>ASB</v>
      </c>
      <c r="B931" s="60" t="str">
        <f t="shared" si="29"/>
        <v>ASBSI loads Studholme and north</v>
      </c>
      <c r="C931" s="559" t="s">
        <v>107</v>
      </c>
      <c r="D931" s="559" t="s">
        <v>413</v>
      </c>
      <c r="E931" s="559">
        <v>1</v>
      </c>
      <c r="F931" s="18"/>
      <c r="G931" s="18"/>
      <c r="H931" s="18"/>
    </row>
    <row r="932" spans="1:8" x14ac:dyDescent="0.3">
      <c r="A932" s="116" t="str">
        <f t="shared" si="28"/>
        <v>ASB</v>
      </c>
      <c r="B932" s="60" t="str">
        <f t="shared" si="29"/>
        <v>ASBSI loads Studholme and north</v>
      </c>
      <c r="C932" s="559" t="s">
        <v>108</v>
      </c>
      <c r="D932" s="559" t="s">
        <v>413</v>
      </c>
      <c r="E932" s="559">
        <v>1</v>
      </c>
      <c r="F932" s="18"/>
      <c r="G932" s="18"/>
      <c r="H932" s="18"/>
    </row>
    <row r="933" spans="1:8" x14ac:dyDescent="0.3">
      <c r="A933" s="116" t="str">
        <f t="shared" si="28"/>
        <v>ASY</v>
      </c>
      <c r="B933" s="60" t="str">
        <f t="shared" si="29"/>
        <v>ASYSI loads Studholme and north</v>
      </c>
      <c r="C933" s="559" t="s">
        <v>111</v>
      </c>
      <c r="D933" s="559" t="s">
        <v>413</v>
      </c>
      <c r="E933" s="559">
        <v>1</v>
      </c>
      <c r="F933" s="18"/>
      <c r="G933" s="18"/>
      <c r="H933" s="18"/>
    </row>
    <row r="934" spans="1:8" x14ac:dyDescent="0.3">
      <c r="A934" s="116" t="str">
        <f t="shared" si="28"/>
        <v>ATU</v>
      </c>
      <c r="B934" s="60" t="str">
        <f t="shared" si="29"/>
        <v>ATUSI loads Studholme and north</v>
      </c>
      <c r="C934" s="559" t="s">
        <v>113</v>
      </c>
      <c r="D934" s="559" t="s">
        <v>413</v>
      </c>
      <c r="E934" s="559">
        <v>1</v>
      </c>
      <c r="F934" s="18"/>
      <c r="G934" s="18"/>
      <c r="H934" s="18"/>
    </row>
    <row r="935" spans="1:8" x14ac:dyDescent="0.3">
      <c r="A935" s="116" t="str">
        <f t="shared" si="28"/>
        <v>BLN</v>
      </c>
      <c r="B935" s="60" t="str">
        <f t="shared" si="29"/>
        <v>BLNSI loads Studholme and north</v>
      </c>
      <c r="C935" s="559" t="s">
        <v>118</v>
      </c>
      <c r="D935" s="559" t="s">
        <v>413</v>
      </c>
      <c r="E935" s="559">
        <v>1</v>
      </c>
      <c r="F935" s="18"/>
      <c r="G935" s="18"/>
      <c r="H935" s="18"/>
    </row>
    <row r="936" spans="1:8" x14ac:dyDescent="0.3">
      <c r="A936" s="116" t="str">
        <f t="shared" si="28"/>
        <v>BRY</v>
      </c>
      <c r="B936" s="60" t="str">
        <f t="shared" si="29"/>
        <v>BRYSI loads Studholme and north</v>
      </c>
      <c r="C936" s="559" t="s">
        <v>364</v>
      </c>
      <c r="D936" s="559" t="s">
        <v>413</v>
      </c>
      <c r="E936" s="559">
        <v>1</v>
      </c>
      <c r="F936" s="18"/>
      <c r="G936" s="18"/>
      <c r="H936" s="18"/>
    </row>
    <row r="937" spans="1:8" x14ac:dyDescent="0.3">
      <c r="A937" s="116" t="str">
        <f t="shared" si="28"/>
        <v>BRY</v>
      </c>
      <c r="B937" s="60" t="str">
        <f t="shared" si="29"/>
        <v>BRYSI loads Studholme and north</v>
      </c>
      <c r="C937" s="559" t="s">
        <v>128</v>
      </c>
      <c r="D937" s="559" t="s">
        <v>413</v>
      </c>
      <c r="E937" s="559">
        <v>1</v>
      </c>
      <c r="F937" s="18"/>
      <c r="G937" s="18"/>
      <c r="H937" s="18"/>
    </row>
    <row r="938" spans="1:8" x14ac:dyDescent="0.3">
      <c r="A938" s="116" t="str">
        <f t="shared" si="28"/>
        <v>CLH</v>
      </c>
      <c r="B938" s="60" t="str">
        <f t="shared" si="29"/>
        <v>CLHSI loads Studholme and north</v>
      </c>
      <c r="C938" s="559" t="s">
        <v>132</v>
      </c>
      <c r="D938" s="559" t="s">
        <v>413</v>
      </c>
      <c r="E938" s="559">
        <v>1</v>
      </c>
      <c r="F938" s="18"/>
      <c r="G938" s="18"/>
      <c r="H938" s="18"/>
    </row>
    <row r="939" spans="1:8" x14ac:dyDescent="0.3">
      <c r="A939" s="116" t="str">
        <f t="shared" si="28"/>
        <v>COL</v>
      </c>
      <c r="B939" s="60" t="str">
        <f t="shared" si="29"/>
        <v>COLSI loads Studholme and north</v>
      </c>
      <c r="C939" s="559" t="s">
        <v>134</v>
      </c>
      <c r="D939" s="559" t="s">
        <v>413</v>
      </c>
      <c r="E939" s="559">
        <v>1</v>
      </c>
      <c r="F939" s="18"/>
      <c r="G939" s="18"/>
      <c r="H939" s="18"/>
    </row>
    <row r="940" spans="1:8" x14ac:dyDescent="0.3">
      <c r="A940" s="116" t="str">
        <f t="shared" si="28"/>
        <v>COL</v>
      </c>
      <c r="B940" s="60" t="str">
        <f t="shared" si="29"/>
        <v>COLSI loads Studholme and north</v>
      </c>
      <c r="C940" s="559" t="s">
        <v>135</v>
      </c>
      <c r="D940" s="559" t="s">
        <v>413</v>
      </c>
      <c r="E940" s="559">
        <v>1</v>
      </c>
      <c r="F940" s="18"/>
      <c r="G940" s="18"/>
      <c r="H940" s="18"/>
    </row>
    <row r="941" spans="1:8" x14ac:dyDescent="0.3">
      <c r="A941" s="116" t="str">
        <f t="shared" si="28"/>
        <v>CUL</v>
      </c>
      <c r="B941" s="60" t="str">
        <f t="shared" si="29"/>
        <v>CULSI loads Studholme and north</v>
      </c>
      <c r="C941" s="559" t="s">
        <v>140</v>
      </c>
      <c r="D941" s="559" t="s">
        <v>413</v>
      </c>
      <c r="E941" s="559">
        <v>1</v>
      </c>
      <c r="F941" s="18"/>
      <c r="G941" s="18"/>
      <c r="H941" s="18"/>
    </row>
    <row r="942" spans="1:8" x14ac:dyDescent="0.3">
      <c r="A942" s="116" t="str">
        <f t="shared" si="28"/>
        <v>CUL</v>
      </c>
      <c r="B942" s="60" t="str">
        <f t="shared" si="29"/>
        <v>CULSI loads Studholme and north</v>
      </c>
      <c r="C942" s="559" t="s">
        <v>141</v>
      </c>
      <c r="D942" s="559" t="s">
        <v>413</v>
      </c>
      <c r="E942" s="559">
        <v>1</v>
      </c>
      <c r="F942" s="18"/>
      <c r="G942" s="18"/>
      <c r="H942" s="18"/>
    </row>
    <row r="943" spans="1:8" x14ac:dyDescent="0.3">
      <c r="A943" s="116" t="str">
        <f t="shared" si="28"/>
        <v>DOB</v>
      </c>
      <c r="B943" s="60" t="str">
        <f t="shared" si="29"/>
        <v>DOBSI loads Studholme and north</v>
      </c>
      <c r="C943" s="559" t="s">
        <v>145</v>
      </c>
      <c r="D943" s="559" t="s">
        <v>413</v>
      </c>
      <c r="E943" s="559">
        <v>1</v>
      </c>
      <c r="F943" s="18"/>
      <c r="G943" s="18"/>
      <c r="H943" s="18"/>
    </row>
    <row r="944" spans="1:8" x14ac:dyDescent="0.3">
      <c r="A944" s="116" t="str">
        <f t="shared" si="28"/>
        <v>GYM</v>
      </c>
      <c r="B944" s="60" t="str">
        <f t="shared" si="29"/>
        <v>GYMSI loads Studholme and north</v>
      </c>
      <c r="C944" s="559" t="s">
        <v>154</v>
      </c>
      <c r="D944" s="559" t="s">
        <v>413</v>
      </c>
      <c r="E944" s="559">
        <v>1</v>
      </c>
      <c r="F944" s="18"/>
      <c r="G944" s="18"/>
      <c r="H944" s="18"/>
    </row>
    <row r="945" spans="1:8" x14ac:dyDescent="0.3">
      <c r="A945" s="116" t="str">
        <f t="shared" si="28"/>
        <v>HKK</v>
      </c>
      <c r="B945" s="60" t="str">
        <f t="shared" si="29"/>
        <v>HKKSI loads Studholme and north</v>
      </c>
      <c r="C945" s="559" t="s">
        <v>164</v>
      </c>
      <c r="D945" s="559" t="s">
        <v>413</v>
      </c>
      <c r="E945" s="559">
        <v>1</v>
      </c>
      <c r="F945" s="18"/>
      <c r="G945" s="18"/>
      <c r="H945" s="18"/>
    </row>
    <row r="946" spans="1:8" x14ac:dyDescent="0.3">
      <c r="A946" s="116" t="str">
        <f t="shared" si="28"/>
        <v>HOR</v>
      </c>
      <c r="B946" s="60" t="str">
        <f t="shared" si="29"/>
        <v>HORSI loads Studholme and north</v>
      </c>
      <c r="C946" s="559" t="s">
        <v>171</v>
      </c>
      <c r="D946" s="559" t="s">
        <v>413</v>
      </c>
      <c r="E946" s="559">
        <v>1</v>
      </c>
      <c r="F946" s="18"/>
      <c r="G946" s="18"/>
      <c r="H946" s="18"/>
    </row>
    <row r="947" spans="1:8" x14ac:dyDescent="0.3">
      <c r="A947" s="116" t="str">
        <f t="shared" si="28"/>
        <v>HOR</v>
      </c>
      <c r="B947" s="60" t="str">
        <f t="shared" si="29"/>
        <v>HORSI loads Studholme and north</v>
      </c>
      <c r="C947" s="559" t="s">
        <v>172</v>
      </c>
      <c r="D947" s="559" t="s">
        <v>413</v>
      </c>
      <c r="E947" s="559">
        <v>1</v>
      </c>
      <c r="F947" s="18"/>
      <c r="G947" s="18"/>
      <c r="H947" s="18"/>
    </row>
    <row r="948" spans="1:8" x14ac:dyDescent="0.3">
      <c r="A948" s="116" t="str">
        <f t="shared" si="28"/>
        <v>ISL</v>
      </c>
      <c r="B948" s="60" t="str">
        <f t="shared" si="29"/>
        <v>ISLSI loads Studholme and north</v>
      </c>
      <c r="C948" s="559" t="s">
        <v>189</v>
      </c>
      <c r="D948" s="559" t="s">
        <v>413</v>
      </c>
      <c r="E948" s="559">
        <v>1</v>
      </c>
      <c r="F948" s="18"/>
      <c r="G948" s="18"/>
      <c r="H948" s="18"/>
    </row>
    <row r="949" spans="1:8" x14ac:dyDescent="0.3">
      <c r="A949" s="116" t="str">
        <f t="shared" si="28"/>
        <v>ISL</v>
      </c>
      <c r="B949" s="60" t="str">
        <f t="shared" si="29"/>
        <v>ISLSI loads Studholme and north</v>
      </c>
      <c r="C949" s="559" t="s">
        <v>190</v>
      </c>
      <c r="D949" s="559" t="s">
        <v>413</v>
      </c>
      <c r="E949" s="559">
        <v>1</v>
      </c>
      <c r="F949" s="18"/>
      <c r="G949" s="18"/>
      <c r="H949" s="18"/>
    </row>
    <row r="950" spans="1:8" x14ac:dyDescent="0.3">
      <c r="A950" s="116" t="str">
        <f t="shared" si="28"/>
        <v>KAI</v>
      </c>
      <c r="B950" s="60" t="str">
        <f t="shared" si="29"/>
        <v>KAISI loads Studholme and north</v>
      </c>
      <c r="C950" s="559" t="s">
        <v>191</v>
      </c>
      <c r="D950" s="559" t="s">
        <v>413</v>
      </c>
      <c r="E950" s="559">
        <v>1</v>
      </c>
      <c r="F950" s="18"/>
      <c r="G950" s="18"/>
      <c r="H950" s="18"/>
    </row>
    <row r="951" spans="1:8" x14ac:dyDescent="0.3">
      <c r="A951" s="116" t="str">
        <f t="shared" si="28"/>
        <v>KBY</v>
      </c>
      <c r="B951" s="60" t="str">
        <f t="shared" si="29"/>
        <v>KBYSI loads Studholme and north</v>
      </c>
      <c r="C951" s="559" t="s">
        <v>194</v>
      </c>
      <c r="D951" s="559" t="s">
        <v>413</v>
      </c>
      <c r="E951" s="559">
        <v>1</v>
      </c>
      <c r="F951" s="18"/>
      <c r="G951" s="18"/>
      <c r="H951" s="18"/>
    </row>
    <row r="952" spans="1:8" x14ac:dyDescent="0.3">
      <c r="A952" s="116" t="str">
        <f t="shared" si="28"/>
        <v>KBY</v>
      </c>
      <c r="B952" s="60" t="str">
        <f t="shared" si="29"/>
        <v>KBYSI loads Studholme and north</v>
      </c>
      <c r="C952" s="559" t="s">
        <v>195</v>
      </c>
      <c r="D952" s="559" t="s">
        <v>413</v>
      </c>
      <c r="E952" s="559">
        <v>1</v>
      </c>
      <c r="F952" s="18"/>
      <c r="G952" s="18"/>
      <c r="H952" s="18"/>
    </row>
    <row r="953" spans="1:8" x14ac:dyDescent="0.3">
      <c r="A953" s="116" t="str">
        <f t="shared" si="28"/>
        <v>KIK</v>
      </c>
      <c r="B953" s="60" t="str">
        <f t="shared" si="29"/>
        <v>KIKSI loads Studholme and north</v>
      </c>
      <c r="C953" s="559" t="s">
        <v>196</v>
      </c>
      <c r="D953" s="559" t="s">
        <v>413</v>
      </c>
      <c r="E953" s="559">
        <v>1</v>
      </c>
      <c r="F953" s="18"/>
      <c r="G953" s="18"/>
      <c r="H953" s="18"/>
    </row>
    <row r="954" spans="1:8" x14ac:dyDescent="0.3">
      <c r="A954" s="116" t="str">
        <f t="shared" si="28"/>
        <v>KUM</v>
      </c>
      <c r="B954" s="60" t="str">
        <f t="shared" si="29"/>
        <v>KUMSI loads Studholme and north</v>
      </c>
      <c r="C954" s="559" t="s">
        <v>205</v>
      </c>
      <c r="D954" s="559" t="s">
        <v>413</v>
      </c>
      <c r="E954" s="559">
        <v>1</v>
      </c>
      <c r="F954" s="18"/>
      <c r="G954" s="18"/>
      <c r="H954" s="18"/>
    </row>
    <row r="955" spans="1:8" x14ac:dyDescent="0.3">
      <c r="A955" s="116" t="str">
        <f t="shared" si="28"/>
        <v>MCH</v>
      </c>
      <c r="B955" s="60" t="str">
        <f t="shared" si="29"/>
        <v>MCHSI loads Studholme and north</v>
      </c>
      <c r="C955" s="559" t="s">
        <v>217</v>
      </c>
      <c r="D955" s="559" t="s">
        <v>413</v>
      </c>
      <c r="E955" s="559">
        <v>1</v>
      </c>
      <c r="F955" s="18"/>
      <c r="G955" s="18"/>
      <c r="H955" s="18"/>
    </row>
    <row r="956" spans="1:8" x14ac:dyDescent="0.3">
      <c r="A956" s="116" t="str">
        <f t="shared" si="28"/>
        <v>MLN</v>
      </c>
      <c r="B956" s="60" t="str">
        <f t="shared" si="29"/>
        <v>MLNSI loads Studholme and north</v>
      </c>
      <c r="C956" s="559" t="s">
        <v>377</v>
      </c>
      <c r="D956" s="559" t="s">
        <v>413</v>
      </c>
      <c r="E956" s="559">
        <v>1</v>
      </c>
      <c r="F956" s="18"/>
      <c r="G956" s="18"/>
      <c r="H956" s="18"/>
    </row>
    <row r="957" spans="1:8" x14ac:dyDescent="0.3">
      <c r="A957" s="116" t="str">
        <f t="shared" si="28"/>
        <v>MLN</v>
      </c>
      <c r="B957" s="60" t="str">
        <f t="shared" si="29"/>
        <v>MLNSI loads Studholme and north</v>
      </c>
      <c r="C957" s="559" t="s">
        <v>378</v>
      </c>
      <c r="D957" s="559" t="s">
        <v>413</v>
      </c>
      <c r="E957" s="559">
        <v>1</v>
      </c>
      <c r="F957" s="18"/>
      <c r="G957" s="18"/>
      <c r="H957" s="18"/>
    </row>
    <row r="958" spans="1:8" x14ac:dyDescent="0.3">
      <c r="A958" s="116" t="str">
        <f t="shared" si="28"/>
        <v>MOT</v>
      </c>
      <c r="B958" s="60" t="str">
        <f t="shared" si="29"/>
        <v>MOTSI loads Studholme and north</v>
      </c>
      <c r="C958" s="559" t="s">
        <v>379</v>
      </c>
      <c r="D958" s="559" t="s">
        <v>413</v>
      </c>
      <c r="E958" s="559">
        <v>1</v>
      </c>
      <c r="F958" s="18"/>
      <c r="G958" s="18"/>
      <c r="H958" s="18"/>
    </row>
    <row r="959" spans="1:8" x14ac:dyDescent="0.3">
      <c r="A959" s="116" t="str">
        <f t="shared" si="28"/>
        <v>MPI</v>
      </c>
      <c r="B959" s="60" t="str">
        <f t="shared" si="29"/>
        <v>MPISI loads Studholme and north</v>
      </c>
      <c r="C959" s="559" t="s">
        <v>380</v>
      </c>
      <c r="D959" s="559" t="s">
        <v>413</v>
      </c>
      <c r="E959" s="559">
        <v>1</v>
      </c>
      <c r="F959" s="18"/>
      <c r="G959" s="18"/>
      <c r="H959" s="18"/>
    </row>
    <row r="960" spans="1:8" x14ac:dyDescent="0.3">
      <c r="A960" s="116" t="str">
        <f t="shared" si="28"/>
        <v>ORO</v>
      </c>
      <c r="B960" s="60" t="str">
        <f t="shared" si="29"/>
        <v>OROSI loads Studholme and north</v>
      </c>
      <c r="C960" s="559" t="s">
        <v>255</v>
      </c>
      <c r="D960" s="559" t="s">
        <v>413</v>
      </c>
      <c r="E960" s="559">
        <v>1</v>
      </c>
      <c r="F960" s="18"/>
      <c r="G960" s="18"/>
      <c r="H960" s="18"/>
    </row>
    <row r="961" spans="1:15" x14ac:dyDescent="0.3">
      <c r="A961" s="116" t="str">
        <f t="shared" si="28"/>
        <v>ORO</v>
      </c>
      <c r="B961" s="60" t="str">
        <f t="shared" si="29"/>
        <v>OROSI loads Studholme and north</v>
      </c>
      <c r="C961" s="559" t="s">
        <v>256</v>
      </c>
      <c r="D961" s="559" t="s">
        <v>413</v>
      </c>
      <c r="E961" s="559">
        <v>1</v>
      </c>
      <c r="F961" s="18"/>
      <c r="G961" s="18"/>
      <c r="H961" s="18"/>
    </row>
    <row r="962" spans="1:15" x14ac:dyDescent="0.3">
      <c r="A962" s="116" t="str">
        <f t="shared" si="28"/>
        <v>OTI</v>
      </c>
      <c r="B962" s="60" t="str">
        <f t="shared" si="29"/>
        <v>OTISI loads Studholme and north</v>
      </c>
      <c r="C962" s="559" t="s">
        <v>258</v>
      </c>
      <c r="D962" s="559" t="s">
        <v>413</v>
      </c>
      <c r="E962" s="559">
        <v>1</v>
      </c>
      <c r="F962" s="18"/>
      <c r="G962" s="18"/>
      <c r="H962" s="18"/>
    </row>
    <row r="963" spans="1:15" x14ac:dyDescent="0.3">
      <c r="A963" s="116" t="str">
        <f t="shared" si="28"/>
        <v>RFN</v>
      </c>
      <c r="B963" s="60" t="str">
        <f t="shared" si="29"/>
        <v>RFNSI loads Studholme and north</v>
      </c>
      <c r="C963" s="559" t="s">
        <v>271</v>
      </c>
      <c r="D963" s="559" t="s">
        <v>413</v>
      </c>
      <c r="E963" s="559">
        <v>1</v>
      </c>
      <c r="F963" s="18"/>
      <c r="G963" s="18"/>
      <c r="H963" s="18"/>
    </row>
    <row r="964" spans="1:15" x14ac:dyDescent="0.3">
      <c r="A964" s="116" t="str">
        <f t="shared" si="28"/>
        <v>RFN</v>
      </c>
      <c r="B964" s="60" t="str">
        <f t="shared" si="29"/>
        <v>RFNSI loads Studholme and north</v>
      </c>
      <c r="C964" s="559" t="s">
        <v>272</v>
      </c>
      <c r="D964" s="559" t="s">
        <v>413</v>
      </c>
      <c r="E964" s="559">
        <v>1</v>
      </c>
      <c r="F964" s="18"/>
      <c r="G964" s="18"/>
      <c r="H964" s="18"/>
    </row>
    <row r="965" spans="1:15" x14ac:dyDescent="0.3">
      <c r="A965" s="116" t="str">
        <f t="shared" si="28"/>
        <v>SBK</v>
      </c>
      <c r="B965" s="60" t="str">
        <f t="shared" si="29"/>
        <v>SBKSI loads Studholme and north</v>
      </c>
      <c r="C965" s="559" t="s">
        <v>282</v>
      </c>
      <c r="D965" s="559" t="s">
        <v>413</v>
      </c>
      <c r="E965" s="559">
        <v>1</v>
      </c>
      <c r="F965" s="18"/>
      <c r="G965" s="18"/>
      <c r="H965" s="18"/>
    </row>
    <row r="966" spans="1:15" x14ac:dyDescent="0.3">
      <c r="A966" s="116" t="str">
        <f t="shared" si="28"/>
        <v>SPN</v>
      </c>
      <c r="B966" s="60" t="str">
        <f t="shared" si="29"/>
        <v>SPNSI loads Studholme and north</v>
      </c>
      <c r="C966" s="559" t="s">
        <v>384</v>
      </c>
      <c r="D966" s="559" t="s">
        <v>413</v>
      </c>
      <c r="E966" s="559">
        <v>1</v>
      </c>
      <c r="F966" s="18"/>
      <c r="G966" s="18"/>
      <c r="H966" s="18"/>
    </row>
    <row r="967" spans="1:15" x14ac:dyDescent="0.3">
      <c r="A967" s="116" t="str">
        <f t="shared" ref="A967:A1030" si="30">LEFT(C967,3)</f>
        <v>SPN</v>
      </c>
      <c r="B967" s="60" t="str">
        <f t="shared" ref="B967:B1030" si="31">A967&amp;D967</f>
        <v>SPNSI loads Studholme and north</v>
      </c>
      <c r="C967" s="559" t="s">
        <v>385</v>
      </c>
      <c r="D967" s="559" t="s">
        <v>413</v>
      </c>
      <c r="E967" s="559">
        <v>1</v>
      </c>
      <c r="F967" s="18"/>
      <c r="G967" s="18"/>
      <c r="H967" s="18"/>
    </row>
    <row r="968" spans="1:15" x14ac:dyDescent="0.3">
      <c r="A968" s="116" t="str">
        <f t="shared" si="30"/>
        <v>STK</v>
      </c>
      <c r="B968" s="60" t="str">
        <f t="shared" si="31"/>
        <v>STKSI loads Studholme and north</v>
      </c>
      <c r="C968" s="559" t="s">
        <v>289</v>
      </c>
      <c r="D968" s="559" t="s">
        <v>413</v>
      </c>
      <c r="E968" s="559">
        <v>1</v>
      </c>
      <c r="F968" s="18"/>
      <c r="G968" s="18"/>
      <c r="H968" s="18"/>
    </row>
    <row r="969" spans="1:15" x14ac:dyDescent="0.3">
      <c r="A969" s="116" t="str">
        <f t="shared" si="30"/>
        <v>STU</v>
      </c>
      <c r="B969" s="60" t="str">
        <f t="shared" si="31"/>
        <v>STUSI loads Studholme and north</v>
      </c>
      <c r="C969" s="559" t="s">
        <v>291</v>
      </c>
      <c r="D969" s="559" t="s">
        <v>413</v>
      </c>
      <c r="E969" s="559">
        <v>1</v>
      </c>
      <c r="F969" s="18"/>
      <c r="G969" s="18"/>
      <c r="H969" s="18"/>
    </row>
    <row r="970" spans="1:15" x14ac:dyDescent="0.3">
      <c r="A970" s="116" t="str">
        <f t="shared" si="30"/>
        <v>TIM</v>
      </c>
      <c r="B970" s="60" t="str">
        <f t="shared" si="31"/>
        <v>TIMSI loads Studholme and north</v>
      </c>
      <c r="C970" s="559" t="s">
        <v>303</v>
      </c>
      <c r="D970" s="559" t="s">
        <v>413</v>
      </c>
      <c r="E970" s="559">
        <v>1</v>
      </c>
      <c r="F970" s="18"/>
      <c r="G970" s="18"/>
      <c r="H970" s="18"/>
    </row>
    <row r="971" spans="1:15" x14ac:dyDescent="0.3">
      <c r="A971" s="116" t="str">
        <f t="shared" si="30"/>
        <v>TKA</v>
      </c>
      <c r="B971" s="60" t="str">
        <f t="shared" si="31"/>
        <v>TKASI loads Studholme and north</v>
      </c>
      <c r="C971" s="559" t="s">
        <v>386</v>
      </c>
      <c r="D971" s="559" t="s">
        <v>413</v>
      </c>
      <c r="E971" s="559">
        <v>1</v>
      </c>
      <c r="F971" s="18"/>
      <c r="G971" s="18"/>
      <c r="H971" s="18"/>
    </row>
    <row r="972" spans="1:15" x14ac:dyDescent="0.3">
      <c r="A972" s="116" t="str">
        <f t="shared" si="30"/>
        <v>TMK</v>
      </c>
      <c r="B972" s="60" t="str">
        <f t="shared" si="31"/>
        <v>TMKSI loads Studholme and north</v>
      </c>
      <c r="C972" s="559" t="s">
        <v>311</v>
      </c>
      <c r="D972" s="559" t="s">
        <v>413</v>
      </c>
      <c r="E972" s="559">
        <v>1</v>
      </c>
      <c r="F972" s="18"/>
      <c r="G972" s="18"/>
      <c r="H972" s="18"/>
    </row>
    <row r="973" spans="1:15" x14ac:dyDescent="0.3">
      <c r="A973" s="116" t="str">
        <f t="shared" si="30"/>
        <v>WPR</v>
      </c>
      <c r="B973" s="60" t="str">
        <f t="shared" si="31"/>
        <v>WPRSI loads Studholme and north</v>
      </c>
      <c r="C973" s="559" t="s">
        <v>344</v>
      </c>
      <c r="D973" s="559" t="s">
        <v>413</v>
      </c>
      <c r="E973" s="559">
        <v>1</v>
      </c>
      <c r="F973" s="18"/>
      <c r="G973" s="18"/>
      <c r="H973" s="18"/>
    </row>
    <row r="974" spans="1:15" x14ac:dyDescent="0.3">
      <c r="A974" s="116" t="str">
        <f t="shared" si="30"/>
        <v>WPR</v>
      </c>
      <c r="B974" s="60" t="str">
        <f t="shared" si="31"/>
        <v>WPRSI loads Studholme and north</v>
      </c>
      <c r="C974" s="559" t="s">
        <v>345</v>
      </c>
      <c r="D974" s="559" t="s">
        <v>413</v>
      </c>
      <c r="E974" s="559">
        <v>1</v>
      </c>
      <c r="F974" s="18"/>
      <c r="G974" s="18"/>
      <c r="H974" s="18"/>
      <c r="L974" s="19"/>
    </row>
    <row r="975" spans="1:15" x14ac:dyDescent="0.3">
      <c r="A975" s="116" t="str">
        <f t="shared" si="30"/>
        <v>WPT</v>
      </c>
      <c r="B975" s="60" t="str">
        <f t="shared" si="31"/>
        <v>WPTSI loads Studholme and north</v>
      </c>
      <c r="C975" s="559" t="s">
        <v>346</v>
      </c>
      <c r="D975" s="559" t="s">
        <v>413</v>
      </c>
      <c r="E975" s="559">
        <v>1</v>
      </c>
      <c r="F975" s="18"/>
      <c r="G975" s="18"/>
      <c r="H975" s="18"/>
      <c r="K975" s="94"/>
      <c r="N975" s="61"/>
      <c r="O975" s="61"/>
    </row>
    <row r="976" spans="1:15" x14ac:dyDescent="0.3">
      <c r="A976" s="116" t="str">
        <f t="shared" si="30"/>
        <v>BAL</v>
      </c>
      <c r="B976" s="60" t="str">
        <f t="shared" si="31"/>
        <v>BALSouthland loads</v>
      </c>
      <c r="C976" s="559" t="s">
        <v>115</v>
      </c>
      <c r="D976" s="559" t="s">
        <v>456</v>
      </c>
      <c r="E976" s="559">
        <v>1</v>
      </c>
      <c r="F976" s="18"/>
      <c r="G976" s="18"/>
      <c r="H976" s="18"/>
    </row>
    <row r="977" spans="1:8" x14ac:dyDescent="0.3">
      <c r="A977" s="116" t="str">
        <f t="shared" si="30"/>
        <v>BDE</v>
      </c>
      <c r="B977" s="60" t="str">
        <f t="shared" si="31"/>
        <v>BDESouthland loads</v>
      </c>
      <c r="C977" s="559" t="s">
        <v>116</v>
      </c>
      <c r="D977" s="559" t="s">
        <v>456</v>
      </c>
      <c r="E977" s="559">
        <v>1</v>
      </c>
      <c r="F977" s="18"/>
      <c r="G977" s="18"/>
      <c r="H977" s="18"/>
    </row>
    <row r="978" spans="1:8" x14ac:dyDescent="0.3">
      <c r="A978" s="116" t="str">
        <f t="shared" si="30"/>
        <v>BWK</v>
      </c>
      <c r="B978" s="60" t="str">
        <f t="shared" si="31"/>
        <v>BWKSouthland loads</v>
      </c>
      <c r="C978" s="559" t="s">
        <v>129</v>
      </c>
      <c r="D978" s="559" t="s">
        <v>456</v>
      </c>
      <c r="E978" s="559">
        <v>1</v>
      </c>
      <c r="F978" s="18"/>
      <c r="G978" s="18"/>
      <c r="H978" s="18"/>
    </row>
    <row r="979" spans="1:8" x14ac:dyDescent="0.3">
      <c r="A979" s="116" t="str">
        <f t="shared" si="30"/>
        <v>EDN</v>
      </c>
      <c r="B979" s="60" t="str">
        <f t="shared" si="31"/>
        <v>EDNSouthland loads</v>
      </c>
      <c r="C979" s="559" t="s">
        <v>148</v>
      </c>
      <c r="D979" s="559" t="s">
        <v>456</v>
      </c>
      <c r="E979" s="559">
        <v>1</v>
      </c>
      <c r="F979" s="18"/>
      <c r="G979" s="18"/>
      <c r="H979" s="18"/>
    </row>
    <row r="980" spans="1:8" x14ac:dyDescent="0.3">
      <c r="A980" s="116" t="str">
        <f t="shared" si="30"/>
        <v>GOR</v>
      </c>
      <c r="B980" s="60" t="str">
        <f t="shared" si="31"/>
        <v>GORSouthland loads</v>
      </c>
      <c r="C980" s="559" t="s">
        <v>153</v>
      </c>
      <c r="D980" s="559" t="s">
        <v>456</v>
      </c>
      <c r="E980" s="559">
        <v>1</v>
      </c>
      <c r="F980" s="18"/>
      <c r="G980" s="18"/>
      <c r="H980" s="18"/>
    </row>
    <row r="981" spans="1:8" x14ac:dyDescent="0.3">
      <c r="A981" s="116" t="str">
        <f t="shared" si="30"/>
        <v>INV</v>
      </c>
      <c r="B981" s="60" t="str">
        <f t="shared" si="31"/>
        <v>INVSouthland loads</v>
      </c>
      <c r="C981" s="559" t="s">
        <v>188</v>
      </c>
      <c r="D981" s="559" t="s">
        <v>456</v>
      </c>
      <c r="E981" s="559">
        <v>1</v>
      </c>
      <c r="F981" s="18"/>
      <c r="G981" s="18"/>
      <c r="H981" s="18"/>
    </row>
    <row r="982" spans="1:8" x14ac:dyDescent="0.3">
      <c r="A982" s="116" t="str">
        <f t="shared" si="30"/>
        <v>NMA</v>
      </c>
      <c r="B982" s="60" t="str">
        <f t="shared" si="31"/>
        <v>NMASouthland loads</v>
      </c>
      <c r="C982" s="559" t="s">
        <v>240</v>
      </c>
      <c r="D982" s="559" t="s">
        <v>456</v>
      </c>
      <c r="E982" s="559">
        <v>1</v>
      </c>
      <c r="F982" s="18"/>
      <c r="G982" s="18"/>
      <c r="H982" s="18"/>
    </row>
    <row r="983" spans="1:8" x14ac:dyDescent="0.3">
      <c r="A983" s="116" t="str">
        <f t="shared" si="30"/>
        <v>TWI</v>
      </c>
      <c r="B983" s="60" t="str">
        <f t="shared" si="31"/>
        <v>TWISouthland loads</v>
      </c>
      <c r="C983" s="559" t="s">
        <v>325</v>
      </c>
      <c r="D983" s="559" t="s">
        <v>456</v>
      </c>
      <c r="E983" s="559">
        <v>1</v>
      </c>
      <c r="F983" s="18"/>
      <c r="G983" s="18"/>
      <c r="H983" s="18"/>
    </row>
    <row r="984" spans="1:8" x14ac:dyDescent="0.3">
      <c r="A984" s="116" t="str">
        <f t="shared" si="30"/>
        <v>TNG</v>
      </c>
      <c r="B984" s="60" t="str">
        <f t="shared" si="31"/>
        <v>TNGTangiwai</v>
      </c>
      <c r="C984" s="559" t="s">
        <v>314</v>
      </c>
      <c r="D984" s="559" t="s">
        <v>453</v>
      </c>
      <c r="E984" s="559">
        <v>1</v>
      </c>
      <c r="F984" s="18"/>
      <c r="G984" s="18"/>
      <c r="H984" s="18"/>
    </row>
    <row r="985" spans="1:8" x14ac:dyDescent="0.3">
      <c r="A985" s="116" t="str">
        <f t="shared" si="30"/>
        <v>TNG</v>
      </c>
      <c r="B985" s="60" t="str">
        <f t="shared" si="31"/>
        <v>TNGTangiwai</v>
      </c>
      <c r="C985" s="559" t="s">
        <v>315</v>
      </c>
      <c r="D985" s="559" t="s">
        <v>453</v>
      </c>
      <c r="E985" s="559">
        <v>1</v>
      </c>
      <c r="F985" s="18"/>
      <c r="G985" s="18"/>
      <c r="H985" s="18"/>
    </row>
    <row r="986" spans="1:8" x14ac:dyDescent="0.3">
      <c r="A986" s="116" t="str">
        <f t="shared" si="30"/>
        <v>HWA</v>
      </c>
      <c r="B986" s="60" t="str">
        <f t="shared" si="31"/>
        <v>HWATaranaki generation</v>
      </c>
      <c r="C986" s="559" t="s">
        <v>178</v>
      </c>
      <c r="D986" s="559" t="s">
        <v>444</v>
      </c>
      <c r="E986" s="559">
        <v>1</v>
      </c>
      <c r="F986" s="18"/>
      <c r="G986" s="18"/>
      <c r="H986" s="18"/>
    </row>
    <row r="987" spans="1:8" x14ac:dyDescent="0.3">
      <c r="A987" s="116" t="str">
        <f t="shared" si="30"/>
        <v>HWA</v>
      </c>
      <c r="B987" s="60" t="str">
        <f t="shared" si="31"/>
        <v>HWATaranaki generation</v>
      </c>
      <c r="C987" s="559" t="s">
        <v>179</v>
      </c>
      <c r="D987" s="559" t="s">
        <v>444</v>
      </c>
      <c r="E987" s="559">
        <v>1</v>
      </c>
      <c r="F987" s="18"/>
      <c r="G987" s="18"/>
      <c r="H987" s="18"/>
    </row>
    <row r="988" spans="1:8" x14ac:dyDescent="0.3">
      <c r="A988" s="116" t="str">
        <f t="shared" si="30"/>
        <v>HWA</v>
      </c>
      <c r="B988" s="60" t="str">
        <f t="shared" si="31"/>
        <v>HWATaranaki generation</v>
      </c>
      <c r="C988" s="559" t="s">
        <v>180</v>
      </c>
      <c r="D988" s="559" t="s">
        <v>444</v>
      </c>
      <c r="E988" s="559">
        <v>1</v>
      </c>
      <c r="F988" s="18"/>
      <c r="G988" s="18"/>
      <c r="H988" s="18"/>
    </row>
    <row r="989" spans="1:8" x14ac:dyDescent="0.3">
      <c r="A989" s="116" t="str">
        <f t="shared" si="30"/>
        <v>HWA</v>
      </c>
      <c r="B989" s="60" t="str">
        <f t="shared" si="31"/>
        <v>HWATaranaki generation</v>
      </c>
      <c r="C989" s="559" t="s">
        <v>182</v>
      </c>
      <c r="D989" s="559" t="s">
        <v>444</v>
      </c>
      <c r="E989" s="559">
        <v>1</v>
      </c>
      <c r="F989" s="18"/>
      <c r="G989" s="18"/>
      <c r="H989" s="18"/>
    </row>
    <row r="990" spans="1:8" x14ac:dyDescent="0.3">
      <c r="A990" s="116" t="str">
        <f t="shared" si="30"/>
        <v>HWA</v>
      </c>
      <c r="B990" s="60" t="str">
        <f t="shared" si="31"/>
        <v>HWATaranaki generation</v>
      </c>
      <c r="C990" s="559" t="s">
        <v>183</v>
      </c>
      <c r="D990" s="559" t="s">
        <v>444</v>
      </c>
      <c r="E990" s="559">
        <v>1</v>
      </c>
      <c r="F990" s="18"/>
      <c r="G990" s="18"/>
      <c r="H990" s="18"/>
    </row>
    <row r="991" spans="1:8" x14ac:dyDescent="0.3">
      <c r="A991" s="116" t="str">
        <f t="shared" si="30"/>
        <v>KPA</v>
      </c>
      <c r="B991" s="60" t="str">
        <f t="shared" si="31"/>
        <v>KPATaranaki generation</v>
      </c>
      <c r="C991" s="559" t="s">
        <v>202</v>
      </c>
      <c r="D991" s="559" t="s">
        <v>444</v>
      </c>
      <c r="E991" s="559">
        <v>1</v>
      </c>
      <c r="F991" s="18"/>
      <c r="G991" s="18"/>
      <c r="H991" s="18"/>
    </row>
    <row r="992" spans="1:8" x14ac:dyDescent="0.3">
      <c r="A992" s="116" t="str">
        <f t="shared" si="30"/>
        <v>MKE</v>
      </c>
      <c r="B992" s="60" t="str">
        <f t="shared" si="31"/>
        <v>MKETaranaki generation</v>
      </c>
      <c r="C992" s="559" t="s">
        <v>223</v>
      </c>
      <c r="D992" s="559" t="s">
        <v>444</v>
      </c>
      <c r="E992" s="559">
        <v>1</v>
      </c>
      <c r="F992" s="18"/>
      <c r="G992" s="18"/>
      <c r="H992" s="18"/>
    </row>
    <row r="993" spans="1:17" x14ac:dyDescent="0.3">
      <c r="A993" s="116" t="str">
        <f t="shared" si="30"/>
        <v>SFD</v>
      </c>
      <c r="B993" s="60" t="str">
        <f t="shared" si="31"/>
        <v>SFDTaranaki generation</v>
      </c>
      <c r="C993" s="559" t="s">
        <v>286</v>
      </c>
      <c r="D993" s="559" t="s">
        <v>444</v>
      </c>
      <c r="E993" s="559">
        <v>1</v>
      </c>
      <c r="F993" s="18"/>
      <c r="G993" s="18"/>
      <c r="H993" s="18"/>
    </row>
    <row r="994" spans="1:17" x14ac:dyDescent="0.3">
      <c r="A994" s="116" t="str">
        <f t="shared" si="30"/>
        <v>SFD</v>
      </c>
      <c r="B994" s="60" t="str">
        <f t="shared" si="31"/>
        <v>SFDTaranaki generation</v>
      </c>
      <c r="C994" s="559" t="s">
        <v>287</v>
      </c>
      <c r="D994" s="559" t="s">
        <v>444</v>
      </c>
      <c r="E994" s="559">
        <v>1</v>
      </c>
      <c r="F994" s="18"/>
      <c r="G994" s="18"/>
      <c r="H994" s="18"/>
    </row>
    <row r="995" spans="1:17" x14ac:dyDescent="0.3">
      <c r="A995" s="116" t="str">
        <f t="shared" si="30"/>
        <v>SFD</v>
      </c>
      <c r="B995" s="60" t="str">
        <f t="shared" si="31"/>
        <v>SFDTaranaki generation</v>
      </c>
      <c r="C995" s="559" t="s">
        <v>288</v>
      </c>
      <c r="D995" s="559" t="s">
        <v>444</v>
      </c>
      <c r="E995" s="559">
        <v>1</v>
      </c>
      <c r="F995" s="18"/>
      <c r="G995" s="18"/>
      <c r="H995" s="18"/>
    </row>
    <row r="996" spans="1:17" x14ac:dyDescent="0.3">
      <c r="A996" s="116" t="str">
        <f t="shared" si="30"/>
        <v>CST</v>
      </c>
      <c r="B996" s="60" t="str">
        <f t="shared" si="31"/>
        <v>CSTTaranaki loads</v>
      </c>
      <c r="C996" s="559" t="s">
        <v>139</v>
      </c>
      <c r="D996" s="559" t="s">
        <v>410</v>
      </c>
      <c r="E996" s="559">
        <v>1</v>
      </c>
      <c r="F996" s="18"/>
      <c r="G996" s="18"/>
      <c r="H996" s="18"/>
    </row>
    <row r="997" spans="1:17" x14ac:dyDescent="0.3">
      <c r="A997" s="116" t="str">
        <f t="shared" si="30"/>
        <v>HUI</v>
      </c>
      <c r="B997" s="60" t="str">
        <f t="shared" si="31"/>
        <v>HUITaranaki loads</v>
      </c>
      <c r="C997" s="559" t="s">
        <v>174</v>
      </c>
      <c r="D997" s="559" t="s">
        <v>410</v>
      </c>
      <c r="E997" s="559">
        <v>1</v>
      </c>
      <c r="F997" s="18"/>
      <c r="G997" s="18"/>
      <c r="H997" s="18"/>
    </row>
    <row r="998" spans="1:17" x14ac:dyDescent="0.3">
      <c r="A998" s="116" t="str">
        <f t="shared" si="30"/>
        <v>HWA</v>
      </c>
      <c r="B998" s="60" t="str">
        <f t="shared" si="31"/>
        <v>HWATaranaki loads</v>
      </c>
      <c r="C998" s="559" t="s">
        <v>175</v>
      </c>
      <c r="D998" s="559" t="s">
        <v>410</v>
      </c>
      <c r="E998" s="559">
        <v>1</v>
      </c>
      <c r="F998" s="18"/>
      <c r="G998" s="18"/>
      <c r="H998" s="18"/>
    </row>
    <row r="999" spans="1:17" x14ac:dyDescent="0.3">
      <c r="A999" s="116" t="str">
        <f t="shared" si="30"/>
        <v>HWA</v>
      </c>
      <c r="B999" s="60" t="str">
        <f t="shared" si="31"/>
        <v>HWATaranaki loads</v>
      </c>
      <c r="C999" s="559" t="s">
        <v>176</v>
      </c>
      <c r="D999" s="559" t="s">
        <v>410</v>
      </c>
      <c r="E999" s="559">
        <v>1</v>
      </c>
      <c r="F999" s="18"/>
      <c r="G999" s="18"/>
      <c r="H999" s="18"/>
    </row>
    <row r="1000" spans="1:17" x14ac:dyDescent="0.3">
      <c r="A1000" s="116" t="str">
        <f t="shared" si="30"/>
        <v>HWA</v>
      </c>
      <c r="B1000" s="60" t="str">
        <f t="shared" si="31"/>
        <v>HWATaranaki loads</v>
      </c>
      <c r="C1000" s="559" t="s">
        <v>177</v>
      </c>
      <c r="D1000" s="559" t="s">
        <v>410</v>
      </c>
      <c r="E1000" s="559">
        <v>1</v>
      </c>
      <c r="F1000" s="18"/>
      <c r="G1000" s="18"/>
      <c r="H1000" s="18"/>
    </row>
    <row r="1001" spans="1:17" x14ac:dyDescent="0.3">
      <c r="A1001" s="116" t="str">
        <f t="shared" si="30"/>
        <v>HWA</v>
      </c>
      <c r="B1001" s="60" t="str">
        <f t="shared" si="31"/>
        <v>HWATaranaki loads</v>
      </c>
      <c r="C1001" s="559" t="s">
        <v>181</v>
      </c>
      <c r="D1001" s="559" t="s">
        <v>410</v>
      </c>
      <c r="E1001" s="559">
        <v>1</v>
      </c>
      <c r="F1001" s="18"/>
      <c r="G1001" s="18"/>
      <c r="H1001" s="18"/>
      <c r="Q1001" s="19"/>
    </row>
    <row r="1002" spans="1:17" x14ac:dyDescent="0.3">
      <c r="A1002" s="116" t="str">
        <f t="shared" si="30"/>
        <v>KPA</v>
      </c>
      <c r="B1002" s="60" t="str">
        <f t="shared" si="31"/>
        <v>KPATaranaki loads</v>
      </c>
      <c r="C1002" s="559" t="s">
        <v>375</v>
      </c>
      <c r="D1002" s="559" t="s">
        <v>410</v>
      </c>
      <c r="E1002" s="559">
        <v>1</v>
      </c>
      <c r="F1002" s="18"/>
      <c r="G1002" s="18"/>
      <c r="H1002" s="18"/>
    </row>
    <row r="1003" spans="1:17" x14ac:dyDescent="0.3">
      <c r="A1003" s="116" t="str">
        <f t="shared" si="30"/>
        <v>MKE</v>
      </c>
      <c r="B1003" s="60" t="str">
        <f t="shared" si="31"/>
        <v>MKETaranaki loads</v>
      </c>
      <c r="C1003" s="559" t="s">
        <v>222</v>
      </c>
      <c r="D1003" s="559" t="s">
        <v>410</v>
      </c>
      <c r="E1003" s="559">
        <v>1</v>
      </c>
      <c r="F1003" s="18"/>
      <c r="G1003" s="18"/>
      <c r="H1003" s="18"/>
      <c r="K1003" s="116"/>
    </row>
    <row r="1004" spans="1:17" x14ac:dyDescent="0.3">
      <c r="A1004" s="116" t="str">
        <f t="shared" si="30"/>
        <v>MNI</v>
      </c>
      <c r="B1004" s="60" t="str">
        <f t="shared" si="31"/>
        <v>MNITaranaki loads</v>
      </c>
      <c r="C1004" s="559" t="s">
        <v>228</v>
      </c>
      <c r="D1004" s="559" t="s">
        <v>410</v>
      </c>
      <c r="E1004" s="559">
        <v>1</v>
      </c>
      <c r="F1004" s="18"/>
      <c r="G1004" s="18"/>
      <c r="H1004" s="18"/>
      <c r="K1004" s="116"/>
    </row>
    <row r="1005" spans="1:17" x14ac:dyDescent="0.3">
      <c r="A1005" s="116" t="str">
        <f t="shared" si="30"/>
        <v>NPL</v>
      </c>
      <c r="B1005" s="60" t="str">
        <f t="shared" si="31"/>
        <v>NPLTaranaki loads</v>
      </c>
      <c r="C1005" s="559" t="s">
        <v>243</v>
      </c>
      <c r="D1005" s="559" t="s">
        <v>410</v>
      </c>
      <c r="E1005" s="559">
        <v>1</v>
      </c>
      <c r="F1005" s="18"/>
      <c r="G1005" s="18"/>
      <c r="H1005" s="18"/>
      <c r="K1005" s="116"/>
    </row>
    <row r="1006" spans="1:17" x14ac:dyDescent="0.3">
      <c r="A1006" s="116" t="str">
        <f t="shared" si="30"/>
        <v>OPK</v>
      </c>
      <c r="B1006" s="60" t="str">
        <f t="shared" si="31"/>
        <v>OPKTaranaki loads</v>
      </c>
      <c r="C1006" s="559" t="s">
        <v>254</v>
      </c>
      <c r="D1006" s="559" t="s">
        <v>410</v>
      </c>
      <c r="E1006" s="559">
        <v>1</v>
      </c>
      <c r="F1006" s="18"/>
      <c r="G1006" s="18"/>
      <c r="H1006" s="18"/>
      <c r="K1006" s="116"/>
    </row>
    <row r="1007" spans="1:17" x14ac:dyDescent="0.3">
      <c r="A1007" s="116" t="str">
        <f t="shared" si="30"/>
        <v>SFD</v>
      </c>
      <c r="B1007" s="60" t="str">
        <f t="shared" si="31"/>
        <v>SFDTaranaki loads</v>
      </c>
      <c r="C1007" s="559" t="s">
        <v>284</v>
      </c>
      <c r="D1007" s="559" t="s">
        <v>410</v>
      </c>
      <c r="E1007" s="559">
        <v>1</v>
      </c>
      <c r="F1007" s="18"/>
      <c r="G1007" s="18"/>
      <c r="H1007" s="18"/>
      <c r="K1007" s="116"/>
    </row>
    <row r="1008" spans="1:17" x14ac:dyDescent="0.3">
      <c r="A1008" s="116" t="str">
        <f t="shared" si="30"/>
        <v>SFD</v>
      </c>
      <c r="B1008" s="60" t="str">
        <f t="shared" si="31"/>
        <v>SFDTaranaki loads</v>
      </c>
      <c r="C1008" s="559" t="s">
        <v>285</v>
      </c>
      <c r="D1008" s="559" t="s">
        <v>410</v>
      </c>
      <c r="E1008" s="559">
        <v>1</v>
      </c>
      <c r="F1008" s="18"/>
      <c r="G1008" s="18"/>
      <c r="H1008" s="18"/>
      <c r="K1008" s="116"/>
    </row>
    <row r="1009" spans="1:18" x14ac:dyDescent="0.3">
      <c r="A1009" s="116" t="str">
        <f t="shared" si="30"/>
        <v>TMN</v>
      </c>
      <c r="B1009" s="60" t="str">
        <f t="shared" si="31"/>
        <v>TMNTaranaki loads</v>
      </c>
      <c r="C1009" s="559" t="s">
        <v>312</v>
      </c>
      <c r="D1009" s="559" t="s">
        <v>410</v>
      </c>
      <c r="E1009" s="559">
        <v>1</v>
      </c>
      <c r="F1009" s="18"/>
      <c r="G1009" s="18"/>
      <c r="H1009" s="18"/>
      <c r="K1009" s="116"/>
      <c r="P1009" s="97"/>
    </row>
    <row r="1010" spans="1:18" x14ac:dyDescent="0.3">
      <c r="A1010" s="116" t="str">
        <f t="shared" si="30"/>
        <v>WVY</v>
      </c>
      <c r="B1010" s="60" t="str">
        <f t="shared" si="31"/>
        <v>WVYTaranaki loads</v>
      </c>
      <c r="C1010" s="559" t="s">
        <v>356</v>
      </c>
      <c r="D1010" s="559" t="s">
        <v>410</v>
      </c>
      <c r="E1010" s="559">
        <v>1</v>
      </c>
      <c r="F1010" s="18"/>
      <c r="G1010" s="18"/>
      <c r="H1010" s="18"/>
      <c r="K1010" s="116"/>
      <c r="P1010" s="97"/>
    </row>
    <row r="1011" spans="1:18" x14ac:dyDescent="0.3">
      <c r="A1011" s="116" t="str">
        <f t="shared" si="30"/>
        <v>SFD</v>
      </c>
      <c r="B1011" s="60" t="str">
        <f t="shared" si="31"/>
        <v>SFDTCC</v>
      </c>
      <c r="C1011" s="559" t="s">
        <v>288</v>
      </c>
      <c r="D1011" s="559" t="s">
        <v>417</v>
      </c>
      <c r="E1011" s="559">
        <v>1</v>
      </c>
      <c r="F1011" s="18"/>
      <c r="G1011" s="18"/>
      <c r="H1011" s="18"/>
      <c r="K1011" s="116"/>
    </row>
    <row r="1012" spans="1:18" x14ac:dyDescent="0.3">
      <c r="A1012" s="116" t="str">
        <f t="shared" si="30"/>
        <v>WDV</v>
      </c>
      <c r="B1012" s="60" t="str">
        <f t="shared" si="31"/>
        <v>WDVTe Apiti</v>
      </c>
      <c r="C1012" s="559" t="s">
        <v>330</v>
      </c>
      <c r="D1012" s="559" t="s">
        <v>445</v>
      </c>
      <c r="E1012" s="559">
        <v>1</v>
      </c>
      <c r="F1012" s="18"/>
      <c r="G1012" s="18"/>
      <c r="H1012" s="18"/>
      <c r="K1012" s="116"/>
    </row>
    <row r="1013" spans="1:18" x14ac:dyDescent="0.3">
      <c r="A1013" s="116" t="str">
        <f t="shared" si="30"/>
        <v>TKA</v>
      </c>
      <c r="B1013" s="60" t="str">
        <f t="shared" si="31"/>
        <v>TKATekapo B</v>
      </c>
      <c r="C1013" s="559" t="s">
        <v>399</v>
      </c>
      <c r="D1013" s="559" t="s">
        <v>416</v>
      </c>
      <c r="E1013" s="559">
        <v>1</v>
      </c>
      <c r="F1013" s="18"/>
      <c r="G1013" s="18"/>
      <c r="H1013" s="18"/>
      <c r="K1013" s="116"/>
      <c r="P1013" s="82"/>
      <c r="Q1013" s="82"/>
      <c r="R1013" s="82"/>
    </row>
    <row r="1014" spans="1:18" x14ac:dyDescent="0.3">
      <c r="A1014" s="116" t="str">
        <f t="shared" si="30"/>
        <v>TKA</v>
      </c>
      <c r="B1014" s="60" t="str">
        <f t="shared" si="31"/>
        <v>TKATekapo B</v>
      </c>
      <c r="C1014" s="559" t="s">
        <v>304</v>
      </c>
      <c r="D1014" s="559" t="s">
        <v>416</v>
      </c>
      <c r="E1014" s="559">
        <v>1</v>
      </c>
      <c r="F1014" s="18"/>
      <c r="G1014" s="18"/>
      <c r="H1014" s="18"/>
      <c r="Q1014" s="84"/>
      <c r="R1014" s="84"/>
    </row>
    <row r="1015" spans="1:18" x14ac:dyDescent="0.3">
      <c r="A1015" s="116" t="str">
        <f t="shared" si="30"/>
        <v>TKB</v>
      </c>
      <c r="B1015" s="60" t="str">
        <f t="shared" si="31"/>
        <v>TKBTekapo B</v>
      </c>
      <c r="C1015" s="559" t="s">
        <v>400</v>
      </c>
      <c r="D1015" s="559" t="s">
        <v>416</v>
      </c>
      <c r="E1015" s="559">
        <v>1</v>
      </c>
      <c r="F1015" s="18"/>
      <c r="G1015" s="18"/>
      <c r="H1015" s="18"/>
    </row>
    <row r="1016" spans="1:18" x14ac:dyDescent="0.3">
      <c r="A1016" s="116" t="str">
        <f t="shared" si="30"/>
        <v>TKB</v>
      </c>
      <c r="B1016" s="60" t="str">
        <f t="shared" si="31"/>
        <v>TKBTekapo B</v>
      </c>
      <c r="C1016" s="559" t="s">
        <v>305</v>
      </c>
      <c r="D1016" s="559" t="s">
        <v>416</v>
      </c>
      <c r="E1016" s="559">
        <v>1</v>
      </c>
      <c r="F1016" s="18"/>
      <c r="G1016" s="18"/>
      <c r="H1016" s="18"/>
    </row>
    <row r="1017" spans="1:18" x14ac:dyDescent="0.3">
      <c r="A1017" s="116" t="str">
        <f t="shared" si="30"/>
        <v>TKU</v>
      </c>
      <c r="B1017" s="60" t="str">
        <f t="shared" si="31"/>
        <v>TKUTokaanu</v>
      </c>
      <c r="C1017" s="559" t="s">
        <v>309</v>
      </c>
      <c r="D1017" s="559" t="s">
        <v>451</v>
      </c>
      <c r="E1017" s="559">
        <v>1</v>
      </c>
      <c r="F1017" s="18"/>
      <c r="G1017" s="18"/>
      <c r="H1017" s="18"/>
      <c r="K1017" s="116"/>
      <c r="P1017" s="82"/>
      <c r="Q1017" s="82"/>
      <c r="R1017" s="82"/>
    </row>
    <row r="1018" spans="1:18" x14ac:dyDescent="0.3">
      <c r="A1018" s="116" t="str">
        <f t="shared" si="30"/>
        <v>BWK</v>
      </c>
      <c r="B1018" s="60" t="str">
        <f t="shared" si="31"/>
        <v>BWKWaipori</v>
      </c>
      <c r="C1018" s="559" t="s">
        <v>130</v>
      </c>
      <c r="D1018" s="559" t="s">
        <v>447</v>
      </c>
      <c r="E1018" s="559">
        <v>1</v>
      </c>
      <c r="F1018" s="18"/>
      <c r="G1018" s="18"/>
      <c r="H1018" s="18"/>
      <c r="K1018" s="116"/>
      <c r="P1018" s="82"/>
      <c r="Q1018" s="82"/>
      <c r="R1018" s="82"/>
    </row>
    <row r="1019" spans="1:18" x14ac:dyDescent="0.3">
      <c r="A1019" s="116" t="str">
        <f t="shared" si="30"/>
        <v>CPK</v>
      </c>
      <c r="B1019" s="60" t="str">
        <f t="shared" si="31"/>
        <v>CPKWellington loads</v>
      </c>
      <c r="C1019" s="559" t="s">
        <v>137</v>
      </c>
      <c r="D1019" s="559" t="s">
        <v>411</v>
      </c>
      <c r="E1019" s="559">
        <v>1</v>
      </c>
      <c r="F1019" s="18"/>
      <c r="G1019" s="18"/>
      <c r="H1019" s="18"/>
      <c r="K1019" s="116"/>
    </row>
    <row r="1020" spans="1:18" x14ac:dyDescent="0.3">
      <c r="A1020" s="116" t="str">
        <f t="shared" si="30"/>
        <v>CPK</v>
      </c>
      <c r="B1020" s="60" t="str">
        <f t="shared" si="31"/>
        <v>CPKWellington loads</v>
      </c>
      <c r="C1020" s="559" t="s">
        <v>138</v>
      </c>
      <c r="D1020" s="559" t="s">
        <v>411</v>
      </c>
      <c r="E1020" s="559">
        <v>1</v>
      </c>
      <c r="F1020" s="18"/>
      <c r="G1020" s="18"/>
      <c r="H1020" s="18"/>
      <c r="K1020" s="116"/>
    </row>
    <row r="1021" spans="1:18" x14ac:dyDescent="0.3">
      <c r="A1021" s="116" t="str">
        <f t="shared" si="30"/>
        <v>GFD</v>
      </c>
      <c r="B1021" s="60" t="str">
        <f t="shared" si="31"/>
        <v>GFDWellington loads</v>
      </c>
      <c r="C1021" s="559" t="s">
        <v>151</v>
      </c>
      <c r="D1021" s="559" t="s">
        <v>411</v>
      </c>
      <c r="E1021" s="559">
        <v>1</v>
      </c>
      <c r="F1021" s="18"/>
      <c r="G1021" s="18"/>
      <c r="H1021" s="18"/>
    </row>
    <row r="1022" spans="1:18" x14ac:dyDescent="0.3">
      <c r="A1022" s="116" t="str">
        <f t="shared" si="30"/>
        <v>GYT</v>
      </c>
      <c r="B1022" s="60" t="str">
        <f t="shared" si="31"/>
        <v>GYTWellington loads</v>
      </c>
      <c r="C1022" s="559" t="s">
        <v>155</v>
      </c>
      <c r="D1022" s="559" t="s">
        <v>411</v>
      </c>
      <c r="E1022" s="559">
        <v>1</v>
      </c>
      <c r="F1022" s="18"/>
      <c r="G1022" s="18"/>
      <c r="H1022" s="18"/>
    </row>
    <row r="1023" spans="1:18" x14ac:dyDescent="0.3">
      <c r="A1023" s="116" t="str">
        <f t="shared" si="30"/>
        <v>HAY</v>
      </c>
      <c r="B1023" s="60" t="str">
        <f t="shared" si="31"/>
        <v>HAYWellington loads</v>
      </c>
      <c r="C1023" s="559" t="s">
        <v>159</v>
      </c>
      <c r="D1023" s="559" t="s">
        <v>411</v>
      </c>
      <c r="E1023" s="559">
        <v>1</v>
      </c>
      <c r="F1023" s="18"/>
      <c r="G1023" s="18"/>
      <c r="H1023" s="18"/>
    </row>
    <row r="1024" spans="1:18" x14ac:dyDescent="0.3">
      <c r="A1024" s="116" t="str">
        <f t="shared" si="30"/>
        <v>HAY</v>
      </c>
      <c r="B1024" s="60" t="str">
        <f t="shared" si="31"/>
        <v>HAYWellington loads</v>
      </c>
      <c r="C1024" s="559" t="s">
        <v>160</v>
      </c>
      <c r="D1024" s="559" t="s">
        <v>411</v>
      </c>
      <c r="E1024" s="559">
        <v>1</v>
      </c>
      <c r="F1024" s="18"/>
      <c r="G1024" s="18"/>
      <c r="H1024" s="18"/>
    </row>
    <row r="1025" spans="1:8" x14ac:dyDescent="0.3">
      <c r="A1025" s="116" t="str">
        <f t="shared" si="30"/>
        <v>KWA</v>
      </c>
      <c r="B1025" s="60" t="str">
        <f t="shared" si="31"/>
        <v>KWAWellington loads</v>
      </c>
      <c r="C1025" s="559" t="s">
        <v>207</v>
      </c>
      <c r="D1025" s="559" t="s">
        <v>411</v>
      </c>
      <c r="E1025" s="559">
        <v>1</v>
      </c>
      <c r="F1025" s="18"/>
      <c r="G1025" s="18"/>
      <c r="H1025" s="18"/>
    </row>
    <row r="1026" spans="1:8" x14ac:dyDescent="0.3">
      <c r="A1026" s="116" t="str">
        <f t="shared" si="30"/>
        <v>MLG</v>
      </c>
      <c r="B1026" s="60" t="str">
        <f t="shared" si="31"/>
        <v>MLGWellington loads</v>
      </c>
      <c r="C1026" s="559" t="s">
        <v>224</v>
      </c>
      <c r="D1026" s="559" t="s">
        <v>411</v>
      </c>
      <c r="E1026" s="559">
        <v>1</v>
      </c>
      <c r="F1026" s="18"/>
      <c r="G1026" s="18"/>
      <c r="H1026" s="18"/>
    </row>
    <row r="1027" spans="1:8" x14ac:dyDescent="0.3">
      <c r="A1027" s="116" t="str">
        <f t="shared" si="30"/>
        <v>MLG</v>
      </c>
      <c r="B1027" s="60" t="str">
        <f t="shared" si="31"/>
        <v>MLGWellington loads</v>
      </c>
      <c r="C1027" s="559" t="s">
        <v>225</v>
      </c>
      <c r="D1027" s="559" t="s">
        <v>411</v>
      </c>
      <c r="E1027" s="559">
        <v>1</v>
      </c>
      <c r="F1027" s="18"/>
      <c r="G1027" s="18"/>
      <c r="H1027" s="18"/>
    </row>
    <row r="1028" spans="1:8" x14ac:dyDescent="0.3">
      <c r="A1028" s="116" t="str">
        <f t="shared" si="30"/>
        <v>MST</v>
      </c>
      <c r="B1028" s="60" t="str">
        <f t="shared" si="31"/>
        <v>MSTWellington loads</v>
      </c>
      <c r="C1028" s="559" t="s">
        <v>230</v>
      </c>
      <c r="D1028" s="559" t="s">
        <v>411</v>
      </c>
      <c r="E1028" s="559">
        <v>1</v>
      </c>
      <c r="F1028" s="18"/>
      <c r="G1028" s="18"/>
      <c r="H1028" s="18"/>
    </row>
    <row r="1029" spans="1:8" x14ac:dyDescent="0.3">
      <c r="A1029" s="116" t="str">
        <f t="shared" si="30"/>
        <v>PNI</v>
      </c>
      <c r="B1029" s="60" t="str">
        <f t="shared" si="31"/>
        <v>PNIWellington loads</v>
      </c>
      <c r="C1029" s="559" t="s">
        <v>266</v>
      </c>
      <c r="D1029" s="559" t="s">
        <v>411</v>
      </c>
      <c r="E1029" s="559">
        <v>1</v>
      </c>
      <c r="F1029" s="18"/>
      <c r="G1029" s="18"/>
      <c r="H1029" s="18"/>
    </row>
    <row r="1030" spans="1:8" x14ac:dyDescent="0.3">
      <c r="A1030" s="116" t="str">
        <f t="shared" si="30"/>
        <v>PRM</v>
      </c>
      <c r="B1030" s="60" t="str">
        <f t="shared" si="31"/>
        <v>PRMWellington loads</v>
      </c>
      <c r="C1030" s="559" t="s">
        <v>269</v>
      </c>
      <c r="D1030" s="559" t="s">
        <v>411</v>
      </c>
      <c r="E1030" s="559">
        <v>1</v>
      </c>
      <c r="F1030" s="18"/>
      <c r="G1030" s="18"/>
      <c r="H1030" s="18"/>
    </row>
    <row r="1031" spans="1:8" x14ac:dyDescent="0.3">
      <c r="A1031" s="116" t="str">
        <f t="shared" ref="A1031:A1094" si="32">LEFT(C1031,3)</f>
        <v>TKR</v>
      </c>
      <c r="B1031" s="60" t="str">
        <f t="shared" ref="B1031:B1094" si="33">A1031&amp;D1031</f>
        <v>TKRWellington loads</v>
      </c>
      <c r="C1031" s="559" t="s">
        <v>307</v>
      </c>
      <c r="D1031" s="559" t="s">
        <v>411</v>
      </c>
      <c r="E1031" s="559">
        <v>1</v>
      </c>
      <c r="F1031" s="18"/>
      <c r="G1031" s="18"/>
      <c r="H1031" s="18"/>
    </row>
    <row r="1032" spans="1:8" x14ac:dyDescent="0.3">
      <c r="A1032" s="116" t="str">
        <f t="shared" si="32"/>
        <v>UHT</v>
      </c>
      <c r="B1032" s="60" t="str">
        <f t="shared" si="33"/>
        <v>UHTWellington loads</v>
      </c>
      <c r="C1032" s="559" t="s">
        <v>327</v>
      </c>
      <c r="D1032" s="559" t="s">
        <v>411</v>
      </c>
      <c r="E1032" s="559">
        <v>1</v>
      </c>
      <c r="F1032" s="18"/>
      <c r="G1032" s="18"/>
      <c r="H1032" s="18"/>
    </row>
    <row r="1033" spans="1:8" x14ac:dyDescent="0.3">
      <c r="A1033" s="116" t="str">
        <f t="shared" si="32"/>
        <v>WIL</v>
      </c>
      <c r="B1033" s="60" t="str">
        <f t="shared" si="33"/>
        <v>WILWellington loads</v>
      </c>
      <c r="C1033" s="559" t="s">
        <v>337</v>
      </c>
      <c r="D1033" s="559" t="s">
        <v>411</v>
      </c>
      <c r="E1033" s="559">
        <v>1</v>
      </c>
      <c r="F1033" s="18"/>
      <c r="G1033" s="18"/>
      <c r="H1033" s="18"/>
    </row>
    <row r="1034" spans="1:8" x14ac:dyDescent="0.3">
      <c r="A1034" s="116" t="str">
        <f t="shared" si="32"/>
        <v>WWD</v>
      </c>
      <c r="B1034" s="60" t="str">
        <f t="shared" si="33"/>
        <v>WWDWellington loads</v>
      </c>
      <c r="C1034" s="559" t="s">
        <v>357</v>
      </c>
      <c r="D1034" s="559" t="s">
        <v>411</v>
      </c>
      <c r="E1034" s="559">
        <v>1</v>
      </c>
      <c r="F1034" s="18"/>
      <c r="G1034" s="18"/>
      <c r="H1034" s="18"/>
    </row>
    <row r="1035" spans="1:8" x14ac:dyDescent="0.3">
      <c r="A1035" s="116" t="str">
        <f t="shared" si="32"/>
        <v>WWD</v>
      </c>
      <c r="B1035" s="60" t="str">
        <f t="shared" si="33"/>
        <v>WWDWellington loads</v>
      </c>
      <c r="C1035" s="559" t="s">
        <v>358</v>
      </c>
      <c r="D1035" s="559" t="s">
        <v>411</v>
      </c>
      <c r="E1035" s="559">
        <v>1</v>
      </c>
      <c r="F1035" s="18"/>
      <c r="G1035" s="18"/>
      <c r="H1035" s="18"/>
    </row>
    <row r="1036" spans="1:8" x14ac:dyDescent="0.3">
      <c r="A1036" s="116" t="str">
        <f t="shared" si="32"/>
        <v>APS</v>
      </c>
      <c r="B1036" s="60" t="str">
        <f t="shared" si="33"/>
        <v>APSWest Coast load</v>
      </c>
      <c r="C1036" s="559" t="s">
        <v>99</v>
      </c>
      <c r="D1036" s="559" t="s">
        <v>430</v>
      </c>
      <c r="E1036" s="559">
        <v>1</v>
      </c>
      <c r="F1036" s="18"/>
      <c r="G1036" s="18"/>
      <c r="H1036" s="18"/>
    </row>
    <row r="1037" spans="1:8" x14ac:dyDescent="0.3">
      <c r="A1037" s="116" t="str">
        <f t="shared" si="32"/>
        <v>ATU</v>
      </c>
      <c r="B1037" s="60" t="str">
        <f t="shared" si="33"/>
        <v>ATUWest Coast load</v>
      </c>
      <c r="C1037" s="559" t="s">
        <v>113</v>
      </c>
      <c r="D1037" s="559" t="s">
        <v>430</v>
      </c>
      <c r="E1037" s="559">
        <v>1</v>
      </c>
      <c r="F1037" s="18"/>
      <c r="G1037" s="18"/>
      <c r="H1037" s="18"/>
    </row>
    <row r="1038" spans="1:8" x14ac:dyDescent="0.3">
      <c r="A1038" s="116" t="str">
        <f t="shared" si="32"/>
        <v>CLH</v>
      </c>
      <c r="B1038" s="60" t="str">
        <f t="shared" si="33"/>
        <v>CLHWest Coast load</v>
      </c>
      <c r="C1038" s="559" t="s">
        <v>132</v>
      </c>
      <c r="D1038" s="559" t="s">
        <v>430</v>
      </c>
      <c r="E1038" s="559">
        <v>1</v>
      </c>
      <c r="F1038" s="18"/>
      <c r="G1038" s="18"/>
      <c r="H1038" s="18"/>
    </row>
    <row r="1039" spans="1:8" x14ac:dyDescent="0.3">
      <c r="A1039" s="116" t="str">
        <f t="shared" si="32"/>
        <v>DOB</v>
      </c>
      <c r="B1039" s="60" t="str">
        <f t="shared" si="33"/>
        <v>DOBWest Coast load</v>
      </c>
      <c r="C1039" s="559" t="s">
        <v>145</v>
      </c>
      <c r="D1039" s="559" t="s">
        <v>430</v>
      </c>
      <c r="E1039" s="559">
        <v>1</v>
      </c>
      <c r="F1039" s="18"/>
      <c r="G1039" s="18"/>
      <c r="H1039" s="18"/>
    </row>
    <row r="1040" spans="1:8" x14ac:dyDescent="0.3">
      <c r="A1040" s="116" t="str">
        <f t="shared" si="32"/>
        <v>GYM</v>
      </c>
      <c r="B1040" s="60" t="str">
        <f t="shared" si="33"/>
        <v>GYMWest Coast load</v>
      </c>
      <c r="C1040" s="559" t="s">
        <v>154</v>
      </c>
      <c r="D1040" s="559" t="s">
        <v>430</v>
      </c>
      <c r="E1040" s="559">
        <v>1</v>
      </c>
      <c r="F1040" s="18"/>
      <c r="G1040" s="18"/>
      <c r="H1040" s="18"/>
    </row>
    <row r="1041" spans="1:15" x14ac:dyDescent="0.3">
      <c r="A1041" s="116" t="str">
        <f t="shared" si="32"/>
        <v>HKK</v>
      </c>
      <c r="B1041" s="60" t="str">
        <f t="shared" si="33"/>
        <v>HKKWest Coast load</v>
      </c>
      <c r="C1041" s="559" t="s">
        <v>164</v>
      </c>
      <c r="D1041" s="559" t="s">
        <v>430</v>
      </c>
      <c r="E1041" s="559">
        <v>1</v>
      </c>
      <c r="F1041" s="18"/>
      <c r="G1041" s="18"/>
      <c r="H1041" s="18"/>
    </row>
    <row r="1042" spans="1:15" x14ac:dyDescent="0.3">
      <c r="A1042" s="116" t="str">
        <f t="shared" si="32"/>
        <v>KUM</v>
      </c>
      <c r="B1042" s="60" t="str">
        <f t="shared" si="33"/>
        <v>KUMWest Coast load</v>
      </c>
      <c r="C1042" s="559" t="s">
        <v>205</v>
      </c>
      <c r="D1042" s="559" t="s">
        <v>430</v>
      </c>
      <c r="E1042" s="559">
        <v>1</v>
      </c>
      <c r="F1042" s="18"/>
      <c r="G1042" s="18"/>
      <c r="H1042" s="18"/>
    </row>
    <row r="1043" spans="1:15" x14ac:dyDescent="0.3">
      <c r="A1043" s="116" t="str">
        <f t="shared" si="32"/>
        <v>MCH</v>
      </c>
      <c r="B1043" s="60" t="str">
        <f t="shared" si="33"/>
        <v>MCHWest Coast load</v>
      </c>
      <c r="C1043" s="559" t="s">
        <v>217</v>
      </c>
      <c r="D1043" s="559" t="s">
        <v>430</v>
      </c>
      <c r="E1043" s="559">
        <v>1</v>
      </c>
      <c r="F1043" s="18"/>
      <c r="G1043" s="18"/>
      <c r="H1043" s="18"/>
    </row>
    <row r="1044" spans="1:15" x14ac:dyDescent="0.3">
      <c r="A1044" s="116" t="str">
        <f t="shared" si="32"/>
        <v>ORO</v>
      </c>
      <c r="B1044" s="60" t="str">
        <f t="shared" si="33"/>
        <v>OROWest Coast load</v>
      </c>
      <c r="C1044" s="559" t="s">
        <v>255</v>
      </c>
      <c r="D1044" s="559" t="s">
        <v>430</v>
      </c>
      <c r="E1044" s="559">
        <v>1</v>
      </c>
      <c r="F1044" s="18"/>
      <c r="G1044" s="18"/>
      <c r="H1044" s="18"/>
    </row>
    <row r="1045" spans="1:15" x14ac:dyDescent="0.3">
      <c r="A1045" s="116" t="str">
        <f t="shared" si="32"/>
        <v>ORO</v>
      </c>
      <c r="B1045" s="60" t="str">
        <f t="shared" si="33"/>
        <v>OROWest Coast load</v>
      </c>
      <c r="C1045" s="559" t="s">
        <v>256</v>
      </c>
      <c r="D1045" s="559" t="s">
        <v>430</v>
      </c>
      <c r="E1045" s="559">
        <v>1</v>
      </c>
      <c r="F1045" s="18"/>
      <c r="G1045" s="18"/>
      <c r="H1045" s="18"/>
    </row>
    <row r="1046" spans="1:15" x14ac:dyDescent="0.3">
      <c r="A1046" s="116" t="str">
        <f t="shared" si="32"/>
        <v>OTI</v>
      </c>
      <c r="B1046" s="60" t="str">
        <f t="shared" si="33"/>
        <v>OTIWest Coast load</v>
      </c>
      <c r="C1046" s="559" t="s">
        <v>258</v>
      </c>
      <c r="D1046" s="559" t="s">
        <v>430</v>
      </c>
      <c r="E1046" s="559">
        <v>1</v>
      </c>
      <c r="F1046" s="18"/>
      <c r="G1046" s="18"/>
      <c r="H1046" s="18"/>
    </row>
    <row r="1047" spans="1:15" x14ac:dyDescent="0.3">
      <c r="A1047" s="116" t="str">
        <f t="shared" si="32"/>
        <v>RFN</v>
      </c>
      <c r="B1047" s="60" t="str">
        <f t="shared" si="33"/>
        <v>RFNWest Coast load</v>
      </c>
      <c r="C1047" s="559" t="s">
        <v>271</v>
      </c>
      <c r="D1047" s="559" t="s">
        <v>430</v>
      </c>
      <c r="E1047" s="559">
        <v>1</v>
      </c>
      <c r="F1047" s="18"/>
      <c r="G1047" s="18"/>
      <c r="H1047" s="18"/>
    </row>
    <row r="1048" spans="1:15" x14ac:dyDescent="0.3">
      <c r="A1048" s="116" t="str">
        <f t="shared" si="32"/>
        <v>RFN</v>
      </c>
      <c r="B1048" s="60" t="str">
        <f t="shared" si="33"/>
        <v>RFNWest Coast load</v>
      </c>
      <c r="C1048" s="559" t="s">
        <v>272</v>
      </c>
      <c r="D1048" s="559" t="s">
        <v>430</v>
      </c>
      <c r="E1048" s="559">
        <v>1</v>
      </c>
      <c r="F1048" s="18"/>
      <c r="G1048" s="18"/>
      <c r="H1048" s="18"/>
    </row>
    <row r="1049" spans="1:15" x14ac:dyDescent="0.3">
      <c r="A1049" s="116" t="str">
        <f t="shared" si="32"/>
        <v>WPT</v>
      </c>
      <c r="B1049" s="60" t="str">
        <f t="shared" si="33"/>
        <v>WPTWest Coast load</v>
      </c>
      <c r="C1049" s="559" t="s">
        <v>346</v>
      </c>
      <c r="D1049" s="559" t="s">
        <v>430</v>
      </c>
      <c r="E1049" s="559">
        <v>1</v>
      </c>
      <c r="F1049" s="18"/>
      <c r="G1049" s="18"/>
      <c r="H1049" s="18"/>
      <c r="K1049" s="94"/>
      <c r="N1049" s="61"/>
      <c r="O1049" s="61"/>
    </row>
    <row r="1050" spans="1:15" x14ac:dyDescent="0.3">
      <c r="A1050" s="116" t="str">
        <f t="shared" si="32"/>
        <v>WWD</v>
      </c>
      <c r="B1050" s="60" t="str">
        <f t="shared" si="33"/>
        <v>WWDWest Wind</v>
      </c>
      <c r="C1050" s="559" t="s">
        <v>357</v>
      </c>
      <c r="D1050" s="559" t="s">
        <v>446</v>
      </c>
      <c r="E1050" s="559">
        <v>1</v>
      </c>
      <c r="F1050" s="18"/>
      <c r="G1050" s="18"/>
      <c r="H1050" s="18"/>
    </row>
    <row r="1051" spans="1:15" x14ac:dyDescent="0.3">
      <c r="A1051" s="116" t="str">
        <f t="shared" si="32"/>
        <v>WWD</v>
      </c>
      <c r="B1051" s="60" t="str">
        <f t="shared" si="33"/>
        <v>WWDWest Wind</v>
      </c>
      <c r="C1051" s="559" t="s">
        <v>358</v>
      </c>
      <c r="D1051" s="559" t="s">
        <v>446</v>
      </c>
      <c r="E1051" s="559">
        <v>1</v>
      </c>
      <c r="F1051" s="18"/>
      <c r="G1051" s="18"/>
      <c r="H1051" s="18"/>
    </row>
    <row r="1052" spans="1:15" x14ac:dyDescent="0.3">
      <c r="A1052" s="116" t="str">
        <f t="shared" si="32"/>
        <v/>
      </c>
      <c r="B1052" s="60" t="str">
        <f t="shared" si="33"/>
        <v/>
      </c>
    </row>
    <row r="1053" spans="1:15" x14ac:dyDescent="0.3">
      <c r="A1053" s="116" t="str">
        <f t="shared" si="32"/>
        <v/>
      </c>
      <c r="B1053" s="60" t="str">
        <f t="shared" si="33"/>
        <v/>
      </c>
    </row>
    <row r="1054" spans="1:15" x14ac:dyDescent="0.3">
      <c r="A1054" s="116" t="str">
        <f t="shared" si="32"/>
        <v/>
      </c>
      <c r="B1054" s="60" t="str">
        <f t="shared" si="33"/>
        <v/>
      </c>
    </row>
    <row r="1055" spans="1:15" x14ac:dyDescent="0.3">
      <c r="A1055" s="116" t="str">
        <f t="shared" si="32"/>
        <v/>
      </c>
      <c r="B1055" s="60" t="str">
        <f t="shared" si="33"/>
        <v/>
      </c>
    </row>
    <row r="1056" spans="1:15" x14ac:dyDescent="0.3">
      <c r="A1056" s="116" t="str">
        <f t="shared" si="32"/>
        <v/>
      </c>
      <c r="B1056" s="60" t="str">
        <f t="shared" si="33"/>
        <v/>
      </c>
    </row>
    <row r="1057" spans="1:2" x14ac:dyDescent="0.3">
      <c r="A1057" s="116" t="str">
        <f t="shared" si="32"/>
        <v/>
      </c>
      <c r="B1057" s="60" t="str">
        <f t="shared" si="33"/>
        <v/>
      </c>
    </row>
    <row r="1058" spans="1:2" x14ac:dyDescent="0.3">
      <c r="A1058" s="116" t="str">
        <f t="shared" si="32"/>
        <v/>
      </c>
      <c r="B1058" s="60" t="str">
        <f t="shared" si="33"/>
        <v/>
      </c>
    </row>
    <row r="1059" spans="1:2" x14ac:dyDescent="0.3">
      <c r="A1059" s="116" t="str">
        <f t="shared" si="32"/>
        <v/>
      </c>
      <c r="B1059" s="60" t="str">
        <f t="shared" si="33"/>
        <v/>
      </c>
    </row>
    <row r="1060" spans="1:2" x14ac:dyDescent="0.3">
      <c r="A1060" s="116" t="str">
        <f t="shared" si="32"/>
        <v/>
      </c>
      <c r="B1060" s="60" t="str">
        <f t="shared" si="33"/>
        <v/>
      </c>
    </row>
    <row r="1061" spans="1:2" x14ac:dyDescent="0.3">
      <c r="A1061" s="116" t="str">
        <f t="shared" si="32"/>
        <v/>
      </c>
      <c r="B1061" s="60" t="str">
        <f t="shared" si="33"/>
        <v/>
      </c>
    </row>
    <row r="1062" spans="1:2" x14ac:dyDescent="0.3">
      <c r="A1062" s="116" t="str">
        <f t="shared" si="32"/>
        <v/>
      </c>
      <c r="B1062" s="60" t="str">
        <f t="shared" si="33"/>
        <v/>
      </c>
    </row>
    <row r="1063" spans="1:2" x14ac:dyDescent="0.3">
      <c r="A1063" s="116" t="str">
        <f t="shared" si="32"/>
        <v/>
      </c>
      <c r="B1063" s="60" t="str">
        <f t="shared" si="33"/>
        <v/>
      </c>
    </row>
    <row r="1064" spans="1:2" x14ac:dyDescent="0.3">
      <c r="A1064" s="116" t="str">
        <f t="shared" si="32"/>
        <v/>
      </c>
      <c r="B1064" s="60" t="str">
        <f t="shared" si="33"/>
        <v/>
      </c>
    </row>
    <row r="1065" spans="1:2" x14ac:dyDescent="0.3">
      <c r="A1065" s="116" t="str">
        <f t="shared" si="32"/>
        <v/>
      </c>
      <c r="B1065" s="60" t="str">
        <f t="shared" si="33"/>
        <v/>
      </c>
    </row>
    <row r="1066" spans="1:2" x14ac:dyDescent="0.3">
      <c r="A1066" s="116" t="str">
        <f t="shared" si="32"/>
        <v/>
      </c>
      <c r="B1066" s="60" t="str">
        <f t="shared" si="33"/>
        <v/>
      </c>
    </row>
    <row r="1067" spans="1:2" x14ac:dyDescent="0.3">
      <c r="A1067" s="116" t="str">
        <f t="shared" si="32"/>
        <v/>
      </c>
      <c r="B1067" s="60" t="str">
        <f t="shared" si="33"/>
        <v/>
      </c>
    </row>
    <row r="1068" spans="1:2" x14ac:dyDescent="0.3">
      <c r="A1068" s="116" t="str">
        <f t="shared" si="32"/>
        <v/>
      </c>
      <c r="B1068" s="60" t="str">
        <f t="shared" si="33"/>
        <v/>
      </c>
    </row>
    <row r="1069" spans="1:2" x14ac:dyDescent="0.3">
      <c r="A1069" s="116" t="str">
        <f t="shared" si="32"/>
        <v/>
      </c>
      <c r="B1069" s="60" t="str">
        <f t="shared" si="33"/>
        <v/>
      </c>
    </row>
    <row r="1070" spans="1:2" x14ac:dyDescent="0.3">
      <c r="A1070" s="116" t="str">
        <f t="shared" si="32"/>
        <v/>
      </c>
      <c r="B1070" s="60" t="str">
        <f t="shared" si="33"/>
        <v/>
      </c>
    </row>
    <row r="1071" spans="1:2" x14ac:dyDescent="0.3">
      <c r="A1071" s="116" t="str">
        <f t="shared" si="32"/>
        <v/>
      </c>
      <c r="B1071" s="60" t="str">
        <f t="shared" si="33"/>
        <v/>
      </c>
    </row>
    <row r="1072" spans="1:2" x14ac:dyDescent="0.3">
      <c r="A1072" s="116" t="str">
        <f t="shared" si="32"/>
        <v/>
      </c>
      <c r="B1072" s="60" t="str">
        <f t="shared" si="33"/>
        <v/>
      </c>
    </row>
    <row r="1073" spans="1:2" x14ac:dyDescent="0.3">
      <c r="A1073" s="116" t="str">
        <f t="shared" si="32"/>
        <v/>
      </c>
      <c r="B1073" s="60" t="str">
        <f t="shared" si="33"/>
        <v/>
      </c>
    </row>
    <row r="1074" spans="1:2" x14ac:dyDescent="0.3">
      <c r="A1074" s="116" t="str">
        <f t="shared" si="32"/>
        <v/>
      </c>
      <c r="B1074" s="60" t="str">
        <f t="shared" si="33"/>
        <v/>
      </c>
    </row>
    <row r="1075" spans="1:2" x14ac:dyDescent="0.3">
      <c r="A1075" s="116" t="str">
        <f t="shared" si="32"/>
        <v/>
      </c>
      <c r="B1075" s="60" t="str">
        <f t="shared" si="33"/>
        <v/>
      </c>
    </row>
    <row r="1076" spans="1:2" x14ac:dyDescent="0.3">
      <c r="A1076" s="116" t="str">
        <f t="shared" si="32"/>
        <v/>
      </c>
      <c r="B1076" s="60" t="str">
        <f t="shared" si="33"/>
        <v/>
      </c>
    </row>
    <row r="1077" spans="1:2" x14ac:dyDescent="0.3">
      <c r="A1077" s="116" t="str">
        <f t="shared" si="32"/>
        <v/>
      </c>
      <c r="B1077" s="60" t="str">
        <f t="shared" si="33"/>
        <v/>
      </c>
    </row>
    <row r="1078" spans="1:2" x14ac:dyDescent="0.3">
      <c r="A1078" s="116" t="str">
        <f t="shared" si="32"/>
        <v/>
      </c>
      <c r="B1078" s="60" t="str">
        <f t="shared" si="33"/>
        <v/>
      </c>
    </row>
    <row r="1079" spans="1:2" x14ac:dyDescent="0.3">
      <c r="A1079" s="116" t="str">
        <f t="shared" si="32"/>
        <v/>
      </c>
      <c r="B1079" s="60" t="str">
        <f t="shared" si="33"/>
        <v/>
      </c>
    </row>
    <row r="1080" spans="1:2" x14ac:dyDescent="0.3">
      <c r="A1080" s="116" t="str">
        <f t="shared" si="32"/>
        <v/>
      </c>
      <c r="B1080" s="60" t="str">
        <f t="shared" si="33"/>
        <v/>
      </c>
    </row>
    <row r="1081" spans="1:2" x14ac:dyDescent="0.3">
      <c r="A1081" s="116" t="str">
        <f t="shared" si="32"/>
        <v/>
      </c>
      <c r="B1081" s="60" t="str">
        <f t="shared" si="33"/>
        <v/>
      </c>
    </row>
    <row r="1082" spans="1:2" x14ac:dyDescent="0.3">
      <c r="A1082" s="116" t="str">
        <f t="shared" si="32"/>
        <v/>
      </c>
      <c r="B1082" s="60" t="str">
        <f t="shared" si="33"/>
        <v/>
      </c>
    </row>
    <row r="1083" spans="1:2" x14ac:dyDescent="0.3">
      <c r="A1083" s="116" t="str">
        <f t="shared" si="32"/>
        <v/>
      </c>
      <c r="B1083" s="60" t="str">
        <f t="shared" si="33"/>
        <v/>
      </c>
    </row>
    <row r="1084" spans="1:2" x14ac:dyDescent="0.3">
      <c r="A1084" s="116" t="str">
        <f t="shared" si="32"/>
        <v/>
      </c>
      <c r="B1084" s="60" t="str">
        <f t="shared" si="33"/>
        <v/>
      </c>
    </row>
    <row r="1085" spans="1:2" x14ac:dyDescent="0.3">
      <c r="A1085" s="116" t="str">
        <f t="shared" si="32"/>
        <v/>
      </c>
      <c r="B1085" s="60" t="str">
        <f t="shared" si="33"/>
        <v/>
      </c>
    </row>
    <row r="1086" spans="1:2" x14ac:dyDescent="0.3">
      <c r="A1086" s="116" t="str">
        <f t="shared" si="32"/>
        <v/>
      </c>
      <c r="B1086" s="60" t="str">
        <f t="shared" si="33"/>
        <v/>
      </c>
    </row>
    <row r="1087" spans="1:2" x14ac:dyDescent="0.3">
      <c r="A1087" s="116" t="str">
        <f t="shared" si="32"/>
        <v/>
      </c>
      <c r="B1087" s="60" t="str">
        <f t="shared" si="33"/>
        <v/>
      </c>
    </row>
    <row r="1088" spans="1:2" x14ac:dyDescent="0.3">
      <c r="A1088" s="116" t="str">
        <f t="shared" si="32"/>
        <v/>
      </c>
      <c r="B1088" s="60" t="str">
        <f t="shared" si="33"/>
        <v/>
      </c>
    </row>
    <row r="1089" spans="1:2" x14ac:dyDescent="0.3">
      <c r="A1089" s="116" t="str">
        <f t="shared" si="32"/>
        <v/>
      </c>
      <c r="B1089" s="60" t="str">
        <f t="shared" si="33"/>
        <v/>
      </c>
    </row>
    <row r="1090" spans="1:2" x14ac:dyDescent="0.3">
      <c r="A1090" s="116" t="str">
        <f t="shared" si="32"/>
        <v/>
      </c>
      <c r="B1090" s="60" t="str">
        <f t="shared" si="33"/>
        <v/>
      </c>
    </row>
    <row r="1091" spans="1:2" x14ac:dyDescent="0.3">
      <c r="A1091" s="116" t="str">
        <f t="shared" si="32"/>
        <v/>
      </c>
      <c r="B1091" s="60" t="str">
        <f t="shared" si="33"/>
        <v/>
      </c>
    </row>
    <row r="1092" spans="1:2" x14ac:dyDescent="0.3">
      <c r="A1092" s="116" t="str">
        <f t="shared" si="32"/>
        <v/>
      </c>
      <c r="B1092" s="60" t="str">
        <f t="shared" si="33"/>
        <v/>
      </c>
    </row>
    <row r="1093" spans="1:2" x14ac:dyDescent="0.3">
      <c r="A1093" s="116" t="str">
        <f t="shared" si="32"/>
        <v/>
      </c>
      <c r="B1093" s="60" t="str">
        <f t="shared" si="33"/>
        <v/>
      </c>
    </row>
    <row r="1094" spans="1:2" x14ac:dyDescent="0.3">
      <c r="A1094" s="116" t="str">
        <f t="shared" si="32"/>
        <v/>
      </c>
      <c r="B1094" s="60" t="str">
        <f t="shared" si="33"/>
        <v/>
      </c>
    </row>
    <row r="1095" spans="1:2" x14ac:dyDescent="0.3">
      <c r="A1095" s="116" t="str">
        <f t="shared" ref="A1095:A1158" si="34">LEFT(C1095,3)</f>
        <v/>
      </c>
      <c r="B1095" s="60" t="str">
        <f t="shared" ref="B1095:B1158" si="35">A1095&amp;D1095</f>
        <v/>
      </c>
    </row>
    <row r="1096" spans="1:2" x14ac:dyDescent="0.3">
      <c r="A1096" s="116" t="str">
        <f t="shared" si="34"/>
        <v/>
      </c>
      <c r="B1096" s="60" t="str">
        <f t="shared" si="35"/>
        <v/>
      </c>
    </row>
    <row r="1097" spans="1:2" x14ac:dyDescent="0.3">
      <c r="A1097" s="116" t="str">
        <f t="shared" si="34"/>
        <v/>
      </c>
      <c r="B1097" s="60" t="str">
        <f t="shared" si="35"/>
        <v/>
      </c>
    </row>
    <row r="1098" spans="1:2" x14ac:dyDescent="0.3">
      <c r="A1098" s="116" t="str">
        <f t="shared" si="34"/>
        <v/>
      </c>
      <c r="B1098" s="60" t="str">
        <f t="shared" si="35"/>
        <v/>
      </c>
    </row>
    <row r="1099" spans="1:2" x14ac:dyDescent="0.3">
      <c r="A1099" s="116" t="str">
        <f t="shared" si="34"/>
        <v/>
      </c>
      <c r="B1099" s="60" t="str">
        <f t="shared" si="35"/>
        <v/>
      </c>
    </row>
    <row r="1100" spans="1:2" x14ac:dyDescent="0.3">
      <c r="A1100" s="116" t="str">
        <f t="shared" si="34"/>
        <v/>
      </c>
      <c r="B1100" s="60" t="str">
        <f t="shared" si="35"/>
        <v/>
      </c>
    </row>
    <row r="1101" spans="1:2" x14ac:dyDescent="0.3">
      <c r="A1101" s="116" t="str">
        <f t="shared" si="34"/>
        <v/>
      </c>
      <c r="B1101" s="60" t="str">
        <f t="shared" si="35"/>
        <v/>
      </c>
    </row>
    <row r="1102" spans="1:2" x14ac:dyDescent="0.3">
      <c r="A1102" s="116" t="str">
        <f t="shared" si="34"/>
        <v/>
      </c>
      <c r="B1102" s="60" t="str">
        <f t="shared" si="35"/>
        <v/>
      </c>
    </row>
    <row r="1103" spans="1:2" x14ac:dyDescent="0.3">
      <c r="A1103" s="116" t="str">
        <f t="shared" si="34"/>
        <v/>
      </c>
      <c r="B1103" s="60" t="str">
        <f t="shared" si="35"/>
        <v/>
      </c>
    </row>
    <row r="1104" spans="1:2" x14ac:dyDescent="0.3">
      <c r="A1104" s="116" t="str">
        <f t="shared" si="34"/>
        <v/>
      </c>
      <c r="B1104" s="60" t="str">
        <f t="shared" si="35"/>
        <v/>
      </c>
    </row>
    <row r="1105" spans="1:2" x14ac:dyDescent="0.3">
      <c r="A1105" s="116" t="str">
        <f t="shared" si="34"/>
        <v/>
      </c>
      <c r="B1105" s="60" t="str">
        <f t="shared" si="35"/>
        <v/>
      </c>
    </row>
    <row r="1106" spans="1:2" x14ac:dyDescent="0.3">
      <c r="A1106" s="116" t="str">
        <f t="shared" si="34"/>
        <v/>
      </c>
      <c r="B1106" s="60" t="str">
        <f t="shared" si="35"/>
        <v/>
      </c>
    </row>
    <row r="1107" spans="1:2" x14ac:dyDescent="0.3">
      <c r="A1107" s="116" t="str">
        <f t="shared" si="34"/>
        <v/>
      </c>
      <c r="B1107" s="60" t="str">
        <f t="shared" si="35"/>
        <v/>
      </c>
    </row>
    <row r="1108" spans="1:2" x14ac:dyDescent="0.3">
      <c r="A1108" s="116" t="str">
        <f t="shared" si="34"/>
        <v/>
      </c>
      <c r="B1108" s="60" t="str">
        <f t="shared" si="35"/>
        <v/>
      </c>
    </row>
    <row r="1109" spans="1:2" x14ac:dyDescent="0.3">
      <c r="A1109" s="116" t="str">
        <f t="shared" si="34"/>
        <v/>
      </c>
      <c r="B1109" s="60" t="str">
        <f t="shared" si="35"/>
        <v/>
      </c>
    </row>
    <row r="1110" spans="1:2" x14ac:dyDescent="0.3">
      <c r="A1110" s="116" t="str">
        <f t="shared" si="34"/>
        <v/>
      </c>
      <c r="B1110" s="60" t="str">
        <f t="shared" si="35"/>
        <v/>
      </c>
    </row>
    <row r="1111" spans="1:2" x14ac:dyDescent="0.3">
      <c r="A1111" s="116" t="str">
        <f t="shared" si="34"/>
        <v/>
      </c>
      <c r="B1111" s="60" t="str">
        <f t="shared" si="35"/>
        <v/>
      </c>
    </row>
    <row r="1112" spans="1:2" x14ac:dyDescent="0.3">
      <c r="A1112" s="116" t="str">
        <f t="shared" si="34"/>
        <v/>
      </c>
      <c r="B1112" s="60" t="str">
        <f t="shared" si="35"/>
        <v/>
      </c>
    </row>
    <row r="1113" spans="1:2" x14ac:dyDescent="0.3">
      <c r="A1113" s="116" t="str">
        <f t="shared" si="34"/>
        <v/>
      </c>
      <c r="B1113" s="60" t="str">
        <f t="shared" si="35"/>
        <v/>
      </c>
    </row>
    <row r="1114" spans="1:2" x14ac:dyDescent="0.3">
      <c r="A1114" s="116" t="str">
        <f t="shared" si="34"/>
        <v/>
      </c>
      <c r="B1114" s="60" t="str">
        <f t="shared" si="35"/>
        <v/>
      </c>
    </row>
    <row r="1115" spans="1:2" x14ac:dyDescent="0.3">
      <c r="A1115" s="116" t="str">
        <f t="shared" si="34"/>
        <v/>
      </c>
      <c r="B1115" s="60" t="str">
        <f t="shared" si="35"/>
        <v/>
      </c>
    </row>
    <row r="1116" spans="1:2" x14ac:dyDescent="0.3">
      <c r="A1116" s="116" t="str">
        <f t="shared" si="34"/>
        <v/>
      </c>
      <c r="B1116" s="60" t="str">
        <f t="shared" si="35"/>
        <v/>
      </c>
    </row>
    <row r="1117" spans="1:2" x14ac:dyDescent="0.3">
      <c r="A1117" s="116" t="str">
        <f t="shared" si="34"/>
        <v/>
      </c>
      <c r="B1117" s="60" t="str">
        <f t="shared" si="35"/>
        <v/>
      </c>
    </row>
    <row r="1118" spans="1:2" x14ac:dyDescent="0.3">
      <c r="A1118" s="116" t="str">
        <f t="shared" si="34"/>
        <v/>
      </c>
      <c r="B1118" s="60" t="str">
        <f t="shared" si="35"/>
        <v/>
      </c>
    </row>
    <row r="1119" spans="1:2" x14ac:dyDescent="0.3">
      <c r="A1119" s="116" t="str">
        <f t="shared" si="34"/>
        <v/>
      </c>
      <c r="B1119" s="60" t="str">
        <f t="shared" si="35"/>
        <v/>
      </c>
    </row>
    <row r="1120" spans="1:2" x14ac:dyDescent="0.3">
      <c r="A1120" s="116" t="str">
        <f t="shared" si="34"/>
        <v/>
      </c>
      <c r="B1120" s="60" t="str">
        <f t="shared" si="35"/>
        <v/>
      </c>
    </row>
    <row r="1121" spans="1:2" x14ac:dyDescent="0.3">
      <c r="A1121" s="116" t="str">
        <f t="shared" si="34"/>
        <v/>
      </c>
      <c r="B1121" s="60" t="str">
        <f t="shared" si="35"/>
        <v/>
      </c>
    </row>
    <row r="1122" spans="1:2" x14ac:dyDescent="0.3">
      <c r="A1122" s="116" t="str">
        <f t="shared" si="34"/>
        <v/>
      </c>
      <c r="B1122" s="60" t="str">
        <f t="shared" si="35"/>
        <v/>
      </c>
    </row>
    <row r="1123" spans="1:2" x14ac:dyDescent="0.3">
      <c r="A1123" s="116" t="str">
        <f t="shared" si="34"/>
        <v/>
      </c>
      <c r="B1123" s="60" t="str">
        <f t="shared" si="35"/>
        <v/>
      </c>
    </row>
    <row r="1124" spans="1:2" x14ac:dyDescent="0.3">
      <c r="A1124" s="116" t="str">
        <f t="shared" si="34"/>
        <v/>
      </c>
      <c r="B1124" s="60" t="str">
        <f t="shared" si="35"/>
        <v/>
      </c>
    </row>
    <row r="1125" spans="1:2" x14ac:dyDescent="0.3">
      <c r="A1125" s="116" t="str">
        <f t="shared" si="34"/>
        <v/>
      </c>
      <c r="B1125" s="60" t="str">
        <f t="shared" si="35"/>
        <v/>
      </c>
    </row>
    <row r="1126" spans="1:2" x14ac:dyDescent="0.3">
      <c r="A1126" s="116" t="str">
        <f t="shared" si="34"/>
        <v/>
      </c>
      <c r="B1126" s="60" t="str">
        <f t="shared" si="35"/>
        <v/>
      </c>
    </row>
    <row r="1127" spans="1:2" x14ac:dyDescent="0.3">
      <c r="A1127" s="116" t="str">
        <f t="shared" si="34"/>
        <v/>
      </c>
      <c r="B1127" s="60" t="str">
        <f t="shared" si="35"/>
        <v/>
      </c>
    </row>
    <row r="1128" spans="1:2" x14ac:dyDescent="0.3">
      <c r="A1128" s="116" t="str">
        <f t="shared" si="34"/>
        <v/>
      </c>
      <c r="B1128" s="60" t="str">
        <f t="shared" si="35"/>
        <v/>
      </c>
    </row>
    <row r="1129" spans="1:2" x14ac:dyDescent="0.3">
      <c r="A1129" s="116" t="str">
        <f t="shared" si="34"/>
        <v/>
      </c>
      <c r="B1129" s="60" t="str">
        <f t="shared" si="35"/>
        <v/>
      </c>
    </row>
    <row r="1130" spans="1:2" x14ac:dyDescent="0.3">
      <c r="A1130" s="116" t="str">
        <f t="shared" si="34"/>
        <v/>
      </c>
      <c r="B1130" s="60" t="str">
        <f t="shared" si="35"/>
        <v/>
      </c>
    </row>
    <row r="1131" spans="1:2" x14ac:dyDescent="0.3">
      <c r="A1131" s="116" t="str">
        <f t="shared" si="34"/>
        <v/>
      </c>
      <c r="B1131" s="60" t="str">
        <f t="shared" si="35"/>
        <v/>
      </c>
    </row>
    <row r="1132" spans="1:2" x14ac:dyDescent="0.3">
      <c r="A1132" s="116" t="str">
        <f t="shared" si="34"/>
        <v/>
      </c>
      <c r="B1132" s="60" t="str">
        <f t="shared" si="35"/>
        <v/>
      </c>
    </row>
    <row r="1133" spans="1:2" x14ac:dyDescent="0.3">
      <c r="A1133" s="116" t="str">
        <f t="shared" si="34"/>
        <v/>
      </c>
      <c r="B1133" s="60" t="str">
        <f t="shared" si="35"/>
        <v/>
      </c>
    </row>
    <row r="1134" spans="1:2" x14ac:dyDescent="0.3">
      <c r="A1134" s="116" t="str">
        <f t="shared" si="34"/>
        <v/>
      </c>
      <c r="B1134" s="60" t="str">
        <f t="shared" si="35"/>
        <v/>
      </c>
    </row>
    <row r="1135" spans="1:2" x14ac:dyDescent="0.3">
      <c r="A1135" s="116" t="str">
        <f t="shared" si="34"/>
        <v/>
      </c>
      <c r="B1135" s="60" t="str">
        <f t="shared" si="35"/>
        <v/>
      </c>
    </row>
    <row r="1136" spans="1:2" x14ac:dyDescent="0.3">
      <c r="A1136" s="116" t="str">
        <f t="shared" si="34"/>
        <v/>
      </c>
      <c r="B1136" s="60" t="str">
        <f t="shared" si="35"/>
        <v/>
      </c>
    </row>
    <row r="1137" spans="1:2" x14ac:dyDescent="0.3">
      <c r="A1137" s="116" t="str">
        <f t="shared" si="34"/>
        <v/>
      </c>
      <c r="B1137" s="60" t="str">
        <f t="shared" si="35"/>
        <v/>
      </c>
    </row>
    <row r="1138" spans="1:2" x14ac:dyDescent="0.3">
      <c r="A1138" s="116" t="str">
        <f t="shared" si="34"/>
        <v/>
      </c>
      <c r="B1138" s="60" t="str">
        <f t="shared" si="35"/>
        <v/>
      </c>
    </row>
    <row r="1139" spans="1:2" x14ac:dyDescent="0.3">
      <c r="A1139" s="116" t="str">
        <f t="shared" si="34"/>
        <v/>
      </c>
      <c r="B1139" s="60" t="str">
        <f t="shared" si="35"/>
        <v/>
      </c>
    </row>
    <row r="1140" spans="1:2" x14ac:dyDescent="0.3">
      <c r="A1140" s="116" t="str">
        <f t="shared" si="34"/>
        <v/>
      </c>
      <c r="B1140" s="60" t="str">
        <f t="shared" si="35"/>
        <v/>
      </c>
    </row>
    <row r="1141" spans="1:2" x14ac:dyDescent="0.3">
      <c r="A1141" s="116" t="str">
        <f t="shared" si="34"/>
        <v/>
      </c>
      <c r="B1141" s="60" t="str">
        <f t="shared" si="35"/>
        <v/>
      </c>
    </row>
    <row r="1142" spans="1:2" x14ac:dyDescent="0.3">
      <c r="A1142" s="116" t="str">
        <f t="shared" si="34"/>
        <v/>
      </c>
      <c r="B1142" s="60" t="str">
        <f t="shared" si="35"/>
        <v/>
      </c>
    </row>
    <row r="1143" spans="1:2" x14ac:dyDescent="0.3">
      <c r="A1143" s="116" t="str">
        <f t="shared" si="34"/>
        <v/>
      </c>
      <c r="B1143" s="60" t="str">
        <f t="shared" si="35"/>
        <v/>
      </c>
    </row>
    <row r="1144" spans="1:2" x14ac:dyDescent="0.3">
      <c r="A1144" s="116" t="str">
        <f t="shared" si="34"/>
        <v/>
      </c>
      <c r="B1144" s="60" t="str">
        <f t="shared" si="35"/>
        <v/>
      </c>
    </row>
    <row r="1145" spans="1:2" x14ac:dyDescent="0.3">
      <c r="A1145" s="116" t="str">
        <f t="shared" si="34"/>
        <v/>
      </c>
      <c r="B1145" s="60" t="str">
        <f t="shared" si="35"/>
        <v/>
      </c>
    </row>
    <row r="1146" spans="1:2" x14ac:dyDescent="0.3">
      <c r="A1146" s="116" t="str">
        <f t="shared" si="34"/>
        <v/>
      </c>
      <c r="B1146" s="60" t="str">
        <f t="shared" si="35"/>
        <v/>
      </c>
    </row>
    <row r="1147" spans="1:2" x14ac:dyDescent="0.3">
      <c r="A1147" s="116" t="str">
        <f t="shared" si="34"/>
        <v/>
      </c>
      <c r="B1147" s="60" t="str">
        <f t="shared" si="35"/>
        <v/>
      </c>
    </row>
    <row r="1148" spans="1:2" x14ac:dyDescent="0.3">
      <c r="A1148" s="116" t="str">
        <f t="shared" si="34"/>
        <v/>
      </c>
      <c r="B1148" s="60" t="str">
        <f t="shared" si="35"/>
        <v/>
      </c>
    </row>
    <row r="1149" spans="1:2" x14ac:dyDescent="0.3">
      <c r="A1149" s="116" t="str">
        <f t="shared" si="34"/>
        <v/>
      </c>
      <c r="B1149" s="60" t="str">
        <f t="shared" si="35"/>
        <v/>
      </c>
    </row>
    <row r="1150" spans="1:2" x14ac:dyDescent="0.3">
      <c r="A1150" s="116" t="str">
        <f t="shared" si="34"/>
        <v/>
      </c>
      <c r="B1150" s="60" t="str">
        <f t="shared" si="35"/>
        <v/>
      </c>
    </row>
    <row r="1151" spans="1:2" x14ac:dyDescent="0.3">
      <c r="A1151" s="116" t="str">
        <f t="shared" si="34"/>
        <v/>
      </c>
      <c r="B1151" s="60" t="str">
        <f t="shared" si="35"/>
        <v/>
      </c>
    </row>
    <row r="1152" spans="1:2" x14ac:dyDescent="0.3">
      <c r="A1152" s="116" t="str">
        <f t="shared" si="34"/>
        <v/>
      </c>
      <c r="B1152" s="60" t="str">
        <f t="shared" si="35"/>
        <v/>
      </c>
    </row>
    <row r="1153" spans="1:2" x14ac:dyDescent="0.3">
      <c r="A1153" s="116" t="str">
        <f t="shared" si="34"/>
        <v/>
      </c>
      <c r="B1153" s="60" t="str">
        <f t="shared" si="35"/>
        <v/>
      </c>
    </row>
    <row r="1154" spans="1:2" x14ac:dyDescent="0.3">
      <c r="A1154" s="116" t="str">
        <f t="shared" si="34"/>
        <v/>
      </c>
      <c r="B1154" s="60" t="str">
        <f t="shared" si="35"/>
        <v/>
      </c>
    </row>
    <row r="1155" spans="1:2" x14ac:dyDescent="0.3">
      <c r="A1155" s="116" t="str">
        <f t="shared" si="34"/>
        <v/>
      </c>
      <c r="B1155" s="60" t="str">
        <f t="shared" si="35"/>
        <v/>
      </c>
    </row>
    <row r="1156" spans="1:2" x14ac:dyDescent="0.3">
      <c r="A1156" s="116" t="str">
        <f t="shared" si="34"/>
        <v/>
      </c>
      <c r="B1156" s="60" t="str">
        <f t="shared" si="35"/>
        <v/>
      </c>
    </row>
    <row r="1157" spans="1:2" x14ac:dyDescent="0.3">
      <c r="A1157" s="116" t="str">
        <f t="shared" si="34"/>
        <v/>
      </c>
      <c r="B1157" s="60" t="str">
        <f t="shared" si="35"/>
        <v/>
      </c>
    </row>
    <row r="1158" spans="1:2" x14ac:dyDescent="0.3">
      <c r="A1158" s="116" t="str">
        <f t="shared" si="34"/>
        <v/>
      </c>
      <c r="B1158" s="60" t="str">
        <f t="shared" si="35"/>
        <v/>
      </c>
    </row>
    <row r="1159" spans="1:2" x14ac:dyDescent="0.3">
      <c r="A1159" s="116" t="str">
        <f t="shared" ref="A1159:A1200" si="36">LEFT(C1159,3)</f>
        <v/>
      </c>
      <c r="B1159" s="60" t="str">
        <f t="shared" ref="B1159:B1200" si="37">A1159&amp;D1159</f>
        <v/>
      </c>
    </row>
    <row r="1160" spans="1:2" x14ac:dyDescent="0.3">
      <c r="A1160" s="116" t="str">
        <f t="shared" si="36"/>
        <v/>
      </c>
      <c r="B1160" s="60" t="str">
        <f t="shared" si="37"/>
        <v/>
      </c>
    </row>
    <row r="1161" spans="1:2" x14ac:dyDescent="0.3">
      <c r="A1161" s="116" t="str">
        <f t="shared" si="36"/>
        <v/>
      </c>
      <c r="B1161" s="60" t="str">
        <f t="shared" si="37"/>
        <v/>
      </c>
    </row>
    <row r="1162" spans="1:2" x14ac:dyDescent="0.3">
      <c r="A1162" s="116" t="str">
        <f t="shared" si="36"/>
        <v/>
      </c>
      <c r="B1162" s="60" t="str">
        <f t="shared" si="37"/>
        <v/>
      </c>
    </row>
    <row r="1163" spans="1:2" x14ac:dyDescent="0.3">
      <c r="A1163" s="116" t="str">
        <f t="shared" si="36"/>
        <v/>
      </c>
      <c r="B1163" s="60" t="str">
        <f t="shared" si="37"/>
        <v/>
      </c>
    </row>
    <row r="1164" spans="1:2" x14ac:dyDescent="0.3">
      <c r="A1164" s="116" t="str">
        <f t="shared" si="36"/>
        <v/>
      </c>
      <c r="B1164" s="60" t="str">
        <f t="shared" si="37"/>
        <v/>
      </c>
    </row>
    <row r="1165" spans="1:2" x14ac:dyDescent="0.3">
      <c r="A1165" s="116" t="str">
        <f t="shared" si="36"/>
        <v/>
      </c>
      <c r="B1165" s="60" t="str">
        <f t="shared" si="37"/>
        <v/>
      </c>
    </row>
    <row r="1166" spans="1:2" x14ac:dyDescent="0.3">
      <c r="A1166" s="116" t="str">
        <f t="shared" si="36"/>
        <v/>
      </c>
      <c r="B1166" s="60" t="str">
        <f t="shared" si="37"/>
        <v/>
      </c>
    </row>
    <row r="1167" spans="1:2" x14ac:dyDescent="0.3">
      <c r="A1167" s="116" t="str">
        <f t="shared" si="36"/>
        <v/>
      </c>
      <c r="B1167" s="60" t="str">
        <f t="shared" si="37"/>
        <v/>
      </c>
    </row>
    <row r="1168" spans="1:2" x14ac:dyDescent="0.3">
      <c r="A1168" s="116" t="str">
        <f t="shared" si="36"/>
        <v/>
      </c>
      <c r="B1168" s="60" t="str">
        <f t="shared" si="37"/>
        <v/>
      </c>
    </row>
    <row r="1169" spans="1:2" x14ac:dyDescent="0.3">
      <c r="A1169" s="116" t="str">
        <f t="shared" si="36"/>
        <v/>
      </c>
      <c r="B1169" s="60" t="str">
        <f t="shared" si="37"/>
        <v/>
      </c>
    </row>
    <row r="1170" spans="1:2" x14ac:dyDescent="0.3">
      <c r="A1170" s="116" t="str">
        <f t="shared" si="36"/>
        <v/>
      </c>
      <c r="B1170" s="60" t="str">
        <f t="shared" si="37"/>
        <v/>
      </c>
    </row>
    <row r="1171" spans="1:2" x14ac:dyDescent="0.3">
      <c r="A1171" s="116" t="str">
        <f t="shared" si="36"/>
        <v/>
      </c>
      <c r="B1171" s="60" t="str">
        <f t="shared" si="37"/>
        <v/>
      </c>
    </row>
    <row r="1172" spans="1:2" x14ac:dyDescent="0.3">
      <c r="A1172" s="116" t="str">
        <f t="shared" si="36"/>
        <v/>
      </c>
      <c r="B1172" s="60" t="str">
        <f t="shared" si="37"/>
        <v/>
      </c>
    </row>
    <row r="1173" spans="1:2" x14ac:dyDescent="0.3">
      <c r="A1173" s="116" t="str">
        <f t="shared" si="36"/>
        <v/>
      </c>
      <c r="B1173" s="60" t="str">
        <f t="shared" si="37"/>
        <v/>
      </c>
    </row>
    <row r="1174" spans="1:2" x14ac:dyDescent="0.3">
      <c r="A1174" s="116" t="str">
        <f t="shared" si="36"/>
        <v/>
      </c>
      <c r="B1174" s="60" t="str">
        <f t="shared" si="37"/>
        <v/>
      </c>
    </row>
    <row r="1175" spans="1:2" x14ac:dyDescent="0.3">
      <c r="A1175" s="116" t="str">
        <f t="shared" si="36"/>
        <v/>
      </c>
      <c r="B1175" s="60" t="str">
        <f t="shared" si="37"/>
        <v/>
      </c>
    </row>
    <row r="1176" spans="1:2" x14ac:dyDescent="0.3">
      <c r="A1176" s="116" t="str">
        <f t="shared" si="36"/>
        <v/>
      </c>
      <c r="B1176" s="60" t="str">
        <f t="shared" si="37"/>
        <v/>
      </c>
    </row>
    <row r="1177" spans="1:2" x14ac:dyDescent="0.3">
      <c r="A1177" s="116" t="str">
        <f t="shared" si="36"/>
        <v/>
      </c>
      <c r="B1177" s="60" t="str">
        <f t="shared" si="37"/>
        <v/>
      </c>
    </row>
    <row r="1178" spans="1:2" x14ac:dyDescent="0.3">
      <c r="A1178" s="116" t="str">
        <f t="shared" si="36"/>
        <v/>
      </c>
      <c r="B1178" s="60" t="str">
        <f t="shared" si="37"/>
        <v/>
      </c>
    </row>
    <row r="1179" spans="1:2" x14ac:dyDescent="0.3">
      <c r="A1179" s="116" t="str">
        <f t="shared" si="36"/>
        <v/>
      </c>
      <c r="B1179" s="60" t="str">
        <f t="shared" si="37"/>
        <v/>
      </c>
    </row>
    <row r="1180" spans="1:2" x14ac:dyDescent="0.3">
      <c r="A1180" s="116" t="str">
        <f t="shared" si="36"/>
        <v/>
      </c>
      <c r="B1180" s="60" t="str">
        <f t="shared" si="37"/>
        <v/>
      </c>
    </row>
    <row r="1181" spans="1:2" x14ac:dyDescent="0.3">
      <c r="A1181" s="116" t="str">
        <f t="shared" si="36"/>
        <v/>
      </c>
      <c r="B1181" s="60" t="str">
        <f t="shared" si="37"/>
        <v/>
      </c>
    </row>
    <row r="1182" spans="1:2" x14ac:dyDescent="0.3">
      <c r="A1182" s="116" t="str">
        <f t="shared" si="36"/>
        <v/>
      </c>
      <c r="B1182" s="60" t="str">
        <f t="shared" si="37"/>
        <v/>
      </c>
    </row>
    <row r="1183" spans="1:2" x14ac:dyDescent="0.3">
      <c r="A1183" s="116" t="str">
        <f t="shared" si="36"/>
        <v/>
      </c>
      <c r="B1183" s="60" t="str">
        <f t="shared" si="37"/>
        <v/>
      </c>
    </row>
    <row r="1184" spans="1:2" x14ac:dyDescent="0.3">
      <c r="A1184" s="116" t="str">
        <f t="shared" si="36"/>
        <v/>
      </c>
      <c r="B1184" s="60" t="str">
        <f t="shared" si="37"/>
        <v/>
      </c>
    </row>
    <row r="1185" spans="1:2" x14ac:dyDescent="0.3">
      <c r="A1185" s="116" t="str">
        <f t="shared" si="36"/>
        <v/>
      </c>
      <c r="B1185" s="60" t="str">
        <f t="shared" si="37"/>
        <v/>
      </c>
    </row>
    <row r="1186" spans="1:2" x14ac:dyDescent="0.3">
      <c r="A1186" s="116" t="str">
        <f t="shared" si="36"/>
        <v/>
      </c>
      <c r="B1186" s="60" t="str">
        <f t="shared" si="37"/>
        <v/>
      </c>
    </row>
    <row r="1187" spans="1:2" x14ac:dyDescent="0.3">
      <c r="A1187" s="116" t="str">
        <f t="shared" si="36"/>
        <v/>
      </c>
      <c r="B1187" s="60" t="str">
        <f t="shared" si="37"/>
        <v/>
      </c>
    </row>
    <row r="1188" spans="1:2" x14ac:dyDescent="0.3">
      <c r="A1188" s="116" t="str">
        <f t="shared" si="36"/>
        <v/>
      </c>
      <c r="B1188" s="60" t="str">
        <f t="shared" si="37"/>
        <v/>
      </c>
    </row>
    <row r="1189" spans="1:2" x14ac:dyDescent="0.3">
      <c r="A1189" s="116" t="str">
        <f t="shared" si="36"/>
        <v/>
      </c>
      <c r="B1189" s="60" t="str">
        <f t="shared" si="37"/>
        <v/>
      </c>
    </row>
    <row r="1190" spans="1:2" x14ac:dyDescent="0.3">
      <c r="A1190" s="116" t="str">
        <f t="shared" si="36"/>
        <v/>
      </c>
      <c r="B1190" s="60" t="str">
        <f t="shared" si="37"/>
        <v/>
      </c>
    </row>
    <row r="1191" spans="1:2" x14ac:dyDescent="0.3">
      <c r="A1191" s="116" t="str">
        <f t="shared" si="36"/>
        <v/>
      </c>
      <c r="B1191" s="60" t="str">
        <f t="shared" si="37"/>
        <v/>
      </c>
    </row>
    <row r="1192" spans="1:2" x14ac:dyDescent="0.3">
      <c r="A1192" s="116" t="str">
        <f t="shared" si="36"/>
        <v/>
      </c>
      <c r="B1192" s="60" t="str">
        <f t="shared" si="37"/>
        <v/>
      </c>
    </row>
    <row r="1193" spans="1:2" x14ac:dyDescent="0.3">
      <c r="A1193" s="116" t="str">
        <f t="shared" si="36"/>
        <v/>
      </c>
      <c r="B1193" s="60" t="str">
        <f t="shared" si="37"/>
        <v/>
      </c>
    </row>
    <row r="1194" spans="1:2" x14ac:dyDescent="0.3">
      <c r="A1194" s="116" t="str">
        <f t="shared" si="36"/>
        <v/>
      </c>
      <c r="B1194" s="60" t="str">
        <f t="shared" si="37"/>
        <v/>
      </c>
    </row>
    <row r="1195" spans="1:2" x14ac:dyDescent="0.3">
      <c r="A1195" s="116" t="str">
        <f t="shared" si="36"/>
        <v/>
      </c>
      <c r="B1195" s="60" t="str">
        <f t="shared" si="37"/>
        <v/>
      </c>
    </row>
    <row r="1196" spans="1:2" x14ac:dyDescent="0.3">
      <c r="A1196" s="116" t="str">
        <f t="shared" si="36"/>
        <v/>
      </c>
      <c r="B1196" s="60" t="str">
        <f t="shared" si="37"/>
        <v/>
      </c>
    </row>
    <row r="1197" spans="1:2" x14ac:dyDescent="0.3">
      <c r="A1197" s="116" t="str">
        <f t="shared" si="36"/>
        <v/>
      </c>
      <c r="B1197" s="60" t="str">
        <f t="shared" si="37"/>
        <v/>
      </c>
    </row>
    <row r="1198" spans="1:2" x14ac:dyDescent="0.3">
      <c r="A1198" s="116" t="str">
        <f t="shared" si="36"/>
        <v/>
      </c>
      <c r="B1198" s="60" t="str">
        <f t="shared" si="37"/>
        <v/>
      </c>
    </row>
    <row r="1199" spans="1:2" x14ac:dyDescent="0.3">
      <c r="A1199" s="116" t="str">
        <f t="shared" si="36"/>
        <v/>
      </c>
      <c r="B1199" s="60" t="str">
        <f t="shared" si="37"/>
        <v/>
      </c>
    </row>
    <row r="1200" spans="1:2" x14ac:dyDescent="0.3">
      <c r="A1200" s="116" t="str">
        <f t="shared" si="36"/>
        <v/>
      </c>
      <c r="B1200" s="60" t="str">
        <f t="shared" si="37"/>
        <v/>
      </c>
    </row>
  </sheetData>
  <sortState ref="K6:O1051">
    <sortCondition ref="L6:L1051"/>
  </sortState>
  <pageMargins left="0.7" right="0.7" top="0.75" bottom="0.75" header="0.3" footer="0.3"/>
  <pageSetup paperSize="9" scale="81"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10"/>
  <sheetViews>
    <sheetView workbookViewId="0">
      <selection activeCell="AW117" sqref="AW117"/>
    </sheetView>
  </sheetViews>
  <sheetFormatPr defaultRowHeight="14.4" x14ac:dyDescent="0.3"/>
  <sheetData>
    <row r="2" spans="1:2" x14ac:dyDescent="0.3">
      <c r="A2" s="15" t="s">
        <v>643</v>
      </c>
      <c r="B2" s="15" t="s">
        <v>642</v>
      </c>
    </row>
    <row r="3" spans="1:2" x14ac:dyDescent="0.3">
      <c r="A3" s="560" t="s">
        <v>0</v>
      </c>
      <c r="B3" s="560" t="s">
        <v>0</v>
      </c>
    </row>
    <row r="4" spans="1:2" x14ac:dyDescent="0.3">
      <c r="A4" s="560" t="s">
        <v>1</v>
      </c>
      <c r="B4" s="560" t="s">
        <v>1</v>
      </c>
    </row>
    <row r="5" spans="1:2" x14ac:dyDescent="0.3">
      <c r="A5" s="560" t="s">
        <v>2</v>
      </c>
      <c r="B5" s="560" t="s">
        <v>2</v>
      </c>
    </row>
    <row r="6" spans="1:2" x14ac:dyDescent="0.3">
      <c r="A6" s="560" t="s">
        <v>68</v>
      </c>
      <c r="B6" s="560" t="s">
        <v>68</v>
      </c>
    </row>
    <row r="7" spans="1:2" x14ac:dyDescent="0.3">
      <c r="A7" s="560" t="s">
        <v>5</v>
      </c>
      <c r="B7" s="560" t="s">
        <v>5</v>
      </c>
    </row>
    <row r="8" spans="1:2" x14ac:dyDescent="0.3">
      <c r="A8" s="560" t="s">
        <v>7</v>
      </c>
      <c r="B8" s="560" t="s">
        <v>7</v>
      </c>
    </row>
    <row r="9" spans="1:2" x14ac:dyDescent="0.3">
      <c r="A9" s="560" t="s">
        <v>8</v>
      </c>
      <c r="B9" s="560" t="s">
        <v>8</v>
      </c>
    </row>
    <row r="10" spans="1:2" x14ac:dyDescent="0.3">
      <c r="A10" s="560" t="s">
        <v>9</v>
      </c>
      <c r="B10" s="560" t="s">
        <v>9</v>
      </c>
    </row>
    <row r="11" spans="1:2" x14ac:dyDescent="0.3">
      <c r="A11" s="560" t="s">
        <v>69</v>
      </c>
      <c r="B11" s="560" t="s">
        <v>69</v>
      </c>
    </row>
    <row r="12" spans="1:2" x14ac:dyDescent="0.3">
      <c r="A12" s="560" t="s">
        <v>11</v>
      </c>
      <c r="B12" s="560" t="s">
        <v>11</v>
      </c>
    </row>
    <row r="13" spans="1:2" x14ac:dyDescent="0.3">
      <c r="A13" s="560" t="s">
        <v>70</v>
      </c>
      <c r="B13" s="560" t="s">
        <v>70</v>
      </c>
    </row>
    <row r="14" spans="1:2" x14ac:dyDescent="0.3">
      <c r="A14" s="560" t="s">
        <v>12</v>
      </c>
      <c r="B14" s="560" t="s">
        <v>12</v>
      </c>
    </row>
    <row r="15" spans="1:2" x14ac:dyDescent="0.3">
      <c r="A15" s="560" t="s">
        <v>13</v>
      </c>
      <c r="B15" s="560" t="s">
        <v>13</v>
      </c>
    </row>
    <row r="16" spans="1:2" x14ac:dyDescent="0.3">
      <c r="A16" s="560" t="s">
        <v>19</v>
      </c>
      <c r="B16" s="560" t="s">
        <v>19</v>
      </c>
    </row>
    <row r="17" spans="1:2" x14ac:dyDescent="0.3">
      <c r="A17" s="560" t="s">
        <v>20</v>
      </c>
      <c r="B17" s="560" t="s">
        <v>20</v>
      </c>
    </row>
    <row r="18" spans="1:2" x14ac:dyDescent="0.3">
      <c r="A18" s="560" t="s">
        <v>23</v>
      </c>
      <c r="B18" s="560" t="s">
        <v>23</v>
      </c>
    </row>
    <row r="19" spans="1:2" x14ac:dyDescent="0.3">
      <c r="A19" s="560" t="s">
        <v>25</v>
      </c>
      <c r="B19" s="560" t="s">
        <v>25</v>
      </c>
    </row>
    <row r="20" spans="1:2" x14ac:dyDescent="0.3">
      <c r="A20" s="560" t="s">
        <v>71</v>
      </c>
      <c r="B20" s="560" t="s">
        <v>71</v>
      </c>
    </row>
    <row r="21" spans="1:2" x14ac:dyDescent="0.3">
      <c r="A21" s="560" t="s">
        <v>28</v>
      </c>
      <c r="B21" s="560" t="s">
        <v>28</v>
      </c>
    </row>
    <row r="22" spans="1:2" x14ac:dyDescent="0.3">
      <c r="A22" s="560" t="s">
        <v>31</v>
      </c>
      <c r="B22" s="560" t="s">
        <v>31</v>
      </c>
    </row>
    <row r="23" spans="1:2" x14ac:dyDescent="0.3">
      <c r="A23" s="560" t="s">
        <v>32</v>
      </c>
      <c r="B23" s="560" t="s">
        <v>32</v>
      </c>
    </row>
    <row r="24" spans="1:2" x14ac:dyDescent="0.3">
      <c r="A24" s="560" t="s">
        <v>73</v>
      </c>
      <c r="B24" s="560" t="s">
        <v>73</v>
      </c>
    </row>
    <row r="25" spans="1:2" x14ac:dyDescent="0.3">
      <c r="A25" s="560" t="s">
        <v>34</v>
      </c>
      <c r="B25" s="560" t="s">
        <v>34</v>
      </c>
    </row>
    <row r="26" spans="1:2" x14ac:dyDescent="0.3">
      <c r="A26" s="560" t="s">
        <v>36</v>
      </c>
      <c r="B26" s="560" t="s">
        <v>36</v>
      </c>
    </row>
    <row r="27" spans="1:2" x14ac:dyDescent="0.3">
      <c r="A27" s="560" t="s">
        <v>37</v>
      </c>
      <c r="B27" s="560" t="s">
        <v>37</v>
      </c>
    </row>
    <row r="28" spans="1:2" x14ac:dyDescent="0.3">
      <c r="A28" s="560" t="s">
        <v>38</v>
      </c>
      <c r="B28" s="560" t="s">
        <v>38</v>
      </c>
    </row>
    <row r="29" spans="1:2" x14ac:dyDescent="0.3">
      <c r="A29" s="560" t="s">
        <v>39</v>
      </c>
      <c r="B29" s="560" t="s">
        <v>503</v>
      </c>
    </row>
    <row r="30" spans="1:2" x14ac:dyDescent="0.3">
      <c r="A30" s="560" t="s">
        <v>40</v>
      </c>
      <c r="B30" s="560" t="s">
        <v>40</v>
      </c>
    </row>
    <row r="31" spans="1:2" x14ac:dyDescent="0.3">
      <c r="A31" s="560" t="s">
        <v>41</v>
      </c>
      <c r="B31" s="560" t="s">
        <v>41</v>
      </c>
    </row>
    <row r="32" spans="1:2" x14ac:dyDescent="0.3">
      <c r="A32" s="560"/>
      <c r="B32" s="560"/>
    </row>
    <row r="33" spans="1:2" x14ac:dyDescent="0.3">
      <c r="A33" s="560"/>
      <c r="B33" s="560"/>
    </row>
    <row r="34" spans="1:2" x14ac:dyDescent="0.3">
      <c r="A34" s="560" t="s">
        <v>4</v>
      </c>
      <c r="B34" s="560" t="s">
        <v>4</v>
      </c>
    </row>
    <row r="35" spans="1:2" x14ac:dyDescent="0.3">
      <c r="A35" s="560" t="s">
        <v>10</v>
      </c>
      <c r="B35" s="560" t="s">
        <v>10</v>
      </c>
    </row>
    <row r="36" spans="1:2" x14ac:dyDescent="0.3">
      <c r="A36" s="560" t="s">
        <v>14</v>
      </c>
      <c r="B36" s="560" t="s">
        <v>14</v>
      </c>
    </row>
    <row r="37" spans="1:2" x14ac:dyDescent="0.3">
      <c r="A37" s="560" t="s">
        <v>16</v>
      </c>
      <c r="B37" s="560" t="s">
        <v>621</v>
      </c>
    </row>
    <row r="38" spans="1:2" x14ac:dyDescent="0.3">
      <c r="A38" s="560" t="s">
        <v>17</v>
      </c>
      <c r="B38" s="560" t="s">
        <v>616</v>
      </c>
    </row>
    <row r="39" spans="1:2" x14ac:dyDescent="0.3">
      <c r="A39" s="560" t="s">
        <v>18</v>
      </c>
      <c r="B39" s="560" t="s">
        <v>617</v>
      </c>
    </row>
    <row r="40" spans="1:2" x14ac:dyDescent="0.3">
      <c r="A40" s="560" t="s">
        <v>21</v>
      </c>
      <c r="B40" s="560" t="s">
        <v>21</v>
      </c>
    </row>
    <row r="41" spans="1:2" x14ac:dyDescent="0.3">
      <c r="A41" s="560" t="s">
        <v>27</v>
      </c>
      <c r="B41" s="560" t="s">
        <v>27</v>
      </c>
    </row>
    <row r="42" spans="1:2" x14ac:dyDescent="0.3">
      <c r="A42" s="560" t="s">
        <v>33</v>
      </c>
      <c r="B42" s="560" t="s">
        <v>33</v>
      </c>
    </row>
    <row r="43" spans="1:2" x14ac:dyDescent="0.3">
      <c r="A43" s="560" t="s">
        <v>35</v>
      </c>
      <c r="B43" s="560" t="s">
        <v>35</v>
      </c>
    </row>
    <row r="44" spans="1:2" x14ac:dyDescent="0.3">
      <c r="A44" s="116"/>
    </row>
    <row r="45" spans="1:2" x14ac:dyDescent="0.3">
      <c r="A45" s="116"/>
    </row>
    <row r="46" spans="1:2" x14ac:dyDescent="0.3">
      <c r="A46" s="116" t="s">
        <v>3</v>
      </c>
      <c r="B46" t="s">
        <v>644</v>
      </c>
    </row>
    <row r="47" spans="1:2" x14ac:dyDescent="0.3">
      <c r="A47" s="116" t="s">
        <v>6</v>
      </c>
      <c r="B47" t="s">
        <v>6</v>
      </c>
    </row>
    <row r="48" spans="1:2" x14ac:dyDescent="0.3">
      <c r="A48" s="116" t="s">
        <v>49</v>
      </c>
      <c r="B48" t="s">
        <v>49</v>
      </c>
    </row>
    <row r="49" spans="1:2" x14ac:dyDescent="0.3">
      <c r="A49" s="116" t="s">
        <v>15</v>
      </c>
      <c r="B49" t="s">
        <v>15</v>
      </c>
    </row>
    <row r="50" spans="1:2" x14ac:dyDescent="0.3">
      <c r="A50" s="116" t="s">
        <v>22</v>
      </c>
      <c r="B50" t="s">
        <v>22</v>
      </c>
    </row>
    <row r="51" spans="1:2" x14ac:dyDescent="0.3">
      <c r="A51" s="116" t="s">
        <v>24</v>
      </c>
      <c r="B51" t="s">
        <v>24</v>
      </c>
    </row>
    <row r="52" spans="1:2" x14ac:dyDescent="0.3">
      <c r="A52" s="116" t="s">
        <v>43</v>
      </c>
      <c r="B52" t="s">
        <v>620</v>
      </c>
    </row>
    <row r="53" spans="1:2" x14ac:dyDescent="0.3">
      <c r="A53" s="116" t="s">
        <v>26</v>
      </c>
      <c r="B53" t="s">
        <v>618</v>
      </c>
    </row>
    <row r="54" spans="1:2" x14ac:dyDescent="0.3">
      <c r="A54" s="116" t="s">
        <v>30</v>
      </c>
      <c r="B54" t="s">
        <v>30</v>
      </c>
    </row>
    <row r="55" spans="1:2" x14ac:dyDescent="0.3">
      <c r="A55" s="116" t="s">
        <v>556</v>
      </c>
      <c r="B55" t="s">
        <v>619</v>
      </c>
    </row>
    <row r="56" spans="1:2" x14ac:dyDescent="0.3">
      <c r="A56" s="116" t="s">
        <v>42</v>
      </c>
      <c r="B56" t="s">
        <v>42</v>
      </c>
    </row>
    <row r="57" spans="1:2" x14ac:dyDescent="0.3">
      <c r="A57" s="116"/>
    </row>
    <row r="58" spans="1:2" x14ac:dyDescent="0.3">
      <c r="A58" s="116"/>
    </row>
    <row r="59" spans="1:2" x14ac:dyDescent="0.3">
      <c r="A59" s="116"/>
    </row>
    <row r="60" spans="1:2" x14ac:dyDescent="0.3">
      <c r="A60" s="116"/>
    </row>
    <row r="61" spans="1:2" x14ac:dyDescent="0.3">
      <c r="A61" s="116"/>
    </row>
    <row r="62" spans="1:2" x14ac:dyDescent="0.3">
      <c r="A62" s="116"/>
    </row>
    <row r="63" spans="1:2" x14ac:dyDescent="0.3">
      <c r="A63" s="116"/>
    </row>
    <row r="64" spans="1:2" x14ac:dyDescent="0.3">
      <c r="A64" s="116"/>
    </row>
    <row r="65" spans="1:1" x14ac:dyDescent="0.3">
      <c r="A65" s="116"/>
    </row>
    <row r="66" spans="1:1" x14ac:dyDescent="0.3">
      <c r="A66" s="116"/>
    </row>
    <row r="67" spans="1:1" x14ac:dyDescent="0.3">
      <c r="A67" s="116"/>
    </row>
    <row r="68" spans="1:1" x14ac:dyDescent="0.3">
      <c r="A68" s="116"/>
    </row>
    <row r="69" spans="1:1" x14ac:dyDescent="0.3">
      <c r="A69" s="116"/>
    </row>
    <row r="70" spans="1:1" x14ac:dyDescent="0.3">
      <c r="A70" s="116"/>
    </row>
    <row r="71" spans="1:1" x14ac:dyDescent="0.3">
      <c r="A71" s="116"/>
    </row>
    <row r="72" spans="1:1" x14ac:dyDescent="0.3">
      <c r="A72" s="116"/>
    </row>
    <row r="73" spans="1:1" x14ac:dyDescent="0.3">
      <c r="A73" s="116"/>
    </row>
    <row r="74" spans="1:1" x14ac:dyDescent="0.3">
      <c r="A74" s="116"/>
    </row>
    <row r="75" spans="1:1" x14ac:dyDescent="0.3">
      <c r="A75" s="116"/>
    </row>
    <row r="76" spans="1:1" x14ac:dyDescent="0.3">
      <c r="A76" s="116"/>
    </row>
    <row r="77" spans="1:1" x14ac:dyDescent="0.3">
      <c r="A77" s="116"/>
    </row>
    <row r="78" spans="1:1" x14ac:dyDescent="0.3">
      <c r="A78" s="116"/>
    </row>
    <row r="79" spans="1:1" x14ac:dyDescent="0.3">
      <c r="A79" s="116"/>
    </row>
    <row r="80" spans="1:1" x14ac:dyDescent="0.3">
      <c r="A80" s="116"/>
    </row>
    <row r="81" spans="1:1" x14ac:dyDescent="0.3">
      <c r="A81" s="116"/>
    </row>
    <row r="82" spans="1:1" x14ac:dyDescent="0.3">
      <c r="A82" s="116"/>
    </row>
    <row r="83" spans="1:1" x14ac:dyDescent="0.3">
      <c r="A83" s="116"/>
    </row>
    <row r="84" spans="1:1" x14ac:dyDescent="0.3">
      <c r="A84" s="116"/>
    </row>
    <row r="85" spans="1:1" x14ac:dyDescent="0.3">
      <c r="A85" s="116"/>
    </row>
    <row r="86" spans="1:1" x14ac:dyDescent="0.3">
      <c r="A86" s="116"/>
    </row>
    <row r="87" spans="1:1" x14ac:dyDescent="0.3">
      <c r="A87" s="116"/>
    </row>
    <row r="88" spans="1:1" x14ac:dyDescent="0.3">
      <c r="A88" s="116"/>
    </row>
    <row r="89" spans="1:1" x14ac:dyDescent="0.3">
      <c r="A89" s="116"/>
    </row>
    <row r="90" spans="1:1" x14ac:dyDescent="0.3">
      <c r="A90" s="116"/>
    </row>
    <row r="91" spans="1:1" x14ac:dyDescent="0.3">
      <c r="A91" s="116"/>
    </row>
    <row r="92" spans="1:1" x14ac:dyDescent="0.3">
      <c r="A92" s="116"/>
    </row>
    <row r="93" spans="1:1" x14ac:dyDescent="0.3">
      <c r="A93" s="116"/>
    </row>
    <row r="94" spans="1:1" x14ac:dyDescent="0.3">
      <c r="A94" s="116"/>
    </row>
    <row r="95" spans="1:1" x14ac:dyDescent="0.3">
      <c r="A95" s="116"/>
    </row>
    <row r="96" spans="1:1" x14ac:dyDescent="0.3">
      <c r="A96" s="116"/>
    </row>
    <row r="97" spans="1:1" x14ac:dyDescent="0.3">
      <c r="A97" s="116"/>
    </row>
    <row r="98" spans="1:1" x14ac:dyDescent="0.3">
      <c r="A98" s="116"/>
    </row>
    <row r="99" spans="1:1" x14ac:dyDescent="0.3">
      <c r="A99" s="116"/>
    </row>
    <row r="100" spans="1:1" x14ac:dyDescent="0.3">
      <c r="A100" s="116"/>
    </row>
    <row r="101" spans="1:1" x14ac:dyDescent="0.3">
      <c r="A101" s="116"/>
    </row>
    <row r="102" spans="1:1" x14ac:dyDescent="0.3">
      <c r="A102" s="116"/>
    </row>
    <row r="103" spans="1:1" x14ac:dyDescent="0.3">
      <c r="A103" s="116"/>
    </row>
    <row r="104" spans="1:1" x14ac:dyDescent="0.3">
      <c r="A104" s="116"/>
    </row>
    <row r="105" spans="1:1" x14ac:dyDescent="0.3">
      <c r="A105" s="116"/>
    </row>
    <row r="106" spans="1:1" x14ac:dyDescent="0.3">
      <c r="A106" s="116"/>
    </row>
    <row r="107" spans="1:1" x14ac:dyDescent="0.3">
      <c r="A107" s="116"/>
    </row>
    <row r="108" spans="1:1" x14ac:dyDescent="0.3">
      <c r="A108" s="116"/>
    </row>
    <row r="109" spans="1:1" x14ac:dyDescent="0.3">
      <c r="A109" s="116"/>
    </row>
    <row r="110" spans="1:1" x14ac:dyDescent="0.3">
      <c r="A110" s="116"/>
    </row>
    <row r="111" spans="1:1" x14ac:dyDescent="0.3">
      <c r="A111" s="116"/>
    </row>
    <row r="112" spans="1:1" x14ac:dyDescent="0.3">
      <c r="A112" s="116"/>
    </row>
    <row r="113" spans="1:1" x14ac:dyDescent="0.3">
      <c r="A113" s="116"/>
    </row>
    <row r="114" spans="1:1" x14ac:dyDescent="0.3">
      <c r="A114" s="116"/>
    </row>
    <row r="115" spans="1:1" x14ac:dyDescent="0.3">
      <c r="A115" s="116"/>
    </row>
    <row r="116" spans="1:1" x14ac:dyDescent="0.3">
      <c r="A116" s="116"/>
    </row>
    <row r="117" spans="1:1" x14ac:dyDescent="0.3">
      <c r="A117" s="116"/>
    </row>
    <row r="118" spans="1:1" x14ac:dyDescent="0.3">
      <c r="A118" s="116"/>
    </row>
    <row r="119" spans="1:1" x14ac:dyDescent="0.3">
      <c r="A119" s="116"/>
    </row>
    <row r="120" spans="1:1" x14ac:dyDescent="0.3">
      <c r="A120" s="116"/>
    </row>
    <row r="121" spans="1:1" x14ac:dyDescent="0.3">
      <c r="A121" s="116"/>
    </row>
    <row r="122" spans="1:1" x14ac:dyDescent="0.3">
      <c r="A122" s="116"/>
    </row>
    <row r="123" spans="1:1" x14ac:dyDescent="0.3">
      <c r="A123" s="116"/>
    </row>
    <row r="124" spans="1:1" x14ac:dyDescent="0.3">
      <c r="A124" s="116"/>
    </row>
    <row r="125" spans="1:1" x14ac:dyDescent="0.3">
      <c r="A125" s="116"/>
    </row>
    <row r="126" spans="1:1" x14ac:dyDescent="0.3">
      <c r="A126" s="116"/>
    </row>
    <row r="127" spans="1:1" x14ac:dyDescent="0.3">
      <c r="A127" s="116"/>
    </row>
    <row r="128" spans="1:1" x14ac:dyDescent="0.3">
      <c r="A128" s="116"/>
    </row>
    <row r="129" spans="1:1" x14ac:dyDescent="0.3">
      <c r="A129" s="116"/>
    </row>
    <row r="130" spans="1:1" x14ac:dyDescent="0.3">
      <c r="A130" s="116"/>
    </row>
    <row r="131" spans="1:1" x14ac:dyDescent="0.3">
      <c r="A131" s="116"/>
    </row>
    <row r="132" spans="1:1" x14ac:dyDescent="0.3">
      <c r="A132" s="116"/>
    </row>
    <row r="133" spans="1:1" x14ac:dyDescent="0.3">
      <c r="A133" s="116"/>
    </row>
    <row r="134" spans="1:1" x14ac:dyDescent="0.3">
      <c r="A134" s="116"/>
    </row>
    <row r="135" spans="1:1" x14ac:dyDescent="0.3">
      <c r="A135" s="116"/>
    </row>
    <row r="136" spans="1:1" x14ac:dyDescent="0.3">
      <c r="A136" s="116"/>
    </row>
    <row r="137" spans="1:1" x14ac:dyDescent="0.3">
      <c r="A137" s="116"/>
    </row>
    <row r="138" spans="1:1" x14ac:dyDescent="0.3">
      <c r="A138" s="116"/>
    </row>
    <row r="139" spans="1:1" x14ac:dyDescent="0.3">
      <c r="A139" s="116"/>
    </row>
    <row r="140" spans="1:1" x14ac:dyDescent="0.3">
      <c r="A140" s="116"/>
    </row>
    <row r="141" spans="1:1" x14ac:dyDescent="0.3">
      <c r="A141" s="116"/>
    </row>
    <row r="142" spans="1:1" x14ac:dyDescent="0.3">
      <c r="A142" s="116"/>
    </row>
    <row r="143" spans="1:1" x14ac:dyDescent="0.3">
      <c r="A143" s="116"/>
    </row>
    <row r="144" spans="1:1" x14ac:dyDescent="0.3">
      <c r="A144" s="116"/>
    </row>
    <row r="145" spans="1:1" x14ac:dyDescent="0.3">
      <c r="A145" s="116"/>
    </row>
    <row r="146" spans="1:1" x14ac:dyDescent="0.3">
      <c r="A146" s="116"/>
    </row>
    <row r="147" spans="1:1" x14ac:dyDescent="0.3">
      <c r="A147" s="116"/>
    </row>
    <row r="148" spans="1:1" x14ac:dyDescent="0.3">
      <c r="A148" s="116"/>
    </row>
    <row r="149" spans="1:1" x14ac:dyDescent="0.3">
      <c r="A149" s="116"/>
    </row>
    <row r="150" spans="1:1" x14ac:dyDescent="0.3">
      <c r="A150" s="116"/>
    </row>
    <row r="151" spans="1:1" x14ac:dyDescent="0.3">
      <c r="A151" s="116"/>
    </row>
    <row r="152" spans="1:1" x14ac:dyDescent="0.3">
      <c r="A152" s="116"/>
    </row>
    <row r="153" spans="1:1" x14ac:dyDescent="0.3">
      <c r="A153" s="116"/>
    </row>
    <row r="154" spans="1:1" x14ac:dyDescent="0.3">
      <c r="A154" s="116"/>
    </row>
    <row r="155" spans="1:1" x14ac:dyDescent="0.3">
      <c r="A155" s="116"/>
    </row>
    <row r="156" spans="1:1" x14ac:dyDescent="0.3">
      <c r="A156" s="116"/>
    </row>
    <row r="157" spans="1:1" x14ac:dyDescent="0.3">
      <c r="A157" s="116"/>
    </row>
    <row r="158" spans="1:1" x14ac:dyDescent="0.3">
      <c r="A158" s="116"/>
    </row>
    <row r="159" spans="1:1" x14ac:dyDescent="0.3">
      <c r="A159" s="116"/>
    </row>
    <row r="160" spans="1:1" x14ac:dyDescent="0.3">
      <c r="A160" s="116"/>
    </row>
    <row r="161" spans="1:1" x14ac:dyDescent="0.3">
      <c r="A161" s="116"/>
    </row>
    <row r="162" spans="1:1" x14ac:dyDescent="0.3">
      <c r="A162" s="116"/>
    </row>
    <row r="163" spans="1:1" x14ac:dyDescent="0.3">
      <c r="A163" s="116"/>
    </row>
    <row r="164" spans="1:1" x14ac:dyDescent="0.3">
      <c r="A164" s="116"/>
    </row>
    <row r="165" spans="1:1" x14ac:dyDescent="0.3">
      <c r="A165" s="116"/>
    </row>
    <row r="166" spans="1:1" x14ac:dyDescent="0.3">
      <c r="A166" s="116"/>
    </row>
    <row r="167" spans="1:1" x14ac:dyDescent="0.3">
      <c r="A167" s="116"/>
    </row>
    <row r="168" spans="1:1" x14ac:dyDescent="0.3">
      <c r="A168" s="116"/>
    </row>
    <row r="169" spans="1:1" x14ac:dyDescent="0.3">
      <c r="A169" s="116"/>
    </row>
    <row r="170" spans="1:1" x14ac:dyDescent="0.3">
      <c r="A170" s="116"/>
    </row>
    <row r="171" spans="1:1" x14ac:dyDescent="0.3">
      <c r="A171" s="116"/>
    </row>
    <row r="172" spans="1:1" x14ac:dyDescent="0.3">
      <c r="A172" s="116"/>
    </row>
    <row r="173" spans="1:1" x14ac:dyDescent="0.3">
      <c r="A173" s="116"/>
    </row>
    <row r="174" spans="1:1" x14ac:dyDescent="0.3">
      <c r="A174" s="116"/>
    </row>
    <row r="175" spans="1:1" x14ac:dyDescent="0.3">
      <c r="A175" s="116"/>
    </row>
    <row r="176" spans="1:1" x14ac:dyDescent="0.3">
      <c r="A176" s="116"/>
    </row>
    <row r="177" spans="1:1" x14ac:dyDescent="0.3">
      <c r="A177" s="116"/>
    </row>
    <row r="178" spans="1:1" x14ac:dyDescent="0.3">
      <c r="A178" s="116"/>
    </row>
    <row r="179" spans="1:1" x14ac:dyDescent="0.3">
      <c r="A179" s="116"/>
    </row>
    <row r="180" spans="1:1" x14ac:dyDescent="0.3">
      <c r="A180" s="116"/>
    </row>
    <row r="181" spans="1:1" x14ac:dyDescent="0.3">
      <c r="A181" s="116"/>
    </row>
    <row r="182" spans="1:1" x14ac:dyDescent="0.3">
      <c r="A182" s="116"/>
    </row>
    <row r="183" spans="1:1" x14ac:dyDescent="0.3">
      <c r="A183" s="116"/>
    </row>
    <row r="184" spans="1:1" x14ac:dyDescent="0.3">
      <c r="A184" s="116"/>
    </row>
    <row r="185" spans="1:1" x14ac:dyDescent="0.3">
      <c r="A185" s="116"/>
    </row>
    <row r="186" spans="1:1" x14ac:dyDescent="0.3">
      <c r="A186" s="116"/>
    </row>
    <row r="187" spans="1:1" x14ac:dyDescent="0.3">
      <c r="A187" s="116"/>
    </row>
    <row r="188" spans="1:1" x14ac:dyDescent="0.3">
      <c r="A188" s="116"/>
    </row>
    <row r="189" spans="1:1" x14ac:dyDescent="0.3">
      <c r="A189" s="116"/>
    </row>
    <row r="190" spans="1:1" x14ac:dyDescent="0.3">
      <c r="A190" s="116"/>
    </row>
    <row r="191" spans="1:1" x14ac:dyDescent="0.3">
      <c r="A191" s="116"/>
    </row>
    <row r="192" spans="1:1" x14ac:dyDescent="0.3">
      <c r="A192" s="116"/>
    </row>
    <row r="193" spans="1:1" x14ac:dyDescent="0.3">
      <c r="A193" s="116"/>
    </row>
    <row r="194" spans="1:1" x14ac:dyDescent="0.3">
      <c r="A194" s="116"/>
    </row>
    <row r="195" spans="1:1" x14ac:dyDescent="0.3">
      <c r="A195" s="116"/>
    </row>
    <row r="196" spans="1:1" x14ac:dyDescent="0.3">
      <c r="A196" s="116"/>
    </row>
    <row r="197" spans="1:1" x14ac:dyDescent="0.3">
      <c r="A197" s="116"/>
    </row>
    <row r="198" spans="1:1" x14ac:dyDescent="0.3">
      <c r="A198" s="116"/>
    </row>
    <row r="199" spans="1:1" x14ac:dyDescent="0.3">
      <c r="A199" s="116"/>
    </row>
    <row r="200" spans="1:1" x14ac:dyDescent="0.3">
      <c r="A200" s="116"/>
    </row>
    <row r="201" spans="1:1" x14ac:dyDescent="0.3">
      <c r="A201" s="116"/>
    </row>
    <row r="202" spans="1:1" x14ac:dyDescent="0.3">
      <c r="A202" s="116"/>
    </row>
    <row r="203" spans="1:1" x14ac:dyDescent="0.3">
      <c r="A203" s="116"/>
    </row>
    <row r="204" spans="1:1" x14ac:dyDescent="0.3">
      <c r="A204" s="116"/>
    </row>
    <row r="205" spans="1:1" x14ac:dyDescent="0.3">
      <c r="A205" s="116"/>
    </row>
    <row r="206" spans="1:1" x14ac:dyDescent="0.3">
      <c r="A206" s="116"/>
    </row>
    <row r="207" spans="1:1" x14ac:dyDescent="0.3">
      <c r="A207" s="116"/>
    </row>
    <row r="208" spans="1:1" x14ac:dyDescent="0.3">
      <c r="A208" s="116"/>
    </row>
    <row r="209" spans="1:1" x14ac:dyDescent="0.3">
      <c r="A209" s="116"/>
    </row>
    <row r="210" spans="1:1" x14ac:dyDescent="0.3">
      <c r="A210" s="116"/>
    </row>
    <row r="211" spans="1:1" x14ac:dyDescent="0.3">
      <c r="A211" s="116"/>
    </row>
    <row r="212" spans="1:1" x14ac:dyDescent="0.3">
      <c r="A212" s="116"/>
    </row>
    <row r="213" spans="1:1" x14ac:dyDescent="0.3">
      <c r="A213" s="116"/>
    </row>
    <row r="214" spans="1:1" x14ac:dyDescent="0.3">
      <c r="A214" s="116"/>
    </row>
    <row r="215" spans="1:1" x14ac:dyDescent="0.3">
      <c r="A215" s="116"/>
    </row>
    <row r="216" spans="1:1" x14ac:dyDescent="0.3">
      <c r="A216" s="116"/>
    </row>
    <row r="217" spans="1:1" x14ac:dyDescent="0.3">
      <c r="A217" s="116"/>
    </row>
    <row r="218" spans="1:1" x14ac:dyDescent="0.3">
      <c r="A218" s="116"/>
    </row>
    <row r="219" spans="1:1" x14ac:dyDescent="0.3">
      <c r="A219" s="116"/>
    </row>
    <row r="220" spans="1:1" x14ac:dyDescent="0.3">
      <c r="A220" s="116"/>
    </row>
    <row r="221" spans="1:1" x14ac:dyDescent="0.3">
      <c r="A221" s="116"/>
    </row>
    <row r="222" spans="1:1" x14ac:dyDescent="0.3">
      <c r="A222" s="116"/>
    </row>
    <row r="223" spans="1:1" x14ac:dyDescent="0.3">
      <c r="A223" s="116"/>
    </row>
    <row r="224" spans="1:1" x14ac:dyDescent="0.3">
      <c r="A224" s="116"/>
    </row>
    <row r="225" spans="1:1" x14ac:dyDescent="0.3">
      <c r="A225" s="116"/>
    </row>
    <row r="226" spans="1:1" x14ac:dyDescent="0.3">
      <c r="A226" s="116"/>
    </row>
    <row r="227" spans="1:1" x14ac:dyDescent="0.3">
      <c r="A227" s="116"/>
    </row>
    <row r="228" spans="1:1" x14ac:dyDescent="0.3">
      <c r="A228" s="116"/>
    </row>
    <row r="229" spans="1:1" x14ac:dyDescent="0.3">
      <c r="A229" s="116"/>
    </row>
    <row r="230" spans="1:1" x14ac:dyDescent="0.3">
      <c r="A230" s="116"/>
    </row>
    <row r="231" spans="1:1" x14ac:dyDescent="0.3">
      <c r="A231" s="116"/>
    </row>
    <row r="232" spans="1:1" x14ac:dyDescent="0.3">
      <c r="A232" s="116"/>
    </row>
    <row r="233" spans="1:1" x14ac:dyDescent="0.3">
      <c r="A233" s="116"/>
    </row>
    <row r="234" spans="1:1" x14ac:dyDescent="0.3">
      <c r="A234" s="116"/>
    </row>
    <row r="235" spans="1:1" x14ac:dyDescent="0.3">
      <c r="A235" s="116"/>
    </row>
    <row r="236" spans="1:1" x14ac:dyDescent="0.3">
      <c r="A236" s="116"/>
    </row>
    <row r="237" spans="1:1" x14ac:dyDescent="0.3">
      <c r="A237" s="116"/>
    </row>
    <row r="238" spans="1:1" x14ac:dyDescent="0.3">
      <c r="A238" s="116"/>
    </row>
    <row r="239" spans="1:1" x14ac:dyDescent="0.3">
      <c r="A239" s="116"/>
    </row>
    <row r="240" spans="1:1" x14ac:dyDescent="0.3">
      <c r="A240" s="116"/>
    </row>
    <row r="241" spans="1:1" x14ac:dyDescent="0.3">
      <c r="A241" s="116"/>
    </row>
    <row r="242" spans="1:1" x14ac:dyDescent="0.3">
      <c r="A242" s="116"/>
    </row>
    <row r="243" spans="1:1" x14ac:dyDescent="0.3">
      <c r="A243" s="116"/>
    </row>
    <row r="244" spans="1:1" x14ac:dyDescent="0.3">
      <c r="A244" s="116"/>
    </row>
    <row r="245" spans="1:1" x14ac:dyDescent="0.3">
      <c r="A245" s="116"/>
    </row>
    <row r="246" spans="1:1" x14ac:dyDescent="0.3">
      <c r="A246" s="116"/>
    </row>
    <row r="247" spans="1:1" x14ac:dyDescent="0.3">
      <c r="A247" s="116"/>
    </row>
    <row r="248" spans="1:1" x14ac:dyDescent="0.3">
      <c r="A248" s="116"/>
    </row>
    <row r="249" spans="1:1" x14ac:dyDescent="0.3">
      <c r="A249" s="116"/>
    </row>
    <row r="250" spans="1:1" x14ac:dyDescent="0.3">
      <c r="A250" s="116"/>
    </row>
    <row r="251" spans="1:1" x14ac:dyDescent="0.3">
      <c r="A251" s="116"/>
    </row>
    <row r="252" spans="1:1" x14ac:dyDescent="0.3">
      <c r="A252" s="116"/>
    </row>
    <row r="253" spans="1:1" x14ac:dyDescent="0.3">
      <c r="A253" s="116"/>
    </row>
    <row r="254" spans="1:1" x14ac:dyDescent="0.3">
      <c r="A254" s="116"/>
    </row>
    <row r="255" spans="1:1" x14ac:dyDescent="0.3">
      <c r="A255" s="116"/>
    </row>
    <row r="256" spans="1:1" x14ac:dyDescent="0.3">
      <c r="A256" s="116"/>
    </row>
    <row r="257" spans="1:1" x14ac:dyDescent="0.3">
      <c r="A257" s="116"/>
    </row>
    <row r="258" spans="1:1" x14ac:dyDescent="0.3">
      <c r="A258" s="116"/>
    </row>
    <row r="259" spans="1:1" x14ac:dyDescent="0.3">
      <c r="A259" s="116"/>
    </row>
    <row r="260" spans="1:1" x14ac:dyDescent="0.3">
      <c r="A260" s="116"/>
    </row>
    <row r="261" spans="1:1" x14ac:dyDescent="0.3">
      <c r="A261" s="116"/>
    </row>
    <row r="262" spans="1:1" x14ac:dyDescent="0.3">
      <c r="A262" s="116"/>
    </row>
    <row r="263" spans="1:1" x14ac:dyDescent="0.3">
      <c r="A263" s="116"/>
    </row>
    <row r="264" spans="1:1" x14ac:dyDescent="0.3">
      <c r="A264" s="116"/>
    </row>
    <row r="265" spans="1:1" x14ac:dyDescent="0.3">
      <c r="A265" s="116"/>
    </row>
    <row r="266" spans="1:1" x14ac:dyDescent="0.3">
      <c r="A266" s="116"/>
    </row>
    <row r="267" spans="1:1" x14ac:dyDescent="0.3">
      <c r="A267" s="116"/>
    </row>
    <row r="268" spans="1:1" x14ac:dyDescent="0.3">
      <c r="A268" s="116"/>
    </row>
    <row r="269" spans="1:1" x14ac:dyDescent="0.3">
      <c r="A269" s="116"/>
    </row>
    <row r="270" spans="1:1" x14ac:dyDescent="0.3">
      <c r="A270" s="116"/>
    </row>
    <row r="271" spans="1:1" x14ac:dyDescent="0.3">
      <c r="A271" s="116"/>
    </row>
    <row r="272" spans="1:1" x14ac:dyDescent="0.3">
      <c r="A272" s="116"/>
    </row>
    <row r="273" spans="1:1" x14ac:dyDescent="0.3">
      <c r="A273" s="116"/>
    </row>
    <row r="274" spans="1:1" x14ac:dyDescent="0.3">
      <c r="A274" s="116"/>
    </row>
    <row r="275" spans="1:1" x14ac:dyDescent="0.3">
      <c r="A275" s="116"/>
    </row>
    <row r="276" spans="1:1" x14ac:dyDescent="0.3">
      <c r="A276" s="116"/>
    </row>
    <row r="277" spans="1:1" x14ac:dyDescent="0.3">
      <c r="A277" s="116"/>
    </row>
    <row r="278" spans="1:1" x14ac:dyDescent="0.3">
      <c r="A278" s="116"/>
    </row>
    <row r="279" spans="1:1" x14ac:dyDescent="0.3">
      <c r="A279" s="116"/>
    </row>
    <row r="280" spans="1:1" x14ac:dyDescent="0.3">
      <c r="A280" s="116"/>
    </row>
    <row r="281" spans="1:1" x14ac:dyDescent="0.3">
      <c r="A281" s="116"/>
    </row>
    <row r="282" spans="1:1" x14ac:dyDescent="0.3">
      <c r="A282" s="116"/>
    </row>
    <row r="283" spans="1:1" x14ac:dyDescent="0.3">
      <c r="A283" s="116"/>
    </row>
    <row r="284" spans="1:1" x14ac:dyDescent="0.3">
      <c r="A284" s="116"/>
    </row>
    <row r="285" spans="1:1" x14ac:dyDescent="0.3">
      <c r="A285" s="116"/>
    </row>
    <row r="286" spans="1:1" x14ac:dyDescent="0.3">
      <c r="A286" s="116"/>
    </row>
    <row r="287" spans="1:1" x14ac:dyDescent="0.3">
      <c r="A287" s="116"/>
    </row>
    <row r="288" spans="1:1" x14ac:dyDescent="0.3">
      <c r="A288" s="116"/>
    </row>
    <row r="289" spans="1:1" x14ac:dyDescent="0.3">
      <c r="A289" s="116"/>
    </row>
    <row r="290" spans="1:1" x14ac:dyDescent="0.3">
      <c r="A290" s="116"/>
    </row>
    <row r="291" spans="1:1" x14ac:dyDescent="0.3">
      <c r="A291" s="116"/>
    </row>
    <row r="292" spans="1:1" x14ac:dyDescent="0.3">
      <c r="A292" s="116"/>
    </row>
    <row r="293" spans="1:1" x14ac:dyDescent="0.3">
      <c r="A293" s="116"/>
    </row>
    <row r="294" spans="1:1" x14ac:dyDescent="0.3">
      <c r="A294" s="116"/>
    </row>
    <row r="295" spans="1:1" x14ac:dyDescent="0.3">
      <c r="A295" s="116"/>
    </row>
    <row r="296" spans="1:1" x14ac:dyDescent="0.3">
      <c r="A296" s="116"/>
    </row>
    <row r="297" spans="1:1" x14ac:dyDescent="0.3">
      <c r="A297" s="116"/>
    </row>
    <row r="298" spans="1:1" x14ac:dyDescent="0.3">
      <c r="A298" s="116"/>
    </row>
    <row r="299" spans="1:1" x14ac:dyDescent="0.3">
      <c r="A299" s="116"/>
    </row>
    <row r="300" spans="1:1" x14ac:dyDescent="0.3">
      <c r="A300" s="116"/>
    </row>
    <row r="301" spans="1:1" x14ac:dyDescent="0.3">
      <c r="A301" s="116"/>
    </row>
    <row r="302" spans="1:1" x14ac:dyDescent="0.3">
      <c r="A302" s="116"/>
    </row>
    <row r="303" spans="1:1" x14ac:dyDescent="0.3">
      <c r="A303" s="116"/>
    </row>
    <row r="304" spans="1:1" x14ac:dyDescent="0.3">
      <c r="A304" s="116"/>
    </row>
    <row r="305" spans="1:1" x14ac:dyDescent="0.3">
      <c r="A305" s="116"/>
    </row>
    <row r="306" spans="1:1" x14ac:dyDescent="0.3">
      <c r="A306" s="116"/>
    </row>
    <row r="307" spans="1:1" x14ac:dyDescent="0.3">
      <c r="A307" s="116"/>
    </row>
    <row r="308" spans="1:1" x14ac:dyDescent="0.3">
      <c r="A308" s="116"/>
    </row>
    <row r="309" spans="1:1" x14ac:dyDescent="0.3">
      <c r="A309" s="116"/>
    </row>
    <row r="310" spans="1:1" x14ac:dyDescent="0.3">
      <c r="A310" s="1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84"/>
  <sheetViews>
    <sheetView topLeftCell="C1" zoomScale="70" zoomScaleNormal="70" workbookViewId="0">
      <selection activeCell="P21" sqref="P21"/>
    </sheetView>
  </sheetViews>
  <sheetFormatPr defaultRowHeight="14.4" x14ac:dyDescent="0.3"/>
  <cols>
    <col min="1" max="1" width="3.33203125" style="14" customWidth="1"/>
    <col min="2" max="2" width="14.6640625" customWidth="1"/>
    <col min="3" max="3" width="14.6640625" style="14" customWidth="1"/>
    <col min="4" max="4" width="16.44140625" customWidth="1"/>
    <col min="5" max="5" width="16.88671875" customWidth="1"/>
    <col min="6" max="6" width="12.44140625" customWidth="1"/>
    <col min="7" max="7" width="12.5546875" customWidth="1"/>
    <col min="8" max="8" width="12.5546875" style="21" customWidth="1"/>
    <col min="9" max="9" width="15" customWidth="1"/>
    <col min="10" max="10" width="12.88671875" customWidth="1"/>
    <col min="11" max="11" width="3.5546875" customWidth="1"/>
    <col min="12" max="12" width="3.88671875" customWidth="1"/>
    <col min="13" max="13" width="3.109375" customWidth="1"/>
    <col min="14" max="14" width="3.33203125" customWidth="1"/>
    <col min="16" max="16" width="14" customWidth="1"/>
    <col min="18" max="18" width="13.6640625" customWidth="1"/>
    <col min="24" max="26" width="9.109375" style="14"/>
    <col min="30" max="30" width="21" customWidth="1"/>
    <col min="31" max="31" width="18.109375" bestFit="1" customWidth="1"/>
    <col min="32" max="32" width="11.33203125" customWidth="1"/>
    <col min="33" max="33" width="11.109375" customWidth="1"/>
    <col min="34" max="34" width="6" bestFit="1" customWidth="1"/>
    <col min="35" max="35" width="5.6640625" bestFit="1" customWidth="1"/>
    <col min="36" max="36" width="7.44140625" customWidth="1"/>
    <col min="37" max="37" width="4" bestFit="1" customWidth="1"/>
  </cols>
  <sheetData>
    <row r="1" spans="1:16" x14ac:dyDescent="0.3">
      <c r="A1" s="116"/>
      <c r="B1" s="15" t="s">
        <v>636</v>
      </c>
      <c r="C1" s="15"/>
    </row>
    <row r="2" spans="1:16" s="14" customFormat="1" x14ac:dyDescent="0.3">
      <c r="A2" s="116"/>
      <c r="B2" s="15"/>
      <c r="C2" s="15"/>
      <c r="H2" s="21"/>
    </row>
    <row r="3" spans="1:16" ht="30.75" customHeight="1" x14ac:dyDescent="0.3">
      <c r="A3" s="22"/>
      <c r="B3" s="70" t="s">
        <v>610</v>
      </c>
      <c r="C3" s="70"/>
      <c r="D3" s="70"/>
      <c r="E3" s="70"/>
      <c r="F3" s="70"/>
      <c r="G3" s="22"/>
      <c r="H3" s="140"/>
      <c r="I3" s="208"/>
      <c r="J3" s="208"/>
    </row>
    <row r="4" spans="1:16" x14ac:dyDescent="0.3">
      <c r="A4" s="216"/>
      <c r="B4" s="70"/>
      <c r="C4" s="70"/>
      <c r="D4" s="70" t="s">
        <v>608</v>
      </c>
      <c r="E4" s="70" t="s">
        <v>609</v>
      </c>
      <c r="F4" s="69" t="s">
        <v>57</v>
      </c>
      <c r="G4" s="209"/>
      <c r="H4" s="209"/>
      <c r="I4" s="210"/>
      <c r="J4" s="211"/>
    </row>
    <row r="5" spans="1:16" s="14" customFormat="1" x14ac:dyDescent="0.3">
      <c r="A5" s="216"/>
      <c r="B5" s="280" t="s">
        <v>45</v>
      </c>
      <c r="C5" s="561">
        <v>144.69999999999999</v>
      </c>
      <c r="D5" s="284"/>
      <c r="E5" s="284"/>
      <c r="F5" s="562">
        <v>5</v>
      </c>
      <c r="G5" s="209"/>
      <c r="H5" s="209"/>
      <c r="I5" s="212"/>
      <c r="J5" s="211"/>
    </row>
    <row r="6" spans="1:16" s="14" customFormat="1" x14ac:dyDescent="0.3">
      <c r="A6" s="216"/>
      <c r="B6" s="281" t="s">
        <v>585</v>
      </c>
      <c r="C6" s="561">
        <v>825.9</v>
      </c>
      <c r="D6" s="282">
        <f>C6-E6</f>
        <v>700.61298767000005</v>
      </c>
      <c r="E6" s="282">
        <v>125.28701232999994</v>
      </c>
      <c r="F6" s="562">
        <v>45</v>
      </c>
      <c r="G6" s="25"/>
      <c r="H6" s="25"/>
      <c r="I6" s="213"/>
      <c r="J6" s="211"/>
    </row>
    <row r="7" spans="1:16" s="14" customFormat="1" x14ac:dyDescent="0.3">
      <c r="A7" s="216"/>
      <c r="B7" s="70" t="s">
        <v>506</v>
      </c>
      <c r="C7" s="561">
        <v>970.59999999999991</v>
      </c>
      <c r="D7" s="283"/>
      <c r="E7" s="283"/>
      <c r="F7" s="283"/>
      <c r="G7" s="25"/>
      <c r="H7" s="25"/>
      <c r="I7" s="214"/>
      <c r="J7" s="211"/>
    </row>
    <row r="8" spans="1:16" s="14" customFormat="1" x14ac:dyDescent="0.3">
      <c r="A8" s="216"/>
      <c r="G8" s="25"/>
      <c r="H8" s="25"/>
      <c r="I8" s="213"/>
      <c r="J8" s="211"/>
    </row>
    <row r="9" spans="1:16" s="14" customFormat="1" x14ac:dyDescent="0.3">
      <c r="A9" s="216"/>
      <c r="G9" s="25"/>
      <c r="H9" s="25"/>
      <c r="I9" s="213"/>
      <c r="J9" s="211"/>
    </row>
    <row r="10" spans="1:16" s="14" customFormat="1" x14ac:dyDescent="0.3">
      <c r="A10" s="216"/>
      <c r="G10" s="25"/>
      <c r="H10" s="25"/>
      <c r="I10" s="214"/>
      <c r="J10" s="211"/>
    </row>
    <row r="11" spans="1:16" s="14" customFormat="1" x14ac:dyDescent="0.3">
      <c r="A11" s="216"/>
      <c r="G11" s="25"/>
      <c r="H11" s="25"/>
      <c r="I11" s="213"/>
      <c r="J11" s="211"/>
    </row>
    <row r="12" spans="1:16" s="14" customFormat="1" x14ac:dyDescent="0.3">
      <c r="A12" s="216"/>
      <c r="B12" s="313"/>
      <c r="C12" s="314"/>
      <c r="D12" s="285" t="s">
        <v>64</v>
      </c>
      <c r="E12" s="285" t="s">
        <v>632</v>
      </c>
      <c r="F12" s="285" t="s">
        <v>45</v>
      </c>
      <c r="G12" s="285" t="s">
        <v>46</v>
      </c>
      <c r="H12" s="72" t="s">
        <v>56</v>
      </c>
      <c r="I12" s="72" t="s">
        <v>57</v>
      </c>
      <c r="J12" s="286" t="s">
        <v>631</v>
      </c>
    </row>
    <row r="13" spans="1:16" s="16" customFormat="1" x14ac:dyDescent="0.3">
      <c r="A13" s="216"/>
      <c r="B13" s="122"/>
      <c r="C13" s="287" t="s">
        <v>613</v>
      </c>
      <c r="D13" s="290"/>
      <c r="E13" s="290"/>
      <c r="F13" s="289">
        <f>C5-F5</f>
        <v>139.69999999999999</v>
      </c>
      <c r="G13" s="289">
        <f>D6-F6</f>
        <v>655.61298767000005</v>
      </c>
      <c r="H13" s="289">
        <f>$E$6</f>
        <v>125.28701232999994</v>
      </c>
      <c r="I13" s="289">
        <f>$F$6+$F$5</f>
        <v>50</v>
      </c>
      <c r="J13" s="415">
        <f>SUM(D13:I13)</f>
        <v>970.59999999999991</v>
      </c>
    </row>
    <row r="14" spans="1:16" s="16" customFormat="1" x14ac:dyDescent="0.3">
      <c r="A14" s="216"/>
      <c r="B14" s="122"/>
      <c r="C14" s="287" t="s">
        <v>611</v>
      </c>
      <c r="D14" s="288">
        <f>C37+I83</f>
        <v>295.61621753662359</v>
      </c>
      <c r="E14" s="416">
        <f>J14-I14-D14-H14</f>
        <v>499.69677013337639</v>
      </c>
      <c r="F14" s="290"/>
      <c r="G14" s="290"/>
      <c r="H14" s="289">
        <f>$E$6</f>
        <v>125.28701232999994</v>
      </c>
      <c r="I14" s="289">
        <f>$F$6+$F$5</f>
        <v>50</v>
      </c>
      <c r="J14" s="429">
        <f>C7</f>
        <v>970.59999999999991</v>
      </c>
      <c r="K14" s="430">
        <v>1</v>
      </c>
      <c r="L14" s="16" t="s">
        <v>782</v>
      </c>
      <c r="P14" s="417"/>
    </row>
    <row r="15" spans="1:16" x14ac:dyDescent="0.3">
      <c r="A15" s="22"/>
      <c r="B15" s="418"/>
      <c r="C15" s="419" t="s">
        <v>741</v>
      </c>
      <c r="D15" s="166">
        <f>$D$14*J15/$J$14</f>
        <v>278.40797903382202</v>
      </c>
      <c r="E15" s="416">
        <f>J15-I15-D15-H15</f>
        <v>467.69814298260809</v>
      </c>
      <c r="F15" s="290"/>
      <c r="G15" s="290"/>
      <c r="H15" s="289">
        <f>$E$6*J15/$J$14</f>
        <v>117.9938779835699</v>
      </c>
      <c r="I15" s="289">
        <f>$F$6+$F$5</f>
        <v>50</v>
      </c>
      <c r="J15" s="429">
        <v>914.1</v>
      </c>
      <c r="K15" s="430">
        <v>2</v>
      </c>
    </row>
    <row r="16" spans="1:16" s="116" customFormat="1" x14ac:dyDescent="0.3">
      <c r="A16" s="22"/>
      <c r="B16" s="418"/>
      <c r="C16" s="420"/>
      <c r="D16" s="166">
        <f>$D$14*J16/$J$14</f>
        <v>269.42314654120878</v>
      </c>
      <c r="E16" s="416">
        <f>J16-I16-D16-H16</f>
        <v>450.99089517822455</v>
      </c>
      <c r="F16" s="290"/>
      <c r="G16" s="290"/>
      <c r="H16" s="289">
        <f>$E$6*J16/$J$14</f>
        <v>114.1859582805666</v>
      </c>
      <c r="I16" s="289">
        <f>$F$6+$F$5</f>
        <v>50</v>
      </c>
      <c r="J16" s="429">
        <f>J13-86</f>
        <v>884.59999999999991</v>
      </c>
      <c r="K16" s="430">
        <v>3</v>
      </c>
      <c r="L16" s="16" t="s">
        <v>760</v>
      </c>
    </row>
    <row r="17" spans="1:39" s="116" customFormat="1" x14ac:dyDescent="0.3">
      <c r="A17" s="22"/>
      <c r="B17" s="418"/>
      <c r="C17" s="419" t="s">
        <v>745</v>
      </c>
      <c r="D17" s="563">
        <f t="shared" ref="D17:I17" ca="1" si="0">OFFSET(D$13,$K$17,0)</f>
        <v>269.42314654120878</v>
      </c>
      <c r="E17" s="563">
        <f t="shared" ca="1" si="0"/>
        <v>450.99089517822455</v>
      </c>
      <c r="F17" s="563">
        <f t="shared" ca="1" si="0"/>
        <v>0</v>
      </c>
      <c r="G17" s="563">
        <f t="shared" ca="1" si="0"/>
        <v>0</v>
      </c>
      <c r="H17" s="563">
        <f t="shared" ca="1" si="0"/>
        <v>114.1859582805666</v>
      </c>
      <c r="I17" s="563">
        <f t="shared" ca="1" si="0"/>
        <v>50</v>
      </c>
      <c r="J17" s="563">
        <f ca="1">OFFSET(J$13,$K$17,0)</f>
        <v>884.59999999999991</v>
      </c>
      <c r="K17" s="421">
        <v>3</v>
      </c>
      <c r="L17" s="315" t="s">
        <v>822</v>
      </c>
      <c r="M17" s="315"/>
      <c r="N17" s="315"/>
      <c r="O17" s="315"/>
      <c r="P17" s="315"/>
      <c r="Q17" s="315"/>
    </row>
    <row r="18" spans="1:39" s="16" customFormat="1" x14ac:dyDescent="0.3">
      <c r="A18" s="217"/>
      <c r="B18" s="65"/>
      <c r="C18" s="65"/>
      <c r="D18" s="65"/>
      <c r="E18" s="207"/>
      <c r="F18"/>
      <c r="G18"/>
      <c r="H18" s="207"/>
      <c r="I18" s="211"/>
      <c r="J18" s="214"/>
      <c r="K18" s="120" t="str">
        <f>IF(K17=1,L14,L16)</f>
        <v>WACC adjustment applied</v>
      </c>
      <c r="L18"/>
    </row>
    <row r="19" spans="1:39" s="16" customFormat="1" x14ac:dyDescent="0.3">
      <c r="A19" s="217"/>
      <c r="B19" s="65"/>
      <c r="C19" s="65"/>
      <c r="D19" s="65"/>
      <c r="E19" s="207"/>
      <c r="F19" s="207"/>
      <c r="G19" s="207"/>
      <c r="H19" s="207"/>
      <c r="I19" s="213"/>
      <c r="J19" s="211"/>
      <c r="K19" s="14"/>
      <c r="L19" s="14"/>
    </row>
    <row r="20" spans="1:39" s="16" customFormat="1" x14ac:dyDescent="0.3">
      <c r="A20" s="217"/>
      <c r="B20" s="65"/>
      <c r="C20" s="65"/>
      <c r="D20" s="65"/>
      <c r="E20" s="207"/>
      <c r="F20" s="207"/>
      <c r="G20" s="207"/>
      <c r="H20" s="207"/>
      <c r="I20" s="213"/>
      <c r="J20" s="211"/>
      <c r="K20" s="14"/>
      <c r="L20" s="14"/>
    </row>
    <row r="21" spans="1:39" ht="15" thickBot="1" x14ac:dyDescent="0.35">
      <c r="A21" s="217"/>
      <c r="B21" s="157"/>
      <c r="C21" s="157"/>
      <c r="D21" s="157"/>
      <c r="E21" s="209"/>
      <c r="F21" s="209"/>
      <c r="G21" s="209"/>
      <c r="H21" s="209"/>
      <c r="I21" s="215"/>
      <c r="J21" s="210"/>
      <c r="K21" s="16"/>
      <c r="L21" s="16"/>
    </row>
    <row r="22" spans="1:39" s="14" customFormat="1" ht="15" thickBot="1" x14ac:dyDescent="0.35">
      <c r="A22" s="217"/>
      <c r="B22" s="729" t="s">
        <v>628</v>
      </c>
      <c r="C22" s="730"/>
      <c r="D22" s="730"/>
      <c r="E22" s="730"/>
      <c r="F22" s="730"/>
      <c r="G22" s="730"/>
      <c r="H22" s="730"/>
      <c r="I22" s="731"/>
      <c r="J22" s="215"/>
      <c r="K22" s="16"/>
      <c r="L22" s="16"/>
    </row>
    <row r="23" spans="1:39" s="14" customFormat="1" x14ac:dyDescent="0.3">
      <c r="A23" s="217"/>
      <c r="B23" s="732" t="s">
        <v>670</v>
      </c>
      <c r="C23" s="733"/>
      <c r="D23" s="734"/>
      <c r="E23" s="22"/>
      <c r="F23" s="735" t="s">
        <v>669</v>
      </c>
      <c r="G23" s="736"/>
      <c r="H23" s="736"/>
      <c r="I23" s="737"/>
      <c r="J23" s="214"/>
    </row>
    <row r="24" spans="1:39" s="14" customFormat="1" ht="28.8" x14ac:dyDescent="0.3">
      <c r="A24" s="217"/>
      <c r="B24" s="303" t="s">
        <v>75</v>
      </c>
      <c r="C24" s="203" t="s">
        <v>634</v>
      </c>
      <c r="D24" s="304" t="s">
        <v>635</v>
      </c>
      <c r="E24" s="423" t="s">
        <v>744</v>
      </c>
      <c r="F24" s="291" t="s">
        <v>668</v>
      </c>
      <c r="G24" s="292"/>
      <c r="H24" s="292"/>
      <c r="I24" s="293"/>
      <c r="J24" s="211"/>
      <c r="V24" s="22"/>
      <c r="W24" s="22"/>
      <c r="X24" s="22"/>
      <c r="Y24" s="22"/>
      <c r="AB24" s="18"/>
      <c r="AC24" s="18"/>
      <c r="AD24" s="18"/>
      <c r="AI24" s="18"/>
      <c r="AJ24" s="18"/>
      <c r="AK24" s="18"/>
      <c r="AL24" s="18"/>
    </row>
    <row r="25" spans="1:39" s="14" customFormat="1" x14ac:dyDescent="0.3">
      <c r="A25" s="22"/>
      <c r="B25" s="305" t="s">
        <v>76</v>
      </c>
      <c r="C25" s="565">
        <v>85.33</v>
      </c>
      <c r="D25" s="727" t="s">
        <v>629</v>
      </c>
      <c r="E25" s="424">
        <f ca="1">C25*$J$17/$J$14</f>
        <v>77.769336492890986</v>
      </c>
      <c r="F25" s="294"/>
      <c r="G25" s="17" t="s">
        <v>585</v>
      </c>
      <c r="H25" s="17" t="s">
        <v>45</v>
      </c>
      <c r="I25" s="295" t="s">
        <v>506</v>
      </c>
      <c r="J25" s="65"/>
      <c r="P25" s="79"/>
      <c r="V25" s="22"/>
      <c r="W25" s="22"/>
      <c r="X25" s="41"/>
      <c r="Y25" s="424"/>
      <c r="AB25" s="18"/>
      <c r="AC25" s="18"/>
      <c r="AD25" s="18"/>
      <c r="AI25" s="18"/>
      <c r="AJ25" s="18"/>
      <c r="AK25" s="18"/>
      <c r="AL25" s="18"/>
    </row>
    <row r="26" spans="1:39" x14ac:dyDescent="0.3">
      <c r="B26" s="305" t="s">
        <v>77</v>
      </c>
      <c r="C26" s="565">
        <v>72.930555555555557</v>
      </c>
      <c r="D26" s="727"/>
      <c r="E26" s="424">
        <f t="shared" ref="E26:E35" ca="1" si="1">C26*$J$17/$J$14</f>
        <v>66.468544657371154</v>
      </c>
      <c r="F26" s="296"/>
      <c r="G26" s="52" t="s">
        <v>584</v>
      </c>
      <c r="H26" s="52" t="s">
        <v>584</v>
      </c>
      <c r="I26" s="297" t="s">
        <v>584</v>
      </c>
      <c r="V26" s="22"/>
      <c r="W26" s="22"/>
      <c r="X26" s="41"/>
      <c r="Y26" s="424"/>
      <c r="AB26" s="18"/>
      <c r="AC26" s="18"/>
      <c r="AD26" s="18"/>
      <c r="AI26" s="18"/>
      <c r="AJ26" s="22"/>
      <c r="AK26" s="22"/>
      <c r="AL26" s="18"/>
    </row>
    <row r="27" spans="1:39" x14ac:dyDescent="0.3">
      <c r="B27" s="305" t="s">
        <v>78</v>
      </c>
      <c r="C27" s="565">
        <v>45.069444444444443</v>
      </c>
      <c r="D27" s="727"/>
      <c r="E27" s="424">
        <f t="shared" ca="1" si="1"/>
        <v>41.07606692309453</v>
      </c>
      <c r="F27" s="298" t="s">
        <v>0</v>
      </c>
      <c r="G27" s="567">
        <v>0.18837160933055502</v>
      </c>
      <c r="H27" s="567">
        <v>0</v>
      </c>
      <c r="I27" s="568">
        <v>0.18837160933055502</v>
      </c>
      <c r="J27" s="14"/>
      <c r="V27" s="22"/>
      <c r="W27" s="22"/>
      <c r="X27" s="41"/>
      <c r="Y27" s="424"/>
      <c r="AB27" s="18"/>
      <c r="AC27" s="18"/>
      <c r="AD27" s="53"/>
      <c r="AI27" s="54"/>
      <c r="AJ27" s="54"/>
      <c r="AK27" s="54"/>
      <c r="AL27" s="18"/>
    </row>
    <row r="28" spans="1:39" x14ac:dyDescent="0.3">
      <c r="B28" s="305" t="s">
        <v>79</v>
      </c>
      <c r="C28" s="565">
        <v>39.150000000000006</v>
      </c>
      <c r="D28" s="727"/>
      <c r="E28" s="424">
        <f t="shared" ca="1" si="1"/>
        <v>35.681114774366378</v>
      </c>
      <c r="F28" s="298" t="s">
        <v>1</v>
      </c>
      <c r="G28" s="567">
        <v>0</v>
      </c>
      <c r="H28" s="567">
        <v>0</v>
      </c>
      <c r="I28" s="568">
        <v>0</v>
      </c>
      <c r="V28" s="22"/>
      <c r="W28" s="22"/>
      <c r="X28" s="41"/>
      <c r="Y28" s="424"/>
      <c r="AA28" s="14"/>
      <c r="AC28" s="18"/>
      <c r="AD28" s="18"/>
      <c r="AI28" s="54"/>
      <c r="AJ28" s="54"/>
      <c r="AK28" s="54"/>
      <c r="AL28" s="54"/>
      <c r="AM28" s="18"/>
    </row>
    <row r="29" spans="1:39" s="116" customFormat="1" x14ac:dyDescent="0.3">
      <c r="B29" s="305" t="s">
        <v>80</v>
      </c>
      <c r="C29" s="565">
        <v>4.16</v>
      </c>
      <c r="D29" s="727"/>
      <c r="E29" s="424">
        <f t="shared" ca="1" si="1"/>
        <v>3.7914032557181128</v>
      </c>
      <c r="F29" s="298" t="s">
        <v>2</v>
      </c>
      <c r="G29" s="567">
        <v>0</v>
      </c>
      <c r="H29" s="567">
        <v>0</v>
      </c>
      <c r="I29" s="568">
        <v>0</v>
      </c>
      <c r="V29" s="22"/>
      <c r="W29" s="22"/>
      <c r="X29" s="41"/>
      <c r="Y29" s="424"/>
      <c r="AC29" s="18"/>
      <c r="AD29" s="18"/>
      <c r="AI29" s="54"/>
      <c r="AJ29" s="54"/>
      <c r="AK29" s="54"/>
      <c r="AL29" s="54"/>
      <c r="AM29" s="18"/>
    </row>
    <row r="30" spans="1:39" x14ac:dyDescent="0.3">
      <c r="B30" s="305" t="s">
        <v>81</v>
      </c>
      <c r="C30" s="565">
        <v>14.840000000000002</v>
      </c>
      <c r="D30" s="727"/>
      <c r="E30" s="424">
        <f t="shared" ca="1" si="1"/>
        <v>13.525101998763652</v>
      </c>
      <c r="F30" s="298" t="s">
        <v>68</v>
      </c>
      <c r="G30" s="567">
        <v>5.6305752824913832E-3</v>
      </c>
      <c r="H30" s="567">
        <v>6.1355987184661355E-3</v>
      </c>
      <c r="I30" s="568">
        <v>1.176617400095752E-2</v>
      </c>
      <c r="V30" s="22"/>
      <c r="W30" s="22"/>
      <c r="X30" s="41"/>
      <c r="Y30" s="424"/>
      <c r="AA30" s="14"/>
      <c r="AC30" s="18"/>
      <c r="AD30" s="18"/>
      <c r="AI30" s="54"/>
      <c r="AJ30" s="54"/>
      <c r="AK30" s="54"/>
      <c r="AL30" s="54"/>
      <c r="AM30" s="18"/>
    </row>
    <row r="31" spans="1:39" s="15" customFormat="1" x14ac:dyDescent="0.3">
      <c r="B31" s="306" t="s">
        <v>82</v>
      </c>
      <c r="C31" s="566">
        <v>12.01</v>
      </c>
      <c r="D31" s="728" t="s">
        <v>630</v>
      </c>
      <c r="E31" s="424">
        <f t="shared" ca="1" si="1"/>
        <v>10.945854110859262</v>
      </c>
      <c r="F31" s="298" t="s">
        <v>5</v>
      </c>
      <c r="G31" s="567">
        <v>8.5411219313289308E-2</v>
      </c>
      <c r="H31" s="567">
        <v>1.9723533681236336E-2</v>
      </c>
      <c r="I31" s="568">
        <v>0.10513475299452564</v>
      </c>
      <c r="J31" s="25"/>
      <c r="V31" s="154"/>
      <c r="W31" s="154"/>
      <c r="X31" s="22"/>
      <c r="Y31" s="424"/>
      <c r="AC31" s="19"/>
      <c r="AD31" s="19"/>
      <c r="AI31" s="182"/>
      <c r="AJ31" s="182"/>
      <c r="AK31" s="182"/>
      <c r="AL31" s="182"/>
      <c r="AM31" s="19"/>
    </row>
    <row r="32" spans="1:39" s="6" customFormat="1" x14ac:dyDescent="0.3">
      <c r="B32" s="306" t="s">
        <v>83</v>
      </c>
      <c r="C32" s="566">
        <v>5.5390379746835432</v>
      </c>
      <c r="D32" s="728"/>
      <c r="E32" s="424">
        <f t="shared" ca="1" si="1"/>
        <v>5.0482515891253481</v>
      </c>
      <c r="F32" s="298" t="s">
        <v>7</v>
      </c>
      <c r="G32" s="567">
        <v>0</v>
      </c>
      <c r="H32" s="567">
        <v>1.2922829339105896E-2</v>
      </c>
      <c r="I32" s="568">
        <v>1.2922829339105896E-2</v>
      </c>
      <c r="J32" s="206"/>
      <c r="O32" s="180"/>
      <c r="V32" s="41"/>
      <c r="W32" s="41"/>
      <c r="X32" s="22"/>
      <c r="Y32" s="424"/>
      <c r="AC32" s="35"/>
      <c r="AD32" s="35"/>
      <c r="AI32" s="181"/>
      <c r="AJ32" s="181"/>
      <c r="AK32" s="181"/>
      <c r="AL32" s="181"/>
      <c r="AM32" s="35"/>
    </row>
    <row r="33" spans="2:39" s="14" customFormat="1" x14ac:dyDescent="0.3">
      <c r="B33" s="306" t="s">
        <v>84</v>
      </c>
      <c r="C33" s="566">
        <v>3.4618987341772147</v>
      </c>
      <c r="D33" s="728"/>
      <c r="E33" s="424">
        <f t="shared" ca="1" si="1"/>
        <v>3.1551572432033423</v>
      </c>
      <c r="F33" s="298" t="s">
        <v>8</v>
      </c>
      <c r="G33" s="567">
        <v>1.0252196857017054E-2</v>
      </c>
      <c r="H33" s="567">
        <v>4.318406831182748E-2</v>
      </c>
      <c r="I33" s="568">
        <v>5.3436265168844532E-2</v>
      </c>
      <c r="J33" s="22"/>
      <c r="V33" s="22"/>
      <c r="W33" s="22"/>
      <c r="X33" s="22"/>
      <c r="Y33" s="424"/>
      <c r="AC33" s="18"/>
      <c r="AD33" s="18"/>
      <c r="AI33" s="54"/>
      <c r="AJ33" s="54"/>
      <c r="AK33" s="54"/>
      <c r="AL33" s="54"/>
      <c r="AM33" s="18"/>
    </row>
    <row r="34" spans="2:39" x14ac:dyDescent="0.3">
      <c r="B34" s="306" t="s">
        <v>85</v>
      </c>
      <c r="C34" s="566">
        <v>5.5390379746835432</v>
      </c>
      <c r="D34" s="728"/>
      <c r="E34" s="424">
        <f t="shared" ca="1" si="1"/>
        <v>5.0482515891253481</v>
      </c>
      <c r="F34" s="298" t="s">
        <v>9</v>
      </c>
      <c r="G34" s="567">
        <v>0.25116482044337163</v>
      </c>
      <c r="H34" s="567">
        <v>0</v>
      </c>
      <c r="I34" s="568">
        <v>0.25116482044337163</v>
      </c>
      <c r="J34" s="25"/>
      <c r="V34" s="22"/>
      <c r="W34" s="22"/>
      <c r="X34" s="22"/>
      <c r="Y34" s="424"/>
      <c r="AA34" s="14"/>
      <c r="AC34" s="18"/>
      <c r="AD34" s="18"/>
      <c r="AI34" s="54"/>
      <c r="AJ34" s="54"/>
      <c r="AK34" s="54"/>
      <c r="AL34" s="54"/>
      <c r="AM34" s="18"/>
    </row>
    <row r="35" spans="2:39" s="14" customFormat="1" x14ac:dyDescent="0.3">
      <c r="B35" s="306" t="s">
        <v>86</v>
      </c>
      <c r="C35" s="566">
        <v>2.0771392405063285</v>
      </c>
      <c r="D35" s="728"/>
      <c r="E35" s="424">
        <f t="shared" ca="1" si="1"/>
        <v>1.8930943459220051</v>
      </c>
      <c r="F35" s="298" t="s">
        <v>69</v>
      </c>
      <c r="G35" s="567">
        <v>0</v>
      </c>
      <c r="H35" s="567">
        <v>0</v>
      </c>
      <c r="I35" s="568">
        <v>0</v>
      </c>
      <c r="J35" s="25"/>
      <c r="V35" s="22"/>
      <c r="W35" s="22"/>
      <c r="X35" s="22"/>
      <c r="Y35" s="424"/>
      <c r="AC35" s="18"/>
      <c r="AD35" s="18"/>
      <c r="AI35" s="54"/>
      <c r="AJ35" s="54"/>
      <c r="AK35" s="54"/>
      <c r="AL35" s="54"/>
      <c r="AM35" s="18"/>
    </row>
    <row r="36" spans="2:39" x14ac:dyDescent="0.3">
      <c r="B36" s="307"/>
      <c r="C36" s="201"/>
      <c r="D36" s="308"/>
      <c r="E36" s="422"/>
      <c r="F36" s="298" t="s">
        <v>11</v>
      </c>
      <c r="G36" s="567">
        <v>0</v>
      </c>
      <c r="H36" s="567">
        <v>2.0620920501149331E-2</v>
      </c>
      <c r="I36" s="568">
        <v>2.0620920501149331E-2</v>
      </c>
      <c r="J36" s="25"/>
      <c r="V36" s="22"/>
      <c r="W36" s="22"/>
      <c r="X36" s="22"/>
      <c r="Y36" s="22"/>
      <c r="AA36" s="14"/>
      <c r="AC36" s="18"/>
      <c r="AD36" s="18"/>
      <c r="AI36" s="54"/>
      <c r="AJ36" s="54"/>
      <c r="AK36" s="54"/>
      <c r="AL36" s="54"/>
      <c r="AM36" s="18"/>
    </row>
    <row r="37" spans="2:39" x14ac:dyDescent="0.3">
      <c r="B37" s="309" t="s">
        <v>89</v>
      </c>
      <c r="C37" s="204">
        <f>SUM(C25:C35)</f>
        <v>290.10711392405057</v>
      </c>
      <c r="D37" s="308"/>
      <c r="E37" s="432">
        <f ca="1">SUM(E25:E35)</f>
        <v>264.40217698044012</v>
      </c>
      <c r="F37" s="298" t="s">
        <v>70</v>
      </c>
      <c r="G37" s="567">
        <v>0</v>
      </c>
      <c r="H37" s="567">
        <v>0</v>
      </c>
      <c r="I37" s="568">
        <v>0</v>
      </c>
      <c r="J37" s="25"/>
      <c r="V37" s="22"/>
      <c r="W37" s="22"/>
      <c r="X37" s="22"/>
      <c r="Y37" s="22"/>
      <c r="AA37" s="14"/>
      <c r="AC37" s="18"/>
      <c r="AD37" s="18"/>
      <c r="AI37" s="18"/>
      <c r="AJ37" s="18"/>
      <c r="AK37" s="18"/>
      <c r="AL37" s="18"/>
      <c r="AM37" s="18"/>
    </row>
    <row r="38" spans="2:39" s="14" customFormat="1" ht="15" thickBot="1" x14ac:dyDescent="0.35">
      <c r="B38" s="310"/>
      <c r="C38" s="311"/>
      <c r="D38" s="312"/>
      <c r="E38" s="25"/>
      <c r="F38" s="298" t="s">
        <v>12</v>
      </c>
      <c r="G38" s="567">
        <v>0.1621705488858155</v>
      </c>
      <c r="H38" s="567">
        <v>0</v>
      </c>
      <c r="I38" s="568">
        <v>0.1621705488858155</v>
      </c>
      <c r="J38" s="25"/>
      <c r="AC38" s="18"/>
      <c r="AD38" s="18"/>
      <c r="AI38" s="18"/>
      <c r="AJ38" s="18"/>
      <c r="AK38" s="18"/>
      <c r="AL38" s="18"/>
      <c r="AM38" s="18"/>
    </row>
    <row r="39" spans="2:39" x14ac:dyDescent="0.3">
      <c r="B39" s="22"/>
      <c r="C39" s="22"/>
      <c r="D39" s="22"/>
      <c r="E39" s="25"/>
      <c r="F39" s="298" t="s">
        <v>13</v>
      </c>
      <c r="G39" s="567">
        <v>0</v>
      </c>
      <c r="H39" s="567">
        <v>0</v>
      </c>
      <c r="I39" s="568">
        <v>0</v>
      </c>
      <c r="J39" s="25"/>
      <c r="X39"/>
      <c r="AA39" s="14"/>
    </row>
    <row r="40" spans="2:39" x14ac:dyDescent="0.3">
      <c r="B40" s="22"/>
      <c r="C40" s="22"/>
      <c r="D40" s="22"/>
      <c r="E40" s="25"/>
      <c r="F40" s="298" t="s">
        <v>19</v>
      </c>
      <c r="G40" s="567">
        <v>0</v>
      </c>
      <c r="H40" s="567">
        <v>0</v>
      </c>
      <c r="I40" s="568">
        <v>0</v>
      </c>
      <c r="J40" s="25"/>
      <c r="X40"/>
      <c r="AA40" s="14"/>
    </row>
    <row r="41" spans="2:39" x14ac:dyDescent="0.3">
      <c r="E41" s="25"/>
      <c r="F41" s="298" t="s">
        <v>20</v>
      </c>
      <c r="G41" s="567">
        <v>2.0707289706326421E-2</v>
      </c>
      <c r="H41" s="567">
        <v>0</v>
      </c>
      <c r="I41" s="568">
        <v>2.0707289706326421E-2</v>
      </c>
    </row>
    <row r="42" spans="2:39" x14ac:dyDescent="0.3">
      <c r="E42" s="25"/>
      <c r="F42" s="298" t="s">
        <v>23</v>
      </c>
      <c r="G42" s="567">
        <v>9.2688023017319696E-2</v>
      </c>
      <c r="H42" s="567">
        <v>3.6809742693122094E-2</v>
      </c>
      <c r="I42" s="568">
        <v>0.1294977657104418</v>
      </c>
    </row>
    <row r="43" spans="2:39" x14ac:dyDescent="0.3">
      <c r="E43" s="25"/>
      <c r="F43" s="298" t="s">
        <v>25</v>
      </c>
      <c r="G43" s="567">
        <v>0.93424861249952051</v>
      </c>
      <c r="H43" s="567">
        <v>0</v>
      </c>
      <c r="I43" s="568">
        <v>0.93424861249952051</v>
      </c>
    </row>
    <row r="44" spans="2:39" x14ac:dyDescent="0.3">
      <c r="E44" s="25"/>
      <c r="F44" s="298" t="s">
        <v>71</v>
      </c>
      <c r="G44" s="567">
        <v>0</v>
      </c>
      <c r="H44" s="567">
        <v>0</v>
      </c>
      <c r="I44" s="568">
        <v>0</v>
      </c>
    </row>
    <row r="45" spans="2:39" x14ac:dyDescent="0.3">
      <c r="E45" s="25"/>
      <c r="F45" s="298" t="s">
        <v>28</v>
      </c>
      <c r="G45" s="567">
        <v>0.19289076267175811</v>
      </c>
      <c r="H45" s="567">
        <v>0.23495301557826015</v>
      </c>
      <c r="I45" s="568">
        <v>0.42784377825001829</v>
      </c>
    </row>
    <row r="46" spans="2:39" x14ac:dyDescent="0.3">
      <c r="E46" s="25"/>
      <c r="F46" s="298" t="s">
        <v>31</v>
      </c>
      <c r="G46" s="567">
        <v>4.2372582572054E-3</v>
      </c>
      <c r="H46" s="567">
        <v>4.5157883458695845E-3</v>
      </c>
      <c r="I46" s="568">
        <v>8.7530466030749845E-3</v>
      </c>
    </row>
    <row r="47" spans="2:39" x14ac:dyDescent="0.3">
      <c r="B47" s="17"/>
      <c r="C47" s="17"/>
      <c r="D47" s="17"/>
      <c r="E47" s="25"/>
      <c r="F47" s="298" t="s">
        <v>32</v>
      </c>
      <c r="G47" s="567">
        <v>2.1010317719061089E-2</v>
      </c>
      <c r="H47" s="567">
        <v>1.0729297630929132E-2</v>
      </c>
      <c r="I47" s="568">
        <v>3.1739615349990223E-2</v>
      </c>
      <c r="J47" s="17"/>
    </row>
    <row r="48" spans="2:39" x14ac:dyDescent="0.3">
      <c r="B48" s="17"/>
      <c r="C48" s="17"/>
      <c r="D48" s="17"/>
      <c r="E48" s="25"/>
      <c r="F48" s="298" t="s">
        <v>73</v>
      </c>
      <c r="G48" s="567">
        <v>0</v>
      </c>
      <c r="H48" s="567">
        <v>0</v>
      </c>
      <c r="I48" s="568">
        <v>0</v>
      </c>
      <c r="J48" s="17"/>
    </row>
    <row r="49" spans="2:19" x14ac:dyDescent="0.3">
      <c r="B49" s="17"/>
      <c r="C49" s="17"/>
      <c r="D49" s="17"/>
      <c r="E49" s="25"/>
      <c r="F49" s="298" t="s">
        <v>34</v>
      </c>
      <c r="G49" s="567">
        <v>4.850451073036955E-2</v>
      </c>
      <c r="H49" s="567">
        <v>1.3955914252423681E-2</v>
      </c>
      <c r="I49" s="568">
        <v>6.2460424982793229E-2</v>
      </c>
      <c r="J49" s="22"/>
      <c r="O49" s="18"/>
      <c r="P49" s="18"/>
      <c r="Q49" s="18"/>
      <c r="R49" s="18"/>
      <c r="S49" s="18"/>
    </row>
    <row r="50" spans="2:19" x14ac:dyDescent="0.3">
      <c r="B50" s="17"/>
      <c r="C50" s="17"/>
      <c r="D50" s="177"/>
      <c r="E50" s="25"/>
      <c r="F50" s="298" t="s">
        <v>36</v>
      </c>
      <c r="G50" s="567">
        <v>1.2730298304981031E-2</v>
      </c>
      <c r="H50" s="567">
        <v>7.6682565160301613E-2</v>
      </c>
      <c r="I50" s="568">
        <v>8.9412863465282641E-2</v>
      </c>
      <c r="J50" s="203"/>
      <c r="O50" s="18"/>
      <c r="P50" s="18"/>
      <c r="Q50" s="18"/>
      <c r="R50" s="18"/>
      <c r="S50" s="18"/>
    </row>
    <row r="51" spans="2:19" x14ac:dyDescent="0.3">
      <c r="B51" s="17"/>
      <c r="C51" s="17"/>
      <c r="D51" s="178"/>
      <c r="E51" s="25"/>
      <c r="F51" s="298" t="s">
        <v>37</v>
      </c>
      <c r="G51" s="567">
        <v>1.4700326931340137</v>
      </c>
      <c r="H51" s="567">
        <v>0.4342067958158185</v>
      </c>
      <c r="I51" s="568">
        <v>1.9042394889498322</v>
      </c>
      <c r="J51" s="22"/>
      <c r="O51" s="59"/>
      <c r="P51" s="18"/>
      <c r="Q51" s="18"/>
      <c r="R51" s="18"/>
      <c r="S51" s="18"/>
    </row>
    <row r="52" spans="2:19" x14ac:dyDescent="0.3">
      <c r="B52" s="17"/>
      <c r="C52" s="17"/>
      <c r="D52" s="178"/>
      <c r="E52" s="25"/>
      <c r="F52" s="298" t="s">
        <v>38</v>
      </c>
      <c r="G52" s="567">
        <v>2.1362264852992904E-2</v>
      </c>
      <c r="H52" s="567">
        <v>1.833289981348335E-2</v>
      </c>
      <c r="I52" s="568">
        <v>3.9695164666476254E-2</v>
      </c>
      <c r="J52" s="25"/>
      <c r="O52" s="59"/>
      <c r="P52" s="18"/>
      <c r="Q52" s="59"/>
      <c r="R52" s="18"/>
      <c r="S52" s="18"/>
    </row>
    <row r="53" spans="2:19" x14ac:dyDescent="0.3">
      <c r="B53" s="17"/>
      <c r="C53" s="17"/>
      <c r="D53" s="178"/>
      <c r="E53" s="25"/>
      <c r="F53" s="298" t="s">
        <v>39</v>
      </c>
      <c r="G53" s="567">
        <v>7.9377239359428517E-2</v>
      </c>
      <c r="H53" s="567">
        <v>6.8938685666141183E-2</v>
      </c>
      <c r="I53" s="568">
        <v>0.1483159250255697</v>
      </c>
      <c r="J53" s="22"/>
      <c r="O53" s="59"/>
      <c r="P53" s="18"/>
      <c r="Q53" s="59"/>
      <c r="R53" s="18"/>
      <c r="S53" s="59"/>
    </row>
    <row r="54" spans="2:19" x14ac:dyDescent="0.3">
      <c r="B54" s="17"/>
      <c r="C54" s="17"/>
      <c r="D54" s="178"/>
      <c r="E54" s="25"/>
      <c r="F54" s="298" t="s">
        <v>40</v>
      </c>
      <c r="G54" s="567">
        <v>0</v>
      </c>
      <c r="H54" s="567">
        <v>0.14501675933018252</v>
      </c>
      <c r="I54" s="568">
        <v>0.14501675933018252</v>
      </c>
      <c r="J54" s="22"/>
      <c r="O54" s="59"/>
      <c r="P54" s="18"/>
      <c r="Q54" s="18"/>
      <c r="R54" s="18"/>
      <c r="S54" s="18"/>
    </row>
    <row r="55" spans="2:19" x14ac:dyDescent="0.3">
      <c r="B55" s="17"/>
      <c r="C55" s="17"/>
      <c r="D55" s="178"/>
      <c r="E55" s="25"/>
      <c r="F55" s="298" t="s">
        <v>41</v>
      </c>
      <c r="G55" s="567">
        <v>0</v>
      </c>
      <c r="H55" s="567">
        <v>0</v>
      </c>
      <c r="I55" s="568">
        <v>0</v>
      </c>
      <c r="J55" s="22"/>
      <c r="O55" s="59"/>
      <c r="P55" s="18"/>
      <c r="Q55" s="18"/>
      <c r="R55" s="18"/>
      <c r="S55" s="18"/>
    </row>
    <row r="56" spans="2:19" x14ac:dyDescent="0.3">
      <c r="B56" s="17"/>
      <c r="C56" s="17"/>
      <c r="D56" s="178"/>
      <c r="E56" s="25"/>
      <c r="F56" s="298"/>
      <c r="G56" s="567">
        <v>0</v>
      </c>
      <c r="H56" s="567">
        <v>0</v>
      </c>
      <c r="I56" s="568">
        <v>0</v>
      </c>
      <c r="J56" s="22"/>
      <c r="O56" s="59"/>
      <c r="P56" s="18"/>
      <c r="Q56" s="59"/>
      <c r="R56" s="18"/>
      <c r="S56" s="18"/>
    </row>
    <row r="57" spans="2:19" x14ac:dyDescent="0.3">
      <c r="B57" s="17"/>
      <c r="C57" s="17"/>
      <c r="D57" s="178"/>
      <c r="E57" s="25"/>
      <c r="F57" s="298"/>
      <c r="G57" s="567">
        <v>0</v>
      </c>
      <c r="H57" s="567">
        <v>0</v>
      </c>
      <c r="I57" s="568">
        <v>0</v>
      </c>
      <c r="J57" s="22"/>
      <c r="O57" s="59"/>
      <c r="P57" s="18"/>
      <c r="Q57" s="18"/>
      <c r="R57" s="18"/>
      <c r="S57" s="18"/>
    </row>
    <row r="58" spans="2:19" x14ac:dyDescent="0.3">
      <c r="B58" s="17"/>
      <c r="C58" s="17"/>
      <c r="D58" s="178"/>
      <c r="E58" s="25"/>
      <c r="F58" s="298" t="s">
        <v>4</v>
      </c>
      <c r="G58" s="567">
        <v>1.1568177463016019E-2</v>
      </c>
      <c r="H58" s="567">
        <v>9.631811699884027E-2</v>
      </c>
      <c r="I58" s="568">
        <v>0.10788629446185628</v>
      </c>
      <c r="J58" s="22"/>
      <c r="O58" s="59"/>
      <c r="P58" s="18"/>
      <c r="Q58" s="59"/>
      <c r="R58" s="18"/>
      <c r="S58" s="18"/>
    </row>
    <row r="59" spans="2:19" x14ac:dyDescent="0.3">
      <c r="B59" s="17"/>
      <c r="C59" s="17"/>
      <c r="D59" s="178"/>
      <c r="E59" s="25"/>
      <c r="F59" s="298" t="s">
        <v>10</v>
      </c>
      <c r="G59" s="567">
        <v>7.1112145339339199E-3</v>
      </c>
      <c r="H59" s="567">
        <v>1.6476805968944002E-2</v>
      </c>
      <c r="I59" s="568">
        <v>2.3588020502877921E-2</v>
      </c>
      <c r="J59" s="22"/>
      <c r="O59" s="59"/>
      <c r="P59" s="18"/>
      <c r="Q59" s="18"/>
      <c r="R59" s="18"/>
      <c r="S59" s="18"/>
    </row>
    <row r="60" spans="2:19" x14ac:dyDescent="0.3">
      <c r="B60" s="17"/>
      <c r="C60" s="17"/>
      <c r="D60" s="178"/>
      <c r="E60" s="25"/>
      <c r="F60" s="298" t="s">
        <v>14</v>
      </c>
      <c r="G60" s="567">
        <v>3.4353457043471133E-2</v>
      </c>
      <c r="H60" s="567">
        <v>0.26708389283121714</v>
      </c>
      <c r="I60" s="568">
        <v>0.30143734987468829</v>
      </c>
      <c r="J60" s="22"/>
      <c r="O60" s="59"/>
      <c r="P60" s="18"/>
      <c r="Q60" s="18"/>
      <c r="R60" s="18"/>
      <c r="S60" s="18"/>
    </row>
    <row r="61" spans="2:19" x14ac:dyDescent="0.3">
      <c r="B61" s="17"/>
      <c r="C61" s="17"/>
      <c r="D61" s="178"/>
      <c r="E61" s="25"/>
      <c r="F61" s="298" t="s">
        <v>16</v>
      </c>
      <c r="G61" s="567">
        <v>0</v>
      </c>
      <c r="H61" s="567">
        <v>0</v>
      </c>
      <c r="I61" s="568">
        <v>0</v>
      </c>
      <c r="J61" s="22"/>
      <c r="O61" s="59"/>
      <c r="P61" s="18"/>
      <c r="Q61" s="18"/>
      <c r="R61" s="18"/>
      <c r="S61" s="18"/>
    </row>
    <row r="62" spans="2:19" x14ac:dyDescent="0.3">
      <c r="B62" s="17"/>
      <c r="C62" s="17"/>
      <c r="D62" s="178"/>
      <c r="E62" s="25"/>
      <c r="F62" s="298" t="s">
        <v>17</v>
      </c>
      <c r="G62" s="567">
        <v>1.6164260180032742E-2</v>
      </c>
      <c r="H62" s="567">
        <v>1.6796788742255573E-4</v>
      </c>
      <c r="I62" s="568">
        <v>1.6332228067455299E-2</v>
      </c>
      <c r="J62" s="22"/>
      <c r="O62" s="59"/>
      <c r="P62" s="18"/>
      <c r="Q62" s="59"/>
      <c r="R62" s="18"/>
      <c r="S62" s="18"/>
    </row>
    <row r="63" spans="2:19" x14ac:dyDescent="0.3">
      <c r="B63" s="17"/>
      <c r="C63" s="17"/>
      <c r="D63" s="179"/>
      <c r="E63" s="25"/>
      <c r="F63" s="298" t="s">
        <v>18</v>
      </c>
      <c r="G63" s="567">
        <v>0</v>
      </c>
      <c r="H63" s="567">
        <v>0</v>
      </c>
      <c r="I63" s="568">
        <v>0</v>
      </c>
      <c r="J63" s="22"/>
      <c r="O63" s="59"/>
      <c r="P63" s="18"/>
      <c r="Q63" s="18"/>
      <c r="R63" s="18"/>
      <c r="S63" s="18"/>
    </row>
    <row r="64" spans="2:19" x14ac:dyDescent="0.3">
      <c r="B64" s="17"/>
      <c r="C64" s="17"/>
      <c r="D64" s="17"/>
      <c r="E64" s="25"/>
      <c r="F64" s="298" t="s">
        <v>21</v>
      </c>
      <c r="G64" s="567">
        <v>0</v>
      </c>
      <c r="H64" s="567">
        <v>0</v>
      </c>
      <c r="I64" s="568">
        <v>0</v>
      </c>
      <c r="J64" s="22"/>
      <c r="O64" s="18"/>
      <c r="P64" s="18"/>
      <c r="Q64" s="18"/>
      <c r="R64" s="18"/>
      <c r="S64" s="18"/>
    </row>
    <row r="65" spans="2:10" x14ac:dyDescent="0.3">
      <c r="B65" s="17"/>
      <c r="C65" s="17"/>
      <c r="D65" s="17"/>
      <c r="E65" s="25"/>
      <c r="F65" s="298" t="s">
        <v>27</v>
      </c>
      <c r="G65" s="567">
        <v>0</v>
      </c>
      <c r="H65" s="567">
        <v>7.277574817142619E-4</v>
      </c>
      <c r="I65" s="568">
        <v>7.277574817142619E-4</v>
      </c>
      <c r="J65" s="22"/>
    </row>
    <row r="66" spans="2:10" x14ac:dyDescent="0.3">
      <c r="B66" s="17"/>
      <c r="C66" s="17"/>
      <c r="D66" s="17"/>
      <c r="E66" s="22"/>
      <c r="F66" s="298"/>
      <c r="G66" s="567"/>
      <c r="H66" s="567"/>
      <c r="I66" s="568"/>
      <c r="J66" s="205"/>
    </row>
    <row r="67" spans="2:10" x14ac:dyDescent="0.3">
      <c r="B67" s="17"/>
      <c r="C67" s="17"/>
      <c r="D67" s="17"/>
      <c r="E67" s="22"/>
      <c r="F67" s="298" t="s">
        <v>33</v>
      </c>
      <c r="G67" s="567">
        <v>2.3964821290751849E-4</v>
      </c>
      <c r="H67" s="567">
        <v>4.6599032288250943E-5</v>
      </c>
      <c r="I67" s="568">
        <v>2.8624724519576945E-4</v>
      </c>
      <c r="J67" s="22"/>
    </row>
    <row r="68" spans="2:10" x14ac:dyDescent="0.3">
      <c r="B68" s="17"/>
      <c r="C68" s="17"/>
      <c r="D68" s="17"/>
      <c r="E68" s="22"/>
      <c r="F68" s="298" t="s">
        <v>35</v>
      </c>
      <c r="G68" s="567">
        <v>1.134303937351508E-3</v>
      </c>
      <c r="H68" s="567">
        <v>1.2572102341327621E-2</v>
      </c>
      <c r="I68" s="568">
        <v>1.3706406278679129E-2</v>
      </c>
      <c r="J68" s="22"/>
    </row>
    <row r="69" spans="2:10" x14ac:dyDescent="0.3">
      <c r="C69" s="17"/>
      <c r="D69" s="17"/>
      <c r="E69" s="22"/>
      <c r="F69" s="298"/>
      <c r="G69" s="567">
        <v>0</v>
      </c>
      <c r="H69" s="567">
        <v>0</v>
      </c>
      <c r="I69" s="568">
        <v>0</v>
      </c>
      <c r="J69" s="22"/>
    </row>
    <row r="70" spans="2:10" x14ac:dyDescent="0.3">
      <c r="C70" s="17"/>
      <c r="D70" s="17"/>
      <c r="E70" s="17"/>
      <c r="F70" s="298"/>
      <c r="G70" s="567">
        <v>0</v>
      </c>
      <c r="H70" s="567">
        <v>0</v>
      </c>
      <c r="I70" s="568">
        <v>0</v>
      </c>
      <c r="J70" s="17"/>
    </row>
    <row r="71" spans="2:10" x14ac:dyDescent="0.3">
      <c r="F71" s="298" t="s">
        <v>3</v>
      </c>
      <c r="G71" s="567">
        <v>2.4522980784403188E-2</v>
      </c>
      <c r="H71" s="567">
        <v>1.3498492027582102E-2</v>
      </c>
      <c r="I71" s="568">
        <v>3.8021472811985292E-2</v>
      </c>
    </row>
    <row r="72" spans="2:10" x14ac:dyDescent="0.3">
      <c r="F72" s="298" t="s">
        <v>6</v>
      </c>
      <c r="G72" s="567">
        <v>1.4486008918814764E-2</v>
      </c>
      <c r="H72" s="567">
        <v>0</v>
      </c>
      <c r="I72" s="568">
        <v>1.4486008918814764E-2</v>
      </c>
    </row>
    <row r="73" spans="2:10" x14ac:dyDescent="0.3">
      <c r="F73" s="298" t="s">
        <v>49</v>
      </c>
      <c r="G73" s="567">
        <v>1.2114035756671023E-2</v>
      </c>
      <c r="H73" s="567">
        <v>1.4811599795545394E-3</v>
      </c>
      <c r="I73" s="568">
        <v>1.3595195736225562E-2</v>
      </c>
    </row>
    <row r="74" spans="2:10" x14ac:dyDescent="0.3">
      <c r="F74" s="298" t="s">
        <v>15</v>
      </c>
      <c r="G74" s="567">
        <v>2.6193433898708241E-3</v>
      </c>
      <c r="H74" s="567">
        <v>2.1625673385783852E-3</v>
      </c>
      <c r="I74" s="568">
        <v>4.7819107284492093E-3</v>
      </c>
    </row>
    <row r="75" spans="2:10" x14ac:dyDescent="0.3">
      <c r="F75" s="298" t="s">
        <v>22</v>
      </c>
      <c r="G75" s="567">
        <v>0</v>
      </c>
      <c r="H75" s="567">
        <v>2.3422140623085975E-3</v>
      </c>
      <c r="I75" s="568">
        <v>2.3422140623085975E-3</v>
      </c>
    </row>
    <row r="76" spans="2:10" x14ac:dyDescent="0.3">
      <c r="F76" s="298" t="s">
        <v>24</v>
      </c>
      <c r="G76" s="567">
        <v>0.11434373448579047</v>
      </c>
      <c r="H76" s="567">
        <v>2.8461751812351745E-2</v>
      </c>
      <c r="I76" s="568">
        <v>0.14280548629814221</v>
      </c>
    </row>
    <row r="77" spans="2:10" x14ac:dyDescent="0.3">
      <c r="F77" s="294" t="s">
        <v>43</v>
      </c>
      <c r="G77" s="567">
        <v>0</v>
      </c>
      <c r="H77" s="567">
        <v>0</v>
      </c>
      <c r="I77" s="568">
        <v>0</v>
      </c>
    </row>
    <row r="78" spans="2:10" x14ac:dyDescent="0.3">
      <c r="F78" s="298" t="s">
        <v>26</v>
      </c>
      <c r="G78" s="567">
        <v>0</v>
      </c>
      <c r="H78" s="567">
        <v>2.0463293345319801E-2</v>
      </c>
      <c r="I78" s="568">
        <v>2.0463293345319801E-2</v>
      </c>
    </row>
    <row r="79" spans="2:10" x14ac:dyDescent="0.3">
      <c r="F79" s="298" t="s">
        <v>30</v>
      </c>
      <c r="G79" s="567">
        <v>0</v>
      </c>
      <c r="H79" s="567">
        <v>1.2707283823564841E-2</v>
      </c>
      <c r="I79" s="568">
        <v>1.2707283823564841E-2</v>
      </c>
    </row>
    <row r="80" spans="2:10" x14ac:dyDescent="0.3">
      <c r="F80" s="298" t="s">
        <v>556</v>
      </c>
      <c r="G80" s="567">
        <v>2.3883131924631828E-2</v>
      </c>
      <c r="H80" s="567">
        <v>0</v>
      </c>
      <c r="I80" s="568">
        <v>2.3883131924631828E-2</v>
      </c>
    </row>
    <row r="81" spans="6:9" x14ac:dyDescent="0.3">
      <c r="F81" s="298" t="s">
        <v>42</v>
      </c>
      <c r="G81" s="567">
        <v>1.0747122514108667E-2</v>
      </c>
      <c r="H81" s="567">
        <v>1.3787533293168302E-2</v>
      </c>
      <c r="I81" s="568">
        <v>2.453465580727697E-2</v>
      </c>
    </row>
    <row r="82" spans="6:9" x14ac:dyDescent="0.3">
      <c r="F82" s="294"/>
      <c r="G82" s="17"/>
      <c r="H82" s="118"/>
      <c r="I82" s="299"/>
    </row>
    <row r="83" spans="6:9" ht="15" thickBot="1" x14ac:dyDescent="0.35">
      <c r="F83" s="300" t="s">
        <v>89</v>
      </c>
      <c r="G83" s="301">
        <v>3.8740776595105197</v>
      </c>
      <c r="H83" s="301">
        <v>1.6350259530624991</v>
      </c>
      <c r="I83" s="302">
        <v>5.5091036125730213</v>
      </c>
    </row>
    <row r="84" spans="6:9" x14ac:dyDescent="0.3">
      <c r="F84" s="15" t="s">
        <v>743</v>
      </c>
      <c r="G84" s="15"/>
      <c r="H84" s="428"/>
      <c r="I84" s="64">
        <f ca="1">I83*$J$17/$J$14</f>
        <v>5.0209695607686946</v>
      </c>
    </row>
  </sheetData>
  <mergeCells count="5">
    <mergeCell ref="D25:D30"/>
    <mergeCell ref="D31:D35"/>
    <mergeCell ref="B22:I22"/>
    <mergeCell ref="B23:D23"/>
    <mergeCell ref="F23:I23"/>
  </mergeCells>
  <pageMargins left="0.7" right="0.7" top="0.75" bottom="0.75" header="0.3" footer="0.3"/>
  <pageSetup paperSize="9" scale="6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310"/>
  <sheetViews>
    <sheetView zoomScale="85" zoomScaleNormal="85" workbookViewId="0">
      <selection activeCell="C47" sqref="C47"/>
    </sheetView>
  </sheetViews>
  <sheetFormatPr defaultColWidth="9.109375" defaultRowHeight="14.4" x14ac:dyDescent="0.3"/>
  <cols>
    <col min="1" max="1" width="21" style="18" bestFit="1" customWidth="1"/>
    <col min="2" max="4" width="13.5546875" style="18" customWidth="1"/>
    <col min="5" max="5" width="20.6640625" style="18" bestFit="1" customWidth="1"/>
    <col min="6" max="7" width="13.5546875" style="18" customWidth="1"/>
    <col min="8" max="8" width="28" style="18" bestFit="1" customWidth="1"/>
    <col min="9" max="11" width="14.44140625" style="18" customWidth="1"/>
    <col min="12" max="12" width="21" style="18" bestFit="1" customWidth="1"/>
    <col min="13" max="15" width="14.44140625" style="18" customWidth="1"/>
    <col min="16" max="18" width="9.109375" style="18"/>
    <col min="19" max="19" width="14.5546875" style="18" customWidth="1"/>
    <col min="20" max="16384" width="9.109375" style="18"/>
  </cols>
  <sheetData>
    <row r="1" spans="1:26" ht="43.2" x14ac:dyDescent="0.3">
      <c r="A1" s="154" t="s">
        <v>50</v>
      </c>
      <c r="B1" s="154" t="s">
        <v>792</v>
      </c>
      <c r="C1" s="154" t="s">
        <v>793</v>
      </c>
      <c r="D1" s="22"/>
      <c r="E1" s="154" t="s">
        <v>65</v>
      </c>
      <c r="F1" s="154" t="s">
        <v>506</v>
      </c>
      <c r="G1" s="22"/>
      <c r="H1" s="154" t="s">
        <v>819</v>
      </c>
      <c r="K1" s="116"/>
      <c r="L1" s="116" t="s">
        <v>62</v>
      </c>
      <c r="M1" s="585" t="s">
        <v>59</v>
      </c>
      <c r="V1" s="59"/>
      <c r="Z1" s="175"/>
    </row>
    <row r="2" spans="1:26" x14ac:dyDescent="0.3">
      <c r="A2" s="22" t="s">
        <v>0</v>
      </c>
      <c r="B2" s="569">
        <v>793.7586</v>
      </c>
      <c r="C2" s="263">
        <f>B2</f>
        <v>793.7586</v>
      </c>
      <c r="D2" s="22"/>
      <c r="E2" s="22" t="s">
        <v>4</v>
      </c>
      <c r="F2" s="571">
        <v>10651.012025451901</v>
      </c>
      <c r="H2" t="s">
        <v>809</v>
      </c>
      <c r="I2" t="s">
        <v>810</v>
      </c>
      <c r="J2" t="s">
        <v>649</v>
      </c>
      <c r="K2" s="116"/>
      <c r="L2" s="116" t="s">
        <v>0</v>
      </c>
      <c r="M2" s="669">
        <v>8339.43</v>
      </c>
      <c r="R2" s="226"/>
      <c r="S2" s="226"/>
      <c r="T2" s="227"/>
      <c r="U2" s="226"/>
    </row>
    <row r="3" spans="1:26" x14ac:dyDescent="0.3">
      <c r="A3" s="22" t="s">
        <v>1</v>
      </c>
      <c r="B3" s="570">
        <v>1350.32</v>
      </c>
      <c r="C3" s="263">
        <f t="shared" ref="C3:C46" si="0">B3</f>
        <v>1350.32</v>
      </c>
      <c r="D3" s="22"/>
      <c r="E3" s="22" t="s">
        <v>10</v>
      </c>
      <c r="F3" s="571">
        <v>7423.6117405591003</v>
      </c>
      <c r="H3" s="577" t="s">
        <v>17</v>
      </c>
      <c r="I3" s="577" t="s">
        <v>100</v>
      </c>
      <c r="J3" s="577">
        <v>271.18327176500003</v>
      </c>
      <c r="K3" s="116"/>
      <c r="L3" s="116" t="s">
        <v>1</v>
      </c>
      <c r="M3" s="669">
        <v>8233.1366666666654</v>
      </c>
      <c r="R3" s="226"/>
      <c r="S3" s="226"/>
      <c r="T3" s="227"/>
      <c r="U3" s="227"/>
    </row>
    <row r="4" spans="1:26" x14ac:dyDescent="0.3">
      <c r="A4" s="22" t="s">
        <v>2</v>
      </c>
      <c r="B4" s="570">
        <v>107.0976</v>
      </c>
      <c r="C4" s="441">
        <f>B4-43.491</f>
        <v>63.6066</v>
      </c>
      <c r="D4" s="22"/>
      <c r="E4" s="22" t="s">
        <v>14</v>
      </c>
      <c r="F4" s="571">
        <f>F26+F36</f>
        <v>13468.672578574731</v>
      </c>
      <c r="H4" s="577" t="s">
        <v>35</v>
      </c>
      <c r="I4" s="577" t="s">
        <v>104</v>
      </c>
      <c r="J4" s="577">
        <v>48.646827304999995</v>
      </c>
      <c r="K4" s="116"/>
      <c r="L4" s="116" t="s">
        <v>2</v>
      </c>
      <c r="M4" s="669">
        <v>5481.06</v>
      </c>
      <c r="R4" s="226"/>
      <c r="S4" s="226"/>
      <c r="T4" s="227"/>
      <c r="U4" s="227"/>
    </row>
    <row r="5" spans="1:26" x14ac:dyDescent="0.3">
      <c r="A5" s="22" t="s">
        <v>68</v>
      </c>
      <c r="B5" s="570">
        <v>113.2308</v>
      </c>
      <c r="C5" s="263">
        <f t="shared" si="0"/>
        <v>113.2308</v>
      </c>
      <c r="D5" s="22"/>
      <c r="E5" s="22" t="s">
        <v>16</v>
      </c>
      <c r="F5" s="571">
        <v>915.048</v>
      </c>
      <c r="H5" s="577" t="s">
        <v>17</v>
      </c>
      <c r="I5" s="577" t="s">
        <v>105</v>
      </c>
      <c r="J5" s="577">
        <v>437.39038370999953</v>
      </c>
      <c r="K5" s="116"/>
      <c r="L5" s="116" t="s">
        <v>68</v>
      </c>
      <c r="M5" s="669">
        <v>6956.21</v>
      </c>
      <c r="R5" s="226"/>
      <c r="S5" s="226"/>
      <c r="T5" s="227"/>
      <c r="U5" s="227"/>
    </row>
    <row r="6" spans="1:26" x14ac:dyDescent="0.3">
      <c r="A6" s="22" t="s">
        <v>3</v>
      </c>
      <c r="B6" s="571">
        <v>585.33579999999995</v>
      </c>
      <c r="C6" s="263">
        <f t="shared" si="0"/>
        <v>585.33579999999995</v>
      </c>
      <c r="D6" s="22"/>
      <c r="E6" s="22" t="s">
        <v>17</v>
      </c>
      <c r="F6" s="571">
        <v>4421.4036502775998</v>
      </c>
      <c r="H6" s="577" t="s">
        <v>17</v>
      </c>
      <c r="I6" s="577" t="s">
        <v>106</v>
      </c>
      <c r="J6" s="577">
        <v>245.61295622500003</v>
      </c>
      <c r="K6" s="116"/>
      <c r="L6" s="116" t="s">
        <v>5</v>
      </c>
      <c r="M6" s="669">
        <v>7997.9</v>
      </c>
      <c r="R6" s="226"/>
      <c r="S6" s="226"/>
      <c r="T6" s="227"/>
      <c r="U6" s="227"/>
    </row>
    <row r="7" spans="1:26" x14ac:dyDescent="0.3">
      <c r="A7" s="22" t="s">
        <v>5</v>
      </c>
      <c r="B7" s="570">
        <v>566.40549999999996</v>
      </c>
      <c r="C7" s="263">
        <f t="shared" si="0"/>
        <v>566.40549999999996</v>
      </c>
      <c r="D7" s="22"/>
      <c r="E7" s="22" t="s">
        <v>18</v>
      </c>
      <c r="F7" s="571">
        <v>1078.7414304141901</v>
      </c>
      <c r="H7" s="577" t="s">
        <v>35</v>
      </c>
      <c r="I7" s="577" t="s">
        <v>109</v>
      </c>
      <c r="J7" s="577">
        <v>105.215</v>
      </c>
      <c r="K7" s="116"/>
      <c r="L7" s="116" t="s">
        <v>7</v>
      </c>
      <c r="M7" s="669">
        <v>6319.14</v>
      </c>
      <c r="R7" s="226"/>
      <c r="S7" s="226"/>
      <c r="T7" s="227"/>
      <c r="U7" s="227"/>
    </row>
    <row r="8" spans="1:26" x14ac:dyDescent="0.3">
      <c r="A8" s="22" t="s">
        <v>6</v>
      </c>
      <c r="B8" s="571">
        <v>68.116209999999995</v>
      </c>
      <c r="C8" s="263">
        <f t="shared" si="0"/>
        <v>68.116209999999995</v>
      </c>
      <c r="D8" s="22"/>
      <c r="E8" s="22" t="s">
        <v>21</v>
      </c>
      <c r="F8" s="571">
        <v>655.45440152937101</v>
      </c>
      <c r="H8" s="577" t="s">
        <v>17</v>
      </c>
      <c r="I8" s="577" t="s">
        <v>112</v>
      </c>
      <c r="J8" s="577">
        <v>235.51449516499997</v>
      </c>
      <c r="K8" s="116"/>
      <c r="L8" s="116" t="s">
        <v>8</v>
      </c>
      <c r="M8" s="669">
        <v>6465.38</v>
      </c>
      <c r="R8" s="226"/>
      <c r="S8" s="226"/>
      <c r="T8" s="227"/>
      <c r="U8" s="227"/>
    </row>
    <row r="9" spans="1:26" x14ac:dyDescent="0.3">
      <c r="A9" s="22" t="s">
        <v>7</v>
      </c>
      <c r="B9" s="570">
        <v>302.40199999999999</v>
      </c>
      <c r="C9" s="263">
        <f t="shared" si="0"/>
        <v>302.40199999999999</v>
      </c>
      <c r="E9" s="22" t="s">
        <v>27</v>
      </c>
      <c r="F9" s="571">
        <f>F37</f>
        <v>47.479281498189003</v>
      </c>
      <c r="H9" s="577" t="s">
        <v>14</v>
      </c>
      <c r="I9" s="577" t="s">
        <v>114</v>
      </c>
      <c r="J9" s="577">
        <v>787.09515962500473</v>
      </c>
      <c r="K9" s="116"/>
      <c r="L9" s="116" t="s">
        <v>9</v>
      </c>
      <c r="M9" s="669">
        <v>8724.69</v>
      </c>
      <c r="R9" s="226"/>
      <c r="S9" s="226"/>
      <c r="T9" s="227"/>
      <c r="U9" s="227"/>
    </row>
    <row r="10" spans="1:26" x14ac:dyDescent="0.3">
      <c r="A10" s="22" t="s">
        <v>8</v>
      </c>
      <c r="B10" s="570">
        <v>433.24099999999999</v>
      </c>
      <c r="C10" s="263">
        <f t="shared" si="0"/>
        <v>433.24099999999999</v>
      </c>
      <c r="E10" s="22" t="s">
        <v>72</v>
      </c>
      <c r="F10" s="571">
        <v>0</v>
      </c>
      <c r="H10" s="577" t="s">
        <v>14</v>
      </c>
      <c r="I10" s="577" t="s">
        <v>390</v>
      </c>
      <c r="J10" s="577">
        <v>0</v>
      </c>
      <c r="K10" s="116"/>
      <c r="L10" s="116" t="s">
        <v>69</v>
      </c>
      <c r="M10" s="669">
        <v>8479.5300000000007</v>
      </c>
      <c r="R10" s="226"/>
      <c r="S10" s="226"/>
      <c r="T10" s="227"/>
      <c r="U10" s="227"/>
    </row>
    <row r="11" spans="1:26" x14ac:dyDescent="0.3">
      <c r="A11" s="22" t="s">
        <v>9</v>
      </c>
      <c r="B11" s="570">
        <v>627.16189999999995</v>
      </c>
      <c r="C11" s="263">
        <f t="shared" si="0"/>
        <v>627.16189999999995</v>
      </c>
      <c r="E11" s="22" t="s">
        <v>33</v>
      </c>
      <c r="F11" s="571">
        <v>971.44171391737405</v>
      </c>
      <c r="H11" s="577" t="s">
        <v>14</v>
      </c>
      <c r="I11" s="577" t="s">
        <v>391</v>
      </c>
      <c r="J11" s="577">
        <v>0</v>
      </c>
      <c r="K11" s="116"/>
      <c r="L11" s="116" t="s">
        <v>11</v>
      </c>
      <c r="M11" s="669">
        <v>6321.66</v>
      </c>
      <c r="R11" s="226"/>
      <c r="S11" s="226"/>
      <c r="T11" s="227"/>
      <c r="U11" s="227"/>
    </row>
    <row r="12" spans="1:26" x14ac:dyDescent="0.3">
      <c r="A12" s="22" t="s">
        <v>69</v>
      </c>
      <c r="B12" s="570">
        <v>257.96260000000001</v>
      </c>
      <c r="C12" s="263">
        <f t="shared" si="0"/>
        <v>257.96260000000001</v>
      </c>
      <c r="E12" s="22" t="s">
        <v>35</v>
      </c>
      <c r="F12" s="571">
        <f>F39+F32</f>
        <v>2034.6312177831451</v>
      </c>
      <c r="G12" s="22"/>
      <c r="H12" s="577" t="s">
        <v>14</v>
      </c>
      <c r="I12" s="577" t="s">
        <v>117</v>
      </c>
      <c r="J12" s="577">
        <v>3305.1107430050024</v>
      </c>
      <c r="K12" s="116"/>
      <c r="L12" s="116" t="s">
        <v>70</v>
      </c>
      <c r="M12" s="669">
        <v>9249.6299999999992</v>
      </c>
      <c r="R12" s="226"/>
      <c r="S12" s="226"/>
      <c r="T12" s="227"/>
      <c r="U12" s="227"/>
    </row>
    <row r="13" spans="1:26" x14ac:dyDescent="0.3">
      <c r="A13" s="22" t="s">
        <v>47</v>
      </c>
      <c r="B13" s="571">
        <v>40.991709999999998</v>
      </c>
      <c r="C13" s="263">
        <f t="shared" si="0"/>
        <v>40.991709999999998</v>
      </c>
      <c r="E13" s="22"/>
      <c r="F13" s="571"/>
      <c r="H13" s="577" t="s">
        <v>35</v>
      </c>
      <c r="I13" s="577" t="s">
        <v>130</v>
      </c>
      <c r="J13" s="577">
        <v>119.69324265499999</v>
      </c>
      <c r="K13" s="116"/>
      <c r="L13" s="116" t="s">
        <v>12</v>
      </c>
      <c r="M13" s="669">
        <v>8887.08</v>
      </c>
      <c r="R13" s="226"/>
      <c r="S13" s="226"/>
      <c r="T13" s="227"/>
      <c r="U13" s="227"/>
    </row>
    <row r="14" spans="1:26" x14ac:dyDescent="0.3">
      <c r="A14" s="22" t="s">
        <v>11</v>
      </c>
      <c r="B14" s="570">
        <v>498.60500000000002</v>
      </c>
      <c r="C14" s="263">
        <f t="shared" si="0"/>
        <v>498.60500000000002</v>
      </c>
      <c r="E14" s="22" t="s">
        <v>603</v>
      </c>
      <c r="F14" s="571">
        <f>F38</f>
        <v>100.279913008809</v>
      </c>
      <c r="G14" s="22"/>
      <c r="H14" s="577" t="s">
        <v>35</v>
      </c>
      <c r="I14" s="577" t="s">
        <v>392</v>
      </c>
      <c r="J14" s="577">
        <v>0</v>
      </c>
      <c r="K14" s="116"/>
      <c r="L14" s="116" t="s">
        <v>13</v>
      </c>
      <c r="M14" s="669">
        <v>7214.62</v>
      </c>
      <c r="R14" s="226"/>
      <c r="S14" s="226"/>
      <c r="T14" s="227"/>
      <c r="U14" s="227"/>
    </row>
    <row r="15" spans="1:26" x14ac:dyDescent="0.3">
      <c r="A15" s="22" t="s">
        <v>49</v>
      </c>
      <c r="B15" s="571">
        <v>39.945360000000001</v>
      </c>
      <c r="C15" s="263">
        <f t="shared" si="0"/>
        <v>39.945360000000001</v>
      </c>
      <c r="E15" s="18" t="s">
        <v>3</v>
      </c>
      <c r="F15" s="559">
        <v>264.71030496883299</v>
      </c>
      <c r="H15" s="577" t="s">
        <v>35</v>
      </c>
      <c r="I15" s="577" t="s">
        <v>136</v>
      </c>
      <c r="J15" s="577">
        <v>254.70686206499911</v>
      </c>
      <c r="K15" s="116"/>
      <c r="L15" s="116" t="s">
        <v>19</v>
      </c>
      <c r="M15" s="669">
        <v>6978.8050000000003</v>
      </c>
      <c r="R15" s="226"/>
      <c r="S15" s="226"/>
      <c r="T15" s="227"/>
      <c r="U15" s="227"/>
    </row>
    <row r="16" spans="1:26" x14ac:dyDescent="0.3">
      <c r="A16" s="22" t="s">
        <v>70</v>
      </c>
      <c r="B16" s="571">
        <v>11.131349999999999</v>
      </c>
      <c r="C16" s="263">
        <f t="shared" si="0"/>
        <v>11.131349999999999</v>
      </c>
      <c r="E16" s="18" t="s">
        <v>47</v>
      </c>
      <c r="F16" s="559">
        <v>117.5565</v>
      </c>
      <c r="H16" s="577" t="s">
        <v>4</v>
      </c>
      <c r="I16" s="577" t="s">
        <v>144</v>
      </c>
      <c r="J16" s="577">
        <v>2276.1180091300048</v>
      </c>
      <c r="K16" s="116"/>
      <c r="L16" s="116" t="s">
        <v>20</v>
      </c>
      <c r="M16" s="669">
        <v>7576.83</v>
      </c>
      <c r="R16" s="226"/>
      <c r="S16" s="226"/>
      <c r="T16" s="227"/>
      <c r="U16" s="227"/>
    </row>
    <row r="17" spans="1:22" x14ac:dyDescent="0.3">
      <c r="A17" s="22" t="s">
        <v>12</v>
      </c>
      <c r="B17" s="570">
        <v>547.63909999999998</v>
      </c>
      <c r="C17" s="263">
        <f t="shared" si="0"/>
        <v>547.63909999999998</v>
      </c>
      <c r="E17" s="18" t="s">
        <v>24</v>
      </c>
      <c r="F17" s="559">
        <v>422.62400000000002</v>
      </c>
      <c r="H17" s="577" t="s">
        <v>24</v>
      </c>
      <c r="I17" s="577" t="s">
        <v>393</v>
      </c>
      <c r="J17" s="577">
        <v>422.62400000000002</v>
      </c>
      <c r="K17" s="116"/>
      <c r="L17" s="116" t="s">
        <v>23</v>
      </c>
      <c r="M17" s="669">
        <v>6368.54</v>
      </c>
      <c r="R17" s="226"/>
      <c r="S17" s="226"/>
      <c r="T17" s="227"/>
      <c r="U17" s="227"/>
    </row>
    <row r="18" spans="1:22" x14ac:dyDescent="0.3">
      <c r="A18" s="22" t="s">
        <v>13</v>
      </c>
      <c r="B18" s="570">
        <v>391.85289999999998</v>
      </c>
      <c r="C18" s="263">
        <f t="shared" si="0"/>
        <v>391.85289999999998</v>
      </c>
      <c r="E18" s="22"/>
      <c r="G18" s="22"/>
      <c r="H18" s="577" t="s">
        <v>10</v>
      </c>
      <c r="I18" s="577" t="s">
        <v>166</v>
      </c>
      <c r="J18" s="577">
        <v>1316.8613849449937</v>
      </c>
      <c r="K18" s="116"/>
      <c r="L18" s="116" t="s">
        <v>25</v>
      </c>
      <c r="M18" s="669">
        <v>8789.99</v>
      </c>
      <c r="R18" s="226"/>
      <c r="S18" s="226"/>
      <c r="T18" s="227"/>
      <c r="U18" s="227"/>
    </row>
    <row r="19" spans="1:22" x14ac:dyDescent="0.3">
      <c r="A19" s="22" t="s">
        <v>15</v>
      </c>
      <c r="B19" s="571">
        <v>53.694110000000002</v>
      </c>
      <c r="C19" s="263">
        <f t="shared" si="0"/>
        <v>53.694110000000002</v>
      </c>
      <c r="E19" s="22" t="s">
        <v>506</v>
      </c>
      <c r="F19" s="22">
        <f>SUM(F2:F17)</f>
        <v>42572.666757983243</v>
      </c>
      <c r="G19" s="22"/>
      <c r="H19" s="577" t="s">
        <v>10</v>
      </c>
      <c r="I19" s="577" t="s">
        <v>167</v>
      </c>
      <c r="J19" s="577">
        <v>1318.2925439199983</v>
      </c>
      <c r="K19" s="116"/>
      <c r="L19" s="116" t="s">
        <v>71</v>
      </c>
      <c r="M19" s="669">
        <v>6982.3</v>
      </c>
      <c r="R19" s="226"/>
      <c r="S19" s="226"/>
      <c r="T19" s="227"/>
      <c r="U19" s="227"/>
    </row>
    <row r="20" spans="1:22" x14ac:dyDescent="0.3">
      <c r="A20" s="22" t="s">
        <v>19</v>
      </c>
      <c r="B20" s="570">
        <v>729.90309999999999</v>
      </c>
      <c r="C20" s="263">
        <f t="shared" si="0"/>
        <v>729.90309999999999</v>
      </c>
      <c r="F20" s="19"/>
      <c r="G20" s="22"/>
      <c r="H20" s="577" t="s">
        <v>10</v>
      </c>
      <c r="I20" s="577" t="s">
        <v>168</v>
      </c>
      <c r="J20" s="577">
        <v>2400.7882988999991</v>
      </c>
      <c r="K20" s="116"/>
      <c r="L20" s="116" t="s">
        <v>28</v>
      </c>
      <c r="M20" s="669">
        <v>6370.748333333333</v>
      </c>
      <c r="R20" s="226"/>
      <c r="S20" s="226"/>
      <c r="T20" s="227"/>
      <c r="U20" s="227"/>
    </row>
    <row r="21" spans="1:22" x14ac:dyDescent="0.3">
      <c r="A21" s="22" t="s">
        <v>20</v>
      </c>
      <c r="B21" s="570">
        <v>268.9751</v>
      </c>
      <c r="C21" s="263">
        <f t="shared" si="0"/>
        <v>268.9751</v>
      </c>
      <c r="F21" s="19" t="s">
        <v>693</v>
      </c>
      <c r="G21" s="22"/>
      <c r="H21" s="577" t="s">
        <v>10</v>
      </c>
      <c r="I21" s="577" t="s">
        <v>169</v>
      </c>
      <c r="J21" s="577">
        <v>10.180175240000001</v>
      </c>
      <c r="K21" s="116"/>
      <c r="L21" s="116" t="s">
        <v>31</v>
      </c>
      <c r="M21" s="669">
        <v>7110.29</v>
      </c>
      <c r="U21" s="227"/>
    </row>
    <row r="22" spans="1:22" x14ac:dyDescent="0.3">
      <c r="A22" s="22" t="s">
        <v>22</v>
      </c>
      <c r="B22" s="571">
        <v>476.35980000000001</v>
      </c>
      <c r="C22" s="263">
        <f t="shared" si="0"/>
        <v>476.35980000000001</v>
      </c>
      <c r="E22" s="18" t="s">
        <v>3</v>
      </c>
      <c r="F22" s="559">
        <v>264.71030496883299</v>
      </c>
      <c r="G22" s="22"/>
      <c r="H22" s="577" t="s">
        <v>35</v>
      </c>
      <c r="I22" s="577" t="s">
        <v>178</v>
      </c>
      <c r="J22" s="577">
        <v>31.39122661500004</v>
      </c>
      <c r="K22" s="116"/>
      <c r="L22" s="116" t="s">
        <v>32</v>
      </c>
      <c r="M22" s="669">
        <v>8032.6</v>
      </c>
      <c r="U22" s="227"/>
    </row>
    <row r="23" spans="1:22" x14ac:dyDescent="0.3">
      <c r="A23" s="22" t="s">
        <v>23</v>
      </c>
      <c r="B23" s="570">
        <v>758.77530000000002</v>
      </c>
      <c r="C23" s="263">
        <f t="shared" si="0"/>
        <v>758.77530000000002</v>
      </c>
      <c r="E23" s="18" t="s">
        <v>4</v>
      </c>
      <c r="F23" s="559">
        <v>10651.012025451901</v>
      </c>
      <c r="G23" s="22"/>
      <c r="H23" s="577" t="s">
        <v>35</v>
      </c>
      <c r="I23" s="577" t="s">
        <v>179</v>
      </c>
      <c r="J23" s="577">
        <v>22.544891804999978</v>
      </c>
      <c r="K23" s="116"/>
      <c r="L23" s="116" t="s">
        <v>73</v>
      </c>
      <c r="M23" s="669">
        <v>8516.73</v>
      </c>
      <c r="S23" s="226"/>
      <c r="T23" s="227"/>
      <c r="U23" s="227"/>
    </row>
    <row r="24" spans="1:22" x14ac:dyDescent="0.3">
      <c r="A24" s="22" t="s">
        <v>24</v>
      </c>
      <c r="B24" s="571">
        <v>1065.394</v>
      </c>
      <c r="C24" s="263">
        <f t="shared" si="0"/>
        <v>1065.394</v>
      </c>
      <c r="E24" s="18" t="s">
        <v>47</v>
      </c>
      <c r="F24" s="559">
        <v>117.5565</v>
      </c>
      <c r="G24" s="22"/>
      <c r="H24" s="577" t="s">
        <v>35</v>
      </c>
      <c r="I24" s="577" t="s">
        <v>180</v>
      </c>
      <c r="J24" s="577">
        <v>14.336603629999832</v>
      </c>
      <c r="K24" s="116"/>
      <c r="L24" s="116" t="s">
        <v>34</v>
      </c>
      <c r="M24" s="669">
        <v>6064.51</v>
      </c>
      <c r="S24" s="228"/>
      <c r="T24" s="229"/>
      <c r="U24" s="229"/>
      <c r="V24" s="63"/>
    </row>
    <row r="25" spans="1:22" x14ac:dyDescent="0.3">
      <c r="A25" s="22" t="s">
        <v>25</v>
      </c>
      <c r="B25" s="570">
        <v>3241.8319999999999</v>
      </c>
      <c r="C25" s="263">
        <f t="shared" si="0"/>
        <v>3241.8319999999999</v>
      </c>
      <c r="E25" s="18" t="s">
        <v>10</v>
      </c>
      <c r="F25" s="559">
        <v>7423.6117405591003</v>
      </c>
      <c r="G25" s="22"/>
      <c r="H25" s="577" t="s">
        <v>47</v>
      </c>
      <c r="I25" s="577" t="s">
        <v>182</v>
      </c>
      <c r="J25" s="577">
        <v>58.798749999999998</v>
      </c>
      <c r="K25" s="116"/>
      <c r="L25" s="116" t="s">
        <v>36</v>
      </c>
      <c r="M25" s="669">
        <v>7101.3899999999994</v>
      </c>
      <c r="S25" s="226"/>
      <c r="T25" s="227"/>
      <c r="U25" s="227"/>
    </row>
    <row r="26" spans="1:22" x14ac:dyDescent="0.3">
      <c r="A26" s="22" t="s">
        <v>71</v>
      </c>
      <c r="B26" s="570">
        <v>424.68549999999999</v>
      </c>
      <c r="C26" s="263">
        <f t="shared" si="0"/>
        <v>424.68549999999999</v>
      </c>
      <c r="E26" s="18" t="s">
        <v>14</v>
      </c>
      <c r="F26" s="559">
        <v>12011.309500477601</v>
      </c>
      <c r="G26" s="22"/>
      <c r="H26" s="577" t="s">
        <v>47</v>
      </c>
      <c r="I26" s="577" t="s">
        <v>183</v>
      </c>
      <c r="J26" s="577">
        <v>58.757750000000001</v>
      </c>
      <c r="K26" s="116"/>
      <c r="L26" s="116" t="s">
        <v>37</v>
      </c>
      <c r="M26" s="669">
        <v>7119.1450000000004</v>
      </c>
      <c r="S26" s="226"/>
      <c r="T26" s="227"/>
      <c r="U26" s="227"/>
    </row>
    <row r="27" spans="1:22" x14ac:dyDescent="0.3">
      <c r="A27" s="22" t="s">
        <v>51</v>
      </c>
      <c r="B27" s="571">
        <v>121.90170000000001</v>
      </c>
      <c r="C27" s="263">
        <f t="shared" si="0"/>
        <v>121.90170000000001</v>
      </c>
      <c r="E27" s="18" t="s">
        <v>17</v>
      </c>
      <c r="F27" s="559">
        <v>4421.4036502775998</v>
      </c>
      <c r="G27" s="22"/>
      <c r="H27" s="577" t="s">
        <v>35</v>
      </c>
      <c r="I27" s="577" t="s">
        <v>185</v>
      </c>
      <c r="J27" s="577">
        <v>57.404760124999974</v>
      </c>
      <c r="K27" s="116"/>
      <c r="L27" s="116" t="s">
        <v>38</v>
      </c>
      <c r="M27" s="669">
        <v>7648.28</v>
      </c>
      <c r="S27" s="226"/>
      <c r="T27" s="227"/>
      <c r="U27" s="227"/>
    </row>
    <row r="28" spans="1:22" x14ac:dyDescent="0.3">
      <c r="A28" s="22" t="s">
        <v>43</v>
      </c>
      <c r="B28" s="571">
        <v>4985.3580000000002</v>
      </c>
      <c r="C28" s="263">
        <f t="shared" si="0"/>
        <v>4985.3580000000002</v>
      </c>
      <c r="E28" s="18" t="s">
        <v>18</v>
      </c>
      <c r="F28" s="559">
        <v>1078.7414304141901</v>
      </c>
      <c r="G28" s="22"/>
      <c r="H28" s="577" t="s">
        <v>33</v>
      </c>
      <c r="I28" s="577" t="s">
        <v>394</v>
      </c>
      <c r="J28" s="577"/>
      <c r="K28" s="116"/>
      <c r="L28" s="116" t="s">
        <v>39</v>
      </c>
      <c r="M28" s="669">
        <v>7025.8</v>
      </c>
      <c r="S28" s="226"/>
      <c r="T28" s="227"/>
      <c r="U28" s="227"/>
    </row>
    <row r="29" spans="1:22" x14ac:dyDescent="0.3">
      <c r="A29" s="22" t="s">
        <v>48</v>
      </c>
      <c r="B29" s="571">
        <v>201.96279999999999</v>
      </c>
      <c r="C29" s="441">
        <f>B29-141.31</f>
        <v>60.652799999999985</v>
      </c>
      <c r="E29" s="18" t="s">
        <v>21</v>
      </c>
      <c r="F29" s="559">
        <v>655.45440152937101</v>
      </c>
      <c r="G29" s="22"/>
      <c r="H29" s="577" t="s">
        <v>17</v>
      </c>
      <c r="I29" s="577" t="s">
        <v>395</v>
      </c>
      <c r="J29" s="577">
        <v>899.74400000000003</v>
      </c>
      <c r="K29" s="116"/>
      <c r="L29" s="116" t="s">
        <v>40</v>
      </c>
      <c r="M29" s="669">
        <v>7159.68</v>
      </c>
      <c r="S29" s="226"/>
      <c r="T29" s="227"/>
      <c r="U29" s="227"/>
    </row>
    <row r="30" spans="1:22" x14ac:dyDescent="0.3">
      <c r="A30" s="22" t="s">
        <v>26</v>
      </c>
      <c r="B30" s="571">
        <v>528.91809999999998</v>
      </c>
      <c r="C30" s="263">
        <f t="shared" si="0"/>
        <v>528.91809999999998</v>
      </c>
      <c r="E30" s="18" t="s">
        <v>24</v>
      </c>
      <c r="F30" s="559">
        <v>422.62400000000002</v>
      </c>
      <c r="G30" s="22"/>
      <c r="H30" s="577" t="s">
        <v>3</v>
      </c>
      <c r="I30" s="577" t="s">
        <v>396</v>
      </c>
      <c r="J30" s="577">
        <v>0</v>
      </c>
      <c r="K30" s="116"/>
      <c r="L30" s="116" t="s">
        <v>41</v>
      </c>
      <c r="M30" s="669">
        <v>6150.98</v>
      </c>
      <c r="S30" s="226"/>
      <c r="T30" s="227"/>
      <c r="U30" s="227"/>
    </row>
    <row r="31" spans="1:22" x14ac:dyDescent="0.3">
      <c r="A31" s="22" t="s">
        <v>28</v>
      </c>
      <c r="B31" s="570">
        <v>4383.1869999999999</v>
      </c>
      <c r="C31" s="263">
        <f t="shared" si="0"/>
        <v>4383.1869999999999</v>
      </c>
      <c r="E31" s="18" t="s">
        <v>33</v>
      </c>
      <c r="F31" s="559">
        <v>971.44171391737405</v>
      </c>
      <c r="G31" s="22"/>
      <c r="H31" s="577" t="s">
        <v>33</v>
      </c>
      <c r="I31" s="577" t="s">
        <v>202</v>
      </c>
      <c r="J31" s="577">
        <v>135.39384414</v>
      </c>
      <c r="S31" s="226"/>
      <c r="T31" s="227"/>
      <c r="U31" s="227"/>
    </row>
    <row r="32" spans="1:22" x14ac:dyDescent="0.3">
      <c r="A32" s="22" t="s">
        <v>30</v>
      </c>
      <c r="B32" s="571">
        <v>53.554029999999997</v>
      </c>
      <c r="C32" s="263">
        <f t="shared" si="0"/>
        <v>53.554029999999997</v>
      </c>
      <c r="E32" s="22" t="s">
        <v>35</v>
      </c>
      <c r="F32" s="571">
        <v>1313.5164807685801</v>
      </c>
      <c r="G32" s="22"/>
      <c r="H32" s="577" t="s">
        <v>17</v>
      </c>
      <c r="I32" s="577" t="s">
        <v>203</v>
      </c>
      <c r="J32" s="577">
        <v>428.1456904499999</v>
      </c>
      <c r="S32" s="226"/>
      <c r="T32" s="227"/>
      <c r="U32" s="227"/>
    </row>
    <row r="33" spans="1:21" x14ac:dyDescent="0.3">
      <c r="A33" s="22" t="s">
        <v>31</v>
      </c>
      <c r="B33" s="570">
        <v>83.397450000000006</v>
      </c>
      <c r="C33" s="263">
        <f t="shared" si="0"/>
        <v>83.397450000000006</v>
      </c>
      <c r="E33" s="22" t="s">
        <v>680</v>
      </c>
      <c r="F33" s="571">
        <v>915.048</v>
      </c>
      <c r="G33" s="22"/>
      <c r="H33" s="577" t="s">
        <v>35</v>
      </c>
      <c r="I33" s="577" t="s">
        <v>206</v>
      </c>
      <c r="J33" s="577">
        <v>24.868844299999999</v>
      </c>
      <c r="S33" s="226"/>
      <c r="T33" s="227"/>
      <c r="U33" s="227"/>
    </row>
    <row r="34" spans="1:21" x14ac:dyDescent="0.3">
      <c r="A34" s="22" t="s">
        <v>32</v>
      </c>
      <c r="B34" s="570">
        <v>291.24799999999999</v>
      </c>
      <c r="C34" s="263">
        <f t="shared" si="0"/>
        <v>291.24799999999999</v>
      </c>
      <c r="E34" s="22"/>
      <c r="F34" s="22"/>
      <c r="G34" s="22"/>
      <c r="H34" s="577" t="s">
        <v>14</v>
      </c>
      <c r="I34" s="577" t="s">
        <v>212</v>
      </c>
      <c r="J34" s="577">
        <v>4513.1046075000049</v>
      </c>
      <c r="S34" s="226"/>
      <c r="T34" s="227"/>
      <c r="U34" s="227"/>
    </row>
    <row r="35" spans="1:21" x14ac:dyDescent="0.3">
      <c r="A35" s="22" t="s">
        <v>73</v>
      </c>
      <c r="B35" s="570">
        <v>773.01859999999999</v>
      </c>
      <c r="C35" s="263">
        <f t="shared" si="0"/>
        <v>773.01859999999999</v>
      </c>
      <c r="E35" s="22"/>
      <c r="F35" s="154" t="s">
        <v>794</v>
      </c>
      <c r="G35" s="22"/>
      <c r="H35" s="577" t="s">
        <v>33</v>
      </c>
      <c r="I35" s="577" t="s">
        <v>214</v>
      </c>
      <c r="J35" s="577">
        <v>90.454900000000137</v>
      </c>
      <c r="S35" s="226"/>
      <c r="T35" s="227"/>
      <c r="U35" s="230"/>
    </row>
    <row r="36" spans="1:21" x14ac:dyDescent="0.3">
      <c r="A36" s="22" t="s">
        <v>34</v>
      </c>
      <c r="B36" s="559">
        <v>305.84376700000001</v>
      </c>
      <c r="C36" s="263">
        <f t="shared" si="0"/>
        <v>305.84376700000001</v>
      </c>
      <c r="E36" s="22" t="s">
        <v>14</v>
      </c>
      <c r="F36" s="571">
        <v>1457.36307809713</v>
      </c>
      <c r="G36" s="22"/>
      <c r="H36" s="577" t="s">
        <v>35</v>
      </c>
      <c r="I36" s="577" t="s">
        <v>215</v>
      </c>
      <c r="J36" s="577">
        <v>161.48699857999966</v>
      </c>
      <c r="S36" s="226"/>
      <c r="T36" s="227"/>
      <c r="U36" s="230"/>
    </row>
    <row r="37" spans="1:21" x14ac:dyDescent="0.3">
      <c r="A37" s="22" t="s">
        <v>36</v>
      </c>
      <c r="B37" s="570">
        <v>1630.153</v>
      </c>
      <c r="C37" s="263">
        <f t="shared" si="0"/>
        <v>1630.153</v>
      </c>
      <c r="E37" s="22" t="s">
        <v>27</v>
      </c>
      <c r="F37" s="571">
        <v>47.479281498189003</v>
      </c>
      <c r="G37" s="22"/>
      <c r="H37" s="577" t="s">
        <v>35</v>
      </c>
      <c r="I37" s="577" t="s">
        <v>216</v>
      </c>
      <c r="J37" s="577">
        <v>16.482292375</v>
      </c>
      <c r="S37" s="226"/>
      <c r="T37" s="227"/>
      <c r="U37" s="227"/>
    </row>
    <row r="38" spans="1:21" x14ac:dyDescent="0.3">
      <c r="A38" s="22" t="s">
        <v>37</v>
      </c>
      <c r="B38" s="570">
        <v>8414.0769999999993</v>
      </c>
      <c r="C38" s="263">
        <f t="shared" si="0"/>
        <v>8414.0769999999993</v>
      </c>
      <c r="E38" s="22" t="s">
        <v>34</v>
      </c>
      <c r="F38" s="571">
        <v>100.279913008809</v>
      </c>
      <c r="G38" s="22"/>
      <c r="H38" s="577" t="s">
        <v>33</v>
      </c>
      <c r="I38" s="577" t="s">
        <v>221</v>
      </c>
      <c r="J38" s="577">
        <v>141.40069299999999</v>
      </c>
      <c r="S38" s="226"/>
      <c r="T38" s="227"/>
      <c r="U38" s="227"/>
    </row>
    <row r="39" spans="1:21" x14ac:dyDescent="0.3">
      <c r="A39" s="22" t="s">
        <v>38</v>
      </c>
      <c r="B39" s="570">
        <v>376.82319999999999</v>
      </c>
      <c r="C39" s="263">
        <f t="shared" si="0"/>
        <v>376.82319999999999</v>
      </c>
      <c r="E39" s="22" t="s">
        <v>35</v>
      </c>
      <c r="F39" s="571">
        <v>721.11473701456498</v>
      </c>
      <c r="G39" s="22"/>
      <c r="H39" s="577" t="s">
        <v>33</v>
      </c>
      <c r="I39" s="577" t="s">
        <v>223</v>
      </c>
      <c r="J39" s="577">
        <v>177.38407537499825</v>
      </c>
      <c r="S39" s="226"/>
      <c r="T39" s="227"/>
      <c r="U39" s="227"/>
    </row>
    <row r="40" spans="1:21" x14ac:dyDescent="0.3">
      <c r="A40" s="22" t="s">
        <v>39</v>
      </c>
      <c r="B40" s="570">
        <v>1244.671</v>
      </c>
      <c r="C40" s="263">
        <f t="shared" si="0"/>
        <v>1244.671</v>
      </c>
      <c r="G40" s="22"/>
      <c r="H40" s="577" t="s">
        <v>17</v>
      </c>
      <c r="I40" s="577" t="s">
        <v>231</v>
      </c>
      <c r="J40" s="577">
        <v>744.59018896000111</v>
      </c>
      <c r="S40" s="226"/>
      <c r="T40" s="227"/>
      <c r="U40" s="227"/>
    </row>
    <row r="41" spans="1:21" x14ac:dyDescent="0.3">
      <c r="A41" s="22" t="s">
        <v>40</v>
      </c>
      <c r="B41" s="570">
        <v>2464.46</v>
      </c>
      <c r="C41" s="263">
        <f t="shared" si="0"/>
        <v>2464.46</v>
      </c>
      <c r="E41" s="22"/>
      <c r="F41" s="22"/>
      <c r="G41" s="22"/>
      <c r="H41" s="577" t="s">
        <v>18</v>
      </c>
      <c r="I41" s="577" t="s">
        <v>237</v>
      </c>
      <c r="J41" s="577">
        <v>1078.7414309000001</v>
      </c>
      <c r="S41" s="226"/>
      <c r="T41" s="227"/>
      <c r="U41" s="227"/>
    </row>
    <row r="42" spans="1:21" x14ac:dyDescent="0.3">
      <c r="A42" s="22" t="s">
        <v>41</v>
      </c>
      <c r="B42" s="570">
        <v>283.42599999999999</v>
      </c>
      <c r="C42" s="441">
        <f>B42-12.33-22.676</f>
        <v>248.42000000000002</v>
      </c>
      <c r="E42" s="22"/>
      <c r="F42" s="22"/>
      <c r="G42" s="22"/>
      <c r="H42" s="577" t="s">
        <v>21</v>
      </c>
      <c r="I42" s="577" t="s">
        <v>239</v>
      </c>
      <c r="J42" s="577">
        <v>655.45440148</v>
      </c>
      <c r="S42" s="226"/>
      <c r="T42" s="227"/>
      <c r="U42" s="227"/>
    </row>
    <row r="43" spans="1:21" x14ac:dyDescent="0.3">
      <c r="A43" s="22" t="s">
        <v>42</v>
      </c>
      <c r="B43" s="571">
        <v>235.63059999999999</v>
      </c>
      <c r="C43" s="263">
        <f t="shared" si="0"/>
        <v>235.63059999999999</v>
      </c>
      <c r="E43" s="22"/>
      <c r="F43" s="22"/>
      <c r="G43" s="22"/>
      <c r="H43" s="577" t="s">
        <v>35</v>
      </c>
      <c r="I43" s="577" t="s">
        <v>245</v>
      </c>
      <c r="J43" s="577">
        <v>69.330939999999998</v>
      </c>
      <c r="S43" s="226"/>
      <c r="T43" s="227"/>
      <c r="U43" s="227"/>
    </row>
    <row r="44" spans="1:21" x14ac:dyDescent="0.3">
      <c r="A44" s="475" t="s">
        <v>29</v>
      </c>
      <c r="B44" s="570">
        <f>B35+B12+B26</f>
        <v>1455.6667</v>
      </c>
      <c r="C44" s="263">
        <f t="shared" si="0"/>
        <v>1455.6667</v>
      </c>
      <c r="E44" s="22"/>
      <c r="F44" s="22"/>
      <c r="G44" s="22"/>
      <c r="H44" s="577" t="s">
        <v>14</v>
      </c>
      <c r="I44" s="577" t="s">
        <v>247</v>
      </c>
      <c r="J44" s="577">
        <v>1060.8467964600088</v>
      </c>
      <c r="S44" s="226"/>
      <c r="T44" s="227"/>
      <c r="U44" s="227"/>
    </row>
    <row r="45" spans="1:21" x14ac:dyDescent="0.3">
      <c r="A45" s="18" t="s">
        <v>556</v>
      </c>
      <c r="B45" s="559">
        <v>262.25099999999998</v>
      </c>
      <c r="C45" s="263">
        <f t="shared" si="0"/>
        <v>262.25099999999998</v>
      </c>
      <c r="E45" s="22"/>
      <c r="F45" s="22"/>
      <c r="G45" s="22"/>
      <c r="H45" s="577" t="s">
        <v>14</v>
      </c>
      <c r="I45" s="577" t="s">
        <v>248</v>
      </c>
      <c r="J45" s="577">
        <v>903.8088298799961</v>
      </c>
      <c r="S45" s="226"/>
      <c r="T45" s="227"/>
      <c r="U45" s="227"/>
    </row>
    <row r="46" spans="1:21" x14ac:dyDescent="0.3">
      <c r="A46" s="18" t="s">
        <v>677</v>
      </c>
      <c r="B46" s="559">
        <f>52.503683*1.05</f>
        <v>55.128867150000005</v>
      </c>
      <c r="C46" s="263">
        <f t="shared" si="0"/>
        <v>55.128867150000005</v>
      </c>
      <c r="E46" s="22"/>
      <c r="F46" s="22"/>
      <c r="G46" s="22"/>
      <c r="H46" s="577" t="s">
        <v>14</v>
      </c>
      <c r="I46" s="577" t="s">
        <v>249</v>
      </c>
      <c r="J46" s="577">
        <v>883.75118181499374</v>
      </c>
      <c r="S46" s="226"/>
      <c r="T46" s="227"/>
      <c r="U46" s="227"/>
    </row>
    <row r="47" spans="1:21" x14ac:dyDescent="0.3">
      <c r="A47" s="225"/>
      <c r="H47" s="577" t="s">
        <v>17</v>
      </c>
      <c r="I47" s="577" t="s">
        <v>250</v>
      </c>
      <c r="J47" s="577">
        <v>276.88390649499996</v>
      </c>
      <c r="S47" s="226"/>
      <c r="T47" s="227"/>
      <c r="U47" s="230"/>
    </row>
    <row r="48" spans="1:21" x14ac:dyDescent="0.3">
      <c r="A48" s="516" t="s">
        <v>506</v>
      </c>
      <c r="B48" s="61">
        <f>SUM(B2:B43)+SUM(B45:B46)</f>
        <v>40449.826454149988</v>
      </c>
      <c r="C48" s="61"/>
      <c r="H48" s="577" t="s">
        <v>4</v>
      </c>
      <c r="I48" s="577" t="s">
        <v>251</v>
      </c>
      <c r="J48" s="577">
        <v>272.732505</v>
      </c>
      <c r="S48" s="226"/>
      <c r="T48" s="227"/>
      <c r="U48" s="227"/>
    </row>
    <row r="49" spans="6:21" x14ac:dyDescent="0.3">
      <c r="H49" s="577" t="s">
        <v>4</v>
      </c>
      <c r="I49" s="577" t="s">
        <v>397</v>
      </c>
      <c r="J49" s="577">
        <v>0</v>
      </c>
    </row>
    <row r="50" spans="6:21" x14ac:dyDescent="0.3">
      <c r="H50" s="577" t="s">
        <v>4</v>
      </c>
      <c r="I50" s="577" t="s">
        <v>268</v>
      </c>
      <c r="J50" s="577">
        <v>394.27901500000002</v>
      </c>
    </row>
    <row r="51" spans="6:21" x14ac:dyDescent="0.3">
      <c r="H51" s="577" t="s">
        <v>35</v>
      </c>
      <c r="I51" s="577" t="s">
        <v>278</v>
      </c>
      <c r="J51" s="577">
        <v>56.036099999999998</v>
      </c>
    </row>
    <row r="52" spans="6:21" x14ac:dyDescent="0.3">
      <c r="F52" s="31"/>
      <c r="H52" s="577" t="s">
        <v>4</v>
      </c>
      <c r="I52" s="577" t="s">
        <v>279</v>
      </c>
      <c r="J52" s="577">
        <v>498.34228905003818</v>
      </c>
    </row>
    <row r="53" spans="6:21" x14ac:dyDescent="0.3">
      <c r="H53" s="577" t="s">
        <v>4</v>
      </c>
      <c r="I53" s="577" t="s">
        <v>280</v>
      </c>
      <c r="J53" s="577">
        <v>1267.0147090499938</v>
      </c>
      <c r="T53" s="223"/>
      <c r="U53" s="83"/>
    </row>
    <row r="54" spans="6:21" x14ac:dyDescent="0.3">
      <c r="H54" s="577" t="s">
        <v>10</v>
      </c>
      <c r="I54" s="577" t="s">
        <v>281</v>
      </c>
      <c r="J54" s="577">
        <v>530.56640910000021</v>
      </c>
    </row>
    <row r="55" spans="6:21" x14ac:dyDescent="0.3">
      <c r="H55" s="577" t="s">
        <v>4</v>
      </c>
      <c r="I55" s="577" t="s">
        <v>286</v>
      </c>
      <c r="J55" s="577">
        <v>163.12063279999975</v>
      </c>
    </row>
    <row r="56" spans="6:21" x14ac:dyDescent="0.3">
      <c r="H56" s="577" t="s">
        <v>4</v>
      </c>
      <c r="I56" s="577" t="s">
        <v>287</v>
      </c>
      <c r="J56" s="577">
        <v>166.54496210500017</v>
      </c>
    </row>
    <row r="57" spans="6:21" x14ac:dyDescent="0.3">
      <c r="H57" s="577" t="s">
        <v>4</v>
      </c>
      <c r="I57" s="577" t="s">
        <v>288</v>
      </c>
      <c r="J57" s="577">
        <v>2606.2560129000017</v>
      </c>
    </row>
    <row r="58" spans="6:21" x14ac:dyDescent="0.3">
      <c r="H58" s="577" t="s">
        <v>35</v>
      </c>
      <c r="I58" s="577" t="s">
        <v>290</v>
      </c>
      <c r="J58" s="577">
        <v>178.12703954000008</v>
      </c>
    </row>
    <row r="59" spans="6:21" x14ac:dyDescent="0.3">
      <c r="H59" s="577" t="s">
        <v>17</v>
      </c>
      <c r="I59" s="577" t="s">
        <v>398</v>
      </c>
      <c r="J59" s="577">
        <v>0</v>
      </c>
    </row>
    <row r="60" spans="6:21" x14ac:dyDescent="0.3">
      <c r="H60" s="577" t="s">
        <v>17</v>
      </c>
      <c r="I60" s="577" t="s">
        <v>295</v>
      </c>
      <c r="J60" s="577">
        <v>27.377792149999994</v>
      </c>
    </row>
    <row r="61" spans="6:21" x14ac:dyDescent="0.3">
      <c r="H61" s="577" t="s">
        <v>35</v>
      </c>
      <c r="I61" s="577" t="s">
        <v>299</v>
      </c>
      <c r="J61" s="577">
        <v>153.24485000000004</v>
      </c>
    </row>
    <row r="62" spans="6:21" x14ac:dyDescent="0.3">
      <c r="H62" s="577" t="s">
        <v>4</v>
      </c>
      <c r="I62" s="577" t="s">
        <v>301</v>
      </c>
      <c r="J62" s="577">
        <v>459.44272626500003</v>
      </c>
    </row>
    <row r="63" spans="6:21" x14ac:dyDescent="0.3">
      <c r="H63" s="577" t="s">
        <v>4</v>
      </c>
      <c r="I63" s="577" t="s">
        <v>302</v>
      </c>
      <c r="J63" s="577">
        <v>459.3073273</v>
      </c>
    </row>
    <row r="64" spans="6:21" x14ac:dyDescent="0.3">
      <c r="H64" s="577" t="s">
        <v>10</v>
      </c>
      <c r="I64" s="577" t="s">
        <v>399</v>
      </c>
      <c r="J64" s="577">
        <v>0</v>
      </c>
    </row>
    <row r="65" spans="8:10" x14ac:dyDescent="0.3">
      <c r="H65" s="577" t="s">
        <v>10</v>
      </c>
      <c r="I65" s="577" t="s">
        <v>304</v>
      </c>
      <c r="J65" s="577">
        <v>51.151683320001034</v>
      </c>
    </row>
    <row r="66" spans="8:10" x14ac:dyDescent="0.3">
      <c r="H66" s="577" t="s">
        <v>10</v>
      </c>
      <c r="I66" s="577" t="s">
        <v>400</v>
      </c>
      <c r="J66" s="577">
        <v>0</v>
      </c>
    </row>
    <row r="67" spans="8:10" x14ac:dyDescent="0.3">
      <c r="H67" s="577" t="s">
        <v>10</v>
      </c>
      <c r="I67" s="577" t="s">
        <v>305</v>
      </c>
      <c r="J67" s="577">
        <v>795.29663079998124</v>
      </c>
    </row>
    <row r="68" spans="8:10" x14ac:dyDescent="0.3">
      <c r="H68" s="577" t="s">
        <v>10</v>
      </c>
      <c r="I68" s="577" t="s">
        <v>309</v>
      </c>
      <c r="J68" s="577">
        <v>599.30407976499782</v>
      </c>
    </row>
    <row r="69" spans="8:10" x14ac:dyDescent="0.3">
      <c r="H69" s="577" t="s">
        <v>10</v>
      </c>
      <c r="I69" s="577" t="s">
        <v>318</v>
      </c>
      <c r="J69" s="577">
        <v>82.35616998000458</v>
      </c>
    </row>
    <row r="70" spans="8:10" x14ac:dyDescent="0.3">
      <c r="H70" s="577" t="s">
        <v>10</v>
      </c>
      <c r="I70" s="577" t="s">
        <v>319</v>
      </c>
      <c r="J70" s="577">
        <v>136.43332245998818</v>
      </c>
    </row>
    <row r="71" spans="8:10" x14ac:dyDescent="0.3">
      <c r="H71" s="577" t="s">
        <v>10</v>
      </c>
      <c r="I71" s="577" t="s">
        <v>320</v>
      </c>
      <c r="J71" s="577">
        <v>182.38105642499457</v>
      </c>
    </row>
    <row r="72" spans="8:10" x14ac:dyDescent="0.3">
      <c r="H72" s="577" t="s">
        <v>4</v>
      </c>
      <c r="I72" s="577" t="s">
        <v>323</v>
      </c>
      <c r="J72" s="577">
        <v>297.69103500000006</v>
      </c>
    </row>
    <row r="73" spans="8:10" x14ac:dyDescent="0.3">
      <c r="H73" s="577" t="s">
        <v>4</v>
      </c>
      <c r="I73" s="577" t="s">
        <v>335</v>
      </c>
      <c r="J73" s="577">
        <v>0.88031785999999979</v>
      </c>
    </row>
    <row r="74" spans="8:10" x14ac:dyDescent="0.3">
      <c r="H74" s="577" t="s">
        <v>16</v>
      </c>
      <c r="I74" s="577" t="s">
        <v>340</v>
      </c>
      <c r="J74" s="577">
        <v>915.048</v>
      </c>
    </row>
    <row r="75" spans="8:10" x14ac:dyDescent="0.3">
      <c r="H75" s="577" t="s">
        <v>17</v>
      </c>
      <c r="I75" s="577" t="s">
        <v>341</v>
      </c>
      <c r="J75" s="577">
        <v>413.43386354500046</v>
      </c>
    </row>
    <row r="76" spans="8:10" x14ac:dyDescent="0.3">
      <c r="H76" s="577" t="s">
        <v>17</v>
      </c>
      <c r="I76" s="577" t="s">
        <v>343</v>
      </c>
      <c r="J76" s="577">
        <v>205.38359761500072</v>
      </c>
    </row>
    <row r="77" spans="8:10" x14ac:dyDescent="0.3">
      <c r="H77" s="577" t="s">
        <v>17</v>
      </c>
      <c r="I77" s="577" t="s">
        <v>350</v>
      </c>
      <c r="J77" s="577">
        <v>236.14349999999999</v>
      </c>
    </row>
    <row r="78" spans="8:10" x14ac:dyDescent="0.3">
      <c r="H78" s="577" t="s">
        <v>4</v>
      </c>
      <c r="I78" s="577" t="s">
        <v>351</v>
      </c>
      <c r="J78" s="577">
        <v>210.61750000000001</v>
      </c>
    </row>
    <row r="79" spans="8:10" x14ac:dyDescent="0.3">
      <c r="H79" s="577" t="s">
        <v>4</v>
      </c>
      <c r="I79" s="577" t="s">
        <v>352</v>
      </c>
      <c r="J79" s="577">
        <v>1578.665</v>
      </c>
    </row>
    <row r="80" spans="8:10" x14ac:dyDescent="0.3">
      <c r="H80" s="577" t="s">
        <v>14</v>
      </c>
      <c r="I80" s="577" t="s">
        <v>354</v>
      </c>
      <c r="J80" s="577">
        <v>557.59220314999993</v>
      </c>
    </row>
    <row r="86" spans="5:6" x14ac:dyDescent="0.3">
      <c r="E86" s="116"/>
      <c r="F86" s="116"/>
    </row>
    <row r="87" spans="5:6" x14ac:dyDescent="0.3">
      <c r="E87" s="116"/>
      <c r="F87" s="116"/>
    </row>
    <row r="88" spans="5:6" x14ac:dyDescent="0.3">
      <c r="E88" s="116"/>
      <c r="F88" s="116"/>
    </row>
    <row r="89" spans="5:6" x14ac:dyDescent="0.3">
      <c r="E89" s="116"/>
      <c r="F89" s="116"/>
    </row>
    <row r="90" spans="5:6" x14ac:dyDescent="0.3">
      <c r="E90" s="116"/>
      <c r="F90" s="116"/>
    </row>
    <row r="91" spans="5:6" x14ac:dyDescent="0.3">
      <c r="E91" s="116"/>
      <c r="F91" s="116"/>
    </row>
    <row r="92" spans="5:6" x14ac:dyDescent="0.3">
      <c r="E92" s="116"/>
      <c r="F92" s="116"/>
    </row>
    <row r="93" spans="5:6" x14ac:dyDescent="0.3">
      <c r="E93" s="116"/>
      <c r="F93" s="116"/>
    </row>
    <row r="94" spans="5:6" x14ac:dyDescent="0.3">
      <c r="E94" s="116"/>
      <c r="F94" s="116"/>
    </row>
    <row r="95" spans="5:6" x14ac:dyDescent="0.3">
      <c r="E95" s="116"/>
      <c r="F95" s="116"/>
    </row>
    <row r="96" spans="5:6" x14ac:dyDescent="0.3">
      <c r="E96" s="116"/>
      <c r="F96" s="116"/>
    </row>
    <row r="97" spans="5:6" x14ac:dyDescent="0.3">
      <c r="E97" s="116"/>
      <c r="F97" s="116"/>
    </row>
    <row r="98" spans="5:6" x14ac:dyDescent="0.3">
      <c r="E98" s="116"/>
      <c r="F98" s="116"/>
    </row>
    <row r="99" spans="5:6" x14ac:dyDescent="0.3">
      <c r="E99" s="116"/>
      <c r="F99" s="116"/>
    </row>
    <row r="100" spans="5:6" x14ac:dyDescent="0.3">
      <c r="E100" s="120"/>
      <c r="F100" s="116"/>
    </row>
    <row r="101" spans="5:6" x14ac:dyDescent="0.3">
      <c r="E101" s="116"/>
      <c r="F101" s="116"/>
    </row>
    <row r="102" spans="5:6" x14ac:dyDescent="0.3">
      <c r="E102" s="116"/>
      <c r="F102" s="116"/>
    </row>
    <row r="103" spans="5:6" x14ac:dyDescent="0.3">
      <c r="E103" s="116"/>
      <c r="F103" s="116"/>
    </row>
    <row r="104" spans="5:6" x14ac:dyDescent="0.3">
      <c r="E104" s="116"/>
      <c r="F104" s="116"/>
    </row>
    <row r="105" spans="5:6" x14ac:dyDescent="0.3">
      <c r="E105" s="116"/>
      <c r="F105" s="116"/>
    </row>
    <row r="106" spans="5:6" x14ac:dyDescent="0.3">
      <c r="E106" s="116"/>
      <c r="F106" s="116"/>
    </row>
    <row r="107" spans="5:6" x14ac:dyDescent="0.3">
      <c r="E107" s="116"/>
      <c r="F107" s="116"/>
    </row>
    <row r="108" spans="5:6" x14ac:dyDescent="0.3">
      <c r="E108" s="116"/>
      <c r="F108" s="116"/>
    </row>
    <row r="109" spans="5:6" x14ac:dyDescent="0.3">
      <c r="E109" s="116"/>
      <c r="F109" s="116"/>
    </row>
    <row r="110" spans="5:6" x14ac:dyDescent="0.3">
      <c r="E110" s="116"/>
      <c r="F110" s="116"/>
    </row>
    <row r="111" spans="5:6" x14ac:dyDescent="0.3">
      <c r="E111" s="116"/>
      <c r="F111" s="116"/>
    </row>
    <row r="112" spans="5:6" x14ac:dyDescent="0.3">
      <c r="E112" s="116"/>
      <c r="F112" s="116"/>
    </row>
    <row r="113" spans="5:6" x14ac:dyDescent="0.3">
      <c r="E113" s="116"/>
      <c r="F113" s="116"/>
    </row>
    <row r="114" spans="5:6" x14ac:dyDescent="0.3">
      <c r="E114" s="116"/>
      <c r="F114" s="116"/>
    </row>
    <row r="115" spans="5:6" x14ac:dyDescent="0.3">
      <c r="E115" s="116"/>
      <c r="F115" s="116"/>
    </row>
    <row r="116" spans="5:6" x14ac:dyDescent="0.3">
      <c r="E116" s="116"/>
      <c r="F116" s="116"/>
    </row>
    <row r="117" spans="5:6" x14ac:dyDescent="0.3">
      <c r="E117" s="116"/>
      <c r="F117" s="116"/>
    </row>
    <row r="118" spans="5:6" x14ac:dyDescent="0.3">
      <c r="E118" s="116"/>
      <c r="F118" s="116"/>
    </row>
    <row r="119" spans="5:6" x14ac:dyDescent="0.3">
      <c r="E119" s="116"/>
      <c r="F119" s="116"/>
    </row>
    <row r="120" spans="5:6" x14ac:dyDescent="0.3">
      <c r="E120" s="116"/>
      <c r="F120" s="116"/>
    </row>
    <row r="121" spans="5:6" x14ac:dyDescent="0.3">
      <c r="E121" s="116"/>
      <c r="F121" s="116"/>
    </row>
    <row r="122" spans="5:6" x14ac:dyDescent="0.3">
      <c r="E122" s="116"/>
      <c r="F122" s="116"/>
    </row>
    <row r="123" spans="5:6" x14ac:dyDescent="0.3">
      <c r="E123" s="116"/>
      <c r="F123" s="116"/>
    </row>
    <row r="124" spans="5:6" x14ac:dyDescent="0.3">
      <c r="E124" s="116"/>
      <c r="F124" s="116"/>
    </row>
    <row r="125" spans="5:6" x14ac:dyDescent="0.3">
      <c r="E125" s="116"/>
      <c r="F125" s="116"/>
    </row>
    <row r="126" spans="5:6" x14ac:dyDescent="0.3">
      <c r="E126" s="116"/>
      <c r="F126" s="116"/>
    </row>
    <row r="127" spans="5:6" x14ac:dyDescent="0.3">
      <c r="E127" s="116"/>
      <c r="F127" s="116"/>
    </row>
    <row r="128" spans="5:6" x14ac:dyDescent="0.3">
      <c r="E128" s="116"/>
      <c r="F128" s="116"/>
    </row>
    <row r="129" spans="5:6" x14ac:dyDescent="0.3">
      <c r="E129" s="116"/>
      <c r="F129" s="116"/>
    </row>
    <row r="130" spans="5:6" x14ac:dyDescent="0.3">
      <c r="E130" s="116"/>
      <c r="F130" s="116"/>
    </row>
    <row r="131" spans="5:6" x14ac:dyDescent="0.3">
      <c r="E131" s="116"/>
      <c r="F131" s="116"/>
    </row>
    <row r="132" spans="5:6" x14ac:dyDescent="0.3">
      <c r="E132" s="116"/>
      <c r="F132" s="116"/>
    </row>
    <row r="133" spans="5:6" x14ac:dyDescent="0.3">
      <c r="E133" s="120"/>
      <c r="F133" s="116"/>
    </row>
    <row r="134" spans="5:6" x14ac:dyDescent="0.3">
      <c r="E134" s="116"/>
      <c r="F134" s="116"/>
    </row>
    <row r="135" spans="5:6" x14ac:dyDescent="0.3">
      <c r="E135" s="116"/>
      <c r="F135" s="116"/>
    </row>
    <row r="136" spans="5:6" x14ac:dyDescent="0.3">
      <c r="E136" s="120"/>
      <c r="F136" s="116"/>
    </row>
    <row r="137" spans="5:6" x14ac:dyDescent="0.3">
      <c r="E137" s="116"/>
      <c r="F137" s="116"/>
    </row>
    <row r="138" spans="5:6" x14ac:dyDescent="0.3">
      <c r="E138" s="116"/>
      <c r="F138" s="116"/>
    </row>
    <row r="139" spans="5:6" x14ac:dyDescent="0.3">
      <c r="E139" s="116"/>
      <c r="F139" s="116"/>
    </row>
    <row r="140" spans="5:6" x14ac:dyDescent="0.3">
      <c r="E140" s="116"/>
      <c r="F140" s="116"/>
    </row>
    <row r="141" spans="5:6" x14ac:dyDescent="0.3">
      <c r="E141" s="116"/>
      <c r="F141" s="116"/>
    </row>
    <row r="142" spans="5:6" x14ac:dyDescent="0.3">
      <c r="E142" s="116"/>
      <c r="F142" s="116"/>
    </row>
    <row r="143" spans="5:6" x14ac:dyDescent="0.3">
      <c r="E143" s="116"/>
      <c r="F143" s="116"/>
    </row>
    <row r="144" spans="5:6" x14ac:dyDescent="0.3">
      <c r="E144" s="116"/>
      <c r="F144" s="116"/>
    </row>
    <row r="145" spans="5:6" x14ac:dyDescent="0.3">
      <c r="E145" s="116"/>
      <c r="F145" s="116"/>
    </row>
    <row r="146" spans="5:6" x14ac:dyDescent="0.3">
      <c r="E146" s="116"/>
      <c r="F146" s="116"/>
    </row>
    <row r="147" spans="5:6" x14ac:dyDescent="0.3">
      <c r="E147" s="116"/>
      <c r="F147" s="116"/>
    </row>
    <row r="148" spans="5:6" x14ac:dyDescent="0.3">
      <c r="E148" s="116"/>
      <c r="F148" s="116"/>
    </row>
    <row r="149" spans="5:6" x14ac:dyDescent="0.3">
      <c r="E149" s="116"/>
      <c r="F149" s="116"/>
    </row>
    <row r="150" spans="5:6" x14ac:dyDescent="0.3">
      <c r="E150" s="116"/>
      <c r="F150" s="116"/>
    </row>
    <row r="151" spans="5:6" x14ac:dyDescent="0.3">
      <c r="E151" s="116"/>
      <c r="F151" s="116"/>
    </row>
    <row r="152" spans="5:6" x14ac:dyDescent="0.3">
      <c r="E152" s="116"/>
      <c r="F152" s="116"/>
    </row>
    <row r="153" spans="5:6" x14ac:dyDescent="0.3">
      <c r="E153" s="116"/>
      <c r="F153" s="116"/>
    </row>
    <row r="154" spans="5:6" x14ac:dyDescent="0.3">
      <c r="E154" s="116"/>
      <c r="F154" s="116"/>
    </row>
    <row r="155" spans="5:6" x14ac:dyDescent="0.3">
      <c r="E155" s="116"/>
      <c r="F155" s="116"/>
    </row>
    <row r="156" spans="5:6" x14ac:dyDescent="0.3">
      <c r="E156" s="116"/>
      <c r="F156" s="116"/>
    </row>
    <row r="157" spans="5:6" x14ac:dyDescent="0.3">
      <c r="E157" s="116"/>
      <c r="F157" s="116"/>
    </row>
    <row r="158" spans="5:6" x14ac:dyDescent="0.3">
      <c r="E158" s="116"/>
      <c r="F158" s="116"/>
    </row>
    <row r="159" spans="5:6" x14ac:dyDescent="0.3">
      <c r="E159" s="116"/>
      <c r="F159" s="116"/>
    </row>
    <row r="160" spans="5:6" x14ac:dyDescent="0.3">
      <c r="E160" s="116"/>
      <c r="F160" s="116"/>
    </row>
    <row r="161" spans="5:6" x14ac:dyDescent="0.3">
      <c r="E161" s="116"/>
      <c r="F161" s="116"/>
    </row>
    <row r="162" spans="5:6" x14ac:dyDescent="0.3">
      <c r="E162" s="116"/>
      <c r="F162" s="116"/>
    </row>
    <row r="163" spans="5:6" x14ac:dyDescent="0.3">
      <c r="E163" s="116"/>
      <c r="F163" s="116"/>
    </row>
    <row r="164" spans="5:6" x14ac:dyDescent="0.3">
      <c r="E164" s="116"/>
      <c r="F164" s="116"/>
    </row>
    <row r="165" spans="5:6" x14ac:dyDescent="0.3">
      <c r="E165" s="120"/>
      <c r="F165" s="116"/>
    </row>
    <row r="166" spans="5:6" x14ac:dyDescent="0.3">
      <c r="E166" s="116"/>
      <c r="F166" s="116"/>
    </row>
    <row r="167" spans="5:6" x14ac:dyDescent="0.3">
      <c r="E167" s="120"/>
      <c r="F167" s="116"/>
    </row>
    <row r="168" spans="5:6" x14ac:dyDescent="0.3">
      <c r="E168" s="120"/>
      <c r="F168" s="120"/>
    </row>
    <row r="169" spans="5:6" x14ac:dyDescent="0.3">
      <c r="E169" s="120"/>
      <c r="F169" s="120"/>
    </row>
    <row r="170" spans="5:6" x14ac:dyDescent="0.3">
      <c r="E170" s="116"/>
      <c r="F170" s="116"/>
    </row>
    <row r="171" spans="5:6" x14ac:dyDescent="0.3">
      <c r="E171" s="116"/>
      <c r="F171" s="116"/>
    </row>
    <row r="172" spans="5:6" x14ac:dyDescent="0.3">
      <c r="E172" s="116"/>
      <c r="F172" s="116"/>
    </row>
    <row r="173" spans="5:6" x14ac:dyDescent="0.3">
      <c r="E173" s="116"/>
      <c r="F173" s="116"/>
    </row>
    <row r="174" spans="5:6" x14ac:dyDescent="0.3">
      <c r="E174" s="116"/>
      <c r="F174" s="116"/>
    </row>
    <row r="175" spans="5:6" x14ac:dyDescent="0.3">
      <c r="E175" s="116"/>
      <c r="F175" s="116"/>
    </row>
    <row r="176" spans="5:6" x14ac:dyDescent="0.3">
      <c r="E176" s="116"/>
      <c r="F176" s="116"/>
    </row>
    <row r="177" spans="5:6" x14ac:dyDescent="0.3">
      <c r="E177" s="116"/>
      <c r="F177" s="116"/>
    </row>
    <row r="178" spans="5:6" x14ac:dyDescent="0.3">
      <c r="E178" s="116"/>
      <c r="F178" s="116"/>
    </row>
    <row r="179" spans="5:6" x14ac:dyDescent="0.3">
      <c r="E179" s="116"/>
      <c r="F179" s="116"/>
    </row>
    <row r="180" spans="5:6" x14ac:dyDescent="0.3">
      <c r="E180" s="116"/>
      <c r="F180" s="116"/>
    </row>
    <row r="181" spans="5:6" x14ac:dyDescent="0.3">
      <c r="E181" s="116"/>
      <c r="F181" s="116"/>
    </row>
    <row r="182" spans="5:6" x14ac:dyDescent="0.3">
      <c r="E182" s="116"/>
      <c r="F182" s="116"/>
    </row>
    <row r="183" spans="5:6" x14ac:dyDescent="0.3">
      <c r="E183" s="116"/>
      <c r="F183" s="116"/>
    </row>
    <row r="184" spans="5:6" x14ac:dyDescent="0.3">
      <c r="E184" s="116"/>
      <c r="F184" s="116"/>
    </row>
    <row r="185" spans="5:6" x14ac:dyDescent="0.3">
      <c r="E185" s="116"/>
      <c r="F185" s="116"/>
    </row>
    <row r="186" spans="5:6" x14ac:dyDescent="0.3">
      <c r="E186" s="116"/>
      <c r="F186" s="116"/>
    </row>
    <row r="187" spans="5:6" x14ac:dyDescent="0.3">
      <c r="E187" s="116"/>
      <c r="F187" s="116"/>
    </row>
    <row r="188" spans="5:6" x14ac:dyDescent="0.3">
      <c r="E188" s="116"/>
      <c r="F188" s="116"/>
    </row>
    <row r="189" spans="5:6" x14ac:dyDescent="0.3">
      <c r="E189" s="116"/>
      <c r="F189" s="116"/>
    </row>
    <row r="190" spans="5:6" x14ac:dyDescent="0.3">
      <c r="E190" s="116"/>
      <c r="F190" s="116"/>
    </row>
    <row r="191" spans="5:6" x14ac:dyDescent="0.3">
      <c r="E191" s="116"/>
      <c r="F191" s="116"/>
    </row>
    <row r="192" spans="5:6" x14ac:dyDescent="0.3">
      <c r="E192" s="116"/>
      <c r="F192" s="116"/>
    </row>
    <row r="193" spans="5:6" x14ac:dyDescent="0.3">
      <c r="E193" s="116"/>
      <c r="F193" s="116"/>
    </row>
    <row r="194" spans="5:6" x14ac:dyDescent="0.3">
      <c r="E194" s="116"/>
      <c r="F194" s="116"/>
    </row>
    <row r="195" spans="5:6" x14ac:dyDescent="0.3">
      <c r="E195" s="116"/>
      <c r="F195" s="116"/>
    </row>
    <row r="196" spans="5:6" x14ac:dyDescent="0.3">
      <c r="E196" s="116"/>
      <c r="F196" s="116"/>
    </row>
    <row r="197" spans="5:6" x14ac:dyDescent="0.3">
      <c r="E197" s="116"/>
      <c r="F197" s="116"/>
    </row>
    <row r="198" spans="5:6" x14ac:dyDescent="0.3">
      <c r="E198" s="116"/>
      <c r="F198" s="116"/>
    </row>
    <row r="199" spans="5:6" x14ac:dyDescent="0.3">
      <c r="E199" s="116"/>
      <c r="F199" s="116"/>
    </row>
    <row r="200" spans="5:6" x14ac:dyDescent="0.3">
      <c r="E200" s="116"/>
      <c r="F200" s="116"/>
    </row>
    <row r="201" spans="5:6" x14ac:dyDescent="0.3">
      <c r="E201" s="116"/>
      <c r="F201" s="116"/>
    </row>
    <row r="202" spans="5:6" x14ac:dyDescent="0.3">
      <c r="E202" s="120"/>
      <c r="F202" s="120"/>
    </row>
    <row r="203" spans="5:6" x14ac:dyDescent="0.3">
      <c r="E203" s="116"/>
      <c r="F203" s="116"/>
    </row>
    <row r="204" spans="5:6" x14ac:dyDescent="0.3">
      <c r="E204" s="116"/>
      <c r="F204" s="116"/>
    </row>
    <row r="205" spans="5:6" x14ac:dyDescent="0.3">
      <c r="E205" s="116"/>
      <c r="F205" s="116"/>
    </row>
    <row r="206" spans="5:6" x14ac:dyDescent="0.3">
      <c r="E206" s="116"/>
      <c r="F206" s="116"/>
    </row>
    <row r="207" spans="5:6" x14ac:dyDescent="0.3">
      <c r="E207" s="116"/>
      <c r="F207" s="116"/>
    </row>
    <row r="208" spans="5:6" x14ac:dyDescent="0.3">
      <c r="E208" s="116"/>
      <c r="F208" s="116"/>
    </row>
    <row r="209" spans="5:6" x14ac:dyDescent="0.3">
      <c r="E209" s="116"/>
      <c r="F209" s="116"/>
    </row>
    <row r="210" spans="5:6" x14ac:dyDescent="0.3">
      <c r="E210" s="116"/>
      <c r="F210" s="116"/>
    </row>
    <row r="211" spans="5:6" x14ac:dyDescent="0.3">
      <c r="E211" s="116"/>
      <c r="F211" s="116"/>
    </row>
    <row r="212" spans="5:6" x14ac:dyDescent="0.3">
      <c r="E212" s="116"/>
      <c r="F212" s="116"/>
    </row>
    <row r="213" spans="5:6" x14ac:dyDescent="0.3">
      <c r="E213" s="116"/>
      <c r="F213" s="116"/>
    </row>
    <row r="214" spans="5:6" x14ac:dyDescent="0.3">
      <c r="E214" s="116"/>
      <c r="F214" s="116"/>
    </row>
    <row r="215" spans="5:6" x14ac:dyDescent="0.3">
      <c r="E215" s="116"/>
      <c r="F215" s="116"/>
    </row>
    <row r="216" spans="5:6" x14ac:dyDescent="0.3">
      <c r="E216" s="116"/>
      <c r="F216" s="116"/>
    </row>
    <row r="217" spans="5:6" x14ac:dyDescent="0.3">
      <c r="E217" s="116"/>
      <c r="F217" s="116"/>
    </row>
    <row r="218" spans="5:6" x14ac:dyDescent="0.3">
      <c r="E218" s="116"/>
      <c r="F218" s="116"/>
    </row>
    <row r="219" spans="5:6" x14ac:dyDescent="0.3">
      <c r="E219" s="116"/>
      <c r="F219" s="116"/>
    </row>
    <row r="220" spans="5:6" x14ac:dyDescent="0.3">
      <c r="E220" s="116"/>
      <c r="F220" s="116"/>
    </row>
    <row r="221" spans="5:6" x14ac:dyDescent="0.3">
      <c r="E221" s="116"/>
      <c r="F221" s="116"/>
    </row>
    <row r="222" spans="5:6" x14ac:dyDescent="0.3">
      <c r="E222" s="116"/>
      <c r="F222" s="116"/>
    </row>
    <row r="223" spans="5:6" x14ac:dyDescent="0.3">
      <c r="E223" s="116"/>
      <c r="F223" s="116"/>
    </row>
    <row r="224" spans="5:6" x14ac:dyDescent="0.3">
      <c r="E224" s="116"/>
      <c r="F224" s="116"/>
    </row>
    <row r="225" spans="5:6" x14ac:dyDescent="0.3">
      <c r="E225" s="116"/>
      <c r="F225" s="116"/>
    </row>
    <row r="226" spans="5:6" x14ac:dyDescent="0.3">
      <c r="E226" s="116"/>
      <c r="F226" s="116"/>
    </row>
    <row r="227" spans="5:6" x14ac:dyDescent="0.3">
      <c r="E227" s="116"/>
      <c r="F227" s="116"/>
    </row>
    <row r="228" spans="5:6" x14ac:dyDescent="0.3">
      <c r="E228" s="116"/>
      <c r="F228" s="116"/>
    </row>
    <row r="229" spans="5:6" x14ac:dyDescent="0.3">
      <c r="E229" s="116"/>
      <c r="F229" s="116"/>
    </row>
    <row r="230" spans="5:6" x14ac:dyDescent="0.3">
      <c r="E230" s="116"/>
      <c r="F230" s="116"/>
    </row>
    <row r="231" spans="5:6" x14ac:dyDescent="0.3">
      <c r="E231" s="116"/>
      <c r="F231" s="116"/>
    </row>
    <row r="232" spans="5:6" x14ac:dyDescent="0.3">
      <c r="E232" s="116"/>
      <c r="F232" s="116"/>
    </row>
    <row r="233" spans="5:6" x14ac:dyDescent="0.3">
      <c r="E233" s="116"/>
      <c r="F233" s="116"/>
    </row>
    <row r="234" spans="5:6" x14ac:dyDescent="0.3">
      <c r="E234" s="116"/>
      <c r="F234" s="116"/>
    </row>
    <row r="235" spans="5:6" x14ac:dyDescent="0.3">
      <c r="E235" s="116"/>
      <c r="F235" s="116"/>
    </row>
    <row r="236" spans="5:6" x14ac:dyDescent="0.3">
      <c r="E236" s="116"/>
      <c r="F236" s="116"/>
    </row>
    <row r="237" spans="5:6" x14ac:dyDescent="0.3">
      <c r="E237" s="116"/>
      <c r="F237" s="116"/>
    </row>
    <row r="238" spans="5:6" x14ac:dyDescent="0.3">
      <c r="E238" s="116"/>
      <c r="F238" s="116"/>
    </row>
    <row r="239" spans="5:6" x14ac:dyDescent="0.3">
      <c r="E239" s="116"/>
      <c r="F239" s="116"/>
    </row>
    <row r="240" spans="5:6" x14ac:dyDescent="0.3">
      <c r="E240" s="116"/>
      <c r="F240" s="116"/>
    </row>
    <row r="241" spans="5:6" x14ac:dyDescent="0.3">
      <c r="E241" s="116"/>
      <c r="F241" s="116"/>
    </row>
    <row r="242" spans="5:6" x14ac:dyDescent="0.3">
      <c r="E242" s="116"/>
      <c r="F242" s="116"/>
    </row>
    <row r="243" spans="5:6" x14ac:dyDescent="0.3">
      <c r="E243" s="116"/>
      <c r="F243" s="116"/>
    </row>
    <row r="244" spans="5:6" x14ac:dyDescent="0.3">
      <c r="E244" s="116"/>
      <c r="F244" s="116"/>
    </row>
    <row r="245" spans="5:6" x14ac:dyDescent="0.3">
      <c r="E245" s="116"/>
      <c r="F245" s="116"/>
    </row>
    <row r="246" spans="5:6" x14ac:dyDescent="0.3">
      <c r="E246" s="116"/>
      <c r="F246" s="116"/>
    </row>
    <row r="247" spans="5:6" x14ac:dyDescent="0.3">
      <c r="E247" s="116"/>
      <c r="F247" s="116"/>
    </row>
    <row r="248" spans="5:6" x14ac:dyDescent="0.3">
      <c r="E248" s="116"/>
      <c r="F248" s="116"/>
    </row>
    <row r="249" spans="5:6" x14ac:dyDescent="0.3">
      <c r="E249" s="116"/>
      <c r="F249" s="116"/>
    </row>
    <row r="250" spans="5:6" x14ac:dyDescent="0.3">
      <c r="E250" s="116"/>
      <c r="F250" s="116"/>
    </row>
    <row r="251" spans="5:6" x14ac:dyDescent="0.3">
      <c r="E251" s="116"/>
      <c r="F251" s="116"/>
    </row>
    <row r="252" spans="5:6" x14ac:dyDescent="0.3">
      <c r="E252" s="116"/>
      <c r="F252" s="116"/>
    </row>
    <row r="253" spans="5:6" x14ac:dyDescent="0.3">
      <c r="E253" s="116"/>
      <c r="F253" s="116"/>
    </row>
    <row r="254" spans="5:6" x14ac:dyDescent="0.3">
      <c r="E254" s="116"/>
      <c r="F254" s="116"/>
    </row>
    <row r="255" spans="5:6" x14ac:dyDescent="0.3">
      <c r="E255" s="116"/>
      <c r="F255" s="116"/>
    </row>
    <row r="256" spans="5:6" x14ac:dyDescent="0.3">
      <c r="E256" s="116"/>
      <c r="F256" s="116"/>
    </row>
    <row r="257" spans="5:6" x14ac:dyDescent="0.3">
      <c r="E257" s="116"/>
      <c r="F257" s="116"/>
    </row>
    <row r="258" spans="5:6" x14ac:dyDescent="0.3">
      <c r="E258" s="116"/>
      <c r="F258" s="116"/>
    </row>
    <row r="259" spans="5:6" x14ac:dyDescent="0.3">
      <c r="E259" s="116"/>
      <c r="F259" s="116"/>
    </row>
    <row r="260" spans="5:6" x14ac:dyDescent="0.3">
      <c r="E260" s="116"/>
      <c r="F260" s="116"/>
    </row>
    <row r="261" spans="5:6" x14ac:dyDescent="0.3">
      <c r="E261" s="116"/>
      <c r="F261" s="116"/>
    </row>
    <row r="262" spans="5:6" x14ac:dyDescent="0.3">
      <c r="E262" s="116"/>
      <c r="F262" s="116"/>
    </row>
    <row r="263" spans="5:6" x14ac:dyDescent="0.3">
      <c r="E263" s="116"/>
      <c r="F263" s="116"/>
    </row>
    <row r="264" spans="5:6" x14ac:dyDescent="0.3">
      <c r="E264" s="116"/>
      <c r="F264" s="116"/>
    </row>
    <row r="265" spans="5:6" x14ac:dyDescent="0.3">
      <c r="E265" s="116"/>
      <c r="F265" s="116"/>
    </row>
    <row r="266" spans="5:6" x14ac:dyDescent="0.3">
      <c r="E266" s="116"/>
      <c r="F266" s="116"/>
    </row>
    <row r="267" spans="5:6" x14ac:dyDescent="0.3">
      <c r="E267" s="116"/>
      <c r="F267" s="116"/>
    </row>
    <row r="268" spans="5:6" x14ac:dyDescent="0.3">
      <c r="E268" s="116"/>
      <c r="F268" s="116"/>
    </row>
    <row r="269" spans="5:6" x14ac:dyDescent="0.3">
      <c r="E269" s="116"/>
      <c r="F269" s="116"/>
    </row>
    <row r="270" spans="5:6" x14ac:dyDescent="0.3">
      <c r="E270" s="116"/>
      <c r="F270" s="116"/>
    </row>
    <row r="271" spans="5:6" x14ac:dyDescent="0.3">
      <c r="E271" s="116"/>
      <c r="F271" s="116"/>
    </row>
    <row r="272" spans="5:6" x14ac:dyDescent="0.3">
      <c r="E272" s="116"/>
      <c r="F272" s="116"/>
    </row>
    <row r="273" spans="5:6" x14ac:dyDescent="0.3">
      <c r="E273" s="116"/>
      <c r="F273" s="116"/>
    </row>
    <row r="274" spans="5:6" x14ac:dyDescent="0.3">
      <c r="E274" s="116"/>
      <c r="F274" s="116"/>
    </row>
    <row r="275" spans="5:6" x14ac:dyDescent="0.3">
      <c r="E275" s="116"/>
      <c r="F275" s="116"/>
    </row>
    <row r="276" spans="5:6" x14ac:dyDescent="0.3">
      <c r="E276" s="116"/>
      <c r="F276" s="116"/>
    </row>
    <row r="277" spans="5:6" x14ac:dyDescent="0.3">
      <c r="E277" s="116"/>
      <c r="F277" s="116"/>
    </row>
    <row r="278" spans="5:6" x14ac:dyDescent="0.3">
      <c r="E278" s="116"/>
      <c r="F278" s="116"/>
    </row>
    <row r="279" spans="5:6" x14ac:dyDescent="0.3">
      <c r="E279" s="116"/>
      <c r="F279" s="116"/>
    </row>
    <row r="280" spans="5:6" x14ac:dyDescent="0.3">
      <c r="E280" s="116"/>
      <c r="F280" s="116"/>
    </row>
    <row r="281" spans="5:6" x14ac:dyDescent="0.3">
      <c r="E281" s="116"/>
      <c r="F281" s="116"/>
    </row>
    <row r="282" spans="5:6" x14ac:dyDescent="0.3">
      <c r="E282" s="116"/>
      <c r="F282" s="116"/>
    </row>
    <row r="283" spans="5:6" x14ac:dyDescent="0.3">
      <c r="E283" s="116"/>
      <c r="F283" s="116"/>
    </row>
    <row r="284" spans="5:6" x14ac:dyDescent="0.3">
      <c r="E284" s="116"/>
      <c r="F284" s="116"/>
    </row>
    <row r="285" spans="5:6" x14ac:dyDescent="0.3">
      <c r="E285" s="116"/>
      <c r="F285" s="116"/>
    </row>
    <row r="286" spans="5:6" x14ac:dyDescent="0.3">
      <c r="E286" s="116"/>
      <c r="F286" s="116"/>
    </row>
    <row r="287" spans="5:6" x14ac:dyDescent="0.3">
      <c r="E287" s="116"/>
      <c r="F287" s="116"/>
    </row>
    <row r="288" spans="5:6" x14ac:dyDescent="0.3">
      <c r="E288" s="116"/>
      <c r="F288" s="116"/>
    </row>
    <row r="289" spans="5:6" x14ac:dyDescent="0.3">
      <c r="E289" s="116"/>
      <c r="F289" s="116"/>
    </row>
    <row r="290" spans="5:6" x14ac:dyDescent="0.3">
      <c r="E290" s="116"/>
      <c r="F290" s="116"/>
    </row>
    <row r="291" spans="5:6" x14ac:dyDescent="0.3">
      <c r="E291" s="116"/>
      <c r="F291" s="116"/>
    </row>
    <row r="292" spans="5:6" x14ac:dyDescent="0.3">
      <c r="E292" s="116"/>
      <c r="F292" s="116"/>
    </row>
    <row r="293" spans="5:6" x14ac:dyDescent="0.3">
      <c r="E293" s="116"/>
      <c r="F293" s="116"/>
    </row>
    <row r="294" spans="5:6" x14ac:dyDescent="0.3">
      <c r="E294" s="116"/>
      <c r="F294" s="116"/>
    </row>
    <row r="295" spans="5:6" x14ac:dyDescent="0.3">
      <c r="E295" s="116"/>
      <c r="F295" s="116"/>
    </row>
    <row r="296" spans="5:6" x14ac:dyDescent="0.3">
      <c r="E296" s="116"/>
      <c r="F296" s="116"/>
    </row>
    <row r="297" spans="5:6" x14ac:dyDescent="0.3">
      <c r="E297" s="116"/>
      <c r="F297" s="116"/>
    </row>
    <row r="298" spans="5:6" x14ac:dyDescent="0.3">
      <c r="E298" s="116"/>
      <c r="F298" s="116"/>
    </row>
    <row r="299" spans="5:6" x14ac:dyDescent="0.3">
      <c r="E299" s="116"/>
      <c r="F299" s="116"/>
    </row>
    <row r="300" spans="5:6" x14ac:dyDescent="0.3">
      <c r="E300" s="116"/>
      <c r="F300" s="116"/>
    </row>
    <row r="301" spans="5:6" x14ac:dyDescent="0.3">
      <c r="E301" s="116"/>
      <c r="F301" s="116"/>
    </row>
    <row r="302" spans="5:6" x14ac:dyDescent="0.3">
      <c r="E302" s="116"/>
      <c r="F302" s="116"/>
    </row>
    <row r="303" spans="5:6" x14ac:dyDescent="0.3">
      <c r="E303" s="116"/>
      <c r="F303" s="116"/>
    </row>
    <row r="304" spans="5:6" x14ac:dyDescent="0.3">
      <c r="E304" s="116"/>
      <c r="F304" s="116"/>
    </row>
    <row r="305" spans="5:6" x14ac:dyDescent="0.3">
      <c r="E305" s="116"/>
      <c r="F305" s="116"/>
    </row>
    <row r="306" spans="5:6" x14ac:dyDescent="0.3">
      <c r="E306" s="116"/>
      <c r="F306" s="116"/>
    </row>
    <row r="307" spans="5:6" x14ac:dyDescent="0.3">
      <c r="E307" s="116"/>
      <c r="F307" s="116"/>
    </row>
    <row r="308" spans="5:6" x14ac:dyDescent="0.3">
      <c r="E308" s="116"/>
      <c r="F308" s="116"/>
    </row>
    <row r="309" spans="5:6" x14ac:dyDescent="0.3">
      <c r="E309" s="116"/>
      <c r="F309" s="116"/>
    </row>
    <row r="310" spans="5:6" x14ac:dyDescent="0.3">
      <c r="E310" s="116"/>
      <c r="F310" s="116"/>
    </row>
  </sheetData>
  <pageMargins left="0.7" right="0.7" top="0.75" bottom="0.75" header="0.3" footer="0.3"/>
  <pageSetup paperSize="9" scale="73" fitToWidth="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523"/>
  <sheetViews>
    <sheetView workbookViewId="0">
      <selection activeCell="AW117" sqref="AW117"/>
    </sheetView>
  </sheetViews>
  <sheetFormatPr defaultRowHeight="14.4" x14ac:dyDescent="0.3"/>
  <cols>
    <col min="1" max="1" width="11.109375" customWidth="1"/>
    <col min="2" max="2" width="9" customWidth="1"/>
    <col min="3" max="3" width="19" customWidth="1"/>
    <col min="4" max="4" width="20.33203125" customWidth="1"/>
    <col min="5" max="5" width="13.88671875" customWidth="1"/>
    <col min="6" max="6" width="20.88671875" customWidth="1"/>
    <col min="7" max="7" width="21.88671875" customWidth="1"/>
  </cols>
  <sheetData>
    <row r="1" spans="1:7" x14ac:dyDescent="0.3">
      <c r="A1" s="261"/>
      <c r="B1" s="19"/>
      <c r="C1" s="19"/>
      <c r="D1" s="19"/>
      <c r="E1" s="19"/>
      <c r="F1" s="19"/>
      <c r="G1" s="14"/>
    </row>
    <row r="2" spans="1:7" x14ac:dyDescent="0.3">
      <c r="A2" s="31" t="s">
        <v>90</v>
      </c>
      <c r="B2" s="31" t="s">
        <v>91</v>
      </c>
      <c r="C2" s="31" t="s">
        <v>755</v>
      </c>
      <c r="D2" s="31" t="s">
        <v>92</v>
      </c>
      <c r="E2" s="31" t="s">
        <v>93</v>
      </c>
      <c r="F2" s="31" t="s">
        <v>94</v>
      </c>
      <c r="G2" s="174"/>
    </row>
    <row r="3" spans="1:7" x14ac:dyDescent="0.3">
      <c r="A3" s="559" t="s">
        <v>471</v>
      </c>
      <c r="B3" s="559">
        <v>2014</v>
      </c>
      <c r="C3" s="559" t="s">
        <v>95</v>
      </c>
      <c r="D3" s="559" t="s">
        <v>0</v>
      </c>
      <c r="E3" s="559" t="s">
        <v>96</v>
      </c>
      <c r="F3" s="572">
        <v>1808.2170000000101</v>
      </c>
      <c r="G3" s="174"/>
    </row>
    <row r="4" spans="1:7" x14ac:dyDescent="0.3">
      <c r="A4" s="559" t="s">
        <v>471</v>
      </c>
      <c r="B4" s="559">
        <v>2014</v>
      </c>
      <c r="C4" s="559" t="s">
        <v>97</v>
      </c>
      <c r="D4" s="559" t="s">
        <v>37</v>
      </c>
      <c r="E4" s="559" t="s">
        <v>96</v>
      </c>
      <c r="F4" s="572">
        <v>0</v>
      </c>
      <c r="G4" s="174"/>
    </row>
    <row r="5" spans="1:7" x14ac:dyDescent="0.3">
      <c r="A5" s="559" t="s">
        <v>471</v>
      </c>
      <c r="B5" s="559">
        <v>2014</v>
      </c>
      <c r="C5" s="559" t="s">
        <v>98</v>
      </c>
      <c r="D5" s="559" t="s">
        <v>37</v>
      </c>
      <c r="E5" s="559" t="s">
        <v>96</v>
      </c>
      <c r="F5" s="572">
        <v>6629.6230000000096</v>
      </c>
      <c r="G5" s="174"/>
    </row>
    <row r="6" spans="1:7" x14ac:dyDescent="0.3">
      <c r="A6" s="559" t="s">
        <v>471</v>
      </c>
      <c r="B6" s="559">
        <v>2014</v>
      </c>
      <c r="C6" s="559" t="s">
        <v>99</v>
      </c>
      <c r="D6" s="559" t="s">
        <v>25</v>
      </c>
      <c r="E6" s="559" t="s">
        <v>96</v>
      </c>
      <c r="F6" s="572">
        <v>132.01100000000201</v>
      </c>
      <c r="G6" s="174"/>
    </row>
    <row r="7" spans="1:7" x14ac:dyDescent="0.3">
      <c r="A7" s="559" t="s">
        <v>471</v>
      </c>
      <c r="B7" s="559">
        <v>2014</v>
      </c>
      <c r="C7" s="559" t="s">
        <v>100</v>
      </c>
      <c r="D7" s="559" t="s">
        <v>17</v>
      </c>
      <c r="E7" s="559" t="s">
        <v>101</v>
      </c>
      <c r="F7" s="572">
        <v>7950.0379999999996</v>
      </c>
      <c r="G7" s="174"/>
    </row>
    <row r="8" spans="1:7" x14ac:dyDescent="0.3">
      <c r="A8" s="559" t="s">
        <v>471</v>
      </c>
      <c r="B8" s="559">
        <v>2014</v>
      </c>
      <c r="C8" s="559" t="s">
        <v>102</v>
      </c>
      <c r="D8" s="559" t="s">
        <v>103</v>
      </c>
      <c r="E8" s="559" t="s">
        <v>96</v>
      </c>
      <c r="F8" s="572">
        <v>6.7939999999999596</v>
      </c>
      <c r="G8" s="174"/>
    </row>
    <row r="9" spans="1:7" x14ac:dyDescent="0.3">
      <c r="A9" s="559" t="s">
        <v>471</v>
      </c>
      <c r="B9" s="559">
        <v>2014</v>
      </c>
      <c r="C9" s="559" t="s">
        <v>104</v>
      </c>
      <c r="D9" s="559" t="s">
        <v>35</v>
      </c>
      <c r="E9" s="559" t="s">
        <v>101</v>
      </c>
      <c r="F9" s="572">
        <v>0</v>
      </c>
      <c r="G9" s="174"/>
    </row>
    <row r="10" spans="1:7" x14ac:dyDescent="0.3">
      <c r="A10" s="559" t="s">
        <v>471</v>
      </c>
      <c r="B10" s="559">
        <v>2014</v>
      </c>
      <c r="C10" s="559" t="s">
        <v>105</v>
      </c>
      <c r="D10" s="559" t="s">
        <v>17</v>
      </c>
      <c r="E10" s="559" t="s">
        <v>101</v>
      </c>
      <c r="F10" s="572">
        <v>0</v>
      </c>
      <c r="G10" s="174"/>
    </row>
    <row r="11" spans="1:7" x14ac:dyDescent="0.3">
      <c r="A11" s="559" t="s">
        <v>471</v>
      </c>
      <c r="B11" s="559">
        <v>2014</v>
      </c>
      <c r="C11" s="559" t="s">
        <v>106</v>
      </c>
      <c r="D11" s="559" t="s">
        <v>17</v>
      </c>
      <c r="E11" s="559" t="s">
        <v>101</v>
      </c>
      <c r="F11" s="572">
        <v>1596.4169999999899</v>
      </c>
      <c r="G11" s="174"/>
    </row>
    <row r="12" spans="1:7" x14ac:dyDescent="0.3">
      <c r="A12" s="559" t="s">
        <v>471</v>
      </c>
      <c r="B12" s="559">
        <v>2014</v>
      </c>
      <c r="C12" s="559" t="s">
        <v>545</v>
      </c>
      <c r="D12" s="559" t="s">
        <v>9</v>
      </c>
      <c r="E12" s="559" t="s">
        <v>96</v>
      </c>
      <c r="F12" s="572">
        <v>29242.332000000399</v>
      </c>
      <c r="G12" s="174"/>
    </row>
    <row r="13" spans="1:7" x14ac:dyDescent="0.3">
      <c r="A13" s="559" t="s">
        <v>471</v>
      </c>
      <c r="B13" s="559">
        <v>2014</v>
      </c>
      <c r="C13" s="559" t="s">
        <v>109</v>
      </c>
      <c r="D13" s="559" t="s">
        <v>35</v>
      </c>
      <c r="E13" s="559" t="s">
        <v>101</v>
      </c>
      <c r="F13" s="572">
        <v>0</v>
      </c>
      <c r="G13" s="174"/>
    </row>
    <row r="14" spans="1:7" x14ac:dyDescent="0.3">
      <c r="A14" s="559" t="s">
        <v>471</v>
      </c>
      <c r="B14" s="559">
        <v>2014</v>
      </c>
      <c r="C14" s="559" t="s">
        <v>111</v>
      </c>
      <c r="D14" s="559" t="s">
        <v>6</v>
      </c>
      <c r="E14" s="559" t="s">
        <v>96</v>
      </c>
      <c r="F14" s="572">
        <v>7780.5720000002002</v>
      </c>
      <c r="G14" s="174"/>
    </row>
    <row r="15" spans="1:7" x14ac:dyDescent="0.3">
      <c r="A15" s="559" t="s">
        <v>471</v>
      </c>
      <c r="B15" s="559">
        <v>2014</v>
      </c>
      <c r="C15" s="559" t="s">
        <v>112</v>
      </c>
      <c r="D15" s="559" t="s">
        <v>17</v>
      </c>
      <c r="E15" s="559" t="s">
        <v>101</v>
      </c>
      <c r="F15" s="572">
        <v>3277.0829999999801</v>
      </c>
      <c r="G15" s="174"/>
    </row>
    <row r="16" spans="1:7" x14ac:dyDescent="0.3">
      <c r="A16" s="559" t="s">
        <v>471</v>
      </c>
      <c r="B16" s="559">
        <v>2014</v>
      </c>
      <c r="C16" s="559" t="s">
        <v>113</v>
      </c>
      <c r="D16" s="559" t="s">
        <v>41</v>
      </c>
      <c r="E16" s="559" t="s">
        <v>96</v>
      </c>
      <c r="F16" s="572">
        <v>321.43299999996401</v>
      </c>
      <c r="G16" s="174"/>
    </row>
    <row r="17" spans="1:7" x14ac:dyDescent="0.3">
      <c r="A17" s="559" t="s">
        <v>471</v>
      </c>
      <c r="B17" s="559">
        <v>2014</v>
      </c>
      <c r="C17" s="559" t="s">
        <v>114</v>
      </c>
      <c r="D17" s="559" t="s">
        <v>14</v>
      </c>
      <c r="E17" s="559" t="s">
        <v>101</v>
      </c>
      <c r="F17" s="572">
        <v>113768.696999999</v>
      </c>
      <c r="G17" s="174"/>
    </row>
    <row r="18" spans="1:7" x14ac:dyDescent="0.3">
      <c r="A18" s="559" t="s">
        <v>471</v>
      </c>
      <c r="B18" s="559">
        <v>2014</v>
      </c>
      <c r="C18" s="559" t="s">
        <v>115</v>
      </c>
      <c r="D18" s="559" t="s">
        <v>71</v>
      </c>
      <c r="E18" s="559" t="s">
        <v>96</v>
      </c>
      <c r="F18" s="559">
        <v>62375.002999999699</v>
      </c>
      <c r="G18" s="174"/>
    </row>
    <row r="19" spans="1:7" x14ac:dyDescent="0.3">
      <c r="A19" s="559" t="s">
        <v>471</v>
      </c>
      <c r="B19" s="559">
        <v>2014</v>
      </c>
      <c r="C19" s="559" t="s">
        <v>116</v>
      </c>
      <c r="D19" s="559" t="s">
        <v>51</v>
      </c>
      <c r="E19" s="559" t="s">
        <v>96</v>
      </c>
      <c r="F19" s="559">
        <v>191.73085902599701</v>
      </c>
      <c r="G19" s="174"/>
    </row>
    <row r="20" spans="1:7" x14ac:dyDescent="0.3">
      <c r="A20" s="559" t="s">
        <v>471</v>
      </c>
      <c r="B20" s="559">
        <v>2014</v>
      </c>
      <c r="C20" s="559" t="s">
        <v>116</v>
      </c>
      <c r="D20" s="559" t="s">
        <v>30</v>
      </c>
      <c r="E20" s="559" t="s">
        <v>96</v>
      </c>
      <c r="F20" s="559">
        <v>21625.643140973902</v>
      </c>
      <c r="G20" s="174"/>
    </row>
    <row r="21" spans="1:7" x14ac:dyDescent="0.3">
      <c r="A21" s="559" t="s">
        <v>471</v>
      </c>
      <c r="B21" s="559">
        <v>2014</v>
      </c>
      <c r="C21" s="559" t="s">
        <v>117</v>
      </c>
      <c r="D21" s="559" t="s">
        <v>14</v>
      </c>
      <c r="E21" s="559" t="s">
        <v>101</v>
      </c>
      <c r="F21" s="559">
        <v>0</v>
      </c>
      <c r="G21" s="174"/>
    </row>
    <row r="22" spans="1:7" x14ac:dyDescent="0.3">
      <c r="A22" s="559" t="s">
        <v>471</v>
      </c>
      <c r="B22" s="559">
        <v>2014</v>
      </c>
      <c r="C22" s="559" t="s">
        <v>118</v>
      </c>
      <c r="D22" s="559" t="s">
        <v>13</v>
      </c>
      <c r="E22" s="559" t="s">
        <v>96</v>
      </c>
      <c r="F22" s="559">
        <v>55039.723000000296</v>
      </c>
      <c r="G22" s="174"/>
    </row>
    <row r="23" spans="1:7" x14ac:dyDescent="0.3">
      <c r="A23" s="559" t="s">
        <v>471</v>
      </c>
      <c r="B23" s="559">
        <v>2014</v>
      </c>
      <c r="C23" s="559" t="s">
        <v>119</v>
      </c>
      <c r="D23" s="559" t="s">
        <v>5</v>
      </c>
      <c r="E23" s="559" t="s">
        <v>96</v>
      </c>
      <c r="F23" s="559">
        <v>832.74099999998805</v>
      </c>
      <c r="G23" s="174"/>
    </row>
    <row r="24" spans="1:7" x14ac:dyDescent="0.3">
      <c r="A24" s="559" t="s">
        <v>471</v>
      </c>
      <c r="B24" s="559">
        <v>2014</v>
      </c>
      <c r="C24" s="559" t="s">
        <v>120</v>
      </c>
      <c r="D24" s="559" t="s">
        <v>5</v>
      </c>
      <c r="E24" s="559" t="s">
        <v>96</v>
      </c>
      <c r="F24" s="559">
        <v>0</v>
      </c>
      <c r="G24" s="174"/>
    </row>
    <row r="25" spans="1:7" x14ac:dyDescent="0.3">
      <c r="A25" s="559" t="s">
        <v>471</v>
      </c>
      <c r="B25" s="559">
        <v>2014</v>
      </c>
      <c r="C25" s="559" t="s">
        <v>121</v>
      </c>
      <c r="D25" s="559" t="s">
        <v>0</v>
      </c>
      <c r="E25" s="559" t="s">
        <v>96</v>
      </c>
      <c r="F25" s="559">
        <v>5127.0430000001297</v>
      </c>
      <c r="G25" s="174"/>
    </row>
    <row r="26" spans="1:7" x14ac:dyDescent="0.3">
      <c r="A26" s="559" t="s">
        <v>471</v>
      </c>
      <c r="B26" s="559">
        <v>2014</v>
      </c>
      <c r="C26" s="559" t="s">
        <v>122</v>
      </c>
      <c r="D26" s="559" t="s">
        <v>28</v>
      </c>
      <c r="E26" s="559" t="s">
        <v>96</v>
      </c>
      <c r="F26" s="559">
        <v>0</v>
      </c>
      <c r="G26" s="174"/>
    </row>
    <row r="27" spans="1:7" x14ac:dyDescent="0.3">
      <c r="A27" s="559" t="s">
        <v>471</v>
      </c>
      <c r="B27" s="559">
        <v>2014</v>
      </c>
      <c r="C27" s="559" t="s">
        <v>123</v>
      </c>
      <c r="D27" s="559" t="s">
        <v>35</v>
      </c>
      <c r="E27" s="559" t="s">
        <v>110</v>
      </c>
      <c r="F27" s="559">
        <v>0</v>
      </c>
      <c r="G27" s="174"/>
    </row>
    <row r="28" spans="1:7" x14ac:dyDescent="0.3">
      <c r="A28" s="559" t="s">
        <v>471</v>
      </c>
      <c r="B28" s="559">
        <v>2014</v>
      </c>
      <c r="C28" s="559" t="s">
        <v>124</v>
      </c>
      <c r="D28" s="559" t="s">
        <v>49</v>
      </c>
      <c r="E28" s="559" t="s">
        <v>96</v>
      </c>
      <c r="F28" s="559">
        <v>224.16000000000099</v>
      </c>
      <c r="G28" s="174"/>
    </row>
    <row r="29" spans="1:7" x14ac:dyDescent="0.3">
      <c r="A29" s="559" t="s">
        <v>471</v>
      </c>
      <c r="B29" s="559">
        <v>2014</v>
      </c>
      <c r="C29" s="559" t="s">
        <v>125</v>
      </c>
      <c r="D29" s="559" t="s">
        <v>20</v>
      </c>
      <c r="E29" s="559" t="s">
        <v>96</v>
      </c>
      <c r="F29" s="559">
        <v>3540.8890000002302</v>
      </c>
      <c r="G29" s="174"/>
    </row>
    <row r="30" spans="1:7" x14ac:dyDescent="0.3">
      <c r="A30" s="559" t="s">
        <v>471</v>
      </c>
      <c r="B30" s="559">
        <v>2014</v>
      </c>
      <c r="C30" s="559" t="s">
        <v>126</v>
      </c>
      <c r="D30" s="559" t="s">
        <v>23</v>
      </c>
      <c r="E30" s="559" t="s">
        <v>96</v>
      </c>
      <c r="F30" s="559">
        <v>0</v>
      </c>
      <c r="G30" s="174"/>
    </row>
    <row r="31" spans="1:7" x14ac:dyDescent="0.3">
      <c r="A31" s="559" t="s">
        <v>471</v>
      </c>
      <c r="B31" s="559">
        <v>2014</v>
      </c>
      <c r="C31" s="559" t="s">
        <v>126</v>
      </c>
      <c r="D31" s="559" t="s">
        <v>556</v>
      </c>
      <c r="E31" s="559" t="s">
        <v>756</v>
      </c>
      <c r="F31" s="559">
        <v>0</v>
      </c>
      <c r="G31" s="174"/>
    </row>
    <row r="32" spans="1:7" x14ac:dyDescent="0.3">
      <c r="A32" s="559" t="s">
        <v>471</v>
      </c>
      <c r="B32" s="559">
        <v>2014</v>
      </c>
      <c r="C32" s="559" t="s">
        <v>127</v>
      </c>
      <c r="D32" s="559" t="s">
        <v>28</v>
      </c>
      <c r="E32" s="559" t="s">
        <v>96</v>
      </c>
      <c r="F32" s="559">
        <v>6.6369999999839102</v>
      </c>
      <c r="G32" s="174"/>
    </row>
    <row r="33" spans="1:7" x14ac:dyDescent="0.3">
      <c r="A33" s="559" t="s">
        <v>471</v>
      </c>
      <c r="B33" s="559">
        <v>2014</v>
      </c>
      <c r="C33" s="559" t="s">
        <v>128</v>
      </c>
      <c r="D33" s="559" t="s">
        <v>25</v>
      </c>
      <c r="E33" s="559" t="s">
        <v>96</v>
      </c>
      <c r="F33" s="559">
        <v>70447.618000000497</v>
      </c>
      <c r="G33" s="174"/>
    </row>
    <row r="34" spans="1:7" x14ac:dyDescent="0.3">
      <c r="A34" s="559" t="s">
        <v>471</v>
      </c>
      <c r="B34" s="559">
        <v>2014</v>
      </c>
      <c r="C34" s="559" t="s">
        <v>129</v>
      </c>
      <c r="D34" s="559" t="s">
        <v>103</v>
      </c>
      <c r="E34" s="559" t="s">
        <v>96</v>
      </c>
      <c r="F34" s="559">
        <v>8.8069999999998103</v>
      </c>
      <c r="G34" s="174"/>
    </row>
    <row r="35" spans="1:7" x14ac:dyDescent="0.3">
      <c r="A35" s="559" t="s">
        <v>471</v>
      </c>
      <c r="B35" s="559">
        <v>2014</v>
      </c>
      <c r="C35" s="559" t="s">
        <v>130</v>
      </c>
      <c r="D35" s="559" t="s">
        <v>35</v>
      </c>
      <c r="E35" s="559" t="s">
        <v>101</v>
      </c>
      <c r="F35" s="559">
        <v>0</v>
      </c>
      <c r="G35" s="174"/>
    </row>
    <row r="36" spans="1:7" x14ac:dyDescent="0.3">
      <c r="A36" s="559" t="s">
        <v>471</v>
      </c>
      <c r="B36" s="559">
        <v>2014</v>
      </c>
      <c r="C36" s="559" t="s">
        <v>131</v>
      </c>
      <c r="D36" s="559" t="s">
        <v>38</v>
      </c>
      <c r="E36" s="559" t="s">
        <v>96</v>
      </c>
      <c r="F36" s="559">
        <v>15.051000000012399</v>
      </c>
      <c r="G36" s="174"/>
    </row>
    <row r="37" spans="1:7" x14ac:dyDescent="0.3">
      <c r="A37" s="559" t="s">
        <v>471</v>
      </c>
      <c r="B37" s="559">
        <v>2014</v>
      </c>
      <c r="C37" s="559" t="s">
        <v>132</v>
      </c>
      <c r="D37" s="559" t="s">
        <v>25</v>
      </c>
      <c r="E37" s="559" t="s">
        <v>96</v>
      </c>
      <c r="F37" s="559">
        <v>167.58699999999899</v>
      </c>
      <c r="G37" s="174"/>
    </row>
    <row r="38" spans="1:7" x14ac:dyDescent="0.3">
      <c r="A38" s="559" t="s">
        <v>471</v>
      </c>
      <c r="B38" s="559">
        <v>2014</v>
      </c>
      <c r="C38" s="559" t="s">
        <v>133</v>
      </c>
      <c r="D38" s="559" t="s">
        <v>1</v>
      </c>
      <c r="E38" s="559" t="s">
        <v>96</v>
      </c>
      <c r="F38" s="559">
        <v>4111.84800000006</v>
      </c>
      <c r="G38" s="174"/>
    </row>
    <row r="39" spans="1:7" x14ac:dyDescent="0.3">
      <c r="A39" s="559" t="s">
        <v>471</v>
      </c>
      <c r="B39" s="559">
        <v>2014</v>
      </c>
      <c r="C39" s="559" t="s">
        <v>134</v>
      </c>
      <c r="D39" s="559" t="s">
        <v>25</v>
      </c>
      <c r="E39" s="559" t="s">
        <v>96</v>
      </c>
      <c r="F39" s="559">
        <v>128.44900000000101</v>
      </c>
      <c r="G39" s="174"/>
    </row>
    <row r="40" spans="1:7" x14ac:dyDescent="0.3">
      <c r="A40" s="559" t="s">
        <v>471</v>
      </c>
      <c r="B40" s="559">
        <v>2014</v>
      </c>
      <c r="C40" s="559" t="s">
        <v>135</v>
      </c>
      <c r="D40" s="559" t="s">
        <v>103</v>
      </c>
      <c r="E40" s="559" t="s">
        <v>96</v>
      </c>
      <c r="F40" s="559">
        <v>7.2709999999999999</v>
      </c>
      <c r="G40" s="174"/>
    </row>
    <row r="41" spans="1:7" x14ac:dyDescent="0.3">
      <c r="A41" s="559" t="s">
        <v>471</v>
      </c>
      <c r="B41" s="559">
        <v>2014</v>
      </c>
      <c r="C41" s="559" t="s">
        <v>136</v>
      </c>
      <c r="D41" s="559" t="s">
        <v>35</v>
      </c>
      <c r="E41" s="559" t="s">
        <v>101</v>
      </c>
      <c r="F41" s="559">
        <v>0</v>
      </c>
      <c r="G41" s="174"/>
    </row>
    <row r="42" spans="1:7" x14ac:dyDescent="0.3">
      <c r="A42" s="559" t="s">
        <v>471</v>
      </c>
      <c r="B42" s="559">
        <v>2014</v>
      </c>
      <c r="C42" s="559" t="s">
        <v>137</v>
      </c>
      <c r="D42" s="559" t="s">
        <v>40</v>
      </c>
      <c r="E42" s="559" t="s">
        <v>96</v>
      </c>
      <c r="F42" s="559">
        <v>0</v>
      </c>
      <c r="G42" s="174"/>
    </row>
    <row r="43" spans="1:7" x14ac:dyDescent="0.3">
      <c r="A43" s="559" t="s">
        <v>471</v>
      </c>
      <c r="B43" s="559">
        <v>2014</v>
      </c>
      <c r="C43" s="559" t="s">
        <v>138</v>
      </c>
      <c r="D43" s="559" t="s">
        <v>40</v>
      </c>
      <c r="E43" s="559" t="s">
        <v>96</v>
      </c>
      <c r="F43" s="559">
        <v>0</v>
      </c>
      <c r="G43" s="174"/>
    </row>
    <row r="44" spans="1:7" x14ac:dyDescent="0.3">
      <c r="A44" s="559" t="s">
        <v>471</v>
      </c>
      <c r="B44" s="559">
        <v>2014</v>
      </c>
      <c r="C44" s="559" t="s">
        <v>139</v>
      </c>
      <c r="D44" s="559" t="s">
        <v>28</v>
      </c>
      <c r="E44" s="559" t="s">
        <v>96</v>
      </c>
      <c r="F44" s="559">
        <v>506.64799999998098</v>
      </c>
      <c r="G44" s="174"/>
    </row>
    <row r="45" spans="1:7" x14ac:dyDescent="0.3">
      <c r="A45" s="559" t="s">
        <v>471</v>
      </c>
      <c r="B45" s="559">
        <v>2014</v>
      </c>
      <c r="C45" s="559" t="s">
        <v>140</v>
      </c>
      <c r="D45" s="559" t="s">
        <v>12</v>
      </c>
      <c r="E45" s="559" t="s">
        <v>96</v>
      </c>
      <c r="F45" s="559">
        <v>7970.6450000001996</v>
      </c>
      <c r="G45" s="174"/>
    </row>
    <row r="46" spans="1:7" x14ac:dyDescent="0.3">
      <c r="A46" s="559" t="s">
        <v>471</v>
      </c>
      <c r="B46" s="559">
        <v>2014</v>
      </c>
      <c r="C46" s="559" t="s">
        <v>141</v>
      </c>
      <c r="D46" s="559" t="s">
        <v>12</v>
      </c>
      <c r="E46" s="559" t="s">
        <v>96</v>
      </c>
      <c r="F46" s="559">
        <v>4245.1770000000797</v>
      </c>
      <c r="G46" s="174"/>
    </row>
    <row r="47" spans="1:7" x14ac:dyDescent="0.3">
      <c r="A47" s="559" t="s">
        <v>471</v>
      </c>
      <c r="B47" s="559">
        <v>2014</v>
      </c>
      <c r="C47" s="559" t="s">
        <v>142</v>
      </c>
      <c r="D47" s="559" t="s">
        <v>1</v>
      </c>
      <c r="E47" s="559" t="s">
        <v>96</v>
      </c>
      <c r="F47" s="559">
        <v>0</v>
      </c>
      <c r="G47" s="174"/>
    </row>
    <row r="48" spans="1:7" x14ac:dyDescent="0.3">
      <c r="A48" s="559" t="s">
        <v>471</v>
      </c>
      <c r="B48" s="559">
        <v>2014</v>
      </c>
      <c r="C48" s="559" t="s">
        <v>142</v>
      </c>
      <c r="D48" s="559" t="s">
        <v>4</v>
      </c>
      <c r="E48" s="559" t="s">
        <v>96</v>
      </c>
      <c r="F48" s="559">
        <v>0</v>
      </c>
      <c r="G48" s="174"/>
    </row>
    <row r="49" spans="1:7" x14ac:dyDescent="0.3">
      <c r="A49" s="559" t="s">
        <v>471</v>
      </c>
      <c r="B49" s="559">
        <v>2014</v>
      </c>
      <c r="C49" s="559" t="s">
        <v>142</v>
      </c>
      <c r="D49" s="559" t="s">
        <v>27</v>
      </c>
      <c r="E49" s="559" t="s">
        <v>110</v>
      </c>
      <c r="F49" s="559">
        <v>0</v>
      </c>
      <c r="G49" s="174"/>
    </row>
    <row r="50" spans="1:7" x14ac:dyDescent="0.3">
      <c r="A50" s="559" t="s">
        <v>471</v>
      </c>
      <c r="B50" s="559">
        <v>2014</v>
      </c>
      <c r="C50" s="559" t="s">
        <v>143</v>
      </c>
      <c r="D50" s="559" t="s">
        <v>4</v>
      </c>
      <c r="E50" s="559" t="s">
        <v>96</v>
      </c>
      <c r="F50" s="559">
        <v>68.012</v>
      </c>
      <c r="G50" s="174"/>
    </row>
    <row r="51" spans="1:7" x14ac:dyDescent="0.3">
      <c r="A51" s="559" t="s">
        <v>471</v>
      </c>
      <c r="B51" s="559">
        <v>2014</v>
      </c>
      <c r="C51" s="559" t="s">
        <v>144</v>
      </c>
      <c r="D51" s="559" t="s">
        <v>4</v>
      </c>
      <c r="E51" s="559" t="s">
        <v>101</v>
      </c>
      <c r="F51" s="559">
        <v>92277.701000000394</v>
      </c>
      <c r="G51" s="174"/>
    </row>
    <row r="52" spans="1:7" x14ac:dyDescent="0.3">
      <c r="A52" s="559" t="s">
        <v>471</v>
      </c>
      <c r="B52" s="559">
        <v>2014</v>
      </c>
      <c r="C52" s="559" t="s">
        <v>145</v>
      </c>
      <c r="D52" s="559" t="s">
        <v>41</v>
      </c>
      <c r="E52" s="559" t="s">
        <v>96</v>
      </c>
      <c r="F52" s="572">
        <v>2835.4030000000598</v>
      </c>
      <c r="G52" s="174"/>
    </row>
    <row r="53" spans="1:7" x14ac:dyDescent="0.3">
      <c r="A53" s="559" t="s">
        <v>471</v>
      </c>
      <c r="B53" s="559">
        <v>2014</v>
      </c>
      <c r="C53" s="559" t="s">
        <v>146</v>
      </c>
      <c r="D53" s="559" t="s">
        <v>31</v>
      </c>
      <c r="E53" s="559" t="s">
        <v>96</v>
      </c>
      <c r="F53" s="572">
        <v>310.63099999999503</v>
      </c>
      <c r="G53" s="174"/>
    </row>
    <row r="54" spans="1:7" x14ac:dyDescent="0.3">
      <c r="A54" s="559" t="s">
        <v>471</v>
      </c>
      <c r="B54" s="559">
        <v>2014</v>
      </c>
      <c r="C54" s="559" t="s">
        <v>147</v>
      </c>
      <c r="D54" s="559" t="s">
        <v>11</v>
      </c>
      <c r="E54" s="559" t="s">
        <v>96</v>
      </c>
      <c r="F54" s="572">
        <v>654.25400000002696</v>
      </c>
      <c r="G54" s="174"/>
    </row>
    <row r="55" spans="1:7" x14ac:dyDescent="0.3">
      <c r="A55" s="559" t="s">
        <v>471</v>
      </c>
      <c r="B55" s="559">
        <v>2014</v>
      </c>
      <c r="C55" s="559" t="s">
        <v>148</v>
      </c>
      <c r="D55" s="559" t="s">
        <v>73</v>
      </c>
      <c r="E55" s="559" t="s">
        <v>96</v>
      </c>
      <c r="F55" s="572">
        <v>61097.495000000097</v>
      </c>
      <c r="G55" s="174"/>
    </row>
    <row r="56" spans="1:7" x14ac:dyDescent="0.3">
      <c r="A56" s="559" t="s">
        <v>471</v>
      </c>
      <c r="B56" s="559">
        <v>2014</v>
      </c>
      <c r="C56" s="559" t="s">
        <v>149</v>
      </c>
      <c r="D56" s="559" t="s">
        <v>36</v>
      </c>
      <c r="E56" s="559" t="s">
        <v>96</v>
      </c>
      <c r="F56" s="572">
        <v>1585.9380000000001</v>
      </c>
      <c r="G56" s="174"/>
    </row>
    <row r="57" spans="1:7" x14ac:dyDescent="0.3">
      <c r="A57" s="559" t="s">
        <v>471</v>
      </c>
      <c r="B57" s="559">
        <v>2014</v>
      </c>
      <c r="C57" s="559" t="s">
        <v>150</v>
      </c>
      <c r="D57" s="559" t="s">
        <v>1</v>
      </c>
      <c r="E57" s="559" t="s">
        <v>96</v>
      </c>
      <c r="F57" s="572">
        <v>3736.3192152300498</v>
      </c>
      <c r="G57" s="174"/>
    </row>
    <row r="58" spans="1:7" x14ac:dyDescent="0.3">
      <c r="A58" s="559" t="s">
        <v>471</v>
      </c>
      <c r="B58" s="559">
        <v>2014</v>
      </c>
      <c r="C58" s="559" t="s">
        <v>150</v>
      </c>
      <c r="D58" s="559" t="s">
        <v>70</v>
      </c>
      <c r="E58" s="559" t="s">
        <v>96</v>
      </c>
      <c r="F58" s="572">
        <v>172.82078476996301</v>
      </c>
      <c r="G58" s="174"/>
    </row>
    <row r="59" spans="1:7" x14ac:dyDescent="0.3">
      <c r="A59" s="559" t="s">
        <v>471</v>
      </c>
      <c r="B59" s="559">
        <v>2014</v>
      </c>
      <c r="C59" s="559" t="s">
        <v>151</v>
      </c>
      <c r="D59" s="559" t="s">
        <v>40</v>
      </c>
      <c r="E59" s="559" t="s">
        <v>96</v>
      </c>
      <c r="F59" s="572">
        <v>0</v>
      </c>
      <c r="G59" s="174"/>
    </row>
    <row r="60" spans="1:7" x14ac:dyDescent="0.3">
      <c r="A60" s="559" t="s">
        <v>471</v>
      </c>
      <c r="B60" s="559">
        <v>2014</v>
      </c>
      <c r="C60" s="559" t="s">
        <v>152</v>
      </c>
      <c r="D60" s="559" t="s">
        <v>5</v>
      </c>
      <c r="E60" s="559" t="s">
        <v>96</v>
      </c>
      <c r="F60" s="572">
        <v>277.90687815559397</v>
      </c>
      <c r="G60" s="174"/>
    </row>
    <row r="61" spans="1:7" x14ac:dyDescent="0.3">
      <c r="A61" s="559" t="s">
        <v>471</v>
      </c>
      <c r="B61" s="559">
        <v>2014</v>
      </c>
      <c r="C61" s="559" t="s">
        <v>152</v>
      </c>
      <c r="D61" s="559" t="s">
        <v>24</v>
      </c>
      <c r="E61" s="559" t="s">
        <v>756</v>
      </c>
      <c r="F61" s="572">
        <v>2003.7311218444399</v>
      </c>
      <c r="G61" s="174"/>
    </row>
    <row r="62" spans="1:7" x14ac:dyDescent="0.3">
      <c r="A62" s="559" t="s">
        <v>471</v>
      </c>
      <c r="B62" s="559">
        <v>2014</v>
      </c>
      <c r="C62" s="559" t="s">
        <v>153</v>
      </c>
      <c r="D62" s="559" t="s">
        <v>73</v>
      </c>
      <c r="E62" s="559" t="s">
        <v>96</v>
      </c>
      <c r="F62" s="572">
        <v>64073.452999999397</v>
      </c>
      <c r="G62" s="174"/>
    </row>
    <row r="63" spans="1:7" x14ac:dyDescent="0.3">
      <c r="A63" s="559" t="s">
        <v>471</v>
      </c>
      <c r="B63" s="559">
        <v>2014</v>
      </c>
      <c r="C63" s="559" t="s">
        <v>154</v>
      </c>
      <c r="D63" s="559" t="s">
        <v>41</v>
      </c>
      <c r="E63" s="559" t="s">
        <v>96</v>
      </c>
      <c r="F63" s="572">
        <v>6184.0080000001599</v>
      </c>
      <c r="G63" s="174"/>
    </row>
    <row r="64" spans="1:7" x14ac:dyDescent="0.3">
      <c r="A64" s="559" t="s">
        <v>471</v>
      </c>
      <c r="B64" s="559">
        <v>2014</v>
      </c>
      <c r="C64" s="559" t="s">
        <v>155</v>
      </c>
      <c r="D64" s="559" t="s">
        <v>28</v>
      </c>
      <c r="E64" s="559" t="s">
        <v>96</v>
      </c>
      <c r="F64" s="559">
        <v>0</v>
      </c>
      <c r="G64" s="174"/>
    </row>
    <row r="65" spans="1:7" x14ac:dyDescent="0.3">
      <c r="A65" s="559" t="s">
        <v>471</v>
      </c>
      <c r="B65" s="559">
        <v>2014</v>
      </c>
      <c r="C65" s="559" t="s">
        <v>156</v>
      </c>
      <c r="D65" s="559" t="s">
        <v>39</v>
      </c>
      <c r="E65" s="559" t="s">
        <v>96</v>
      </c>
      <c r="F65" s="559">
        <v>0</v>
      </c>
      <c r="G65" s="174"/>
    </row>
    <row r="66" spans="1:7" x14ac:dyDescent="0.3">
      <c r="A66" s="559" t="s">
        <v>471</v>
      </c>
      <c r="B66" s="559">
        <v>2014</v>
      </c>
      <c r="C66" s="559" t="s">
        <v>157</v>
      </c>
      <c r="D66" s="559" t="s">
        <v>39</v>
      </c>
      <c r="E66" s="559" t="s">
        <v>96</v>
      </c>
      <c r="F66" s="559">
        <v>0</v>
      </c>
      <c r="G66" s="174"/>
    </row>
    <row r="67" spans="1:7" x14ac:dyDescent="0.3">
      <c r="A67" s="559" t="s">
        <v>471</v>
      </c>
      <c r="B67" s="559">
        <v>2014</v>
      </c>
      <c r="C67" s="559" t="s">
        <v>158</v>
      </c>
      <c r="D67" s="559" t="s">
        <v>49</v>
      </c>
      <c r="E67" s="559" t="s">
        <v>96</v>
      </c>
      <c r="F67" s="559">
        <v>23.604999999999102</v>
      </c>
      <c r="G67" s="174"/>
    </row>
    <row r="68" spans="1:7" x14ac:dyDescent="0.3">
      <c r="A68" s="559" t="s">
        <v>471</v>
      </c>
      <c r="B68" s="559">
        <v>2014</v>
      </c>
      <c r="C68" s="559" t="s">
        <v>159</v>
      </c>
      <c r="D68" s="559" t="s">
        <v>40</v>
      </c>
      <c r="E68" s="559" t="s">
        <v>96</v>
      </c>
      <c r="F68" s="559">
        <v>0</v>
      </c>
      <c r="G68" s="174"/>
    </row>
    <row r="69" spans="1:7" x14ac:dyDescent="0.3">
      <c r="A69" s="559" t="s">
        <v>471</v>
      </c>
      <c r="B69" s="559">
        <v>2014</v>
      </c>
      <c r="C69" s="559" t="s">
        <v>160</v>
      </c>
      <c r="D69" s="559" t="s">
        <v>40</v>
      </c>
      <c r="E69" s="559" t="s">
        <v>96</v>
      </c>
      <c r="F69" s="559">
        <v>0</v>
      </c>
      <c r="G69" s="174"/>
    </row>
    <row r="70" spans="1:7" x14ac:dyDescent="0.3">
      <c r="A70" s="559" t="s">
        <v>471</v>
      </c>
      <c r="B70" s="559">
        <v>2014</v>
      </c>
      <c r="C70" s="559" t="s">
        <v>161</v>
      </c>
      <c r="D70" s="559" t="s">
        <v>37</v>
      </c>
      <c r="E70" s="559" t="s">
        <v>96</v>
      </c>
      <c r="F70" s="559">
        <v>0</v>
      </c>
      <c r="G70" s="174"/>
    </row>
    <row r="71" spans="1:7" x14ac:dyDescent="0.3">
      <c r="A71" s="559" t="s">
        <v>471</v>
      </c>
      <c r="B71" s="559">
        <v>2014</v>
      </c>
      <c r="C71" s="559" t="s">
        <v>162</v>
      </c>
      <c r="D71" s="559" t="s">
        <v>37</v>
      </c>
      <c r="E71" s="559" t="s">
        <v>96</v>
      </c>
      <c r="F71" s="559">
        <v>0</v>
      </c>
      <c r="G71" s="174"/>
    </row>
    <row r="72" spans="1:7" x14ac:dyDescent="0.3">
      <c r="A72" s="559" t="s">
        <v>471</v>
      </c>
      <c r="B72" s="559">
        <v>2014</v>
      </c>
      <c r="C72" s="559" t="s">
        <v>163</v>
      </c>
      <c r="D72" s="559" t="s">
        <v>28</v>
      </c>
      <c r="E72" s="559" t="s">
        <v>96</v>
      </c>
      <c r="F72" s="559">
        <v>0</v>
      </c>
      <c r="G72" s="174"/>
    </row>
    <row r="73" spans="1:7" x14ac:dyDescent="0.3">
      <c r="A73" s="559" t="s">
        <v>471</v>
      </c>
      <c r="B73" s="559">
        <v>2014</v>
      </c>
      <c r="C73" s="559" t="s">
        <v>164</v>
      </c>
      <c r="D73" s="559" t="s">
        <v>41</v>
      </c>
      <c r="E73" s="559" t="s">
        <v>96</v>
      </c>
      <c r="F73" s="559">
        <v>10500.771000000001</v>
      </c>
      <c r="G73" s="174"/>
    </row>
    <row r="74" spans="1:7" x14ac:dyDescent="0.3">
      <c r="A74" s="559" t="s">
        <v>471</v>
      </c>
      <c r="B74" s="559">
        <v>2014</v>
      </c>
      <c r="C74" s="559" t="s">
        <v>165</v>
      </c>
      <c r="D74" s="559" t="s">
        <v>39</v>
      </c>
      <c r="E74" s="559" t="s">
        <v>96</v>
      </c>
      <c r="F74" s="559">
        <v>0</v>
      </c>
      <c r="G74" s="174"/>
    </row>
    <row r="75" spans="1:7" x14ac:dyDescent="0.3">
      <c r="A75" s="559" t="s">
        <v>471</v>
      </c>
      <c r="B75" s="559">
        <v>2014</v>
      </c>
      <c r="C75" s="559" t="s">
        <v>166</v>
      </c>
      <c r="D75" s="559" t="s">
        <v>10</v>
      </c>
      <c r="E75" s="559" t="s">
        <v>101</v>
      </c>
      <c r="F75" s="559">
        <v>0</v>
      </c>
      <c r="G75" s="174"/>
    </row>
    <row r="76" spans="1:7" x14ac:dyDescent="0.3">
      <c r="A76" s="559" t="s">
        <v>471</v>
      </c>
      <c r="B76" s="559">
        <v>2014</v>
      </c>
      <c r="C76" s="559" t="s">
        <v>167</v>
      </c>
      <c r="D76" s="559" t="s">
        <v>10</v>
      </c>
      <c r="E76" s="559" t="s">
        <v>101</v>
      </c>
      <c r="F76" s="559">
        <v>0</v>
      </c>
      <c r="G76" s="174"/>
    </row>
    <row r="77" spans="1:7" x14ac:dyDescent="0.3">
      <c r="A77" s="559" t="s">
        <v>471</v>
      </c>
      <c r="B77" s="559">
        <v>2014</v>
      </c>
      <c r="C77" s="559" t="s">
        <v>168</v>
      </c>
      <c r="D77" s="559" t="s">
        <v>10</v>
      </c>
      <c r="E77" s="559" t="s">
        <v>101</v>
      </c>
      <c r="F77" s="559">
        <v>0</v>
      </c>
      <c r="G77" s="174"/>
    </row>
    <row r="78" spans="1:7" x14ac:dyDescent="0.3">
      <c r="A78" s="559" t="s">
        <v>471</v>
      </c>
      <c r="B78" s="559">
        <v>2014</v>
      </c>
      <c r="C78" s="559" t="s">
        <v>169</v>
      </c>
      <c r="D78" s="559" t="s">
        <v>10</v>
      </c>
      <c r="E78" s="559" t="s">
        <v>101</v>
      </c>
      <c r="F78" s="559">
        <v>0</v>
      </c>
      <c r="G78" s="174"/>
    </row>
    <row r="79" spans="1:7" x14ac:dyDescent="0.3">
      <c r="A79" s="559" t="s">
        <v>471</v>
      </c>
      <c r="B79" s="559">
        <v>2014</v>
      </c>
      <c r="C79" s="559" t="s">
        <v>170</v>
      </c>
      <c r="D79" s="559" t="s">
        <v>37</v>
      </c>
      <c r="E79" s="559" t="s">
        <v>96</v>
      </c>
      <c r="F79" s="559">
        <v>0</v>
      </c>
      <c r="G79" s="174"/>
    </row>
    <row r="80" spans="1:7" x14ac:dyDescent="0.3">
      <c r="A80" s="559" t="s">
        <v>471</v>
      </c>
      <c r="B80" s="559">
        <v>2014</v>
      </c>
      <c r="C80" s="559" t="s">
        <v>171</v>
      </c>
      <c r="D80" s="559" t="s">
        <v>25</v>
      </c>
      <c r="E80" s="559" t="s">
        <v>96</v>
      </c>
      <c r="F80" s="559">
        <v>5756.1820000000298</v>
      </c>
      <c r="G80" s="174"/>
    </row>
    <row r="81" spans="1:7" x14ac:dyDescent="0.3">
      <c r="A81" s="559" t="s">
        <v>471</v>
      </c>
      <c r="B81" s="559">
        <v>2014</v>
      </c>
      <c r="C81" s="559" t="s">
        <v>172</v>
      </c>
      <c r="D81" s="559" t="s">
        <v>25</v>
      </c>
      <c r="E81" s="559" t="s">
        <v>96</v>
      </c>
      <c r="F81" s="559">
        <v>6607.5870000002196</v>
      </c>
      <c r="G81" s="174"/>
    </row>
    <row r="82" spans="1:7" x14ac:dyDescent="0.3">
      <c r="A82" s="559" t="s">
        <v>471</v>
      </c>
      <c r="B82" s="559">
        <v>2014</v>
      </c>
      <c r="C82" s="559" t="s">
        <v>173</v>
      </c>
      <c r="D82" s="559" t="s">
        <v>32</v>
      </c>
      <c r="E82" s="559" t="s">
        <v>96</v>
      </c>
      <c r="F82" s="559">
        <v>2642.5659999999898</v>
      </c>
      <c r="G82" s="174"/>
    </row>
    <row r="83" spans="1:7" x14ac:dyDescent="0.3">
      <c r="A83" s="559" t="s">
        <v>471</v>
      </c>
      <c r="B83" s="559">
        <v>2014</v>
      </c>
      <c r="C83" s="559" t="s">
        <v>174</v>
      </c>
      <c r="D83" s="559" t="s">
        <v>28</v>
      </c>
      <c r="E83" s="559" t="s">
        <v>96</v>
      </c>
      <c r="F83" s="559">
        <v>310.21700000001601</v>
      </c>
      <c r="G83" s="174"/>
    </row>
    <row r="84" spans="1:7" x14ac:dyDescent="0.3">
      <c r="A84" s="559" t="s">
        <v>471</v>
      </c>
      <c r="B84" s="559">
        <v>2014</v>
      </c>
      <c r="C84" s="559" t="s">
        <v>175</v>
      </c>
      <c r="D84" s="559" t="s">
        <v>28</v>
      </c>
      <c r="E84" s="559" t="s">
        <v>96</v>
      </c>
      <c r="F84" s="559">
        <v>1037.3780000000199</v>
      </c>
      <c r="G84" s="174"/>
    </row>
    <row r="85" spans="1:7" x14ac:dyDescent="0.3">
      <c r="A85" s="559" t="s">
        <v>471</v>
      </c>
      <c r="B85" s="559">
        <v>2014</v>
      </c>
      <c r="C85" s="559" t="s">
        <v>176</v>
      </c>
      <c r="D85" s="559" t="s">
        <v>51</v>
      </c>
      <c r="E85" s="559" t="s">
        <v>96</v>
      </c>
      <c r="F85" s="559">
        <v>393.53199999999202</v>
      </c>
      <c r="G85" s="174"/>
    </row>
    <row r="86" spans="1:7" x14ac:dyDescent="0.3">
      <c r="A86" s="559" t="s">
        <v>471</v>
      </c>
      <c r="B86" s="559">
        <v>2014</v>
      </c>
      <c r="C86" s="559" t="s">
        <v>177</v>
      </c>
      <c r="D86" s="559" t="s">
        <v>103</v>
      </c>
      <c r="E86" s="559" t="s">
        <v>96</v>
      </c>
      <c r="F86" s="559">
        <v>5.91699999999999</v>
      </c>
      <c r="G86" s="174"/>
    </row>
    <row r="87" spans="1:7" x14ac:dyDescent="0.3">
      <c r="A87" s="559" t="s">
        <v>471</v>
      </c>
      <c r="B87" s="559">
        <v>2014</v>
      </c>
      <c r="C87" s="559" t="s">
        <v>178</v>
      </c>
      <c r="D87" s="559" t="s">
        <v>35</v>
      </c>
      <c r="E87" s="559" t="s">
        <v>101</v>
      </c>
      <c r="F87" s="559">
        <v>605.97799999999995</v>
      </c>
      <c r="G87" s="174"/>
    </row>
    <row r="88" spans="1:7" x14ac:dyDescent="0.3">
      <c r="A88" s="559" t="s">
        <v>471</v>
      </c>
      <c r="B88" s="559">
        <v>2014</v>
      </c>
      <c r="C88" s="559" t="s">
        <v>179</v>
      </c>
      <c r="D88" s="559" t="s">
        <v>35</v>
      </c>
      <c r="E88" s="559" t="s">
        <v>101</v>
      </c>
      <c r="F88" s="559">
        <v>828.91699999999901</v>
      </c>
      <c r="G88" s="174"/>
    </row>
    <row r="89" spans="1:7" x14ac:dyDescent="0.3">
      <c r="A89" s="559" t="s">
        <v>471</v>
      </c>
      <c r="B89" s="559">
        <v>2014</v>
      </c>
      <c r="C89" s="559" t="s">
        <v>180</v>
      </c>
      <c r="D89" s="559" t="s">
        <v>35</v>
      </c>
      <c r="E89" s="559" t="s">
        <v>101</v>
      </c>
      <c r="F89" s="559">
        <v>735.64199999999801</v>
      </c>
      <c r="G89" s="174"/>
    </row>
    <row r="90" spans="1:7" x14ac:dyDescent="0.3">
      <c r="A90" s="559" t="s">
        <v>471</v>
      </c>
      <c r="B90" s="559">
        <v>2014</v>
      </c>
      <c r="C90" s="559" t="s">
        <v>181</v>
      </c>
      <c r="D90" s="559" t="s">
        <v>14</v>
      </c>
      <c r="E90" s="559" t="s">
        <v>96</v>
      </c>
      <c r="F90" s="559">
        <v>9.859</v>
      </c>
      <c r="G90" s="174"/>
    </row>
    <row r="91" spans="1:7" x14ac:dyDescent="0.3">
      <c r="A91" s="559" t="s">
        <v>471</v>
      </c>
      <c r="B91" s="559">
        <v>2014</v>
      </c>
      <c r="C91" s="559" t="s">
        <v>182</v>
      </c>
      <c r="D91" s="559" t="s">
        <v>47</v>
      </c>
      <c r="E91" s="559" t="s">
        <v>101</v>
      </c>
      <c r="F91" s="559">
        <v>0</v>
      </c>
      <c r="G91" s="174"/>
    </row>
    <row r="92" spans="1:7" x14ac:dyDescent="0.3">
      <c r="A92" s="559" t="s">
        <v>471</v>
      </c>
      <c r="B92" s="559">
        <v>2014</v>
      </c>
      <c r="C92" s="559" t="s">
        <v>183</v>
      </c>
      <c r="D92" s="559" t="s">
        <v>47</v>
      </c>
      <c r="E92" s="559" t="s">
        <v>101</v>
      </c>
      <c r="F92" s="559">
        <v>0</v>
      </c>
      <c r="G92" s="174"/>
    </row>
    <row r="93" spans="1:7" x14ac:dyDescent="0.3">
      <c r="A93" s="559" t="s">
        <v>471</v>
      </c>
      <c r="B93" s="559">
        <v>2014</v>
      </c>
      <c r="C93" s="559" t="s">
        <v>184</v>
      </c>
      <c r="D93" s="559" t="s">
        <v>1</v>
      </c>
      <c r="E93" s="559" t="s">
        <v>96</v>
      </c>
      <c r="F93" s="559">
        <v>132292.89686143</v>
      </c>
      <c r="G93" s="174"/>
    </row>
    <row r="94" spans="1:7" x14ac:dyDescent="0.3">
      <c r="A94" s="559" t="s">
        <v>471</v>
      </c>
      <c r="B94" s="559">
        <v>2014</v>
      </c>
      <c r="C94" s="559" t="s">
        <v>184</v>
      </c>
      <c r="D94" s="559" t="s">
        <v>71</v>
      </c>
      <c r="E94" s="559" t="s">
        <v>96</v>
      </c>
      <c r="F94" s="572">
        <v>5056.61179202526</v>
      </c>
      <c r="G94" s="174"/>
    </row>
    <row r="95" spans="1:7" x14ac:dyDescent="0.3">
      <c r="A95" s="559" t="s">
        <v>471</v>
      </c>
      <c r="B95" s="559">
        <v>2014</v>
      </c>
      <c r="C95" s="559" t="s">
        <v>184</v>
      </c>
      <c r="D95" s="559" t="s">
        <v>35</v>
      </c>
      <c r="E95" s="559" t="s">
        <v>110</v>
      </c>
      <c r="F95" s="572">
        <v>0</v>
      </c>
      <c r="G95" s="174"/>
    </row>
    <row r="96" spans="1:7" x14ac:dyDescent="0.3">
      <c r="A96" s="559" t="s">
        <v>471</v>
      </c>
      <c r="B96" s="559">
        <v>2014</v>
      </c>
      <c r="C96" s="559" t="s">
        <v>185</v>
      </c>
      <c r="D96" s="559" t="s">
        <v>35</v>
      </c>
      <c r="E96" s="559" t="s">
        <v>101</v>
      </c>
      <c r="F96" s="572">
        <v>0</v>
      </c>
      <c r="G96" s="174"/>
    </row>
    <row r="97" spans="1:7" x14ac:dyDescent="0.3">
      <c r="A97" s="559" t="s">
        <v>471</v>
      </c>
      <c r="B97" s="559">
        <v>2014</v>
      </c>
      <c r="C97" s="559" t="s">
        <v>186</v>
      </c>
      <c r="D97" s="559" t="s">
        <v>1</v>
      </c>
      <c r="E97" s="559" t="s">
        <v>96</v>
      </c>
      <c r="F97" s="572">
        <v>88063.764999999694</v>
      </c>
      <c r="G97" s="174"/>
    </row>
    <row r="98" spans="1:7" x14ac:dyDescent="0.3">
      <c r="A98" s="559" t="s">
        <v>471</v>
      </c>
      <c r="B98" s="559">
        <v>2014</v>
      </c>
      <c r="C98" s="559" t="s">
        <v>187</v>
      </c>
      <c r="D98" s="559" t="s">
        <v>71</v>
      </c>
      <c r="E98" s="559" t="s">
        <v>96</v>
      </c>
      <c r="F98" s="572">
        <v>9771.1180000000695</v>
      </c>
      <c r="G98" s="174"/>
    </row>
    <row r="99" spans="1:7" x14ac:dyDescent="0.3">
      <c r="A99" s="559" t="s">
        <v>471</v>
      </c>
      <c r="B99" s="559">
        <v>2014</v>
      </c>
      <c r="C99" s="559" t="s">
        <v>188</v>
      </c>
      <c r="D99" s="559" t="s">
        <v>69</v>
      </c>
      <c r="E99" s="559" t="s">
        <v>96</v>
      </c>
      <c r="F99" s="572">
        <v>97690.835466109595</v>
      </c>
      <c r="G99" s="174"/>
    </row>
    <row r="100" spans="1:7" x14ac:dyDescent="0.3">
      <c r="A100" s="559" t="s">
        <v>471</v>
      </c>
      <c r="B100" s="559">
        <v>2014</v>
      </c>
      <c r="C100" s="559" t="s">
        <v>188</v>
      </c>
      <c r="D100" s="559" t="s">
        <v>73</v>
      </c>
      <c r="E100" s="559" t="s">
        <v>96</v>
      </c>
      <c r="F100" s="559">
        <v>84119.6045338892</v>
      </c>
      <c r="G100" s="174"/>
    </row>
    <row r="101" spans="1:7" x14ac:dyDescent="0.3">
      <c r="A101" s="559" t="s">
        <v>471</v>
      </c>
      <c r="B101" s="559">
        <v>2014</v>
      </c>
      <c r="C101" s="559" t="s">
        <v>189</v>
      </c>
      <c r="D101" s="559" t="s">
        <v>25</v>
      </c>
      <c r="E101" s="559" t="s">
        <v>96</v>
      </c>
      <c r="F101" s="559">
        <v>38287.025000000802</v>
      </c>
      <c r="G101" s="174"/>
    </row>
    <row r="102" spans="1:7" x14ac:dyDescent="0.3">
      <c r="A102" s="559" t="s">
        <v>471</v>
      </c>
      <c r="B102" s="559">
        <v>2014</v>
      </c>
      <c r="C102" s="559" t="s">
        <v>190</v>
      </c>
      <c r="D102" s="559" t="s">
        <v>25</v>
      </c>
      <c r="E102" s="559" t="s">
        <v>96</v>
      </c>
      <c r="F102" s="559">
        <v>225023.86499999501</v>
      </c>
      <c r="G102" s="174"/>
    </row>
    <row r="103" spans="1:7" x14ac:dyDescent="0.3">
      <c r="A103" s="559" t="s">
        <v>471</v>
      </c>
      <c r="B103" s="559">
        <v>2014</v>
      </c>
      <c r="C103" s="559" t="s">
        <v>191</v>
      </c>
      <c r="D103" s="559" t="s">
        <v>12</v>
      </c>
      <c r="E103" s="559" t="s">
        <v>96</v>
      </c>
      <c r="F103" s="559">
        <v>15869.1260000003</v>
      </c>
      <c r="G103" s="174"/>
    </row>
    <row r="104" spans="1:7" x14ac:dyDescent="0.3">
      <c r="A104" s="559" t="s">
        <v>471</v>
      </c>
      <c r="B104" s="559">
        <v>2014</v>
      </c>
      <c r="C104" s="559" t="s">
        <v>192</v>
      </c>
      <c r="D104" s="559" t="s">
        <v>22</v>
      </c>
      <c r="E104" s="559" t="s">
        <v>756</v>
      </c>
      <c r="F104" s="559">
        <v>0</v>
      </c>
      <c r="G104" s="174"/>
    </row>
    <row r="105" spans="1:7" x14ac:dyDescent="0.3">
      <c r="A105" s="559" t="s">
        <v>471</v>
      </c>
      <c r="B105" s="559">
        <v>2014</v>
      </c>
      <c r="C105" s="559" t="s">
        <v>192</v>
      </c>
      <c r="D105" s="559" t="s">
        <v>51</v>
      </c>
      <c r="E105" s="559" t="s">
        <v>96</v>
      </c>
      <c r="F105" s="559">
        <v>0</v>
      </c>
      <c r="G105" s="174"/>
    </row>
    <row r="106" spans="1:7" x14ac:dyDescent="0.3">
      <c r="A106" s="559" t="s">
        <v>471</v>
      </c>
      <c r="B106" s="559">
        <v>2014</v>
      </c>
      <c r="C106" s="559" t="s">
        <v>193</v>
      </c>
      <c r="D106" s="559" t="s">
        <v>11</v>
      </c>
      <c r="E106" s="559" t="s">
        <v>96</v>
      </c>
      <c r="F106" s="559">
        <v>512.85699999999804</v>
      </c>
      <c r="G106" s="174"/>
    </row>
    <row r="107" spans="1:7" x14ac:dyDescent="0.3">
      <c r="A107" s="559" t="s">
        <v>471</v>
      </c>
      <c r="B107" s="559">
        <v>2014</v>
      </c>
      <c r="C107" s="559" t="s">
        <v>395</v>
      </c>
      <c r="D107" s="559" t="s">
        <v>17</v>
      </c>
      <c r="E107" s="559" t="s">
        <v>101</v>
      </c>
      <c r="F107" s="559">
        <v>0</v>
      </c>
      <c r="G107" s="174"/>
    </row>
    <row r="108" spans="1:7" x14ac:dyDescent="0.3">
      <c r="A108" s="559" t="s">
        <v>471</v>
      </c>
      <c r="B108" s="559">
        <v>2014</v>
      </c>
      <c r="C108" s="559" t="s">
        <v>194</v>
      </c>
      <c r="D108" s="559" t="s">
        <v>25</v>
      </c>
      <c r="E108" s="559" t="s">
        <v>96</v>
      </c>
      <c r="F108" s="559">
        <v>4143.058</v>
      </c>
      <c r="G108" s="174"/>
    </row>
    <row r="109" spans="1:7" x14ac:dyDescent="0.3">
      <c r="A109" s="559" t="s">
        <v>471</v>
      </c>
      <c r="B109" s="559">
        <v>2014</v>
      </c>
      <c r="C109" s="559" t="s">
        <v>195</v>
      </c>
      <c r="D109" s="559" t="s">
        <v>25</v>
      </c>
      <c r="E109" s="559" t="s">
        <v>96</v>
      </c>
      <c r="F109" s="559">
        <v>4326.7340000000004</v>
      </c>
      <c r="G109" s="174"/>
    </row>
    <row r="110" spans="1:7" x14ac:dyDescent="0.3">
      <c r="A110" s="559" t="s">
        <v>471</v>
      </c>
      <c r="B110" s="559">
        <v>2014</v>
      </c>
      <c r="C110" s="559" t="s">
        <v>196</v>
      </c>
      <c r="D110" s="559" t="s">
        <v>19</v>
      </c>
      <c r="E110" s="559" t="s">
        <v>96</v>
      </c>
      <c r="F110" s="559">
        <v>1415.81700000003</v>
      </c>
      <c r="G110" s="174"/>
    </row>
    <row r="111" spans="1:7" x14ac:dyDescent="0.3">
      <c r="A111" s="559" t="s">
        <v>471</v>
      </c>
      <c r="B111" s="559">
        <v>2014</v>
      </c>
      <c r="C111" s="559" t="s">
        <v>197</v>
      </c>
      <c r="D111" s="559" t="s">
        <v>3</v>
      </c>
      <c r="E111" s="559" t="s">
        <v>756</v>
      </c>
      <c r="F111" s="559">
        <v>3325.47100000003</v>
      </c>
      <c r="G111" s="174"/>
    </row>
    <row r="112" spans="1:7" x14ac:dyDescent="0.3">
      <c r="A112" s="559" t="s">
        <v>471</v>
      </c>
      <c r="B112" s="559">
        <v>2014</v>
      </c>
      <c r="C112" s="559" t="s">
        <v>198</v>
      </c>
      <c r="D112" s="559" t="s">
        <v>28</v>
      </c>
      <c r="E112" s="559" t="s">
        <v>96</v>
      </c>
      <c r="F112" s="559">
        <v>0</v>
      </c>
      <c r="G112" s="174"/>
    </row>
    <row r="113" spans="1:7" x14ac:dyDescent="0.3">
      <c r="A113" s="559" t="s">
        <v>471</v>
      </c>
      <c r="B113" s="559">
        <v>2014</v>
      </c>
      <c r="C113" s="559" t="s">
        <v>199</v>
      </c>
      <c r="D113" s="559" t="s">
        <v>28</v>
      </c>
      <c r="E113" s="559" t="s">
        <v>96</v>
      </c>
      <c r="F113" s="559">
        <v>0</v>
      </c>
      <c r="G113" s="174"/>
    </row>
    <row r="114" spans="1:7" x14ac:dyDescent="0.3">
      <c r="A114" s="559" t="s">
        <v>471</v>
      </c>
      <c r="B114" s="559">
        <v>2014</v>
      </c>
      <c r="C114" s="559" t="s">
        <v>200</v>
      </c>
      <c r="D114" s="559" t="s">
        <v>677</v>
      </c>
      <c r="E114" s="559" t="s">
        <v>96</v>
      </c>
      <c r="F114" s="559">
        <v>140.25273928282601</v>
      </c>
      <c r="G114" s="174"/>
    </row>
    <row r="115" spans="1:7" x14ac:dyDescent="0.3">
      <c r="A115" s="559" t="s">
        <v>471</v>
      </c>
      <c r="B115" s="559">
        <v>2014</v>
      </c>
      <c r="C115" s="559" t="s">
        <v>200</v>
      </c>
      <c r="D115" s="559" t="s">
        <v>34</v>
      </c>
      <c r="E115" s="559" t="s">
        <v>96</v>
      </c>
      <c r="F115" s="572">
        <v>5320.0762995416999</v>
      </c>
      <c r="G115" s="174"/>
    </row>
    <row r="116" spans="1:7" x14ac:dyDescent="0.3">
      <c r="A116" s="559" t="s">
        <v>471</v>
      </c>
      <c r="B116" s="559">
        <v>2014</v>
      </c>
      <c r="C116" s="559" t="s">
        <v>201</v>
      </c>
      <c r="D116" s="559" t="s">
        <v>34</v>
      </c>
      <c r="E116" s="559" t="s">
        <v>110</v>
      </c>
      <c r="F116" s="572">
        <v>0</v>
      </c>
      <c r="G116" s="174"/>
    </row>
    <row r="117" spans="1:7" x14ac:dyDescent="0.3">
      <c r="A117" s="559" t="s">
        <v>471</v>
      </c>
      <c r="B117" s="559">
        <v>2014</v>
      </c>
      <c r="C117" s="559" t="s">
        <v>202</v>
      </c>
      <c r="D117" s="559" t="s">
        <v>33</v>
      </c>
      <c r="E117" s="559" t="s">
        <v>101</v>
      </c>
      <c r="F117" s="559">
        <v>0</v>
      </c>
      <c r="G117" s="174"/>
    </row>
    <row r="118" spans="1:7" x14ac:dyDescent="0.3">
      <c r="A118" s="559" t="s">
        <v>471</v>
      </c>
      <c r="B118" s="559">
        <v>2014</v>
      </c>
      <c r="C118" s="559" t="s">
        <v>203</v>
      </c>
      <c r="D118" s="559" t="s">
        <v>17</v>
      </c>
      <c r="E118" s="559" t="s">
        <v>101</v>
      </c>
      <c r="F118" s="559">
        <v>1373.4770000000599</v>
      </c>
      <c r="G118" s="174"/>
    </row>
    <row r="119" spans="1:7" x14ac:dyDescent="0.3">
      <c r="A119" s="559" t="s">
        <v>471</v>
      </c>
      <c r="B119" s="559">
        <v>2014</v>
      </c>
      <c r="C119" s="559" t="s">
        <v>204</v>
      </c>
      <c r="D119" s="559" t="s">
        <v>28</v>
      </c>
      <c r="E119" s="559" t="s">
        <v>96</v>
      </c>
      <c r="F119" s="559">
        <v>0</v>
      </c>
      <c r="G119" s="174"/>
    </row>
    <row r="120" spans="1:7" x14ac:dyDescent="0.3">
      <c r="A120" s="559" t="s">
        <v>471</v>
      </c>
      <c r="B120" s="559">
        <v>2014</v>
      </c>
      <c r="C120" s="559" t="s">
        <v>205</v>
      </c>
      <c r="D120" s="559" t="s">
        <v>35</v>
      </c>
      <c r="E120" s="559" t="s">
        <v>110</v>
      </c>
      <c r="F120" s="559">
        <v>497.06300000000499</v>
      </c>
      <c r="G120" s="174"/>
    </row>
    <row r="121" spans="1:7" x14ac:dyDescent="0.3">
      <c r="A121" s="559" t="s">
        <v>471</v>
      </c>
      <c r="B121" s="559">
        <v>2014</v>
      </c>
      <c r="C121" s="559" t="s">
        <v>205</v>
      </c>
      <c r="D121" s="559" t="s">
        <v>41</v>
      </c>
      <c r="E121" s="559" t="s">
        <v>96</v>
      </c>
      <c r="F121" s="559">
        <v>943.31199999999103</v>
      </c>
      <c r="G121" s="174"/>
    </row>
    <row r="122" spans="1:7" x14ac:dyDescent="0.3">
      <c r="A122" s="559" t="s">
        <v>471</v>
      </c>
      <c r="B122" s="559">
        <v>2014</v>
      </c>
      <c r="C122" s="559" t="s">
        <v>206</v>
      </c>
      <c r="D122" s="559" t="s">
        <v>35</v>
      </c>
      <c r="E122" s="559" t="s">
        <v>101</v>
      </c>
      <c r="F122" s="572">
        <v>0</v>
      </c>
      <c r="G122" s="174"/>
    </row>
    <row r="123" spans="1:7" x14ac:dyDescent="0.3">
      <c r="A123" s="559" t="s">
        <v>471</v>
      </c>
      <c r="B123" s="559">
        <v>2014</v>
      </c>
      <c r="C123" s="559" t="s">
        <v>207</v>
      </c>
      <c r="D123" s="559" t="s">
        <v>40</v>
      </c>
      <c r="E123" s="559" t="s">
        <v>96</v>
      </c>
      <c r="F123" s="572">
        <v>501.81200000000598</v>
      </c>
      <c r="G123" s="174"/>
    </row>
    <row r="124" spans="1:7" x14ac:dyDescent="0.3">
      <c r="A124" s="559" t="s">
        <v>471</v>
      </c>
      <c r="B124" s="559">
        <v>2014</v>
      </c>
      <c r="C124" s="559" t="s">
        <v>208</v>
      </c>
      <c r="D124" s="559" t="s">
        <v>47</v>
      </c>
      <c r="E124" s="559" t="s">
        <v>96</v>
      </c>
      <c r="F124" s="559">
        <v>562.50499999999704</v>
      </c>
      <c r="G124" s="174"/>
    </row>
    <row r="125" spans="1:7" x14ac:dyDescent="0.3">
      <c r="A125" s="559" t="s">
        <v>471</v>
      </c>
      <c r="B125" s="559">
        <v>2014</v>
      </c>
      <c r="C125" s="559" t="s">
        <v>209</v>
      </c>
      <c r="D125" s="559" t="s">
        <v>47</v>
      </c>
      <c r="E125" s="559" t="s">
        <v>96</v>
      </c>
      <c r="F125" s="559">
        <v>309.84800000000098</v>
      </c>
      <c r="G125" s="174"/>
    </row>
    <row r="126" spans="1:7" x14ac:dyDescent="0.3">
      <c r="A126" s="559" t="s">
        <v>471</v>
      </c>
      <c r="B126" s="559">
        <v>2014</v>
      </c>
      <c r="C126" s="559" t="s">
        <v>210</v>
      </c>
      <c r="D126" s="559" t="s">
        <v>28</v>
      </c>
      <c r="E126" s="559" t="s">
        <v>96</v>
      </c>
      <c r="F126" s="559">
        <v>0</v>
      </c>
      <c r="G126" s="174"/>
    </row>
    <row r="127" spans="1:7" x14ac:dyDescent="0.3">
      <c r="A127" s="559" t="s">
        <v>471</v>
      </c>
      <c r="B127" s="559">
        <v>2014</v>
      </c>
      <c r="C127" s="559" t="s">
        <v>211</v>
      </c>
      <c r="D127" s="559" t="s">
        <v>35</v>
      </c>
      <c r="E127" s="559" t="s">
        <v>110</v>
      </c>
      <c r="F127" s="559">
        <v>0</v>
      </c>
      <c r="G127" s="174"/>
    </row>
    <row r="128" spans="1:7" x14ac:dyDescent="0.3">
      <c r="A128" s="559" t="s">
        <v>471</v>
      </c>
      <c r="B128" s="559">
        <v>2014</v>
      </c>
      <c r="C128" s="559" t="s">
        <v>212</v>
      </c>
      <c r="D128" s="559" t="s">
        <v>14</v>
      </c>
      <c r="E128" s="559" t="s">
        <v>101</v>
      </c>
      <c r="F128" s="559">
        <v>0</v>
      </c>
      <c r="G128" s="174"/>
    </row>
    <row r="129" spans="1:7" x14ac:dyDescent="0.3">
      <c r="A129" s="559" t="s">
        <v>471</v>
      </c>
      <c r="B129" s="559">
        <v>2014</v>
      </c>
      <c r="C129" s="559" t="s">
        <v>213</v>
      </c>
      <c r="D129" s="559" t="s">
        <v>72</v>
      </c>
      <c r="E129" s="559" t="s">
        <v>110</v>
      </c>
      <c r="F129" s="572">
        <v>4.9000000000000002E-2</v>
      </c>
      <c r="G129" s="174"/>
    </row>
    <row r="130" spans="1:7" x14ac:dyDescent="0.3">
      <c r="A130" s="559" t="s">
        <v>471</v>
      </c>
      <c r="B130" s="559">
        <v>2014</v>
      </c>
      <c r="C130" s="559" t="s">
        <v>213</v>
      </c>
      <c r="D130" s="559" t="s">
        <v>103</v>
      </c>
      <c r="E130" s="559" t="s">
        <v>96</v>
      </c>
      <c r="F130" s="572">
        <v>2.5169999999999901</v>
      </c>
      <c r="G130" s="174"/>
    </row>
    <row r="131" spans="1:7" x14ac:dyDescent="0.3">
      <c r="A131" s="559" t="s">
        <v>471</v>
      </c>
      <c r="B131" s="559">
        <v>2014</v>
      </c>
      <c r="C131" s="559" t="s">
        <v>214</v>
      </c>
      <c r="D131" s="559" t="s">
        <v>33</v>
      </c>
      <c r="E131" s="559" t="s">
        <v>101</v>
      </c>
      <c r="F131" s="572">
        <v>983.66300000000103</v>
      </c>
      <c r="G131" s="174"/>
    </row>
    <row r="132" spans="1:7" x14ac:dyDescent="0.3">
      <c r="A132" s="559" t="s">
        <v>471</v>
      </c>
      <c r="B132" s="559">
        <v>2014</v>
      </c>
      <c r="C132" s="559" t="s">
        <v>215</v>
      </c>
      <c r="D132" s="559" t="s">
        <v>35</v>
      </c>
      <c r="E132" s="559" t="s">
        <v>101</v>
      </c>
      <c r="F132" s="572">
        <v>2169.6559999999999</v>
      </c>
      <c r="G132" s="174"/>
    </row>
    <row r="133" spans="1:7" x14ac:dyDescent="0.3">
      <c r="A133" s="559" t="s">
        <v>471</v>
      </c>
      <c r="B133" s="559">
        <v>2014</v>
      </c>
      <c r="C133" s="559" t="s">
        <v>216</v>
      </c>
      <c r="D133" s="559" t="s">
        <v>35</v>
      </c>
      <c r="E133" s="559" t="s">
        <v>101</v>
      </c>
      <c r="F133" s="572">
        <v>0</v>
      </c>
      <c r="G133" s="174"/>
    </row>
    <row r="134" spans="1:7" x14ac:dyDescent="0.3">
      <c r="A134" s="559" t="s">
        <v>471</v>
      </c>
      <c r="B134" s="559">
        <v>2014</v>
      </c>
      <c r="C134" s="559" t="s">
        <v>217</v>
      </c>
      <c r="D134" s="559" t="s">
        <v>19</v>
      </c>
      <c r="E134" s="559" t="s">
        <v>96</v>
      </c>
      <c r="F134" s="572">
        <v>1419.5140000000099</v>
      </c>
      <c r="G134" s="174"/>
    </row>
    <row r="135" spans="1:7" x14ac:dyDescent="0.3">
      <c r="A135" s="559" t="s">
        <v>471</v>
      </c>
      <c r="B135" s="559">
        <v>2014</v>
      </c>
      <c r="C135" s="559" t="s">
        <v>218</v>
      </c>
      <c r="D135" s="559" t="s">
        <v>39</v>
      </c>
      <c r="E135" s="559" t="s">
        <v>96</v>
      </c>
      <c r="F135" s="572">
        <v>1E-3</v>
      </c>
      <c r="G135" s="174"/>
    </row>
    <row r="136" spans="1:7" x14ac:dyDescent="0.3">
      <c r="A136" s="559" t="s">
        <v>471</v>
      </c>
      <c r="B136" s="559">
        <v>2014</v>
      </c>
      <c r="C136" s="559" t="s">
        <v>219</v>
      </c>
      <c r="D136" s="559" t="s">
        <v>28</v>
      </c>
      <c r="E136" s="559" t="s">
        <v>96</v>
      </c>
      <c r="F136" s="572">
        <v>668.50800000000095</v>
      </c>
      <c r="G136" s="174"/>
    </row>
    <row r="137" spans="1:7" x14ac:dyDescent="0.3">
      <c r="A137" s="559" t="s">
        <v>471</v>
      </c>
      <c r="B137" s="559">
        <v>2014</v>
      </c>
      <c r="C137" s="559" t="s">
        <v>220</v>
      </c>
      <c r="D137" s="559" t="s">
        <v>8</v>
      </c>
      <c r="E137" s="559" t="s">
        <v>96</v>
      </c>
      <c r="F137" s="572">
        <v>0</v>
      </c>
      <c r="G137" s="174"/>
    </row>
    <row r="138" spans="1:7" x14ac:dyDescent="0.3">
      <c r="A138" s="559" t="s">
        <v>471</v>
      </c>
      <c r="B138" s="559">
        <v>2014</v>
      </c>
      <c r="C138" s="559" t="s">
        <v>221</v>
      </c>
      <c r="D138" s="559" t="s">
        <v>33</v>
      </c>
      <c r="E138" s="559" t="s">
        <v>101</v>
      </c>
      <c r="F138" s="572">
        <v>3041.4259999999999</v>
      </c>
      <c r="G138" s="174"/>
    </row>
    <row r="139" spans="1:7" x14ac:dyDescent="0.3">
      <c r="A139" s="559" t="s">
        <v>471</v>
      </c>
      <c r="B139" s="559">
        <v>2014</v>
      </c>
      <c r="C139" s="559" t="s">
        <v>222</v>
      </c>
      <c r="D139" s="559" t="s">
        <v>33</v>
      </c>
      <c r="E139" s="559" t="s">
        <v>96</v>
      </c>
      <c r="F139" s="572">
        <v>0</v>
      </c>
      <c r="G139" s="174"/>
    </row>
    <row r="140" spans="1:7" x14ac:dyDescent="0.3">
      <c r="A140" s="559" t="s">
        <v>471</v>
      </c>
      <c r="B140" s="559">
        <v>2014</v>
      </c>
      <c r="C140" s="559" t="s">
        <v>223</v>
      </c>
      <c r="D140" s="559" t="s">
        <v>33</v>
      </c>
      <c r="E140" s="559" t="s">
        <v>101</v>
      </c>
      <c r="F140" s="572">
        <v>0</v>
      </c>
      <c r="G140" s="174"/>
    </row>
    <row r="141" spans="1:7" x14ac:dyDescent="0.3">
      <c r="A141" s="559" t="s">
        <v>471</v>
      </c>
      <c r="B141" s="559">
        <v>2014</v>
      </c>
      <c r="C141" s="559" t="s">
        <v>224</v>
      </c>
      <c r="D141" s="559" t="s">
        <v>40</v>
      </c>
      <c r="E141" s="559" t="s">
        <v>96</v>
      </c>
      <c r="F141" s="572">
        <v>0</v>
      </c>
      <c r="G141" s="174"/>
    </row>
    <row r="142" spans="1:7" x14ac:dyDescent="0.3">
      <c r="A142" s="559" t="s">
        <v>471</v>
      </c>
      <c r="B142" s="559">
        <v>2014</v>
      </c>
      <c r="C142" s="559" t="s">
        <v>225</v>
      </c>
      <c r="D142" s="559" t="s">
        <v>40</v>
      </c>
      <c r="E142" s="559" t="s">
        <v>96</v>
      </c>
      <c r="F142" s="572">
        <v>0</v>
      </c>
      <c r="G142" s="174"/>
    </row>
    <row r="143" spans="1:7" x14ac:dyDescent="0.3">
      <c r="A143" s="559" t="s">
        <v>471</v>
      </c>
      <c r="B143" s="559">
        <v>2014</v>
      </c>
      <c r="C143" s="559" t="s">
        <v>226</v>
      </c>
      <c r="D143" s="559" t="s">
        <v>37</v>
      </c>
      <c r="E143" s="559" t="s">
        <v>96</v>
      </c>
      <c r="F143" s="572">
        <v>1267.74000000005</v>
      </c>
      <c r="G143" s="174"/>
    </row>
    <row r="144" spans="1:7" x14ac:dyDescent="0.3">
      <c r="A144" s="559" t="s">
        <v>471</v>
      </c>
      <c r="B144" s="559">
        <v>2014</v>
      </c>
      <c r="C144" s="559" t="s">
        <v>227</v>
      </c>
      <c r="D144" s="559" t="s">
        <v>48</v>
      </c>
      <c r="E144" s="559" t="s">
        <v>96</v>
      </c>
      <c r="F144" s="572">
        <v>1149.6210000000599</v>
      </c>
      <c r="G144" s="174"/>
    </row>
    <row r="145" spans="1:7" x14ac:dyDescent="0.3">
      <c r="A145" s="559" t="s">
        <v>471</v>
      </c>
      <c r="B145" s="559">
        <v>2014</v>
      </c>
      <c r="C145" s="559" t="s">
        <v>228</v>
      </c>
      <c r="D145" s="559" t="s">
        <v>15</v>
      </c>
      <c r="E145" s="559" t="s">
        <v>96</v>
      </c>
      <c r="F145" s="572">
        <v>461.81400000000298</v>
      </c>
      <c r="G145" s="174"/>
    </row>
    <row r="146" spans="1:7" x14ac:dyDescent="0.3">
      <c r="A146" s="559" t="s">
        <v>471</v>
      </c>
      <c r="B146" s="559">
        <v>2014</v>
      </c>
      <c r="C146" s="559" t="s">
        <v>229</v>
      </c>
      <c r="D146" s="559" t="s">
        <v>23</v>
      </c>
      <c r="E146" s="559" t="s">
        <v>96</v>
      </c>
      <c r="F146" s="572">
        <v>821.75699999997801</v>
      </c>
      <c r="G146" s="174"/>
    </row>
    <row r="147" spans="1:7" x14ac:dyDescent="0.3">
      <c r="A147" s="559" t="s">
        <v>471</v>
      </c>
      <c r="B147" s="559">
        <v>2014</v>
      </c>
      <c r="C147" s="559" t="s">
        <v>230</v>
      </c>
      <c r="D147" s="559" t="s">
        <v>28</v>
      </c>
      <c r="E147" s="559" t="s">
        <v>96</v>
      </c>
      <c r="F147" s="572">
        <v>21.6259999999427</v>
      </c>
      <c r="G147" s="174"/>
    </row>
    <row r="148" spans="1:7" x14ac:dyDescent="0.3">
      <c r="A148" s="559" t="s">
        <v>471</v>
      </c>
      <c r="B148" s="559">
        <v>2014</v>
      </c>
      <c r="C148" s="559" t="s">
        <v>231</v>
      </c>
      <c r="D148" s="559" t="s">
        <v>17</v>
      </c>
      <c r="E148" s="559" t="s">
        <v>101</v>
      </c>
      <c r="F148" s="572">
        <v>9618.0990000000093</v>
      </c>
      <c r="G148" s="174"/>
    </row>
    <row r="149" spans="1:7" x14ac:dyDescent="0.3">
      <c r="A149" s="559" t="s">
        <v>471</v>
      </c>
      <c r="B149" s="559">
        <v>2014</v>
      </c>
      <c r="C149" s="559" t="s">
        <v>232</v>
      </c>
      <c r="D149" s="559" t="s">
        <v>28</v>
      </c>
      <c r="E149" s="559" t="s">
        <v>96</v>
      </c>
      <c r="F149" s="572">
        <v>114.52000000001701</v>
      </c>
      <c r="G149" s="174"/>
    </row>
    <row r="150" spans="1:7" x14ac:dyDescent="0.3">
      <c r="A150" s="559" t="s">
        <v>471</v>
      </c>
      <c r="B150" s="559">
        <v>2014</v>
      </c>
      <c r="C150" s="559" t="s">
        <v>233</v>
      </c>
      <c r="D150" s="559" t="s">
        <v>28</v>
      </c>
      <c r="E150" s="559" t="s">
        <v>96</v>
      </c>
      <c r="F150" s="572">
        <v>743.628000000013</v>
      </c>
      <c r="G150" s="174"/>
    </row>
    <row r="151" spans="1:7" x14ac:dyDescent="0.3">
      <c r="A151" s="559" t="s">
        <v>471</v>
      </c>
      <c r="B151" s="559">
        <v>2014</v>
      </c>
      <c r="C151" s="559" t="s">
        <v>234</v>
      </c>
      <c r="D151" s="559" t="s">
        <v>23</v>
      </c>
      <c r="E151" s="559" t="s">
        <v>96</v>
      </c>
      <c r="F151" s="572">
        <v>0</v>
      </c>
      <c r="G151" s="174"/>
    </row>
    <row r="152" spans="1:7" x14ac:dyDescent="0.3">
      <c r="A152" s="559" t="s">
        <v>471</v>
      </c>
      <c r="B152" s="559">
        <v>2014</v>
      </c>
      <c r="C152" s="559" t="s">
        <v>235</v>
      </c>
      <c r="D152" s="559" t="s">
        <v>28</v>
      </c>
      <c r="E152" s="559" t="s">
        <v>96</v>
      </c>
      <c r="F152" s="572">
        <v>0</v>
      </c>
      <c r="G152" s="174"/>
    </row>
    <row r="153" spans="1:7" x14ac:dyDescent="0.3">
      <c r="A153" s="559" t="s">
        <v>471</v>
      </c>
      <c r="B153" s="559">
        <v>2014</v>
      </c>
      <c r="C153" s="559" t="s">
        <v>236</v>
      </c>
      <c r="D153" s="559" t="s">
        <v>51</v>
      </c>
      <c r="E153" s="559" t="s">
        <v>96</v>
      </c>
      <c r="F153" s="572">
        <v>0</v>
      </c>
      <c r="G153" s="174"/>
    </row>
    <row r="154" spans="1:7" x14ac:dyDescent="0.3">
      <c r="A154" s="559" t="s">
        <v>471</v>
      </c>
      <c r="B154" s="559">
        <v>2014</v>
      </c>
      <c r="C154" s="559" t="s">
        <v>237</v>
      </c>
      <c r="D154" s="559" t="s">
        <v>18</v>
      </c>
      <c r="E154" s="559" t="s">
        <v>101</v>
      </c>
      <c r="F154" s="572">
        <v>0</v>
      </c>
      <c r="G154" s="174"/>
    </row>
    <row r="155" spans="1:7" x14ac:dyDescent="0.3">
      <c r="A155" s="559" t="s">
        <v>471</v>
      </c>
      <c r="B155" s="559">
        <v>2014</v>
      </c>
      <c r="C155" s="559" t="s">
        <v>238</v>
      </c>
      <c r="D155" s="559" t="s">
        <v>17</v>
      </c>
      <c r="E155" s="559" t="s">
        <v>96</v>
      </c>
      <c r="F155" s="572">
        <v>0</v>
      </c>
      <c r="G155" s="174"/>
    </row>
    <row r="156" spans="1:7" x14ac:dyDescent="0.3">
      <c r="A156" s="559" t="s">
        <v>471</v>
      </c>
      <c r="B156" s="559">
        <v>2014</v>
      </c>
      <c r="C156" s="559" t="s">
        <v>239</v>
      </c>
      <c r="D156" s="559" t="s">
        <v>21</v>
      </c>
      <c r="E156" s="559" t="s">
        <v>101</v>
      </c>
      <c r="F156" s="572">
        <v>0</v>
      </c>
      <c r="G156" s="174"/>
    </row>
    <row r="157" spans="1:7" x14ac:dyDescent="0.3">
      <c r="A157" s="559" t="s">
        <v>471</v>
      </c>
      <c r="B157" s="559">
        <v>2014</v>
      </c>
      <c r="C157" s="559" t="s">
        <v>240</v>
      </c>
      <c r="D157" s="559" t="s">
        <v>73</v>
      </c>
      <c r="E157" s="559" t="s">
        <v>96</v>
      </c>
      <c r="F157" s="572">
        <v>116738.63499999901</v>
      </c>
      <c r="G157" s="174"/>
    </row>
    <row r="158" spans="1:7" x14ac:dyDescent="0.3">
      <c r="A158" s="559" t="s">
        <v>471</v>
      </c>
      <c r="B158" s="559">
        <v>2014</v>
      </c>
      <c r="C158" s="559" t="s">
        <v>241</v>
      </c>
      <c r="D158" s="559" t="s">
        <v>14</v>
      </c>
      <c r="E158" s="559" t="s">
        <v>110</v>
      </c>
      <c r="F158" s="572">
        <v>0</v>
      </c>
      <c r="G158" s="174"/>
    </row>
    <row r="159" spans="1:7" x14ac:dyDescent="0.3">
      <c r="A159" s="559" t="s">
        <v>471</v>
      </c>
      <c r="B159" s="559">
        <v>2014</v>
      </c>
      <c r="C159" s="559" t="s">
        <v>242</v>
      </c>
      <c r="D159" s="559" t="s">
        <v>32</v>
      </c>
      <c r="E159" s="559" t="s">
        <v>96</v>
      </c>
      <c r="F159" s="572">
        <v>0</v>
      </c>
      <c r="G159" s="174"/>
    </row>
    <row r="160" spans="1:7" x14ac:dyDescent="0.3">
      <c r="A160" s="559" t="s">
        <v>471</v>
      </c>
      <c r="B160" s="559">
        <v>2014</v>
      </c>
      <c r="C160" s="559" t="s">
        <v>243</v>
      </c>
      <c r="D160" s="559" t="s">
        <v>51</v>
      </c>
      <c r="E160" s="559" t="s">
        <v>96</v>
      </c>
      <c r="F160" s="572">
        <v>0</v>
      </c>
      <c r="G160" s="174"/>
    </row>
    <row r="161" spans="1:7" x14ac:dyDescent="0.3">
      <c r="A161" s="559" t="s">
        <v>471</v>
      </c>
      <c r="B161" s="559">
        <v>2014</v>
      </c>
      <c r="C161" s="559" t="s">
        <v>243</v>
      </c>
      <c r="D161" s="559" t="s">
        <v>28</v>
      </c>
      <c r="E161" s="559" t="s">
        <v>96</v>
      </c>
      <c r="F161" s="572">
        <v>0</v>
      </c>
      <c r="G161" s="174"/>
    </row>
    <row r="162" spans="1:7" x14ac:dyDescent="0.3">
      <c r="A162" s="559" t="s">
        <v>471</v>
      </c>
      <c r="B162" s="559">
        <v>2014</v>
      </c>
      <c r="C162" s="559" t="s">
        <v>244</v>
      </c>
      <c r="D162" s="559" t="s">
        <v>71</v>
      </c>
      <c r="E162" s="559" t="s">
        <v>96</v>
      </c>
      <c r="F162" s="572">
        <v>79216.644000001601</v>
      </c>
      <c r="G162" s="174"/>
    </row>
    <row r="163" spans="1:7" x14ac:dyDescent="0.3">
      <c r="A163" s="559" t="s">
        <v>471</v>
      </c>
      <c r="B163" s="559">
        <v>2014</v>
      </c>
      <c r="C163" s="559" t="s">
        <v>245</v>
      </c>
      <c r="D163" s="559" t="s">
        <v>35</v>
      </c>
      <c r="E163" s="559" t="s">
        <v>101</v>
      </c>
      <c r="F163" s="572">
        <v>0</v>
      </c>
      <c r="G163" s="174"/>
    </row>
    <row r="164" spans="1:7" x14ac:dyDescent="0.3">
      <c r="A164" s="559" t="s">
        <v>471</v>
      </c>
      <c r="B164" s="559">
        <v>2014</v>
      </c>
      <c r="C164" s="559" t="s">
        <v>246</v>
      </c>
      <c r="D164" s="559" t="s">
        <v>20</v>
      </c>
      <c r="E164" s="559" t="s">
        <v>96</v>
      </c>
      <c r="F164" s="572">
        <v>60414.6360000001</v>
      </c>
      <c r="G164" s="174"/>
    </row>
    <row r="165" spans="1:7" x14ac:dyDescent="0.3">
      <c r="A165" s="559" t="s">
        <v>471</v>
      </c>
      <c r="B165" s="559">
        <v>2014</v>
      </c>
      <c r="C165" s="559" t="s">
        <v>247</v>
      </c>
      <c r="D165" s="559" t="s">
        <v>14</v>
      </c>
      <c r="E165" s="559" t="s">
        <v>101</v>
      </c>
      <c r="F165" s="572">
        <v>0</v>
      </c>
      <c r="G165" s="174"/>
    </row>
    <row r="166" spans="1:7" x14ac:dyDescent="0.3">
      <c r="A166" s="559" t="s">
        <v>471</v>
      </c>
      <c r="B166" s="559">
        <v>2014</v>
      </c>
      <c r="C166" s="559" t="s">
        <v>248</v>
      </c>
      <c r="D166" s="559" t="s">
        <v>14</v>
      </c>
      <c r="E166" s="559" t="s">
        <v>101</v>
      </c>
      <c r="F166" s="572">
        <v>0</v>
      </c>
      <c r="G166" s="174"/>
    </row>
    <row r="167" spans="1:7" x14ac:dyDescent="0.3">
      <c r="A167" s="559" t="s">
        <v>471</v>
      </c>
      <c r="B167" s="559">
        <v>2014</v>
      </c>
      <c r="C167" s="559" t="s">
        <v>249</v>
      </c>
      <c r="D167" s="559" t="s">
        <v>14</v>
      </c>
      <c r="E167" s="559" t="s">
        <v>101</v>
      </c>
      <c r="F167" s="572">
        <v>1327.2319999992901</v>
      </c>
      <c r="G167" s="174"/>
    </row>
    <row r="168" spans="1:7" x14ac:dyDescent="0.3">
      <c r="A168" s="559" t="s">
        <v>471</v>
      </c>
      <c r="B168" s="559">
        <v>2014</v>
      </c>
      <c r="C168" s="559" t="s">
        <v>250</v>
      </c>
      <c r="D168" s="559" t="s">
        <v>17</v>
      </c>
      <c r="E168" s="559" t="s">
        <v>101</v>
      </c>
      <c r="F168" s="572">
        <v>3939.9590000000198</v>
      </c>
      <c r="G168" s="174"/>
    </row>
    <row r="169" spans="1:7" x14ac:dyDescent="0.3">
      <c r="A169" s="559" t="s">
        <v>471</v>
      </c>
      <c r="B169" s="559">
        <v>2014</v>
      </c>
      <c r="C169" s="559" t="s">
        <v>251</v>
      </c>
      <c r="D169" s="559" t="s">
        <v>4</v>
      </c>
      <c r="E169" s="559" t="s">
        <v>101</v>
      </c>
      <c r="F169" s="572">
        <v>0</v>
      </c>
      <c r="G169" s="174"/>
    </row>
    <row r="170" spans="1:7" x14ac:dyDescent="0.3">
      <c r="A170" s="559" t="s">
        <v>471</v>
      </c>
      <c r="B170" s="559">
        <v>2014</v>
      </c>
      <c r="C170" s="559" t="s">
        <v>252</v>
      </c>
      <c r="D170" s="559" t="s">
        <v>28</v>
      </c>
      <c r="E170" s="559" t="s">
        <v>96</v>
      </c>
      <c r="F170" s="572">
        <v>0</v>
      </c>
      <c r="G170" s="174"/>
    </row>
    <row r="171" spans="1:7" x14ac:dyDescent="0.3">
      <c r="A171" s="559" t="s">
        <v>471</v>
      </c>
      <c r="B171" s="559">
        <v>2014</v>
      </c>
      <c r="C171" s="559" t="s">
        <v>252</v>
      </c>
      <c r="D171" s="559" t="s">
        <v>32</v>
      </c>
      <c r="E171" s="559" t="s">
        <v>96</v>
      </c>
      <c r="F171" s="572">
        <v>0</v>
      </c>
      <c r="G171" s="174"/>
    </row>
    <row r="172" spans="1:7" x14ac:dyDescent="0.3">
      <c r="A172" s="559" t="s">
        <v>471</v>
      </c>
      <c r="B172" s="559">
        <v>2014</v>
      </c>
      <c r="C172" s="559" t="s">
        <v>253</v>
      </c>
      <c r="D172" s="559" t="s">
        <v>32</v>
      </c>
      <c r="E172" s="559" t="s">
        <v>96</v>
      </c>
      <c r="F172" s="572">
        <v>221.792000000001</v>
      </c>
      <c r="G172" s="174"/>
    </row>
    <row r="173" spans="1:7" x14ac:dyDescent="0.3">
      <c r="A173" s="559" t="s">
        <v>471</v>
      </c>
      <c r="B173" s="559">
        <v>2014</v>
      </c>
      <c r="C173" s="559" t="s">
        <v>254</v>
      </c>
      <c r="D173" s="559" t="s">
        <v>28</v>
      </c>
      <c r="E173" s="559" t="s">
        <v>96</v>
      </c>
      <c r="F173" s="559">
        <v>281.18</v>
      </c>
      <c r="G173" s="174"/>
    </row>
    <row r="174" spans="1:7" x14ac:dyDescent="0.3">
      <c r="A174" s="559" t="s">
        <v>471</v>
      </c>
      <c r="B174" s="559">
        <v>2014</v>
      </c>
      <c r="C174" s="559" t="s">
        <v>678</v>
      </c>
      <c r="D174" s="559" t="s">
        <v>2</v>
      </c>
      <c r="E174" s="559" t="s">
        <v>96</v>
      </c>
      <c r="F174" s="559">
        <v>5951.8010000000804</v>
      </c>
      <c r="G174" s="174"/>
    </row>
    <row r="175" spans="1:7" x14ac:dyDescent="0.3">
      <c r="A175" s="559" t="s">
        <v>471</v>
      </c>
      <c r="B175" s="559">
        <v>2014</v>
      </c>
      <c r="C175" s="559" t="s">
        <v>257</v>
      </c>
      <c r="D175" s="559" t="s">
        <v>4</v>
      </c>
      <c r="E175" s="559" t="s">
        <v>96</v>
      </c>
      <c r="F175" s="559">
        <v>11.603892709766299</v>
      </c>
      <c r="G175" s="174"/>
    </row>
    <row r="176" spans="1:7" x14ac:dyDescent="0.3">
      <c r="A176" s="559" t="s">
        <v>471</v>
      </c>
      <c r="B176" s="559">
        <v>2014</v>
      </c>
      <c r="C176" s="559" t="s">
        <v>257</v>
      </c>
      <c r="D176" s="559" t="s">
        <v>37</v>
      </c>
      <c r="E176" s="559" t="s">
        <v>96</v>
      </c>
      <c r="F176" s="559">
        <v>550.79810729024302</v>
      </c>
      <c r="G176" s="174"/>
    </row>
    <row r="177" spans="1:7" x14ac:dyDescent="0.3">
      <c r="A177" s="559" t="s">
        <v>471</v>
      </c>
      <c r="B177" s="559">
        <v>2014</v>
      </c>
      <c r="C177" s="559" t="s">
        <v>258</v>
      </c>
      <c r="D177" s="559" t="s">
        <v>41</v>
      </c>
      <c r="E177" s="559" t="s">
        <v>96</v>
      </c>
      <c r="F177" s="559">
        <v>98.586000000007601</v>
      </c>
      <c r="G177" s="174"/>
    </row>
    <row r="178" spans="1:7" x14ac:dyDescent="0.3">
      <c r="A178" s="559" t="s">
        <v>471</v>
      </c>
      <c r="B178" s="559">
        <v>2014</v>
      </c>
      <c r="C178" s="559" t="s">
        <v>259</v>
      </c>
      <c r="D178" s="559" t="s">
        <v>36</v>
      </c>
      <c r="E178" s="559" t="s">
        <v>96</v>
      </c>
      <c r="F178" s="559">
        <v>0</v>
      </c>
      <c r="G178" s="174"/>
    </row>
    <row r="179" spans="1:7" x14ac:dyDescent="0.3">
      <c r="A179" s="559" t="s">
        <v>471</v>
      </c>
      <c r="B179" s="559">
        <v>2014</v>
      </c>
      <c r="C179" s="559" t="s">
        <v>260</v>
      </c>
      <c r="D179" s="559" t="s">
        <v>37</v>
      </c>
      <c r="E179" s="559" t="s">
        <v>96</v>
      </c>
      <c r="F179" s="559">
        <v>0</v>
      </c>
      <c r="G179" s="174"/>
    </row>
    <row r="180" spans="1:7" x14ac:dyDescent="0.3">
      <c r="A180" s="559" t="s">
        <v>471</v>
      </c>
      <c r="B180" s="559">
        <v>2014</v>
      </c>
      <c r="C180" s="559" t="s">
        <v>261</v>
      </c>
      <c r="D180" s="559" t="s">
        <v>28</v>
      </c>
      <c r="E180" s="559" t="s">
        <v>96</v>
      </c>
      <c r="F180" s="559">
        <v>0</v>
      </c>
      <c r="G180" s="174"/>
    </row>
    <row r="181" spans="1:7" x14ac:dyDescent="0.3">
      <c r="A181" s="559" t="s">
        <v>471</v>
      </c>
      <c r="B181" s="559">
        <v>2014</v>
      </c>
      <c r="C181" s="559" t="s">
        <v>262</v>
      </c>
      <c r="D181" s="559" t="s">
        <v>37</v>
      </c>
      <c r="E181" s="559" t="s">
        <v>96</v>
      </c>
      <c r="F181" s="559">
        <v>1116.3679999999999</v>
      </c>
      <c r="G181" s="174"/>
    </row>
    <row r="182" spans="1:7" x14ac:dyDescent="0.3">
      <c r="A182" s="559" t="s">
        <v>471</v>
      </c>
      <c r="B182" s="559">
        <v>2014</v>
      </c>
      <c r="C182" s="559" t="s">
        <v>263</v>
      </c>
      <c r="D182" s="559" t="s">
        <v>49</v>
      </c>
      <c r="E182" s="559" t="s">
        <v>96</v>
      </c>
      <c r="F182" s="559">
        <v>9.2999999999999805E-2</v>
      </c>
      <c r="G182" s="174"/>
    </row>
    <row r="183" spans="1:7" x14ac:dyDescent="0.3">
      <c r="A183" s="559" t="s">
        <v>471</v>
      </c>
      <c r="B183" s="559">
        <v>2014</v>
      </c>
      <c r="C183" s="559" t="s">
        <v>264</v>
      </c>
      <c r="D183" s="559" t="s">
        <v>51</v>
      </c>
      <c r="E183" s="559" t="s">
        <v>96</v>
      </c>
      <c r="F183" s="559">
        <v>0.25273122538641302</v>
      </c>
      <c r="G183" s="174"/>
    </row>
    <row r="184" spans="1:7" x14ac:dyDescent="0.3">
      <c r="A184" s="559" t="s">
        <v>471</v>
      </c>
      <c r="B184" s="559">
        <v>2014</v>
      </c>
      <c r="C184" s="559" t="s">
        <v>264</v>
      </c>
      <c r="D184" s="559" t="s">
        <v>37</v>
      </c>
      <c r="E184" s="559" t="s">
        <v>96</v>
      </c>
      <c r="F184" s="559">
        <v>411.591284003694</v>
      </c>
      <c r="G184" s="174"/>
    </row>
    <row r="185" spans="1:7" x14ac:dyDescent="0.3">
      <c r="A185" s="559" t="s">
        <v>471</v>
      </c>
      <c r="B185" s="559">
        <v>2014</v>
      </c>
      <c r="C185" s="559" t="s">
        <v>265</v>
      </c>
      <c r="D185" s="559" t="s">
        <v>37</v>
      </c>
      <c r="E185" s="559" t="s">
        <v>96</v>
      </c>
      <c r="F185" s="559">
        <v>15486.739</v>
      </c>
      <c r="G185" s="174"/>
    </row>
    <row r="186" spans="1:7" x14ac:dyDescent="0.3">
      <c r="A186" s="559" t="s">
        <v>471</v>
      </c>
      <c r="B186" s="559">
        <v>2014</v>
      </c>
      <c r="C186" s="559" t="s">
        <v>266</v>
      </c>
      <c r="D186" s="559" t="s">
        <v>40</v>
      </c>
      <c r="E186" s="559" t="s">
        <v>96</v>
      </c>
      <c r="F186" s="559">
        <v>0</v>
      </c>
      <c r="G186" s="174"/>
    </row>
    <row r="187" spans="1:7" x14ac:dyDescent="0.3">
      <c r="A187" s="559" t="s">
        <v>471</v>
      </c>
      <c r="B187" s="559">
        <v>2014</v>
      </c>
      <c r="C187" s="559" t="s">
        <v>267</v>
      </c>
      <c r="D187" s="559" t="s">
        <v>4</v>
      </c>
      <c r="E187" s="559" t="s">
        <v>96</v>
      </c>
      <c r="F187" s="559">
        <v>0</v>
      </c>
      <c r="G187" s="174"/>
    </row>
    <row r="188" spans="1:7" x14ac:dyDescent="0.3">
      <c r="A188" s="559" t="s">
        <v>471</v>
      </c>
      <c r="B188" s="559">
        <v>2014</v>
      </c>
      <c r="C188" s="559" t="s">
        <v>268</v>
      </c>
      <c r="D188" s="559" t="s">
        <v>4</v>
      </c>
      <c r="E188" s="559" t="s">
        <v>101</v>
      </c>
      <c r="F188" s="559">
        <v>0</v>
      </c>
      <c r="G188" s="174"/>
    </row>
    <row r="189" spans="1:7" x14ac:dyDescent="0.3">
      <c r="A189" s="559" t="s">
        <v>471</v>
      </c>
      <c r="B189" s="559">
        <v>2014</v>
      </c>
      <c r="C189" s="559" t="s">
        <v>269</v>
      </c>
      <c r="D189" s="559" t="s">
        <v>8</v>
      </c>
      <c r="E189" s="559" t="s">
        <v>96</v>
      </c>
      <c r="F189" s="559">
        <v>0</v>
      </c>
      <c r="G189" s="174"/>
    </row>
    <row r="190" spans="1:7" x14ac:dyDescent="0.3">
      <c r="A190" s="559" t="s">
        <v>471</v>
      </c>
      <c r="B190" s="559">
        <v>2014</v>
      </c>
      <c r="C190" s="559" t="s">
        <v>270</v>
      </c>
      <c r="D190" s="559" t="s">
        <v>36</v>
      </c>
      <c r="E190" s="559" t="s">
        <v>96</v>
      </c>
      <c r="F190" s="559">
        <v>205.21300000000599</v>
      </c>
      <c r="G190" s="174"/>
    </row>
    <row r="191" spans="1:7" x14ac:dyDescent="0.3">
      <c r="A191" s="559" t="s">
        <v>471</v>
      </c>
      <c r="B191" s="559">
        <v>2014</v>
      </c>
      <c r="C191" s="559" t="s">
        <v>679</v>
      </c>
      <c r="D191" s="559" t="s">
        <v>41</v>
      </c>
      <c r="E191" s="559" t="s">
        <v>96</v>
      </c>
      <c r="F191" s="559">
        <v>7272.89700000012</v>
      </c>
      <c r="G191" s="174"/>
    </row>
    <row r="192" spans="1:7" x14ac:dyDescent="0.3">
      <c r="A192" s="559" t="s">
        <v>471</v>
      </c>
      <c r="B192" s="559">
        <v>2014</v>
      </c>
      <c r="C192" s="559" t="s">
        <v>273</v>
      </c>
      <c r="D192" s="559" t="s">
        <v>37</v>
      </c>
      <c r="E192" s="559" t="s">
        <v>96</v>
      </c>
      <c r="F192" s="559">
        <v>0</v>
      </c>
      <c r="G192" s="174"/>
    </row>
    <row r="193" spans="1:7" x14ac:dyDescent="0.3">
      <c r="A193" s="559" t="s">
        <v>471</v>
      </c>
      <c r="B193" s="559">
        <v>2014</v>
      </c>
      <c r="C193" s="559" t="s">
        <v>274</v>
      </c>
      <c r="D193" s="559" t="s">
        <v>37</v>
      </c>
      <c r="E193" s="559" t="s">
        <v>96</v>
      </c>
      <c r="F193" s="559">
        <v>0</v>
      </c>
      <c r="G193" s="174"/>
    </row>
    <row r="194" spans="1:7" x14ac:dyDescent="0.3">
      <c r="A194" s="559" t="s">
        <v>471</v>
      </c>
      <c r="B194" s="559">
        <v>2014</v>
      </c>
      <c r="C194" s="559" t="s">
        <v>275</v>
      </c>
      <c r="D194" s="559" t="s">
        <v>36</v>
      </c>
      <c r="E194" s="559" t="s">
        <v>96</v>
      </c>
      <c r="F194" s="559">
        <v>0</v>
      </c>
      <c r="G194" s="174"/>
    </row>
    <row r="195" spans="1:7" x14ac:dyDescent="0.3">
      <c r="A195" s="559" t="s">
        <v>471</v>
      </c>
      <c r="B195" s="559">
        <v>2014</v>
      </c>
      <c r="C195" s="559" t="s">
        <v>276</v>
      </c>
      <c r="D195" s="559" t="s">
        <v>36</v>
      </c>
      <c r="E195" s="559" t="s">
        <v>96</v>
      </c>
      <c r="F195" s="559">
        <v>1315.2039999999899</v>
      </c>
      <c r="G195" s="174"/>
    </row>
    <row r="196" spans="1:7" x14ac:dyDescent="0.3">
      <c r="A196" s="559" t="s">
        <v>471</v>
      </c>
      <c r="B196" s="559">
        <v>2014</v>
      </c>
      <c r="C196" s="559" t="s">
        <v>277</v>
      </c>
      <c r="D196" s="559" t="s">
        <v>103</v>
      </c>
      <c r="E196" s="559" t="s">
        <v>96</v>
      </c>
      <c r="F196" s="559">
        <v>4.9999999999999899E-2</v>
      </c>
      <c r="G196" s="174"/>
    </row>
    <row r="197" spans="1:7" x14ac:dyDescent="0.3">
      <c r="A197" s="559" t="s">
        <v>471</v>
      </c>
      <c r="B197" s="559">
        <v>2014</v>
      </c>
      <c r="C197" s="559" t="s">
        <v>278</v>
      </c>
      <c r="D197" s="559" t="s">
        <v>35</v>
      </c>
      <c r="E197" s="559" t="s">
        <v>101</v>
      </c>
      <c r="F197" s="559">
        <v>1216.6310000000001</v>
      </c>
      <c r="G197" s="174"/>
    </row>
    <row r="198" spans="1:7" x14ac:dyDescent="0.3">
      <c r="A198" s="559" t="s">
        <v>471</v>
      </c>
      <c r="B198" s="559">
        <v>2014</v>
      </c>
      <c r="C198" s="559" t="s">
        <v>279</v>
      </c>
      <c r="D198" s="559" t="s">
        <v>4</v>
      </c>
      <c r="E198" s="559" t="s">
        <v>101</v>
      </c>
      <c r="F198" s="559">
        <v>0</v>
      </c>
      <c r="G198" s="174"/>
    </row>
    <row r="199" spans="1:7" x14ac:dyDescent="0.3">
      <c r="A199" s="559" t="s">
        <v>471</v>
      </c>
      <c r="B199" s="559">
        <v>2014</v>
      </c>
      <c r="C199" s="559" t="s">
        <v>280</v>
      </c>
      <c r="D199" s="559" t="s">
        <v>4</v>
      </c>
      <c r="E199" s="559" t="s">
        <v>101</v>
      </c>
      <c r="F199" s="559">
        <v>0</v>
      </c>
      <c r="G199" s="174"/>
    </row>
    <row r="200" spans="1:7" x14ac:dyDescent="0.3">
      <c r="A200" s="559" t="s">
        <v>471</v>
      </c>
      <c r="B200" s="559">
        <v>2014</v>
      </c>
      <c r="C200" s="559" t="s">
        <v>281</v>
      </c>
      <c r="D200" s="559" t="s">
        <v>10</v>
      </c>
      <c r="E200" s="559" t="s">
        <v>101</v>
      </c>
      <c r="F200" s="559">
        <v>9068.6780000000108</v>
      </c>
      <c r="G200" s="174"/>
    </row>
    <row r="201" spans="1:7" x14ac:dyDescent="0.3">
      <c r="A201" s="559" t="s">
        <v>471</v>
      </c>
      <c r="B201" s="559">
        <v>2014</v>
      </c>
      <c r="C201" s="559" t="s">
        <v>282</v>
      </c>
      <c r="D201" s="559" t="s">
        <v>12</v>
      </c>
      <c r="E201" s="559" t="s">
        <v>96</v>
      </c>
      <c r="F201" s="559">
        <v>27139.572000000298</v>
      </c>
      <c r="G201" s="174"/>
    </row>
    <row r="202" spans="1:7" x14ac:dyDescent="0.3">
      <c r="A202" s="559" t="s">
        <v>471</v>
      </c>
      <c r="B202" s="559">
        <v>2014</v>
      </c>
      <c r="C202" s="559" t="s">
        <v>283</v>
      </c>
      <c r="D202" s="559" t="s">
        <v>1</v>
      </c>
      <c r="E202" s="559" t="s">
        <v>96</v>
      </c>
      <c r="F202" s="559">
        <v>126987.546999998</v>
      </c>
      <c r="G202" s="174"/>
    </row>
    <row r="203" spans="1:7" x14ac:dyDescent="0.3">
      <c r="A203" s="559" t="s">
        <v>471</v>
      </c>
      <c r="B203" s="559">
        <v>2014</v>
      </c>
      <c r="C203" s="559" t="s">
        <v>284</v>
      </c>
      <c r="D203" s="559" t="s">
        <v>28</v>
      </c>
      <c r="E203" s="559" t="s">
        <v>96</v>
      </c>
      <c r="F203" s="559">
        <v>60.460000000008101</v>
      </c>
      <c r="G203" s="174"/>
    </row>
    <row r="204" spans="1:7" x14ac:dyDescent="0.3">
      <c r="A204" s="559" t="s">
        <v>471</v>
      </c>
      <c r="B204" s="559">
        <v>2014</v>
      </c>
      <c r="C204" s="559" t="s">
        <v>285</v>
      </c>
      <c r="D204" s="559" t="s">
        <v>4</v>
      </c>
      <c r="E204" s="559" t="s">
        <v>96</v>
      </c>
      <c r="F204" s="559">
        <v>0</v>
      </c>
      <c r="G204" s="174"/>
    </row>
    <row r="205" spans="1:7" x14ac:dyDescent="0.3">
      <c r="A205" s="559" t="s">
        <v>471</v>
      </c>
      <c r="B205" s="559">
        <v>2014</v>
      </c>
      <c r="C205" s="559" t="s">
        <v>286</v>
      </c>
      <c r="D205" s="559" t="s">
        <v>4</v>
      </c>
      <c r="E205" s="559" t="s">
        <v>101</v>
      </c>
      <c r="F205" s="559">
        <v>5700.8389999999999</v>
      </c>
      <c r="G205" s="174"/>
    </row>
    <row r="206" spans="1:7" x14ac:dyDescent="0.3">
      <c r="A206" s="559" t="s">
        <v>471</v>
      </c>
      <c r="B206" s="559">
        <v>2014</v>
      </c>
      <c r="C206" s="559" t="s">
        <v>287</v>
      </c>
      <c r="D206" s="559" t="s">
        <v>4</v>
      </c>
      <c r="E206" s="559" t="s">
        <v>101</v>
      </c>
      <c r="F206" s="559">
        <v>0</v>
      </c>
      <c r="G206" s="174"/>
    </row>
    <row r="207" spans="1:7" x14ac:dyDescent="0.3">
      <c r="A207" s="559" t="s">
        <v>471</v>
      </c>
      <c r="B207" s="559">
        <v>2014</v>
      </c>
      <c r="C207" s="559" t="s">
        <v>288</v>
      </c>
      <c r="D207" s="559" t="s">
        <v>4</v>
      </c>
      <c r="E207" s="559" t="s">
        <v>101</v>
      </c>
      <c r="F207" s="559">
        <v>0</v>
      </c>
      <c r="G207" s="174"/>
    </row>
    <row r="208" spans="1:7" x14ac:dyDescent="0.3">
      <c r="A208" s="559" t="s">
        <v>471</v>
      </c>
      <c r="B208" s="559">
        <v>2014</v>
      </c>
      <c r="C208" s="559" t="s">
        <v>289</v>
      </c>
      <c r="D208" s="559" t="s">
        <v>19</v>
      </c>
      <c r="E208" s="559" t="s">
        <v>96</v>
      </c>
      <c r="F208" s="559">
        <v>87404.777999999802</v>
      </c>
      <c r="G208" s="174"/>
    </row>
    <row r="209" spans="1:7" x14ac:dyDescent="0.3">
      <c r="A209" s="559" t="s">
        <v>471</v>
      </c>
      <c r="B209" s="559">
        <v>2014</v>
      </c>
      <c r="C209" s="559" t="s">
        <v>290</v>
      </c>
      <c r="D209" s="559" t="s">
        <v>35</v>
      </c>
      <c r="E209" s="559" t="s">
        <v>101</v>
      </c>
      <c r="F209" s="559">
        <v>0</v>
      </c>
      <c r="G209" s="174"/>
    </row>
    <row r="210" spans="1:7" x14ac:dyDescent="0.3">
      <c r="A210" s="559" t="s">
        <v>471</v>
      </c>
      <c r="B210" s="559">
        <v>2014</v>
      </c>
      <c r="C210" s="559" t="s">
        <v>291</v>
      </c>
      <c r="D210" s="559" t="s">
        <v>0</v>
      </c>
      <c r="E210" s="559" t="s">
        <v>96</v>
      </c>
      <c r="F210" s="559">
        <v>11178.513000000101</v>
      </c>
      <c r="G210" s="174"/>
    </row>
    <row r="211" spans="1:7" x14ac:dyDescent="0.3">
      <c r="A211" s="559" t="s">
        <v>471</v>
      </c>
      <c r="B211" s="559">
        <v>2014</v>
      </c>
      <c r="C211" s="559" t="s">
        <v>292</v>
      </c>
      <c r="D211" s="559" t="s">
        <v>37</v>
      </c>
      <c r="E211" s="559" t="s">
        <v>96</v>
      </c>
      <c r="F211" s="559">
        <v>0</v>
      </c>
      <c r="G211" s="174"/>
    </row>
    <row r="212" spans="1:7" x14ac:dyDescent="0.3">
      <c r="A212" s="559" t="s">
        <v>471</v>
      </c>
      <c r="B212" s="559">
        <v>2014</v>
      </c>
      <c r="C212" s="559" t="s">
        <v>293</v>
      </c>
      <c r="D212" s="559" t="s">
        <v>49</v>
      </c>
      <c r="E212" s="559" t="s">
        <v>96</v>
      </c>
      <c r="F212" s="559">
        <v>0</v>
      </c>
      <c r="G212" s="174"/>
    </row>
    <row r="213" spans="1:7" x14ac:dyDescent="0.3">
      <c r="A213" s="559" t="s">
        <v>471</v>
      </c>
      <c r="B213" s="559">
        <v>2014</v>
      </c>
      <c r="C213" s="559" t="s">
        <v>294</v>
      </c>
      <c r="D213" s="559" t="s">
        <v>17</v>
      </c>
      <c r="E213" s="559" t="s">
        <v>96</v>
      </c>
      <c r="F213" s="559">
        <v>271.77099999999899</v>
      </c>
      <c r="G213" s="174"/>
    </row>
    <row r="214" spans="1:7" x14ac:dyDescent="0.3">
      <c r="A214" s="559" t="s">
        <v>471</v>
      </c>
      <c r="B214" s="559">
        <v>2014</v>
      </c>
      <c r="C214" s="559" t="s">
        <v>295</v>
      </c>
      <c r="D214" s="559" t="s">
        <v>17</v>
      </c>
      <c r="E214" s="559" t="s">
        <v>101</v>
      </c>
      <c r="F214" s="559">
        <v>0</v>
      </c>
      <c r="G214" s="174"/>
    </row>
    <row r="215" spans="1:7" x14ac:dyDescent="0.3">
      <c r="A215" s="559" t="s">
        <v>471</v>
      </c>
      <c r="B215" s="559">
        <v>2014</v>
      </c>
      <c r="C215" s="559" t="s">
        <v>296</v>
      </c>
      <c r="D215" s="559" t="s">
        <v>37</v>
      </c>
      <c r="E215" s="559" t="s">
        <v>96</v>
      </c>
      <c r="F215" s="559">
        <v>0</v>
      </c>
      <c r="G215" s="174"/>
    </row>
    <row r="216" spans="1:7" x14ac:dyDescent="0.3">
      <c r="A216" s="559" t="s">
        <v>471</v>
      </c>
      <c r="B216" s="559">
        <v>2014</v>
      </c>
      <c r="C216" s="559" t="s">
        <v>297</v>
      </c>
      <c r="D216" s="559" t="s">
        <v>28</v>
      </c>
      <c r="E216" s="559" t="s">
        <v>96</v>
      </c>
      <c r="F216" s="559">
        <v>0</v>
      </c>
      <c r="G216" s="174"/>
    </row>
    <row r="217" spans="1:7" x14ac:dyDescent="0.3">
      <c r="A217" s="559" t="s">
        <v>471</v>
      </c>
      <c r="B217" s="559">
        <v>2014</v>
      </c>
      <c r="C217" s="559" t="s">
        <v>298</v>
      </c>
      <c r="D217" s="559" t="s">
        <v>28</v>
      </c>
      <c r="E217" s="559" t="s">
        <v>96</v>
      </c>
      <c r="F217" s="559">
        <v>0</v>
      </c>
      <c r="G217" s="174"/>
    </row>
    <row r="218" spans="1:7" x14ac:dyDescent="0.3">
      <c r="A218" s="559" t="s">
        <v>471</v>
      </c>
      <c r="B218" s="559">
        <v>2014</v>
      </c>
      <c r="C218" s="559" t="s">
        <v>299</v>
      </c>
      <c r="D218" s="559" t="s">
        <v>35</v>
      </c>
      <c r="E218" s="559" t="s">
        <v>101</v>
      </c>
      <c r="F218" s="559">
        <v>1954.15</v>
      </c>
      <c r="G218" s="174"/>
    </row>
    <row r="219" spans="1:7" x14ac:dyDescent="0.3">
      <c r="A219" s="559" t="s">
        <v>471</v>
      </c>
      <c r="B219" s="559">
        <v>2014</v>
      </c>
      <c r="C219" s="559" t="s">
        <v>300</v>
      </c>
      <c r="D219" s="559" t="s">
        <v>4</v>
      </c>
      <c r="E219" s="559" t="s">
        <v>96</v>
      </c>
      <c r="F219" s="559">
        <v>412.58499999999901</v>
      </c>
      <c r="G219" s="174"/>
    </row>
    <row r="220" spans="1:7" x14ac:dyDescent="0.3">
      <c r="A220" s="559" t="s">
        <v>471</v>
      </c>
      <c r="B220" s="559">
        <v>2014</v>
      </c>
      <c r="C220" s="559" t="s">
        <v>301</v>
      </c>
      <c r="D220" s="559" t="s">
        <v>4</v>
      </c>
      <c r="E220" s="559" t="s">
        <v>101</v>
      </c>
      <c r="F220" s="559">
        <v>0</v>
      </c>
      <c r="G220" s="174"/>
    </row>
    <row r="221" spans="1:7" x14ac:dyDescent="0.3">
      <c r="A221" s="559" t="s">
        <v>471</v>
      </c>
      <c r="B221" s="559">
        <v>2014</v>
      </c>
      <c r="C221" s="559" t="s">
        <v>302</v>
      </c>
      <c r="D221" s="559" t="s">
        <v>4</v>
      </c>
      <c r="E221" s="559" t="s">
        <v>101</v>
      </c>
      <c r="F221" s="559">
        <v>0</v>
      </c>
      <c r="G221" s="174"/>
    </row>
    <row r="222" spans="1:7" x14ac:dyDescent="0.3">
      <c r="A222" s="559" t="s">
        <v>471</v>
      </c>
      <c r="B222" s="559">
        <v>2014</v>
      </c>
      <c r="C222" s="559" t="s">
        <v>303</v>
      </c>
      <c r="D222" s="559" t="s">
        <v>0</v>
      </c>
      <c r="E222" s="559" t="s">
        <v>96</v>
      </c>
      <c r="F222" s="559">
        <v>26483.832000000599</v>
      </c>
      <c r="G222" s="174"/>
    </row>
    <row r="223" spans="1:7" x14ac:dyDescent="0.3">
      <c r="A223" s="559" t="s">
        <v>471</v>
      </c>
      <c r="B223" s="559">
        <v>2014</v>
      </c>
      <c r="C223" s="559" t="s">
        <v>304</v>
      </c>
      <c r="D223" s="559" t="s">
        <v>10</v>
      </c>
      <c r="E223" s="559" t="s">
        <v>101</v>
      </c>
      <c r="F223" s="559">
        <v>3918.6869999999899</v>
      </c>
      <c r="G223" s="174"/>
    </row>
    <row r="224" spans="1:7" x14ac:dyDescent="0.3">
      <c r="A224" s="559" t="s">
        <v>471</v>
      </c>
      <c r="B224" s="559">
        <v>2014</v>
      </c>
      <c r="C224" s="559" t="s">
        <v>386</v>
      </c>
      <c r="D224" s="559" t="s">
        <v>0</v>
      </c>
      <c r="E224" s="559" t="s">
        <v>96</v>
      </c>
      <c r="F224" s="559">
        <v>1363.5080000000401</v>
      </c>
      <c r="G224" s="174"/>
    </row>
    <row r="225" spans="1:7" x14ac:dyDescent="0.3">
      <c r="A225" s="559" t="s">
        <v>471</v>
      </c>
      <c r="B225" s="559">
        <v>2014</v>
      </c>
      <c r="C225" s="559" t="s">
        <v>305</v>
      </c>
      <c r="D225" s="559" t="s">
        <v>10</v>
      </c>
      <c r="E225" s="559" t="s">
        <v>101</v>
      </c>
      <c r="F225" s="559">
        <v>0</v>
      </c>
      <c r="G225" s="174"/>
    </row>
    <row r="226" spans="1:7" x14ac:dyDescent="0.3">
      <c r="A226" s="559" t="s">
        <v>471</v>
      </c>
      <c r="B226" s="559">
        <v>2014</v>
      </c>
      <c r="C226" s="559" t="s">
        <v>306</v>
      </c>
      <c r="D226" s="559" t="s">
        <v>11</v>
      </c>
      <c r="E226" s="559" t="s">
        <v>96</v>
      </c>
      <c r="F226" s="559">
        <v>0</v>
      </c>
      <c r="G226" s="174"/>
    </row>
    <row r="227" spans="1:7" x14ac:dyDescent="0.3">
      <c r="A227" s="559" t="s">
        <v>471</v>
      </c>
      <c r="B227" s="559">
        <v>2014</v>
      </c>
      <c r="C227" s="559" t="s">
        <v>307</v>
      </c>
      <c r="D227" s="559" t="s">
        <v>40</v>
      </c>
      <c r="E227" s="559" t="s">
        <v>96</v>
      </c>
      <c r="F227" s="559">
        <v>0</v>
      </c>
      <c r="G227" s="174"/>
    </row>
    <row r="228" spans="1:7" x14ac:dyDescent="0.3">
      <c r="A228" s="559" t="s">
        <v>471</v>
      </c>
      <c r="B228" s="559">
        <v>2014</v>
      </c>
      <c r="C228" s="559" t="s">
        <v>308</v>
      </c>
      <c r="D228" s="559" t="s">
        <v>10</v>
      </c>
      <c r="E228" s="559" t="s">
        <v>110</v>
      </c>
      <c r="F228" s="559">
        <v>0</v>
      </c>
      <c r="G228" s="174"/>
    </row>
    <row r="229" spans="1:7" x14ac:dyDescent="0.3">
      <c r="A229" s="559" t="s">
        <v>471</v>
      </c>
      <c r="B229" s="559">
        <v>2014</v>
      </c>
      <c r="C229" s="559" t="s">
        <v>308</v>
      </c>
      <c r="D229" s="559" t="s">
        <v>10</v>
      </c>
      <c r="E229" s="559" t="s">
        <v>96</v>
      </c>
      <c r="F229" s="559">
        <v>14.704592274677999</v>
      </c>
      <c r="G229" s="174"/>
    </row>
    <row r="230" spans="1:7" x14ac:dyDescent="0.3">
      <c r="A230" s="559" t="s">
        <v>471</v>
      </c>
      <c r="B230" s="559">
        <v>2014</v>
      </c>
      <c r="C230" s="559" t="s">
        <v>308</v>
      </c>
      <c r="D230" s="559" t="s">
        <v>32</v>
      </c>
      <c r="E230" s="559" t="s">
        <v>96</v>
      </c>
      <c r="F230" s="559">
        <v>0</v>
      </c>
      <c r="G230" s="174"/>
    </row>
    <row r="231" spans="1:7" x14ac:dyDescent="0.3">
      <c r="A231" s="559" t="s">
        <v>471</v>
      </c>
      <c r="B231" s="559">
        <v>2014</v>
      </c>
      <c r="C231" s="559" t="s">
        <v>309</v>
      </c>
      <c r="D231" s="559" t="s">
        <v>10</v>
      </c>
      <c r="E231" s="559" t="s">
        <v>101</v>
      </c>
      <c r="F231" s="559">
        <v>32816.084000000003</v>
      </c>
      <c r="G231" s="174"/>
    </row>
    <row r="232" spans="1:7" x14ac:dyDescent="0.3">
      <c r="A232" s="559" t="s">
        <v>471</v>
      </c>
      <c r="B232" s="559">
        <v>2014</v>
      </c>
      <c r="C232" s="559" t="s">
        <v>310</v>
      </c>
      <c r="D232" s="559" t="s">
        <v>28</v>
      </c>
      <c r="E232" s="559" t="s">
        <v>96</v>
      </c>
      <c r="F232" s="559">
        <v>263.56099999999998</v>
      </c>
      <c r="G232" s="174"/>
    </row>
    <row r="233" spans="1:7" x14ac:dyDescent="0.3">
      <c r="A233" s="559" t="s">
        <v>471</v>
      </c>
      <c r="B233" s="559">
        <v>2014</v>
      </c>
      <c r="C233" s="559" t="s">
        <v>311</v>
      </c>
      <c r="D233" s="559" t="s">
        <v>0</v>
      </c>
      <c r="E233" s="559" t="s">
        <v>96</v>
      </c>
      <c r="F233" s="559">
        <v>20599.2560000003</v>
      </c>
      <c r="G233" s="174"/>
    </row>
    <row r="234" spans="1:7" x14ac:dyDescent="0.3">
      <c r="A234" s="559" t="s">
        <v>471</v>
      </c>
      <c r="B234" s="559">
        <v>2014</v>
      </c>
      <c r="C234" s="559" t="s">
        <v>312</v>
      </c>
      <c r="D234" s="559" t="s">
        <v>49</v>
      </c>
      <c r="E234" s="559" t="s">
        <v>96</v>
      </c>
      <c r="F234" s="559">
        <v>54.697000000000997</v>
      </c>
      <c r="G234" s="174"/>
    </row>
    <row r="235" spans="1:7" x14ac:dyDescent="0.3">
      <c r="A235" s="559" t="s">
        <v>471</v>
      </c>
      <c r="B235" s="559">
        <v>2014</v>
      </c>
      <c r="C235" s="559" t="s">
        <v>313</v>
      </c>
      <c r="D235" s="559" t="s">
        <v>38</v>
      </c>
      <c r="E235" s="559" t="s">
        <v>96</v>
      </c>
      <c r="F235" s="559">
        <v>0</v>
      </c>
      <c r="G235" s="174"/>
    </row>
    <row r="236" spans="1:7" x14ac:dyDescent="0.3">
      <c r="A236" s="559" t="s">
        <v>471</v>
      </c>
      <c r="B236" s="559">
        <v>2014</v>
      </c>
      <c r="C236" s="559" t="s">
        <v>314</v>
      </c>
      <c r="D236" s="559" t="s">
        <v>32</v>
      </c>
      <c r="E236" s="559" t="s">
        <v>96</v>
      </c>
      <c r="F236" s="559">
        <v>0</v>
      </c>
      <c r="G236" s="174"/>
    </row>
    <row r="237" spans="1:7" x14ac:dyDescent="0.3">
      <c r="A237" s="559" t="s">
        <v>471</v>
      </c>
      <c r="B237" s="559">
        <v>2014</v>
      </c>
      <c r="C237" s="559" t="s">
        <v>314</v>
      </c>
      <c r="D237" s="559" t="s">
        <v>42</v>
      </c>
      <c r="E237" s="559" t="s">
        <v>96</v>
      </c>
      <c r="F237" s="559">
        <v>0</v>
      </c>
      <c r="G237" s="174"/>
    </row>
    <row r="238" spans="1:7" x14ac:dyDescent="0.3">
      <c r="A238" s="559" t="s">
        <v>471</v>
      </c>
      <c r="B238" s="559">
        <v>2014</v>
      </c>
      <c r="C238" s="559" t="s">
        <v>315</v>
      </c>
      <c r="D238" s="559" t="s">
        <v>49</v>
      </c>
      <c r="E238" s="559" t="s">
        <v>96</v>
      </c>
      <c r="F238" s="559">
        <v>34.631000000000498</v>
      </c>
      <c r="G238" s="174"/>
    </row>
    <row r="239" spans="1:7" x14ac:dyDescent="0.3">
      <c r="A239" s="559" t="s">
        <v>471</v>
      </c>
      <c r="B239" s="559">
        <v>2014</v>
      </c>
      <c r="C239" s="559" t="s">
        <v>316</v>
      </c>
      <c r="D239" s="559" t="s">
        <v>36</v>
      </c>
      <c r="E239" s="559" t="s">
        <v>96</v>
      </c>
      <c r="F239" s="559">
        <v>0</v>
      </c>
      <c r="G239" s="174"/>
    </row>
    <row r="240" spans="1:7" x14ac:dyDescent="0.3">
      <c r="A240" s="559" t="s">
        <v>471</v>
      </c>
      <c r="B240" s="559">
        <v>2014</v>
      </c>
      <c r="C240" s="559" t="s">
        <v>317</v>
      </c>
      <c r="D240" s="559" t="s">
        <v>7</v>
      </c>
      <c r="E240" s="559" t="s">
        <v>96</v>
      </c>
      <c r="F240" s="559">
        <v>1049.8119999999501</v>
      </c>
      <c r="G240" s="174"/>
    </row>
    <row r="241" spans="1:7" x14ac:dyDescent="0.3">
      <c r="A241" s="559" t="s">
        <v>471</v>
      </c>
      <c r="B241" s="559">
        <v>2014</v>
      </c>
      <c r="C241" s="559" t="s">
        <v>317</v>
      </c>
      <c r="D241" s="559" t="s">
        <v>10</v>
      </c>
      <c r="E241" s="559" t="s">
        <v>96</v>
      </c>
      <c r="F241" s="559">
        <v>0</v>
      </c>
      <c r="G241" s="174"/>
    </row>
    <row r="242" spans="1:7" x14ac:dyDescent="0.3">
      <c r="A242" s="559" t="s">
        <v>471</v>
      </c>
      <c r="B242" s="559">
        <v>2014</v>
      </c>
      <c r="C242" s="559" t="s">
        <v>318</v>
      </c>
      <c r="D242" s="559" t="s">
        <v>10</v>
      </c>
      <c r="E242" s="559" t="s">
        <v>101</v>
      </c>
      <c r="F242" s="559">
        <v>0</v>
      </c>
      <c r="G242" s="174"/>
    </row>
    <row r="243" spans="1:7" x14ac:dyDescent="0.3">
      <c r="A243" s="559" t="s">
        <v>471</v>
      </c>
      <c r="B243" s="559">
        <v>2014</v>
      </c>
      <c r="C243" s="559" t="s">
        <v>319</v>
      </c>
      <c r="D243" s="559" t="s">
        <v>10</v>
      </c>
      <c r="E243" s="559" t="s">
        <v>101</v>
      </c>
      <c r="F243" s="559">
        <v>3851.05599999998</v>
      </c>
      <c r="G243" s="174"/>
    </row>
    <row r="244" spans="1:7" x14ac:dyDescent="0.3">
      <c r="A244" s="559" t="s">
        <v>471</v>
      </c>
      <c r="B244" s="559">
        <v>2014</v>
      </c>
      <c r="C244" s="559" t="s">
        <v>320</v>
      </c>
      <c r="D244" s="559" t="s">
        <v>10</v>
      </c>
      <c r="E244" s="559" t="s">
        <v>101</v>
      </c>
      <c r="F244" s="559">
        <v>4503.8149999999596</v>
      </c>
      <c r="G244" s="174"/>
    </row>
    <row r="245" spans="1:7" x14ac:dyDescent="0.3">
      <c r="A245" s="559" t="s">
        <v>471</v>
      </c>
      <c r="B245" s="559">
        <v>2014</v>
      </c>
      <c r="C245" s="559" t="s">
        <v>321</v>
      </c>
      <c r="D245" s="559" t="s">
        <v>35</v>
      </c>
      <c r="E245" s="559" t="s">
        <v>110</v>
      </c>
      <c r="F245" s="559">
        <v>0</v>
      </c>
      <c r="G245" s="174"/>
    </row>
    <row r="246" spans="1:7" x14ac:dyDescent="0.3">
      <c r="A246" s="559" t="s">
        <v>471</v>
      </c>
      <c r="B246" s="559">
        <v>2014</v>
      </c>
      <c r="C246" s="559" t="s">
        <v>321</v>
      </c>
      <c r="D246" s="559" t="s">
        <v>103</v>
      </c>
      <c r="E246" s="559" t="s">
        <v>96</v>
      </c>
      <c r="F246" s="559">
        <v>0</v>
      </c>
      <c r="G246" s="174"/>
    </row>
    <row r="247" spans="1:7" x14ac:dyDescent="0.3">
      <c r="A247" s="559" t="s">
        <v>471</v>
      </c>
      <c r="B247" s="559">
        <v>2014</v>
      </c>
      <c r="C247" s="559" t="s">
        <v>322</v>
      </c>
      <c r="D247" s="559" t="s">
        <v>39</v>
      </c>
      <c r="E247" s="559" t="s">
        <v>96</v>
      </c>
      <c r="F247" s="559">
        <v>1311.72999999993</v>
      </c>
      <c r="G247" s="174"/>
    </row>
    <row r="248" spans="1:7" x14ac:dyDescent="0.3">
      <c r="A248" s="559" t="s">
        <v>471</v>
      </c>
      <c r="B248" s="559">
        <v>2014</v>
      </c>
      <c r="C248" s="559" t="s">
        <v>323</v>
      </c>
      <c r="D248" s="559" t="s">
        <v>4</v>
      </c>
      <c r="E248" s="559" t="s">
        <v>101</v>
      </c>
      <c r="F248" s="559">
        <v>0</v>
      </c>
      <c r="G248" s="174"/>
    </row>
    <row r="249" spans="1:7" x14ac:dyDescent="0.3">
      <c r="A249" s="559" t="s">
        <v>471</v>
      </c>
      <c r="B249" s="559">
        <v>2014</v>
      </c>
      <c r="C249" s="559" t="s">
        <v>324</v>
      </c>
      <c r="D249" s="559" t="s">
        <v>14</v>
      </c>
      <c r="E249" s="559" t="s">
        <v>110</v>
      </c>
      <c r="F249" s="559">
        <v>1581.903</v>
      </c>
      <c r="G249" s="174"/>
    </row>
    <row r="250" spans="1:7" x14ac:dyDescent="0.3">
      <c r="A250" s="559" t="s">
        <v>471</v>
      </c>
      <c r="B250" s="559">
        <v>2014</v>
      </c>
      <c r="C250" s="559" t="s">
        <v>325</v>
      </c>
      <c r="D250" s="559" t="s">
        <v>52</v>
      </c>
      <c r="E250" s="559" t="s">
        <v>96</v>
      </c>
      <c r="F250" s="559">
        <v>1911828.2279999901</v>
      </c>
      <c r="G250" s="174"/>
    </row>
    <row r="251" spans="1:7" x14ac:dyDescent="0.3">
      <c r="A251" s="559" t="s">
        <v>471</v>
      </c>
      <c r="B251" s="559">
        <v>2014</v>
      </c>
      <c r="C251" s="559" t="s">
        <v>326</v>
      </c>
      <c r="D251" s="559" t="s">
        <v>0</v>
      </c>
      <c r="E251" s="559" t="s">
        <v>96</v>
      </c>
      <c r="F251" s="559">
        <v>256.74550000002102</v>
      </c>
      <c r="G251" s="174"/>
    </row>
    <row r="252" spans="1:7" x14ac:dyDescent="0.3">
      <c r="A252" s="559" t="s">
        <v>471</v>
      </c>
      <c r="B252" s="559">
        <v>2014</v>
      </c>
      <c r="C252" s="559" t="s">
        <v>326</v>
      </c>
      <c r="D252" s="559" t="s">
        <v>14</v>
      </c>
      <c r="E252" s="559" t="s">
        <v>96</v>
      </c>
      <c r="F252" s="559">
        <v>64.499479268297904</v>
      </c>
      <c r="G252" s="174"/>
    </row>
    <row r="253" spans="1:7" x14ac:dyDescent="0.3">
      <c r="A253" s="559" t="s">
        <v>471</v>
      </c>
      <c r="B253" s="559">
        <v>2014</v>
      </c>
      <c r="C253" s="559" t="s">
        <v>326</v>
      </c>
      <c r="D253" s="559" t="s">
        <v>20</v>
      </c>
      <c r="E253" s="559" t="s">
        <v>96</v>
      </c>
      <c r="F253" s="559">
        <v>192.24602073172301</v>
      </c>
      <c r="G253" s="174"/>
    </row>
    <row r="254" spans="1:7" x14ac:dyDescent="0.3">
      <c r="A254" s="559" t="s">
        <v>471</v>
      </c>
      <c r="B254" s="559">
        <v>2014</v>
      </c>
      <c r="C254" s="559" t="s">
        <v>327</v>
      </c>
      <c r="D254" s="559" t="s">
        <v>40</v>
      </c>
      <c r="E254" s="559" t="s">
        <v>96</v>
      </c>
      <c r="F254" s="559">
        <v>0</v>
      </c>
      <c r="G254" s="174"/>
    </row>
    <row r="255" spans="1:7" x14ac:dyDescent="0.3">
      <c r="A255" s="559" t="s">
        <v>471</v>
      </c>
      <c r="B255" s="559">
        <v>2014</v>
      </c>
      <c r="C255" s="559" t="s">
        <v>328</v>
      </c>
      <c r="D255" s="559" t="s">
        <v>11</v>
      </c>
      <c r="E255" s="559" t="s">
        <v>96</v>
      </c>
      <c r="F255" s="559">
        <v>105.56500000000101</v>
      </c>
      <c r="G255" s="174"/>
    </row>
    <row r="256" spans="1:7" x14ac:dyDescent="0.3">
      <c r="A256" s="559" t="s">
        <v>471</v>
      </c>
      <c r="B256" s="559">
        <v>2014</v>
      </c>
      <c r="C256" s="559" t="s">
        <v>329</v>
      </c>
      <c r="D256" s="559" t="s">
        <v>31</v>
      </c>
      <c r="E256" s="559" t="s">
        <v>96</v>
      </c>
      <c r="F256" s="559">
        <v>0</v>
      </c>
      <c r="G256" s="174"/>
    </row>
    <row r="257" spans="1:7" x14ac:dyDescent="0.3">
      <c r="A257" s="559" t="s">
        <v>471</v>
      </c>
      <c r="B257" s="559">
        <v>2014</v>
      </c>
      <c r="C257" s="559" t="s">
        <v>330</v>
      </c>
      <c r="D257" s="559" t="s">
        <v>14</v>
      </c>
      <c r="E257" s="559" t="s">
        <v>110</v>
      </c>
      <c r="F257" s="559">
        <v>0</v>
      </c>
      <c r="G257" s="174"/>
    </row>
    <row r="258" spans="1:7" x14ac:dyDescent="0.3">
      <c r="A258" s="559" t="s">
        <v>471</v>
      </c>
      <c r="B258" s="559">
        <v>2014</v>
      </c>
      <c r="C258" s="559" t="s">
        <v>330</v>
      </c>
      <c r="D258" s="559" t="s">
        <v>14</v>
      </c>
      <c r="E258" s="559" t="s">
        <v>96</v>
      </c>
      <c r="F258" s="559">
        <v>0</v>
      </c>
      <c r="G258" s="174"/>
    </row>
    <row r="259" spans="1:7" x14ac:dyDescent="0.3">
      <c r="A259" s="559" t="s">
        <v>471</v>
      </c>
      <c r="B259" s="559">
        <v>2014</v>
      </c>
      <c r="C259" s="559" t="s">
        <v>331</v>
      </c>
      <c r="D259" s="559" t="s">
        <v>37</v>
      </c>
      <c r="E259" s="559" t="s">
        <v>96</v>
      </c>
      <c r="F259" s="559">
        <v>0</v>
      </c>
      <c r="G259" s="174"/>
    </row>
    <row r="260" spans="1:7" x14ac:dyDescent="0.3">
      <c r="A260" s="559" t="s">
        <v>471</v>
      </c>
      <c r="B260" s="559">
        <v>2014</v>
      </c>
      <c r="C260" s="559" t="s">
        <v>332</v>
      </c>
      <c r="D260" s="559" t="s">
        <v>28</v>
      </c>
      <c r="E260" s="559" t="s">
        <v>96</v>
      </c>
      <c r="F260" s="559">
        <v>0</v>
      </c>
      <c r="G260" s="174"/>
    </row>
    <row r="261" spans="1:7" x14ac:dyDescent="0.3">
      <c r="A261" s="559" t="s">
        <v>471</v>
      </c>
      <c r="B261" s="559">
        <v>2014</v>
      </c>
      <c r="C261" s="559" t="s">
        <v>333</v>
      </c>
      <c r="D261" s="559" t="s">
        <v>4</v>
      </c>
      <c r="E261" s="559" t="s">
        <v>96</v>
      </c>
      <c r="F261" s="559">
        <v>0.955874857895046</v>
      </c>
      <c r="G261" s="174"/>
    </row>
    <row r="262" spans="1:7" x14ac:dyDescent="0.3">
      <c r="A262" s="559" t="s">
        <v>471</v>
      </c>
      <c r="B262" s="559">
        <v>2014</v>
      </c>
      <c r="C262" s="559" t="s">
        <v>333</v>
      </c>
      <c r="D262" s="559" t="s">
        <v>26</v>
      </c>
      <c r="E262" s="559" t="s">
        <v>96</v>
      </c>
      <c r="F262" s="559">
        <v>2896.8723685155101</v>
      </c>
      <c r="G262" s="174"/>
    </row>
    <row r="263" spans="1:7" x14ac:dyDescent="0.3">
      <c r="A263" s="559" t="s">
        <v>471</v>
      </c>
      <c r="B263" s="559">
        <v>2014</v>
      </c>
      <c r="C263" s="559" t="s">
        <v>334</v>
      </c>
      <c r="D263" s="559" t="s">
        <v>4</v>
      </c>
      <c r="E263" s="559" t="s">
        <v>96</v>
      </c>
      <c r="F263" s="559">
        <v>8.5109999999997399</v>
      </c>
      <c r="G263" s="174"/>
    </row>
    <row r="264" spans="1:7" x14ac:dyDescent="0.3">
      <c r="A264" s="559" t="s">
        <v>471</v>
      </c>
      <c r="B264" s="559">
        <v>2014</v>
      </c>
      <c r="C264" s="559" t="s">
        <v>335</v>
      </c>
      <c r="D264" s="559" t="s">
        <v>4</v>
      </c>
      <c r="E264" s="559" t="s">
        <v>101</v>
      </c>
      <c r="F264" s="559">
        <v>174.71</v>
      </c>
      <c r="G264" s="174"/>
    </row>
    <row r="265" spans="1:7" x14ac:dyDescent="0.3">
      <c r="A265" s="559" t="s">
        <v>471</v>
      </c>
      <c r="B265" s="559">
        <v>2014</v>
      </c>
      <c r="C265" s="559" t="s">
        <v>336</v>
      </c>
      <c r="D265" s="559" t="s">
        <v>28</v>
      </c>
      <c r="E265" s="559" t="s">
        <v>96</v>
      </c>
      <c r="F265" s="559">
        <v>2132.4179999999801</v>
      </c>
      <c r="G265" s="174"/>
    </row>
    <row r="266" spans="1:7" x14ac:dyDescent="0.3">
      <c r="A266" s="559" t="s">
        <v>471</v>
      </c>
      <c r="B266" s="559">
        <v>2014</v>
      </c>
      <c r="C266" s="559" t="s">
        <v>337</v>
      </c>
      <c r="D266" s="559" t="s">
        <v>40</v>
      </c>
      <c r="E266" s="559" t="s">
        <v>96</v>
      </c>
      <c r="F266" s="559">
        <v>0</v>
      </c>
      <c r="G266" s="174"/>
    </row>
    <row r="267" spans="1:7" x14ac:dyDescent="0.3">
      <c r="A267" s="559" t="s">
        <v>471</v>
      </c>
      <c r="B267" s="559">
        <v>2014</v>
      </c>
      <c r="C267" s="559" t="s">
        <v>338</v>
      </c>
      <c r="D267" s="559" t="s">
        <v>37</v>
      </c>
      <c r="E267" s="559" t="s">
        <v>96</v>
      </c>
      <c r="F267" s="559">
        <v>1377.64400000008</v>
      </c>
      <c r="G267" s="174"/>
    </row>
    <row r="268" spans="1:7" x14ac:dyDescent="0.3">
      <c r="A268" s="559" t="s">
        <v>471</v>
      </c>
      <c r="B268" s="559">
        <v>2014</v>
      </c>
      <c r="C268" s="559" t="s">
        <v>339</v>
      </c>
      <c r="D268" s="559" t="s">
        <v>51</v>
      </c>
      <c r="E268" s="559" t="s">
        <v>96</v>
      </c>
      <c r="F268" s="559">
        <v>301.401000000002</v>
      </c>
      <c r="G268" s="174"/>
    </row>
    <row r="269" spans="1:7" x14ac:dyDescent="0.3">
      <c r="A269" s="559" t="s">
        <v>471</v>
      </c>
      <c r="B269" s="559">
        <v>2014</v>
      </c>
      <c r="C269" s="559" t="s">
        <v>340</v>
      </c>
      <c r="D269" s="559" t="s">
        <v>680</v>
      </c>
      <c r="E269" s="559" t="s">
        <v>101</v>
      </c>
      <c r="F269" s="559">
        <v>0</v>
      </c>
      <c r="G269" s="174"/>
    </row>
    <row r="270" spans="1:7" x14ac:dyDescent="0.3">
      <c r="A270" s="559" t="s">
        <v>471</v>
      </c>
      <c r="B270" s="559">
        <v>2014</v>
      </c>
      <c r="C270" s="559" t="s">
        <v>341</v>
      </c>
      <c r="D270" s="559" t="s">
        <v>17</v>
      </c>
      <c r="E270" s="559" t="s">
        <v>101</v>
      </c>
      <c r="F270" s="559">
        <v>2343.84599999996</v>
      </c>
      <c r="G270" s="174"/>
    </row>
    <row r="271" spans="1:7" x14ac:dyDescent="0.3">
      <c r="A271" s="559" t="s">
        <v>471</v>
      </c>
      <c r="B271" s="559">
        <v>2014</v>
      </c>
      <c r="C271" s="559" t="s">
        <v>342</v>
      </c>
      <c r="D271" s="559" t="s">
        <v>28</v>
      </c>
      <c r="E271" s="559" t="s">
        <v>96</v>
      </c>
      <c r="F271" s="559">
        <v>0</v>
      </c>
      <c r="G271" s="174"/>
    </row>
    <row r="272" spans="1:7" x14ac:dyDescent="0.3">
      <c r="A272" s="559" t="s">
        <v>471</v>
      </c>
      <c r="B272" s="559">
        <v>2014</v>
      </c>
      <c r="C272" s="559" t="s">
        <v>343</v>
      </c>
      <c r="D272" s="559" t="s">
        <v>17</v>
      </c>
      <c r="E272" s="559" t="s">
        <v>101</v>
      </c>
      <c r="F272" s="559">
        <v>1739.9639999999999</v>
      </c>
      <c r="G272" s="174"/>
    </row>
    <row r="273" spans="1:7" x14ac:dyDescent="0.3">
      <c r="A273" s="559" t="s">
        <v>471</v>
      </c>
      <c r="B273" s="559">
        <v>2014</v>
      </c>
      <c r="C273" s="559" t="s">
        <v>344</v>
      </c>
      <c r="D273" s="559" t="s">
        <v>12</v>
      </c>
      <c r="E273" s="559" t="s">
        <v>96</v>
      </c>
      <c r="F273" s="559">
        <v>4994.1500000001097</v>
      </c>
      <c r="G273" s="174"/>
    </row>
    <row r="274" spans="1:7" x14ac:dyDescent="0.3">
      <c r="A274" s="559" t="s">
        <v>471</v>
      </c>
      <c r="B274" s="559">
        <v>2014</v>
      </c>
      <c r="C274" s="559" t="s">
        <v>345</v>
      </c>
      <c r="D274" s="559" t="s">
        <v>12</v>
      </c>
      <c r="E274" s="559" t="s">
        <v>96</v>
      </c>
      <c r="F274" s="559">
        <v>3183.1040000000899</v>
      </c>
      <c r="G274" s="174"/>
    </row>
    <row r="275" spans="1:7" x14ac:dyDescent="0.3">
      <c r="A275" s="559" t="s">
        <v>471</v>
      </c>
      <c r="B275" s="559">
        <v>2014</v>
      </c>
      <c r="C275" s="559" t="s">
        <v>346</v>
      </c>
      <c r="D275" s="559" t="s">
        <v>2</v>
      </c>
      <c r="E275" s="559" t="s">
        <v>96</v>
      </c>
      <c r="F275" s="559">
        <v>4649.4620000000004</v>
      </c>
      <c r="G275" s="174"/>
    </row>
    <row r="276" spans="1:7" x14ac:dyDescent="0.3">
      <c r="A276" s="559" t="s">
        <v>471</v>
      </c>
      <c r="B276" s="559">
        <v>2014</v>
      </c>
      <c r="C276" s="559" t="s">
        <v>347</v>
      </c>
      <c r="D276" s="559" t="s">
        <v>68</v>
      </c>
      <c r="E276" s="559" t="s">
        <v>96</v>
      </c>
      <c r="F276" s="559">
        <v>535.08800000000804</v>
      </c>
      <c r="G276" s="174"/>
    </row>
    <row r="277" spans="1:7" x14ac:dyDescent="0.3">
      <c r="A277" s="559" t="s">
        <v>471</v>
      </c>
      <c r="B277" s="559">
        <v>2014</v>
      </c>
      <c r="C277" s="559" t="s">
        <v>348</v>
      </c>
      <c r="D277" s="559" t="s">
        <v>37</v>
      </c>
      <c r="E277" s="559" t="s">
        <v>96</v>
      </c>
      <c r="F277" s="559">
        <v>0</v>
      </c>
      <c r="G277" s="174"/>
    </row>
    <row r="278" spans="1:7" x14ac:dyDescent="0.3">
      <c r="A278" s="559" t="s">
        <v>471</v>
      </c>
      <c r="B278" s="559">
        <v>2014</v>
      </c>
      <c r="C278" s="559" t="s">
        <v>349</v>
      </c>
      <c r="D278" s="559" t="s">
        <v>36</v>
      </c>
      <c r="E278" s="559" t="s">
        <v>96</v>
      </c>
      <c r="F278" s="559">
        <v>0</v>
      </c>
      <c r="G278" s="174"/>
    </row>
    <row r="279" spans="1:7" x14ac:dyDescent="0.3">
      <c r="A279" s="559" t="s">
        <v>471</v>
      </c>
      <c r="B279" s="559">
        <v>2014</v>
      </c>
      <c r="C279" s="559" t="s">
        <v>350</v>
      </c>
      <c r="D279" s="559" t="s">
        <v>17</v>
      </c>
      <c r="E279" s="559" t="s">
        <v>101</v>
      </c>
      <c r="F279" s="559">
        <v>1200.5409999999999</v>
      </c>
      <c r="G279" s="174"/>
    </row>
    <row r="280" spans="1:7" x14ac:dyDescent="0.3">
      <c r="A280" s="559" t="s">
        <v>471</v>
      </c>
      <c r="B280" s="559">
        <v>2014</v>
      </c>
      <c r="C280" s="559" t="s">
        <v>351</v>
      </c>
      <c r="D280" s="559" t="s">
        <v>4</v>
      </c>
      <c r="E280" s="559" t="s">
        <v>101</v>
      </c>
      <c r="F280" s="559">
        <v>0</v>
      </c>
      <c r="G280" s="174"/>
    </row>
    <row r="281" spans="1:7" x14ac:dyDescent="0.3">
      <c r="A281" s="559" t="s">
        <v>471</v>
      </c>
      <c r="B281" s="559">
        <v>2014</v>
      </c>
      <c r="C281" s="559" t="s">
        <v>352</v>
      </c>
      <c r="D281" s="559" t="s">
        <v>4</v>
      </c>
      <c r="E281" s="559" t="s">
        <v>101</v>
      </c>
      <c r="F281" s="559">
        <v>0</v>
      </c>
      <c r="G281" s="174"/>
    </row>
    <row r="282" spans="1:7" x14ac:dyDescent="0.3">
      <c r="A282" s="559" t="s">
        <v>471</v>
      </c>
      <c r="B282" s="559">
        <v>2014</v>
      </c>
      <c r="C282" s="559" t="s">
        <v>353</v>
      </c>
      <c r="D282" s="559" t="s">
        <v>20</v>
      </c>
      <c r="E282" s="559" t="s">
        <v>96</v>
      </c>
      <c r="F282" s="559">
        <v>4823.0590000001403</v>
      </c>
      <c r="G282" s="174"/>
    </row>
    <row r="283" spans="1:7" x14ac:dyDescent="0.3">
      <c r="A283" s="559" t="s">
        <v>471</v>
      </c>
      <c r="B283" s="559">
        <v>2014</v>
      </c>
      <c r="C283" s="559" t="s">
        <v>354</v>
      </c>
      <c r="D283" s="559" t="s">
        <v>14</v>
      </c>
      <c r="E283" s="559" t="s">
        <v>101</v>
      </c>
      <c r="F283" s="559">
        <v>0</v>
      </c>
      <c r="G283" s="174"/>
    </row>
    <row r="284" spans="1:7" x14ac:dyDescent="0.3">
      <c r="A284" s="559" t="s">
        <v>471</v>
      </c>
      <c r="B284" s="559">
        <v>2014</v>
      </c>
      <c r="C284" s="559" t="s">
        <v>355</v>
      </c>
      <c r="D284" s="559" t="s">
        <v>36</v>
      </c>
      <c r="E284" s="559" t="s">
        <v>96</v>
      </c>
      <c r="F284" s="572">
        <v>3642.8559999999202</v>
      </c>
      <c r="G284" s="174"/>
    </row>
    <row r="285" spans="1:7" x14ac:dyDescent="0.3">
      <c r="A285" s="559" t="s">
        <v>471</v>
      </c>
      <c r="B285" s="559">
        <v>2014</v>
      </c>
      <c r="C285" s="559" t="s">
        <v>356</v>
      </c>
      <c r="D285" s="559" t="s">
        <v>28</v>
      </c>
      <c r="E285" s="559" t="s">
        <v>96</v>
      </c>
      <c r="F285" s="572">
        <v>245.411999999996</v>
      </c>
      <c r="G285" s="174"/>
    </row>
    <row r="286" spans="1:7" x14ac:dyDescent="0.3">
      <c r="A286" s="559" t="s">
        <v>471</v>
      </c>
      <c r="B286" s="559">
        <v>2014</v>
      </c>
      <c r="C286" s="559" t="s">
        <v>357</v>
      </c>
      <c r="D286" s="559" t="s">
        <v>14</v>
      </c>
      <c r="E286" s="559" t="s">
        <v>110</v>
      </c>
      <c r="F286" s="572">
        <v>0</v>
      </c>
      <c r="G286" s="174"/>
    </row>
    <row r="287" spans="1:7" x14ac:dyDescent="0.3">
      <c r="A287" s="559" t="s">
        <v>471</v>
      </c>
      <c r="B287" s="559">
        <v>2014</v>
      </c>
      <c r="C287" s="559" t="s">
        <v>357</v>
      </c>
      <c r="D287" s="559" t="s">
        <v>14</v>
      </c>
      <c r="E287" s="559" t="s">
        <v>96</v>
      </c>
      <c r="F287" s="572">
        <v>15.2609999999999</v>
      </c>
      <c r="G287" s="174"/>
    </row>
    <row r="288" spans="1:7" x14ac:dyDescent="0.3">
      <c r="A288" s="559" t="s">
        <v>471</v>
      </c>
      <c r="B288" s="559">
        <v>2014</v>
      </c>
      <c r="C288" s="559" t="s">
        <v>358</v>
      </c>
      <c r="D288" s="559" t="s">
        <v>14</v>
      </c>
      <c r="E288" s="559" t="s">
        <v>110</v>
      </c>
      <c r="F288" s="559">
        <v>0</v>
      </c>
      <c r="G288" s="174"/>
    </row>
    <row r="289" spans="1:7" x14ac:dyDescent="0.3">
      <c r="A289" s="559" t="s">
        <v>471</v>
      </c>
      <c r="B289" s="559">
        <v>2014</v>
      </c>
      <c r="C289" s="559" t="s">
        <v>358</v>
      </c>
      <c r="D289" s="559" t="s">
        <v>14</v>
      </c>
      <c r="E289" s="559" t="s">
        <v>96</v>
      </c>
      <c r="F289" s="559">
        <v>16.901999999999902</v>
      </c>
      <c r="G289" s="174"/>
    </row>
    <row r="290" spans="1:7" x14ac:dyDescent="0.3">
      <c r="A290" s="559" t="s">
        <v>472</v>
      </c>
      <c r="B290" s="559">
        <v>2014</v>
      </c>
      <c r="C290" s="559" t="s">
        <v>95</v>
      </c>
      <c r="D290" s="559" t="s">
        <v>0</v>
      </c>
      <c r="E290" s="559" t="s">
        <v>96</v>
      </c>
      <c r="F290" s="559">
        <v>1649.7619999999999</v>
      </c>
      <c r="G290" s="174"/>
    </row>
    <row r="291" spans="1:7" x14ac:dyDescent="0.3">
      <c r="A291" s="559" t="s">
        <v>472</v>
      </c>
      <c r="B291" s="559">
        <v>2014</v>
      </c>
      <c r="C291" s="559" t="s">
        <v>97</v>
      </c>
      <c r="D291" s="559" t="s">
        <v>37</v>
      </c>
      <c r="E291" s="559" t="s">
        <v>96</v>
      </c>
      <c r="F291" s="559">
        <v>1637326.2990000001</v>
      </c>
      <c r="G291" s="174"/>
    </row>
    <row r="292" spans="1:7" x14ac:dyDescent="0.3">
      <c r="A292" s="559" t="s">
        <v>472</v>
      </c>
      <c r="B292" s="559">
        <v>2014</v>
      </c>
      <c r="C292" s="559" t="s">
        <v>99</v>
      </c>
      <c r="D292" s="559" t="s">
        <v>25</v>
      </c>
      <c r="E292" s="559" t="s">
        <v>96</v>
      </c>
      <c r="F292" s="559">
        <v>399.66200000000299</v>
      </c>
      <c r="G292" s="174"/>
    </row>
    <row r="293" spans="1:7" x14ac:dyDescent="0.3">
      <c r="A293" s="559" t="s">
        <v>472</v>
      </c>
      <c r="B293" s="559">
        <v>2014</v>
      </c>
      <c r="C293" s="559" t="s">
        <v>100</v>
      </c>
      <c r="D293" s="559" t="s">
        <v>17</v>
      </c>
      <c r="E293" s="559" t="s">
        <v>101</v>
      </c>
      <c r="F293" s="559">
        <v>0</v>
      </c>
      <c r="G293" s="174"/>
    </row>
    <row r="294" spans="1:7" x14ac:dyDescent="0.3">
      <c r="A294" s="559" t="s">
        <v>472</v>
      </c>
      <c r="B294" s="559">
        <v>2014</v>
      </c>
      <c r="C294" s="559" t="s">
        <v>102</v>
      </c>
      <c r="D294" s="559" t="s">
        <v>103</v>
      </c>
      <c r="E294" s="559" t="s">
        <v>96</v>
      </c>
      <c r="F294" s="559">
        <v>16.733999999999899</v>
      </c>
      <c r="G294" s="174"/>
    </row>
    <row r="295" spans="1:7" x14ac:dyDescent="0.3">
      <c r="A295" s="559" t="s">
        <v>472</v>
      </c>
      <c r="B295" s="559">
        <v>2014</v>
      </c>
      <c r="C295" s="559" t="s">
        <v>104</v>
      </c>
      <c r="D295" s="559" t="s">
        <v>35</v>
      </c>
      <c r="E295" s="559" t="s">
        <v>101</v>
      </c>
      <c r="F295" s="559">
        <v>0</v>
      </c>
      <c r="G295" s="174"/>
    </row>
    <row r="296" spans="1:7" x14ac:dyDescent="0.3">
      <c r="A296" s="559" t="s">
        <v>472</v>
      </c>
      <c r="B296" s="559">
        <v>2014</v>
      </c>
      <c r="C296" s="559" t="s">
        <v>105</v>
      </c>
      <c r="D296" s="559" t="s">
        <v>17</v>
      </c>
      <c r="E296" s="559" t="s">
        <v>101</v>
      </c>
      <c r="F296" s="559">
        <v>0</v>
      </c>
      <c r="G296" s="174"/>
    </row>
    <row r="297" spans="1:7" x14ac:dyDescent="0.3">
      <c r="A297" s="559" t="s">
        <v>472</v>
      </c>
      <c r="B297" s="559">
        <v>2014</v>
      </c>
      <c r="C297" s="559" t="s">
        <v>106</v>
      </c>
      <c r="D297" s="559" t="s">
        <v>17</v>
      </c>
      <c r="E297" s="559" t="s">
        <v>101</v>
      </c>
      <c r="F297" s="559">
        <v>0</v>
      </c>
      <c r="G297" s="174"/>
    </row>
    <row r="298" spans="1:7" x14ac:dyDescent="0.3">
      <c r="A298" s="559" t="s">
        <v>472</v>
      </c>
      <c r="B298" s="559">
        <v>2014</v>
      </c>
      <c r="C298" s="559" t="s">
        <v>545</v>
      </c>
      <c r="D298" s="559" t="s">
        <v>9</v>
      </c>
      <c r="E298" s="559" t="s">
        <v>96</v>
      </c>
      <c r="F298" s="572">
        <v>157436.66899999799</v>
      </c>
      <c r="G298" s="174"/>
    </row>
    <row r="299" spans="1:7" x14ac:dyDescent="0.3">
      <c r="A299" s="559" t="s">
        <v>472</v>
      </c>
      <c r="B299" s="559">
        <v>2014</v>
      </c>
      <c r="C299" s="559" t="s">
        <v>109</v>
      </c>
      <c r="D299" s="559" t="s">
        <v>35</v>
      </c>
      <c r="E299" s="559" t="s">
        <v>101</v>
      </c>
      <c r="F299" s="572">
        <v>0</v>
      </c>
      <c r="G299" s="174"/>
    </row>
    <row r="300" spans="1:7" x14ac:dyDescent="0.3">
      <c r="A300" s="559" t="s">
        <v>472</v>
      </c>
      <c r="B300" s="559">
        <v>2014</v>
      </c>
      <c r="C300" s="559" t="s">
        <v>111</v>
      </c>
      <c r="D300" s="559" t="s">
        <v>6</v>
      </c>
      <c r="E300" s="559" t="s">
        <v>96</v>
      </c>
      <c r="F300" s="559">
        <v>20112.566999999501</v>
      </c>
      <c r="G300" s="174"/>
    </row>
    <row r="301" spans="1:7" x14ac:dyDescent="0.3">
      <c r="A301" s="559" t="s">
        <v>472</v>
      </c>
      <c r="B301" s="559">
        <v>2014</v>
      </c>
      <c r="C301" s="559" t="s">
        <v>112</v>
      </c>
      <c r="D301" s="559" t="s">
        <v>17</v>
      </c>
      <c r="E301" s="559" t="s">
        <v>101</v>
      </c>
      <c r="F301" s="559">
        <v>0</v>
      </c>
      <c r="G301" s="174"/>
    </row>
    <row r="302" spans="1:7" x14ac:dyDescent="0.3">
      <c r="A302" s="559" t="s">
        <v>472</v>
      </c>
      <c r="B302" s="559">
        <v>2014</v>
      </c>
      <c r="C302" s="559" t="s">
        <v>113</v>
      </c>
      <c r="D302" s="559" t="s">
        <v>41</v>
      </c>
      <c r="E302" s="559" t="s">
        <v>96</v>
      </c>
      <c r="F302" s="559">
        <v>894.38200000000995</v>
      </c>
      <c r="G302" s="174"/>
    </row>
    <row r="303" spans="1:7" x14ac:dyDescent="0.3">
      <c r="A303" s="559" t="s">
        <v>472</v>
      </c>
      <c r="B303" s="559">
        <v>2014</v>
      </c>
      <c r="C303" s="559" t="s">
        <v>114</v>
      </c>
      <c r="D303" s="559" t="s">
        <v>14</v>
      </c>
      <c r="E303" s="559" t="s">
        <v>101</v>
      </c>
      <c r="F303" s="559">
        <v>0</v>
      </c>
      <c r="G303" s="174"/>
    </row>
    <row r="304" spans="1:7" x14ac:dyDescent="0.3">
      <c r="A304" s="559" t="s">
        <v>472</v>
      </c>
      <c r="B304" s="559">
        <v>2014</v>
      </c>
      <c r="C304" s="559" t="s">
        <v>115</v>
      </c>
      <c r="D304" s="559" t="s">
        <v>71</v>
      </c>
      <c r="E304" s="559" t="s">
        <v>96</v>
      </c>
      <c r="F304" s="559">
        <v>42578.602999999901</v>
      </c>
      <c r="G304" s="174"/>
    </row>
    <row r="305" spans="1:7" x14ac:dyDescent="0.3">
      <c r="A305" s="559" t="s">
        <v>472</v>
      </c>
      <c r="B305" s="559">
        <v>2014</v>
      </c>
      <c r="C305" s="559" t="s">
        <v>116</v>
      </c>
      <c r="D305" s="559" t="s">
        <v>51</v>
      </c>
      <c r="E305" s="559" t="s">
        <v>96</v>
      </c>
      <c r="F305" s="572">
        <v>135.52751020407999</v>
      </c>
      <c r="G305" s="174"/>
    </row>
    <row r="306" spans="1:7" x14ac:dyDescent="0.3">
      <c r="A306" s="559" t="s">
        <v>472</v>
      </c>
      <c r="B306" s="559">
        <v>2014</v>
      </c>
      <c r="C306" s="559" t="s">
        <v>116</v>
      </c>
      <c r="D306" s="559" t="s">
        <v>30</v>
      </c>
      <c r="E306" s="559" t="s">
        <v>96</v>
      </c>
      <c r="F306" s="572">
        <v>15083.082489795799</v>
      </c>
      <c r="G306" s="174"/>
    </row>
    <row r="307" spans="1:7" x14ac:dyDescent="0.3">
      <c r="A307" s="559" t="s">
        <v>472</v>
      </c>
      <c r="B307" s="559">
        <v>2014</v>
      </c>
      <c r="C307" s="559" t="s">
        <v>117</v>
      </c>
      <c r="D307" s="559" t="s">
        <v>14</v>
      </c>
      <c r="E307" s="559" t="s">
        <v>101</v>
      </c>
      <c r="F307" s="559">
        <v>0</v>
      </c>
      <c r="G307" s="174"/>
    </row>
    <row r="308" spans="1:7" x14ac:dyDescent="0.3">
      <c r="A308" s="559" t="s">
        <v>472</v>
      </c>
      <c r="B308" s="559">
        <v>2014</v>
      </c>
      <c r="C308" s="559" t="s">
        <v>118</v>
      </c>
      <c r="D308" s="559" t="s">
        <v>13</v>
      </c>
      <c r="E308" s="559" t="s">
        <v>96</v>
      </c>
      <c r="F308" s="559">
        <v>147293.612000002</v>
      </c>
      <c r="G308" s="174"/>
    </row>
    <row r="309" spans="1:7" x14ac:dyDescent="0.3">
      <c r="A309" s="559" t="s">
        <v>472</v>
      </c>
      <c r="B309" s="559">
        <v>2014</v>
      </c>
      <c r="C309" s="559" t="s">
        <v>119</v>
      </c>
      <c r="D309" s="559" t="s">
        <v>5</v>
      </c>
      <c r="E309" s="559" t="s">
        <v>96</v>
      </c>
      <c r="F309" s="559">
        <v>45717.877999999902</v>
      </c>
      <c r="G309" s="174"/>
    </row>
    <row r="310" spans="1:7" x14ac:dyDescent="0.3">
      <c r="A310" s="559" t="s">
        <v>472</v>
      </c>
      <c r="B310" s="559">
        <v>2014</v>
      </c>
      <c r="C310" s="559" t="s">
        <v>120</v>
      </c>
      <c r="D310" s="559" t="s">
        <v>5</v>
      </c>
      <c r="E310" s="559" t="s">
        <v>96</v>
      </c>
      <c r="F310" s="559">
        <v>114917.350000001</v>
      </c>
      <c r="G310" s="174"/>
    </row>
    <row r="311" spans="1:7" x14ac:dyDescent="0.3">
      <c r="A311" s="559" t="s">
        <v>472</v>
      </c>
      <c r="B311" s="559">
        <v>2014</v>
      </c>
      <c r="C311" s="559" t="s">
        <v>121</v>
      </c>
      <c r="D311" s="559" t="s">
        <v>0</v>
      </c>
      <c r="E311" s="559" t="s">
        <v>96</v>
      </c>
      <c r="F311" s="559">
        <v>7482.2149999999001</v>
      </c>
      <c r="G311" s="174"/>
    </row>
    <row r="312" spans="1:7" x14ac:dyDescent="0.3">
      <c r="A312" s="559" t="s">
        <v>472</v>
      </c>
      <c r="B312" s="559">
        <v>2014</v>
      </c>
      <c r="C312" s="559" t="s">
        <v>122</v>
      </c>
      <c r="D312" s="559" t="s">
        <v>28</v>
      </c>
      <c r="E312" s="559" t="s">
        <v>96</v>
      </c>
      <c r="F312" s="572">
        <v>170547.05600000499</v>
      </c>
      <c r="G312" s="174"/>
    </row>
    <row r="313" spans="1:7" x14ac:dyDescent="0.3">
      <c r="A313" s="559" t="s">
        <v>472</v>
      </c>
      <c r="B313" s="559">
        <v>2014</v>
      </c>
      <c r="C313" s="559" t="s">
        <v>123</v>
      </c>
      <c r="D313" s="559" t="s">
        <v>35</v>
      </c>
      <c r="E313" s="559" t="s">
        <v>110</v>
      </c>
      <c r="F313" s="572">
        <v>0</v>
      </c>
      <c r="G313" s="174"/>
    </row>
    <row r="314" spans="1:7" x14ac:dyDescent="0.3">
      <c r="A314" s="559" t="s">
        <v>472</v>
      </c>
      <c r="B314" s="559">
        <v>2014</v>
      </c>
      <c r="C314" s="559" t="s">
        <v>124</v>
      </c>
      <c r="D314" s="559" t="s">
        <v>49</v>
      </c>
      <c r="E314" s="559" t="s">
        <v>96</v>
      </c>
      <c r="F314" s="572">
        <v>2408.4759999999901</v>
      </c>
      <c r="G314" s="174"/>
    </row>
    <row r="315" spans="1:7" x14ac:dyDescent="0.3">
      <c r="A315" s="559" t="s">
        <v>472</v>
      </c>
      <c r="B315" s="559">
        <v>2014</v>
      </c>
      <c r="C315" s="559" t="s">
        <v>125</v>
      </c>
      <c r="D315" s="559" t="s">
        <v>20</v>
      </c>
      <c r="E315" s="559" t="s">
        <v>96</v>
      </c>
      <c r="F315" s="572">
        <v>4005.6149999999898</v>
      </c>
      <c r="G315" s="174"/>
    </row>
    <row r="316" spans="1:7" x14ac:dyDescent="0.3">
      <c r="A316" s="559" t="s">
        <v>472</v>
      </c>
      <c r="B316" s="559">
        <v>2014</v>
      </c>
      <c r="C316" s="559" t="s">
        <v>126</v>
      </c>
      <c r="D316" s="559" t="s">
        <v>23</v>
      </c>
      <c r="E316" s="559" t="s">
        <v>96</v>
      </c>
      <c r="F316" s="559">
        <v>52406.038672994102</v>
      </c>
      <c r="G316" s="174"/>
    </row>
    <row r="317" spans="1:7" x14ac:dyDescent="0.3">
      <c r="A317" s="559" t="s">
        <v>472</v>
      </c>
      <c r="B317" s="559">
        <v>2014</v>
      </c>
      <c r="C317" s="559" t="s">
        <v>126</v>
      </c>
      <c r="D317" s="559" t="s">
        <v>556</v>
      </c>
      <c r="E317" s="559" t="s">
        <v>756</v>
      </c>
      <c r="F317" s="559">
        <v>255626.42332700299</v>
      </c>
      <c r="G317" s="174"/>
    </row>
    <row r="318" spans="1:7" x14ac:dyDescent="0.3">
      <c r="A318" s="559" t="s">
        <v>472</v>
      </c>
      <c r="B318" s="559">
        <v>2014</v>
      </c>
      <c r="C318" s="559" t="s">
        <v>127</v>
      </c>
      <c r="D318" s="559" t="s">
        <v>28</v>
      </c>
      <c r="E318" s="559" t="s">
        <v>96</v>
      </c>
      <c r="F318" s="559">
        <v>47388.593000000197</v>
      </c>
      <c r="G318" s="174"/>
    </row>
    <row r="319" spans="1:7" x14ac:dyDescent="0.3">
      <c r="A319" s="559" t="s">
        <v>472</v>
      </c>
      <c r="B319" s="559">
        <v>2014</v>
      </c>
      <c r="C319" s="559" t="s">
        <v>128</v>
      </c>
      <c r="D319" s="559" t="s">
        <v>25</v>
      </c>
      <c r="E319" s="559" t="s">
        <v>96</v>
      </c>
      <c r="F319" s="559">
        <v>239292.025000002</v>
      </c>
      <c r="G319" s="174"/>
    </row>
    <row r="320" spans="1:7" x14ac:dyDescent="0.3">
      <c r="A320" s="559" t="s">
        <v>472</v>
      </c>
      <c r="B320" s="559">
        <v>2014</v>
      </c>
      <c r="C320" s="559" t="s">
        <v>129</v>
      </c>
      <c r="D320" s="559" t="s">
        <v>103</v>
      </c>
      <c r="E320" s="559" t="s">
        <v>96</v>
      </c>
      <c r="F320" s="559">
        <v>6.7339999999999902</v>
      </c>
      <c r="G320" s="174"/>
    </row>
    <row r="321" spans="1:7" x14ac:dyDescent="0.3">
      <c r="A321" s="559" t="s">
        <v>472</v>
      </c>
      <c r="B321" s="559">
        <v>2014</v>
      </c>
      <c r="C321" s="559" t="s">
        <v>130</v>
      </c>
      <c r="D321" s="559" t="s">
        <v>35</v>
      </c>
      <c r="E321" s="559" t="s">
        <v>101</v>
      </c>
      <c r="F321" s="559">
        <v>0</v>
      </c>
      <c r="G321" s="174"/>
    </row>
    <row r="322" spans="1:7" x14ac:dyDescent="0.3">
      <c r="A322" s="559" t="s">
        <v>472</v>
      </c>
      <c r="B322" s="559">
        <v>2014</v>
      </c>
      <c r="C322" s="559" t="s">
        <v>131</v>
      </c>
      <c r="D322" s="559" t="s">
        <v>38</v>
      </c>
      <c r="E322" s="559" t="s">
        <v>96</v>
      </c>
      <c r="F322" s="559">
        <v>75802.103000000599</v>
      </c>
      <c r="G322" s="174"/>
    </row>
    <row r="323" spans="1:7" x14ac:dyDescent="0.3">
      <c r="A323" s="559" t="s">
        <v>472</v>
      </c>
      <c r="B323" s="559">
        <v>2014</v>
      </c>
      <c r="C323" s="559" t="s">
        <v>132</v>
      </c>
      <c r="D323" s="559" t="s">
        <v>25</v>
      </c>
      <c r="E323" s="559" t="s">
        <v>96</v>
      </c>
      <c r="F323" s="559">
        <v>628.32400000000405</v>
      </c>
      <c r="G323" s="174"/>
    </row>
    <row r="324" spans="1:7" x14ac:dyDescent="0.3">
      <c r="A324" s="559" t="s">
        <v>472</v>
      </c>
      <c r="B324" s="559">
        <v>2014</v>
      </c>
      <c r="C324" s="559" t="s">
        <v>133</v>
      </c>
      <c r="D324" s="559" t="s">
        <v>1</v>
      </c>
      <c r="E324" s="559" t="s">
        <v>96</v>
      </c>
      <c r="F324" s="559">
        <v>45694.513000000203</v>
      </c>
      <c r="G324" s="174"/>
    </row>
    <row r="325" spans="1:7" x14ac:dyDescent="0.3">
      <c r="A325" s="559" t="s">
        <v>472</v>
      </c>
      <c r="B325" s="559">
        <v>2014</v>
      </c>
      <c r="C325" s="559" t="s">
        <v>134</v>
      </c>
      <c r="D325" s="559" t="s">
        <v>25</v>
      </c>
      <c r="E325" s="559" t="s">
        <v>96</v>
      </c>
      <c r="F325" s="559">
        <v>469.23200000000497</v>
      </c>
      <c r="G325" s="174"/>
    </row>
    <row r="326" spans="1:7" x14ac:dyDescent="0.3">
      <c r="A326" s="559" t="s">
        <v>472</v>
      </c>
      <c r="B326" s="559">
        <v>2014</v>
      </c>
      <c r="C326" s="559" t="s">
        <v>135</v>
      </c>
      <c r="D326" s="559" t="s">
        <v>103</v>
      </c>
      <c r="E326" s="559" t="s">
        <v>96</v>
      </c>
      <c r="F326" s="572">
        <v>2.4139999999999899</v>
      </c>
      <c r="G326" s="174"/>
    </row>
    <row r="327" spans="1:7" x14ac:dyDescent="0.3">
      <c r="A327" s="559" t="s">
        <v>472</v>
      </c>
      <c r="B327" s="559">
        <v>2014</v>
      </c>
      <c r="C327" s="559" t="s">
        <v>136</v>
      </c>
      <c r="D327" s="559" t="s">
        <v>35</v>
      </c>
      <c r="E327" s="559" t="s">
        <v>101</v>
      </c>
      <c r="F327" s="572">
        <v>0</v>
      </c>
      <c r="G327" s="174"/>
    </row>
    <row r="328" spans="1:7" x14ac:dyDescent="0.3">
      <c r="A328" s="559" t="s">
        <v>472</v>
      </c>
      <c r="B328" s="559">
        <v>2014</v>
      </c>
      <c r="C328" s="559" t="s">
        <v>137</v>
      </c>
      <c r="D328" s="559" t="s">
        <v>40</v>
      </c>
      <c r="E328" s="559" t="s">
        <v>96</v>
      </c>
      <c r="F328" s="572">
        <v>33832.517999999996</v>
      </c>
      <c r="G328" s="174"/>
    </row>
    <row r="329" spans="1:7" x14ac:dyDescent="0.3">
      <c r="A329" s="559" t="s">
        <v>472</v>
      </c>
      <c r="B329" s="559">
        <v>2014</v>
      </c>
      <c r="C329" s="559" t="s">
        <v>138</v>
      </c>
      <c r="D329" s="559" t="s">
        <v>40</v>
      </c>
      <c r="E329" s="559" t="s">
        <v>96</v>
      </c>
      <c r="F329" s="572">
        <v>278328.66800000001</v>
      </c>
      <c r="G329" s="174"/>
    </row>
    <row r="330" spans="1:7" x14ac:dyDescent="0.3">
      <c r="A330" s="559" t="s">
        <v>472</v>
      </c>
      <c r="B330" s="559">
        <v>2014</v>
      </c>
      <c r="C330" s="559" t="s">
        <v>139</v>
      </c>
      <c r="D330" s="559" t="s">
        <v>28</v>
      </c>
      <c r="E330" s="559" t="s">
        <v>96</v>
      </c>
      <c r="F330" s="559">
        <v>95932.815000000104</v>
      </c>
      <c r="G330" s="174"/>
    </row>
    <row r="331" spans="1:7" x14ac:dyDescent="0.3">
      <c r="A331" s="559" t="s">
        <v>472</v>
      </c>
      <c r="B331" s="559">
        <v>2014</v>
      </c>
      <c r="C331" s="559" t="s">
        <v>140</v>
      </c>
      <c r="D331" s="559" t="s">
        <v>12</v>
      </c>
      <c r="E331" s="559" t="s">
        <v>96</v>
      </c>
      <c r="F331" s="559">
        <v>21860.998999999501</v>
      </c>
      <c r="G331" s="174"/>
    </row>
    <row r="332" spans="1:7" x14ac:dyDescent="0.3">
      <c r="A332" s="559" t="s">
        <v>472</v>
      </c>
      <c r="B332" s="559">
        <v>2014</v>
      </c>
      <c r="C332" s="559" t="s">
        <v>141</v>
      </c>
      <c r="D332" s="559" t="s">
        <v>12</v>
      </c>
      <c r="E332" s="559" t="s">
        <v>96</v>
      </c>
      <c r="F332" s="559">
        <v>12018.190999999701</v>
      </c>
      <c r="G332" s="174"/>
    </row>
    <row r="333" spans="1:7" x14ac:dyDescent="0.3">
      <c r="A333" s="559" t="s">
        <v>472</v>
      </c>
      <c r="B333" s="559">
        <v>2014</v>
      </c>
      <c r="C333" s="559" t="s">
        <v>142</v>
      </c>
      <c r="D333" s="559" t="s">
        <v>1</v>
      </c>
      <c r="E333" s="559" t="s">
        <v>96</v>
      </c>
      <c r="F333" s="559">
        <v>259.69974891020001</v>
      </c>
      <c r="G333" s="174"/>
    </row>
    <row r="334" spans="1:7" x14ac:dyDescent="0.3">
      <c r="A334" s="559" t="s">
        <v>472</v>
      </c>
      <c r="B334" s="559">
        <v>2014</v>
      </c>
      <c r="C334" s="559" t="s">
        <v>142</v>
      </c>
      <c r="D334" s="559" t="s">
        <v>4</v>
      </c>
      <c r="E334" s="559" t="s">
        <v>96</v>
      </c>
      <c r="F334" s="559">
        <v>3.4412510897994699</v>
      </c>
      <c r="G334" s="174"/>
    </row>
    <row r="335" spans="1:7" x14ac:dyDescent="0.3">
      <c r="A335" s="559" t="s">
        <v>472</v>
      </c>
      <c r="B335" s="559">
        <v>2014</v>
      </c>
      <c r="C335" s="559" t="s">
        <v>142</v>
      </c>
      <c r="D335" s="559" t="s">
        <v>27</v>
      </c>
      <c r="E335" s="559" t="s">
        <v>110</v>
      </c>
      <c r="F335" s="559">
        <v>0</v>
      </c>
      <c r="G335" s="174"/>
    </row>
    <row r="336" spans="1:7" x14ac:dyDescent="0.3">
      <c r="A336" s="559" t="s">
        <v>472</v>
      </c>
      <c r="B336" s="559">
        <v>2014</v>
      </c>
      <c r="C336" s="559" t="s">
        <v>143</v>
      </c>
      <c r="D336" s="559" t="s">
        <v>4</v>
      </c>
      <c r="E336" s="559" t="s">
        <v>96</v>
      </c>
      <c r="F336" s="559">
        <v>5.7499999999999902</v>
      </c>
      <c r="G336" s="174"/>
    </row>
    <row r="337" spans="1:7" x14ac:dyDescent="0.3">
      <c r="A337" s="559" t="s">
        <v>472</v>
      </c>
      <c r="B337" s="559">
        <v>2014</v>
      </c>
      <c r="C337" s="559" t="s">
        <v>144</v>
      </c>
      <c r="D337" s="559" t="s">
        <v>4</v>
      </c>
      <c r="E337" s="559" t="s">
        <v>101</v>
      </c>
      <c r="F337" s="559">
        <v>0</v>
      </c>
      <c r="G337" s="174"/>
    </row>
    <row r="338" spans="1:7" x14ac:dyDescent="0.3">
      <c r="A338" s="559" t="s">
        <v>472</v>
      </c>
      <c r="B338" s="559">
        <v>2014</v>
      </c>
      <c r="C338" s="559" t="s">
        <v>145</v>
      </c>
      <c r="D338" s="559" t="s">
        <v>41</v>
      </c>
      <c r="E338" s="559" t="s">
        <v>96</v>
      </c>
      <c r="F338" s="559">
        <v>9011.6669999998503</v>
      </c>
      <c r="G338" s="174"/>
    </row>
    <row r="339" spans="1:7" x14ac:dyDescent="0.3">
      <c r="A339" s="559" t="s">
        <v>472</v>
      </c>
      <c r="B339" s="559">
        <v>2014</v>
      </c>
      <c r="C339" s="559" t="s">
        <v>146</v>
      </c>
      <c r="D339" s="559" t="s">
        <v>31</v>
      </c>
      <c r="E339" s="559" t="s">
        <v>96</v>
      </c>
      <c r="F339" s="559">
        <v>25040.419999999602</v>
      </c>
      <c r="G339" s="174"/>
    </row>
    <row r="340" spans="1:7" x14ac:dyDescent="0.3">
      <c r="A340" s="559" t="s">
        <v>472</v>
      </c>
      <c r="B340" s="559">
        <v>2014</v>
      </c>
      <c r="C340" s="559" t="s">
        <v>147</v>
      </c>
      <c r="D340" s="559" t="s">
        <v>11</v>
      </c>
      <c r="E340" s="559" t="s">
        <v>96</v>
      </c>
      <c r="F340" s="572">
        <v>112159.36399999799</v>
      </c>
      <c r="G340" s="174"/>
    </row>
    <row r="341" spans="1:7" x14ac:dyDescent="0.3">
      <c r="A341" s="559" t="s">
        <v>472</v>
      </c>
      <c r="B341" s="559">
        <v>2014</v>
      </c>
      <c r="C341" s="559" t="s">
        <v>148</v>
      </c>
      <c r="D341" s="559" t="s">
        <v>73</v>
      </c>
      <c r="E341" s="559" t="s">
        <v>96</v>
      </c>
      <c r="F341" s="572">
        <v>32150.370999999501</v>
      </c>
      <c r="G341" s="174"/>
    </row>
    <row r="342" spans="1:7" x14ac:dyDescent="0.3">
      <c r="A342" s="559" t="s">
        <v>472</v>
      </c>
      <c r="B342" s="559">
        <v>2014</v>
      </c>
      <c r="C342" s="559" t="s">
        <v>149</v>
      </c>
      <c r="D342" s="559" t="s">
        <v>36</v>
      </c>
      <c r="E342" s="559" t="s">
        <v>96</v>
      </c>
      <c r="F342" s="559">
        <v>99743.544999999198</v>
      </c>
      <c r="G342" s="174"/>
    </row>
    <row r="343" spans="1:7" x14ac:dyDescent="0.3">
      <c r="A343" s="559" t="s">
        <v>472</v>
      </c>
      <c r="B343" s="559">
        <v>2014</v>
      </c>
      <c r="C343" s="559" t="s">
        <v>150</v>
      </c>
      <c r="D343" s="559" t="s">
        <v>1</v>
      </c>
      <c r="E343" s="559" t="s">
        <v>96</v>
      </c>
      <c r="F343" s="559">
        <v>79724.021667301698</v>
      </c>
      <c r="G343" s="174"/>
    </row>
    <row r="344" spans="1:7" x14ac:dyDescent="0.3">
      <c r="A344" s="559" t="s">
        <v>472</v>
      </c>
      <c r="B344" s="559">
        <v>2014</v>
      </c>
      <c r="C344" s="559" t="s">
        <v>150</v>
      </c>
      <c r="D344" s="559" t="s">
        <v>70</v>
      </c>
      <c r="E344" s="559" t="s">
        <v>96</v>
      </c>
      <c r="F344" s="559">
        <v>3795.5413326992598</v>
      </c>
      <c r="G344" s="174"/>
    </row>
    <row r="345" spans="1:7" x14ac:dyDescent="0.3">
      <c r="A345" s="559" t="s">
        <v>472</v>
      </c>
      <c r="B345" s="559">
        <v>2014</v>
      </c>
      <c r="C345" s="559" t="s">
        <v>151</v>
      </c>
      <c r="D345" s="559" t="s">
        <v>40</v>
      </c>
      <c r="E345" s="559" t="s">
        <v>96</v>
      </c>
      <c r="F345" s="559">
        <v>107086.984999999</v>
      </c>
      <c r="G345" s="174"/>
    </row>
    <row r="346" spans="1:7" x14ac:dyDescent="0.3">
      <c r="A346" s="559" t="s">
        <v>472</v>
      </c>
      <c r="B346" s="559">
        <v>2014</v>
      </c>
      <c r="C346" s="559" t="s">
        <v>152</v>
      </c>
      <c r="D346" s="559" t="s">
        <v>5</v>
      </c>
      <c r="E346" s="559" t="s">
        <v>96</v>
      </c>
      <c r="F346" s="559">
        <v>26619.577699081299</v>
      </c>
      <c r="G346" s="174"/>
    </row>
    <row r="347" spans="1:7" x14ac:dyDescent="0.3">
      <c r="A347" s="559" t="s">
        <v>472</v>
      </c>
      <c r="B347" s="559">
        <v>2014</v>
      </c>
      <c r="C347" s="559" t="s">
        <v>152</v>
      </c>
      <c r="D347" s="559" t="s">
        <v>24</v>
      </c>
      <c r="E347" s="559" t="s">
        <v>756</v>
      </c>
      <c r="F347" s="572">
        <v>191929.31330091899</v>
      </c>
      <c r="G347" s="174"/>
    </row>
    <row r="348" spans="1:7" x14ac:dyDescent="0.3">
      <c r="A348" s="559" t="s">
        <v>472</v>
      </c>
      <c r="B348" s="559">
        <v>2014</v>
      </c>
      <c r="C348" s="559" t="s">
        <v>153</v>
      </c>
      <c r="D348" s="559" t="s">
        <v>73</v>
      </c>
      <c r="E348" s="559" t="s">
        <v>96</v>
      </c>
      <c r="F348" s="572">
        <v>48558.752000000102</v>
      </c>
      <c r="G348" s="174"/>
    </row>
    <row r="349" spans="1:7" x14ac:dyDescent="0.3">
      <c r="A349" s="559" t="s">
        <v>472</v>
      </c>
      <c r="B349" s="559">
        <v>2014</v>
      </c>
      <c r="C349" s="559" t="s">
        <v>154</v>
      </c>
      <c r="D349" s="559" t="s">
        <v>41</v>
      </c>
      <c r="E349" s="559" t="s">
        <v>96</v>
      </c>
      <c r="F349" s="572">
        <v>22144.3419999992</v>
      </c>
      <c r="G349" s="174"/>
    </row>
    <row r="350" spans="1:7" x14ac:dyDescent="0.3">
      <c r="A350" s="559" t="s">
        <v>472</v>
      </c>
      <c r="B350" s="559">
        <v>2014</v>
      </c>
      <c r="C350" s="559" t="s">
        <v>155</v>
      </c>
      <c r="D350" s="559" t="s">
        <v>28</v>
      </c>
      <c r="E350" s="559" t="s">
        <v>96</v>
      </c>
      <c r="F350" s="572">
        <v>18318.060999999801</v>
      </c>
      <c r="G350" s="174"/>
    </row>
    <row r="351" spans="1:7" x14ac:dyDescent="0.3">
      <c r="A351" s="559" t="s">
        <v>472</v>
      </c>
      <c r="B351" s="559">
        <v>2014</v>
      </c>
      <c r="C351" s="559" t="s">
        <v>156</v>
      </c>
      <c r="D351" s="559" t="s">
        <v>39</v>
      </c>
      <c r="E351" s="559" t="s">
        <v>96</v>
      </c>
      <c r="F351" s="572">
        <v>58334.092000000797</v>
      </c>
      <c r="G351" s="174"/>
    </row>
    <row r="352" spans="1:7" x14ac:dyDescent="0.3">
      <c r="A352" s="559" t="s">
        <v>472</v>
      </c>
      <c r="B352" s="559">
        <v>2014</v>
      </c>
      <c r="C352" s="559" t="s">
        <v>157</v>
      </c>
      <c r="D352" s="559" t="s">
        <v>39</v>
      </c>
      <c r="E352" s="559" t="s">
        <v>96</v>
      </c>
      <c r="F352" s="572">
        <v>251037.287999997</v>
      </c>
      <c r="G352" s="174"/>
    </row>
    <row r="353" spans="1:7" x14ac:dyDescent="0.3">
      <c r="A353" s="559" t="s">
        <v>472</v>
      </c>
      <c r="B353" s="559">
        <v>2014</v>
      </c>
      <c r="C353" s="559" t="s">
        <v>158</v>
      </c>
      <c r="D353" s="559" t="s">
        <v>49</v>
      </c>
      <c r="E353" s="559" t="s">
        <v>96</v>
      </c>
      <c r="F353" s="572">
        <v>3171.6290000000899</v>
      </c>
      <c r="G353" s="174"/>
    </row>
    <row r="354" spans="1:7" x14ac:dyDescent="0.3">
      <c r="A354" s="559" t="s">
        <v>472</v>
      </c>
      <c r="B354" s="559">
        <v>2014</v>
      </c>
      <c r="C354" s="559" t="s">
        <v>159</v>
      </c>
      <c r="D354" s="559" t="s">
        <v>40</v>
      </c>
      <c r="E354" s="559" t="s">
        <v>96</v>
      </c>
      <c r="F354" s="572">
        <v>27258.694999999501</v>
      </c>
      <c r="G354" s="174"/>
    </row>
    <row r="355" spans="1:7" x14ac:dyDescent="0.3">
      <c r="A355" s="559" t="s">
        <v>472</v>
      </c>
      <c r="B355" s="559">
        <v>2014</v>
      </c>
      <c r="C355" s="559" t="s">
        <v>160</v>
      </c>
      <c r="D355" s="559" t="s">
        <v>40</v>
      </c>
      <c r="E355" s="559" t="s">
        <v>96</v>
      </c>
      <c r="F355" s="559">
        <v>24361.871999999501</v>
      </c>
      <c r="G355" s="174"/>
    </row>
    <row r="356" spans="1:7" x14ac:dyDescent="0.3">
      <c r="A356" s="559" t="s">
        <v>472</v>
      </c>
      <c r="B356" s="559">
        <v>2014</v>
      </c>
      <c r="C356" s="559" t="s">
        <v>161</v>
      </c>
      <c r="D356" s="559" t="s">
        <v>37</v>
      </c>
      <c r="E356" s="559" t="s">
        <v>96</v>
      </c>
      <c r="F356" s="559">
        <v>419708.44500000001</v>
      </c>
      <c r="G356" s="174"/>
    </row>
    <row r="357" spans="1:7" x14ac:dyDescent="0.3">
      <c r="A357" s="559" t="s">
        <v>472</v>
      </c>
      <c r="B357" s="559">
        <v>2014</v>
      </c>
      <c r="C357" s="559" t="s">
        <v>162</v>
      </c>
      <c r="D357" s="559" t="s">
        <v>37</v>
      </c>
      <c r="E357" s="559" t="s">
        <v>96</v>
      </c>
      <c r="F357" s="559">
        <v>474883.036000002</v>
      </c>
      <c r="G357" s="174"/>
    </row>
    <row r="358" spans="1:7" x14ac:dyDescent="0.3">
      <c r="A358" s="559" t="s">
        <v>472</v>
      </c>
      <c r="B358" s="559">
        <v>2014</v>
      </c>
      <c r="C358" s="559" t="s">
        <v>163</v>
      </c>
      <c r="D358" s="559" t="s">
        <v>28</v>
      </c>
      <c r="E358" s="559" t="s">
        <v>96</v>
      </c>
      <c r="F358" s="559">
        <v>84012.6230000012</v>
      </c>
      <c r="G358" s="174"/>
    </row>
    <row r="359" spans="1:7" x14ac:dyDescent="0.3">
      <c r="A359" s="559" t="s">
        <v>472</v>
      </c>
      <c r="B359" s="559">
        <v>2014</v>
      </c>
      <c r="C359" s="559" t="s">
        <v>164</v>
      </c>
      <c r="D359" s="559" t="s">
        <v>41</v>
      </c>
      <c r="E359" s="559" t="s">
        <v>96</v>
      </c>
      <c r="F359" s="559">
        <v>9532.1389999999101</v>
      </c>
      <c r="G359" s="174"/>
    </row>
    <row r="360" spans="1:7" x14ac:dyDescent="0.3">
      <c r="A360" s="559" t="s">
        <v>472</v>
      </c>
      <c r="B360" s="559">
        <v>2014</v>
      </c>
      <c r="C360" s="559" t="s">
        <v>165</v>
      </c>
      <c r="D360" s="559" t="s">
        <v>39</v>
      </c>
      <c r="E360" s="559" t="s">
        <v>96</v>
      </c>
      <c r="F360" s="559">
        <v>51774.507000000704</v>
      </c>
      <c r="G360" s="174"/>
    </row>
    <row r="361" spans="1:7" x14ac:dyDescent="0.3">
      <c r="A361" s="559" t="s">
        <v>472</v>
      </c>
      <c r="B361" s="559">
        <v>2014</v>
      </c>
      <c r="C361" s="559" t="s">
        <v>166</v>
      </c>
      <c r="D361" s="559" t="s">
        <v>10</v>
      </c>
      <c r="E361" s="559" t="s">
        <v>101</v>
      </c>
      <c r="F361" s="559">
        <v>0</v>
      </c>
      <c r="G361" s="174"/>
    </row>
    <row r="362" spans="1:7" x14ac:dyDescent="0.3">
      <c r="A362" s="559" t="s">
        <v>472</v>
      </c>
      <c r="B362" s="559">
        <v>2014</v>
      </c>
      <c r="C362" s="559" t="s">
        <v>167</v>
      </c>
      <c r="D362" s="559" t="s">
        <v>10</v>
      </c>
      <c r="E362" s="559" t="s">
        <v>101</v>
      </c>
      <c r="F362" s="559">
        <v>0</v>
      </c>
      <c r="G362" s="174"/>
    </row>
    <row r="363" spans="1:7" x14ac:dyDescent="0.3">
      <c r="A363" s="559" t="s">
        <v>472</v>
      </c>
      <c r="B363" s="559">
        <v>2014</v>
      </c>
      <c r="C363" s="559" t="s">
        <v>168</v>
      </c>
      <c r="D363" s="559" t="s">
        <v>10</v>
      </c>
      <c r="E363" s="559" t="s">
        <v>101</v>
      </c>
      <c r="F363" s="559">
        <v>0</v>
      </c>
      <c r="G363" s="174"/>
    </row>
    <row r="364" spans="1:7" x14ac:dyDescent="0.3">
      <c r="A364" s="559" t="s">
        <v>472</v>
      </c>
      <c r="B364" s="559">
        <v>2014</v>
      </c>
      <c r="C364" s="559" t="s">
        <v>169</v>
      </c>
      <c r="D364" s="559" t="s">
        <v>10</v>
      </c>
      <c r="E364" s="559" t="s">
        <v>101</v>
      </c>
      <c r="F364" s="559">
        <v>0</v>
      </c>
      <c r="G364" s="174"/>
    </row>
    <row r="365" spans="1:7" x14ac:dyDescent="0.3">
      <c r="A365" s="559" t="s">
        <v>472</v>
      </c>
      <c r="B365" s="559">
        <v>2014</v>
      </c>
      <c r="C365" s="559" t="s">
        <v>171</v>
      </c>
      <c r="D365" s="559" t="s">
        <v>25</v>
      </c>
      <c r="E365" s="559" t="s">
        <v>96</v>
      </c>
      <c r="F365" s="559">
        <v>22096.510999999598</v>
      </c>
      <c r="G365" s="174"/>
    </row>
    <row r="366" spans="1:7" x14ac:dyDescent="0.3">
      <c r="A366" s="559" t="s">
        <v>472</v>
      </c>
      <c r="B366" s="559">
        <v>2014</v>
      </c>
      <c r="C366" s="559" t="s">
        <v>172</v>
      </c>
      <c r="D366" s="559" t="s">
        <v>25</v>
      </c>
      <c r="E366" s="559" t="s">
        <v>96</v>
      </c>
      <c r="F366" s="559">
        <v>22170.8139999997</v>
      </c>
      <c r="G366" s="174"/>
    </row>
    <row r="367" spans="1:7" x14ac:dyDescent="0.3">
      <c r="A367" s="559" t="s">
        <v>472</v>
      </c>
      <c r="B367" s="559">
        <v>2014</v>
      </c>
      <c r="C367" s="559" t="s">
        <v>173</v>
      </c>
      <c r="D367" s="559" t="s">
        <v>32</v>
      </c>
      <c r="E367" s="559" t="s">
        <v>96</v>
      </c>
      <c r="F367" s="559">
        <v>51163.808000000397</v>
      </c>
      <c r="G367" s="174"/>
    </row>
    <row r="368" spans="1:7" x14ac:dyDescent="0.3">
      <c r="A368" s="559" t="s">
        <v>472</v>
      </c>
      <c r="B368" s="559">
        <v>2014</v>
      </c>
      <c r="C368" s="559" t="s">
        <v>174</v>
      </c>
      <c r="D368" s="559" t="s">
        <v>28</v>
      </c>
      <c r="E368" s="559" t="s">
        <v>96</v>
      </c>
      <c r="F368" s="559">
        <v>34859.436999999903</v>
      </c>
      <c r="G368" s="174"/>
    </row>
    <row r="369" spans="1:7" x14ac:dyDescent="0.3">
      <c r="A369" s="559" t="s">
        <v>472</v>
      </c>
      <c r="B369" s="559">
        <v>2014</v>
      </c>
      <c r="C369" s="559" t="s">
        <v>175</v>
      </c>
      <c r="D369" s="559" t="s">
        <v>28</v>
      </c>
      <c r="E369" s="559" t="s">
        <v>96</v>
      </c>
      <c r="F369" s="559">
        <v>53205.989999999001</v>
      </c>
      <c r="G369" s="174"/>
    </row>
    <row r="370" spans="1:7" x14ac:dyDescent="0.3">
      <c r="A370" s="559" t="s">
        <v>472</v>
      </c>
      <c r="B370" s="559">
        <v>2014</v>
      </c>
      <c r="C370" s="559" t="s">
        <v>176</v>
      </c>
      <c r="D370" s="559" t="s">
        <v>51</v>
      </c>
      <c r="E370" s="559" t="s">
        <v>96</v>
      </c>
      <c r="F370" s="559">
        <v>18725.883999999802</v>
      </c>
      <c r="G370" s="174"/>
    </row>
    <row r="371" spans="1:7" x14ac:dyDescent="0.3">
      <c r="A371" s="559" t="s">
        <v>472</v>
      </c>
      <c r="B371" s="559">
        <v>2014</v>
      </c>
      <c r="C371" s="559" t="s">
        <v>177</v>
      </c>
      <c r="D371" s="559" t="s">
        <v>103</v>
      </c>
      <c r="E371" s="559" t="s">
        <v>96</v>
      </c>
      <c r="F371" s="559">
        <v>9.9279999999999902</v>
      </c>
      <c r="G371" s="174"/>
    </row>
    <row r="372" spans="1:7" x14ac:dyDescent="0.3">
      <c r="A372" s="559" t="s">
        <v>472</v>
      </c>
      <c r="B372" s="559">
        <v>2014</v>
      </c>
      <c r="C372" s="559" t="s">
        <v>178</v>
      </c>
      <c r="D372" s="559" t="s">
        <v>35</v>
      </c>
      <c r="E372" s="559" t="s">
        <v>101</v>
      </c>
      <c r="F372" s="559">
        <v>0</v>
      </c>
      <c r="G372" s="174"/>
    </row>
    <row r="373" spans="1:7" x14ac:dyDescent="0.3">
      <c r="A373" s="559" t="s">
        <v>472</v>
      </c>
      <c r="B373" s="559">
        <v>2014</v>
      </c>
      <c r="C373" s="559" t="s">
        <v>179</v>
      </c>
      <c r="D373" s="559" t="s">
        <v>35</v>
      </c>
      <c r="E373" s="559" t="s">
        <v>101</v>
      </c>
      <c r="F373" s="559">
        <v>0</v>
      </c>
      <c r="G373" s="174"/>
    </row>
    <row r="374" spans="1:7" x14ac:dyDescent="0.3">
      <c r="A374" s="559" t="s">
        <v>472</v>
      </c>
      <c r="B374" s="559">
        <v>2014</v>
      </c>
      <c r="C374" s="559" t="s">
        <v>180</v>
      </c>
      <c r="D374" s="559" t="s">
        <v>35</v>
      </c>
      <c r="E374" s="559" t="s">
        <v>101</v>
      </c>
      <c r="F374" s="559">
        <v>0</v>
      </c>
      <c r="G374" s="174"/>
    </row>
    <row r="375" spans="1:7" x14ac:dyDescent="0.3">
      <c r="A375" s="559" t="s">
        <v>472</v>
      </c>
      <c r="B375" s="559">
        <v>2014</v>
      </c>
      <c r="C375" s="559" t="s">
        <v>181</v>
      </c>
      <c r="D375" s="559" t="s">
        <v>14</v>
      </c>
      <c r="E375" s="559" t="s">
        <v>96</v>
      </c>
      <c r="F375" s="572">
        <v>77.426000000000002</v>
      </c>
      <c r="G375" s="174"/>
    </row>
    <row r="376" spans="1:7" x14ac:dyDescent="0.3">
      <c r="A376" s="559" t="s">
        <v>472</v>
      </c>
      <c r="B376" s="559">
        <v>2014</v>
      </c>
      <c r="C376" s="559" t="s">
        <v>182</v>
      </c>
      <c r="D376" s="559" t="s">
        <v>47</v>
      </c>
      <c r="E376" s="559" t="s">
        <v>101</v>
      </c>
      <c r="F376" s="572">
        <v>0</v>
      </c>
      <c r="G376" s="174"/>
    </row>
    <row r="377" spans="1:7" x14ac:dyDescent="0.3">
      <c r="A377" s="559" t="s">
        <v>472</v>
      </c>
      <c r="B377" s="559">
        <v>2014</v>
      </c>
      <c r="C377" s="559" t="s">
        <v>183</v>
      </c>
      <c r="D377" s="559" t="s">
        <v>47</v>
      </c>
      <c r="E377" s="559" t="s">
        <v>101</v>
      </c>
      <c r="F377" s="572">
        <v>0</v>
      </c>
      <c r="G377" s="174"/>
    </row>
    <row r="378" spans="1:7" x14ac:dyDescent="0.3">
      <c r="A378" s="559" t="s">
        <v>472</v>
      </c>
      <c r="B378" s="559">
        <v>2014</v>
      </c>
      <c r="C378" s="559" t="s">
        <v>184</v>
      </c>
      <c r="D378" s="559" t="s">
        <v>1</v>
      </c>
      <c r="E378" s="559" t="s">
        <v>96</v>
      </c>
      <c r="F378" s="572">
        <v>107845.0780499</v>
      </c>
      <c r="G378" s="174"/>
    </row>
    <row r="379" spans="1:7" x14ac:dyDescent="0.3">
      <c r="A379" s="559" t="s">
        <v>472</v>
      </c>
      <c r="B379" s="559">
        <v>2014</v>
      </c>
      <c r="C379" s="559" t="s">
        <v>184</v>
      </c>
      <c r="D379" s="559" t="s">
        <v>71</v>
      </c>
      <c r="E379" s="559" t="s">
        <v>96</v>
      </c>
      <c r="F379" s="572">
        <v>2208.9448240031702</v>
      </c>
      <c r="G379" s="174"/>
    </row>
    <row r="380" spans="1:7" x14ac:dyDescent="0.3">
      <c r="A380" s="559" t="s">
        <v>472</v>
      </c>
      <c r="B380" s="559">
        <v>2014</v>
      </c>
      <c r="C380" s="559" t="s">
        <v>184</v>
      </c>
      <c r="D380" s="559" t="s">
        <v>35</v>
      </c>
      <c r="E380" s="559" t="s">
        <v>110</v>
      </c>
      <c r="F380" s="572">
        <v>0</v>
      </c>
      <c r="G380" s="174"/>
    </row>
    <row r="381" spans="1:7" x14ac:dyDescent="0.3">
      <c r="A381" s="559" t="s">
        <v>472</v>
      </c>
      <c r="B381" s="559">
        <v>2014</v>
      </c>
      <c r="C381" s="559" t="s">
        <v>185</v>
      </c>
      <c r="D381" s="559" t="s">
        <v>35</v>
      </c>
      <c r="E381" s="559" t="s">
        <v>101</v>
      </c>
      <c r="F381" s="572">
        <v>0</v>
      </c>
      <c r="G381" s="174"/>
    </row>
    <row r="382" spans="1:7" x14ac:dyDescent="0.3">
      <c r="A382" s="559" t="s">
        <v>472</v>
      </c>
      <c r="B382" s="559">
        <v>2014</v>
      </c>
      <c r="C382" s="559" t="s">
        <v>186</v>
      </c>
      <c r="D382" s="559" t="s">
        <v>1</v>
      </c>
      <c r="E382" s="559" t="s">
        <v>96</v>
      </c>
      <c r="F382" s="572">
        <v>73176.246000000101</v>
      </c>
      <c r="G382" s="174"/>
    </row>
    <row r="383" spans="1:7" x14ac:dyDescent="0.3">
      <c r="A383" s="559" t="s">
        <v>472</v>
      </c>
      <c r="B383" s="559">
        <v>2014</v>
      </c>
      <c r="C383" s="559" t="s">
        <v>187</v>
      </c>
      <c r="D383" s="559" t="s">
        <v>71</v>
      </c>
      <c r="E383" s="559" t="s">
        <v>96</v>
      </c>
      <c r="F383" s="572">
        <v>8735.2529999998405</v>
      </c>
      <c r="G383" s="174"/>
    </row>
    <row r="384" spans="1:7" x14ac:dyDescent="0.3">
      <c r="A384" s="559" t="s">
        <v>472</v>
      </c>
      <c r="B384" s="559">
        <v>2014</v>
      </c>
      <c r="C384" s="559" t="s">
        <v>188</v>
      </c>
      <c r="D384" s="559" t="s">
        <v>69</v>
      </c>
      <c r="E384" s="559" t="s">
        <v>96</v>
      </c>
      <c r="F384" s="572">
        <v>82771.778127167301</v>
      </c>
      <c r="G384" s="174"/>
    </row>
    <row r="385" spans="1:7" x14ac:dyDescent="0.3">
      <c r="A385" s="559" t="s">
        <v>472</v>
      </c>
      <c r="B385" s="559">
        <v>2014</v>
      </c>
      <c r="C385" s="559" t="s">
        <v>188</v>
      </c>
      <c r="D385" s="559" t="s">
        <v>73</v>
      </c>
      <c r="E385" s="559" t="s">
        <v>96</v>
      </c>
      <c r="F385" s="572">
        <v>67675.855872835498</v>
      </c>
      <c r="G385" s="174"/>
    </row>
    <row r="386" spans="1:7" x14ac:dyDescent="0.3">
      <c r="A386" s="559" t="s">
        <v>472</v>
      </c>
      <c r="B386" s="559">
        <v>2014</v>
      </c>
      <c r="C386" s="559" t="s">
        <v>189</v>
      </c>
      <c r="D386" s="559" t="s">
        <v>25</v>
      </c>
      <c r="E386" s="559" t="s">
        <v>96</v>
      </c>
      <c r="F386" s="572">
        <v>129208.37199999701</v>
      </c>
      <c r="G386" s="174"/>
    </row>
    <row r="387" spans="1:7" x14ac:dyDescent="0.3">
      <c r="A387" s="559" t="s">
        <v>472</v>
      </c>
      <c r="B387" s="559">
        <v>2014</v>
      </c>
      <c r="C387" s="559" t="s">
        <v>190</v>
      </c>
      <c r="D387" s="559" t="s">
        <v>25</v>
      </c>
      <c r="E387" s="559" t="s">
        <v>96</v>
      </c>
      <c r="F387" s="572">
        <v>729515.72100000596</v>
      </c>
      <c r="G387" s="174"/>
    </row>
    <row r="388" spans="1:7" x14ac:dyDescent="0.3">
      <c r="A388" s="559" t="s">
        <v>472</v>
      </c>
      <c r="B388" s="559">
        <v>2014</v>
      </c>
      <c r="C388" s="559" t="s">
        <v>191</v>
      </c>
      <c r="D388" s="559" t="s">
        <v>12</v>
      </c>
      <c r="E388" s="559" t="s">
        <v>96</v>
      </c>
      <c r="F388" s="572">
        <v>52545.795999999697</v>
      </c>
      <c r="G388" s="174"/>
    </row>
    <row r="389" spans="1:7" x14ac:dyDescent="0.3">
      <c r="A389" s="559" t="s">
        <v>472</v>
      </c>
      <c r="B389" s="559">
        <v>2014</v>
      </c>
      <c r="C389" s="559" t="s">
        <v>192</v>
      </c>
      <c r="D389" s="559" t="s">
        <v>22</v>
      </c>
      <c r="E389" s="559" t="s">
        <v>756</v>
      </c>
      <c r="F389" s="572">
        <v>24358.246999999901</v>
      </c>
      <c r="G389" s="174"/>
    </row>
    <row r="390" spans="1:7" x14ac:dyDescent="0.3">
      <c r="A390" s="559" t="s">
        <v>472</v>
      </c>
      <c r="B390" s="559">
        <v>2014</v>
      </c>
      <c r="C390" s="559" t="s">
        <v>192</v>
      </c>
      <c r="D390" s="559" t="s">
        <v>51</v>
      </c>
      <c r="E390" s="559" t="s">
        <v>96</v>
      </c>
      <c r="F390" s="572">
        <v>4.0700662299180497</v>
      </c>
      <c r="G390" s="174"/>
    </row>
    <row r="391" spans="1:7" x14ac:dyDescent="0.3">
      <c r="A391" s="559" t="s">
        <v>472</v>
      </c>
      <c r="B391" s="559">
        <v>2014</v>
      </c>
      <c r="C391" s="559" t="s">
        <v>193</v>
      </c>
      <c r="D391" s="559" t="s">
        <v>11</v>
      </c>
      <c r="E391" s="559" t="s">
        <v>96</v>
      </c>
      <c r="F391" s="572">
        <v>29650.618999999599</v>
      </c>
      <c r="G391" s="174"/>
    </row>
    <row r="392" spans="1:7" x14ac:dyDescent="0.3">
      <c r="A392" s="559" t="s">
        <v>472</v>
      </c>
      <c r="B392" s="559">
        <v>2014</v>
      </c>
      <c r="C392" s="559" t="s">
        <v>395</v>
      </c>
      <c r="D392" s="559" t="s">
        <v>17</v>
      </c>
      <c r="E392" s="559" t="s">
        <v>101</v>
      </c>
      <c r="F392" s="572">
        <v>0</v>
      </c>
      <c r="G392" s="174"/>
    </row>
    <row r="393" spans="1:7" x14ac:dyDescent="0.3">
      <c r="A393" s="559" t="s">
        <v>472</v>
      </c>
      <c r="B393" s="559">
        <v>2014</v>
      </c>
      <c r="C393" s="559" t="s">
        <v>194</v>
      </c>
      <c r="D393" s="559" t="s">
        <v>25</v>
      </c>
      <c r="E393" s="559" t="s">
        <v>96</v>
      </c>
      <c r="F393" s="572">
        <v>7817.0159999999496</v>
      </c>
      <c r="G393" s="174"/>
    </row>
    <row r="394" spans="1:7" x14ac:dyDescent="0.3">
      <c r="A394" s="559" t="s">
        <v>472</v>
      </c>
      <c r="B394" s="559">
        <v>2014</v>
      </c>
      <c r="C394" s="559" t="s">
        <v>195</v>
      </c>
      <c r="D394" s="559" t="s">
        <v>25</v>
      </c>
      <c r="E394" s="559" t="s">
        <v>96</v>
      </c>
      <c r="F394" s="572">
        <v>8261.0979999999199</v>
      </c>
      <c r="G394" s="174"/>
    </row>
    <row r="395" spans="1:7" x14ac:dyDescent="0.3">
      <c r="A395" s="559" t="s">
        <v>472</v>
      </c>
      <c r="B395" s="559">
        <v>2014</v>
      </c>
      <c r="C395" s="559" t="s">
        <v>196</v>
      </c>
      <c r="D395" s="559" t="s">
        <v>19</v>
      </c>
      <c r="E395" s="559" t="s">
        <v>96</v>
      </c>
      <c r="F395" s="572">
        <v>4426.3189999999704</v>
      </c>
      <c r="G395" s="174"/>
    </row>
    <row r="396" spans="1:7" x14ac:dyDescent="0.3">
      <c r="A396" s="559" t="s">
        <v>472</v>
      </c>
      <c r="B396" s="559">
        <v>2014</v>
      </c>
      <c r="C396" s="559" t="s">
        <v>197</v>
      </c>
      <c r="D396" s="559" t="s">
        <v>3</v>
      </c>
      <c r="E396" s="559" t="s">
        <v>756</v>
      </c>
      <c r="F396" s="572">
        <v>104110.496</v>
      </c>
      <c r="G396" s="174"/>
    </row>
    <row r="397" spans="1:7" x14ac:dyDescent="0.3">
      <c r="A397" s="559" t="s">
        <v>472</v>
      </c>
      <c r="B397" s="559">
        <v>2014</v>
      </c>
      <c r="C397" s="559" t="s">
        <v>198</v>
      </c>
      <c r="D397" s="559" t="s">
        <v>28</v>
      </c>
      <c r="E397" s="559" t="s">
        <v>96</v>
      </c>
      <c r="F397" s="572">
        <v>32567.8149999997</v>
      </c>
      <c r="G397" s="174"/>
    </row>
    <row r="398" spans="1:7" x14ac:dyDescent="0.3">
      <c r="A398" s="559" t="s">
        <v>472</v>
      </c>
      <c r="B398" s="559">
        <v>2014</v>
      </c>
      <c r="C398" s="559" t="s">
        <v>199</v>
      </c>
      <c r="D398" s="559" t="s">
        <v>28</v>
      </c>
      <c r="E398" s="559" t="s">
        <v>96</v>
      </c>
      <c r="F398" s="572">
        <v>29726.580000000198</v>
      </c>
      <c r="G398" s="174"/>
    </row>
    <row r="399" spans="1:7" x14ac:dyDescent="0.3">
      <c r="A399" s="559" t="s">
        <v>472</v>
      </c>
      <c r="B399" s="559">
        <v>2014</v>
      </c>
      <c r="C399" s="559" t="s">
        <v>200</v>
      </c>
      <c r="D399" s="559" t="s">
        <v>677</v>
      </c>
      <c r="E399" s="559" t="s">
        <v>96</v>
      </c>
      <c r="F399" s="572">
        <v>7967.3037012671903</v>
      </c>
      <c r="G399" s="174"/>
    </row>
    <row r="400" spans="1:7" x14ac:dyDescent="0.3">
      <c r="A400" s="559" t="s">
        <v>472</v>
      </c>
      <c r="B400" s="559">
        <v>2014</v>
      </c>
      <c r="C400" s="559" t="s">
        <v>200</v>
      </c>
      <c r="D400" s="559" t="s">
        <v>34</v>
      </c>
      <c r="E400" s="559" t="s">
        <v>96</v>
      </c>
      <c r="F400" s="572">
        <v>306418.86195740098</v>
      </c>
      <c r="G400" s="174"/>
    </row>
    <row r="401" spans="1:7" x14ac:dyDescent="0.3">
      <c r="A401" s="559" t="s">
        <v>472</v>
      </c>
      <c r="B401" s="559">
        <v>2014</v>
      </c>
      <c r="C401" s="559" t="s">
        <v>201</v>
      </c>
      <c r="D401" s="559" t="s">
        <v>34</v>
      </c>
      <c r="E401" s="559" t="s">
        <v>110</v>
      </c>
      <c r="F401" s="559">
        <v>0</v>
      </c>
      <c r="G401" s="174"/>
    </row>
    <row r="402" spans="1:7" x14ac:dyDescent="0.3">
      <c r="A402" s="559" t="s">
        <v>472</v>
      </c>
      <c r="B402" s="559">
        <v>2014</v>
      </c>
      <c r="C402" s="559" t="s">
        <v>202</v>
      </c>
      <c r="D402" s="559" t="s">
        <v>33</v>
      </c>
      <c r="E402" s="559" t="s">
        <v>101</v>
      </c>
      <c r="F402" s="559">
        <v>0</v>
      </c>
      <c r="G402" s="174"/>
    </row>
    <row r="403" spans="1:7" x14ac:dyDescent="0.3">
      <c r="A403" s="559" t="s">
        <v>472</v>
      </c>
      <c r="B403" s="559">
        <v>2014</v>
      </c>
      <c r="C403" s="559" t="s">
        <v>203</v>
      </c>
      <c r="D403" s="559" t="s">
        <v>17</v>
      </c>
      <c r="E403" s="559" t="s">
        <v>101</v>
      </c>
      <c r="F403" s="559">
        <v>0</v>
      </c>
      <c r="G403" s="174"/>
    </row>
    <row r="404" spans="1:7" x14ac:dyDescent="0.3">
      <c r="A404" s="559" t="s">
        <v>472</v>
      </c>
      <c r="B404" s="559">
        <v>2014</v>
      </c>
      <c r="C404" s="559" t="s">
        <v>204</v>
      </c>
      <c r="D404" s="559" t="s">
        <v>28</v>
      </c>
      <c r="E404" s="559" t="s">
        <v>96</v>
      </c>
      <c r="F404" s="559">
        <v>91801.058000000194</v>
      </c>
      <c r="G404" s="174"/>
    </row>
    <row r="405" spans="1:7" x14ac:dyDescent="0.3">
      <c r="A405" s="559" t="s">
        <v>472</v>
      </c>
      <c r="B405" s="559">
        <v>2014</v>
      </c>
      <c r="C405" s="559" t="s">
        <v>205</v>
      </c>
      <c r="D405" s="559" t="s">
        <v>35</v>
      </c>
      <c r="E405" s="559" t="s">
        <v>110</v>
      </c>
      <c r="F405" s="559">
        <v>0</v>
      </c>
      <c r="G405" s="174"/>
    </row>
    <row r="406" spans="1:7" x14ac:dyDescent="0.3">
      <c r="A406" s="559" t="s">
        <v>472</v>
      </c>
      <c r="B406" s="559">
        <v>2014</v>
      </c>
      <c r="C406" s="559" t="s">
        <v>205</v>
      </c>
      <c r="D406" s="559" t="s">
        <v>41</v>
      </c>
      <c r="E406" s="559" t="s">
        <v>96</v>
      </c>
      <c r="F406" s="559">
        <v>549.646999999998</v>
      </c>
      <c r="G406" s="174"/>
    </row>
    <row r="407" spans="1:7" x14ac:dyDescent="0.3">
      <c r="A407" s="559" t="s">
        <v>472</v>
      </c>
      <c r="B407" s="559">
        <v>2014</v>
      </c>
      <c r="C407" s="559" t="s">
        <v>206</v>
      </c>
      <c r="D407" s="559" t="s">
        <v>35</v>
      </c>
      <c r="E407" s="559" t="s">
        <v>101</v>
      </c>
      <c r="F407" s="559">
        <v>0</v>
      </c>
      <c r="G407" s="174"/>
    </row>
    <row r="408" spans="1:7" x14ac:dyDescent="0.3">
      <c r="A408" s="559" t="s">
        <v>472</v>
      </c>
      <c r="B408" s="559">
        <v>2014</v>
      </c>
      <c r="C408" s="559" t="s">
        <v>207</v>
      </c>
      <c r="D408" s="559" t="s">
        <v>40</v>
      </c>
      <c r="E408" s="559" t="s">
        <v>96</v>
      </c>
      <c r="F408" s="559">
        <v>57759.613999999601</v>
      </c>
      <c r="G408" s="174"/>
    </row>
    <row r="409" spans="1:7" x14ac:dyDescent="0.3">
      <c r="A409" s="559" t="s">
        <v>472</v>
      </c>
      <c r="B409" s="559">
        <v>2014</v>
      </c>
      <c r="C409" s="559" t="s">
        <v>208</v>
      </c>
      <c r="D409" s="559" t="s">
        <v>47</v>
      </c>
      <c r="E409" s="559" t="s">
        <v>96</v>
      </c>
      <c r="F409" s="559">
        <v>5307.0019999999704</v>
      </c>
      <c r="G409" s="174"/>
    </row>
    <row r="410" spans="1:7" x14ac:dyDescent="0.3">
      <c r="A410" s="559" t="s">
        <v>472</v>
      </c>
      <c r="B410" s="559">
        <v>2014</v>
      </c>
      <c r="C410" s="559" t="s">
        <v>209</v>
      </c>
      <c r="D410" s="559" t="s">
        <v>47</v>
      </c>
      <c r="E410" s="559" t="s">
        <v>96</v>
      </c>
      <c r="F410" s="559">
        <v>4783.4179999999396</v>
      </c>
      <c r="G410" s="174"/>
    </row>
    <row r="411" spans="1:7" x14ac:dyDescent="0.3">
      <c r="A411" s="559" t="s">
        <v>472</v>
      </c>
      <c r="B411" s="559">
        <v>2014</v>
      </c>
      <c r="C411" s="559" t="s">
        <v>210</v>
      </c>
      <c r="D411" s="559" t="s">
        <v>28</v>
      </c>
      <c r="E411" s="559" t="s">
        <v>96</v>
      </c>
      <c r="F411" s="559">
        <v>92539.862999999503</v>
      </c>
      <c r="G411" s="174"/>
    </row>
    <row r="412" spans="1:7" x14ac:dyDescent="0.3">
      <c r="A412" s="559" t="s">
        <v>472</v>
      </c>
      <c r="B412" s="559">
        <v>2014</v>
      </c>
      <c r="C412" s="559" t="s">
        <v>211</v>
      </c>
      <c r="D412" s="559" t="s">
        <v>35</v>
      </c>
      <c r="E412" s="559" t="s">
        <v>110</v>
      </c>
      <c r="F412" s="559">
        <v>0</v>
      </c>
      <c r="G412" s="174"/>
    </row>
    <row r="413" spans="1:7" x14ac:dyDescent="0.3">
      <c r="A413" s="559" t="s">
        <v>472</v>
      </c>
      <c r="B413" s="559">
        <v>2014</v>
      </c>
      <c r="C413" s="559" t="s">
        <v>212</v>
      </c>
      <c r="D413" s="559" t="s">
        <v>14</v>
      </c>
      <c r="E413" s="559" t="s">
        <v>101</v>
      </c>
      <c r="F413" s="559">
        <v>0</v>
      </c>
      <c r="G413" s="174"/>
    </row>
    <row r="414" spans="1:7" x14ac:dyDescent="0.3">
      <c r="A414" s="559" t="s">
        <v>472</v>
      </c>
      <c r="B414" s="559">
        <v>2014</v>
      </c>
      <c r="C414" s="559" t="s">
        <v>213</v>
      </c>
      <c r="D414" s="559" t="s">
        <v>72</v>
      </c>
      <c r="E414" s="559" t="s">
        <v>110</v>
      </c>
      <c r="F414" s="559">
        <v>0</v>
      </c>
      <c r="G414" s="174"/>
    </row>
    <row r="415" spans="1:7" x14ac:dyDescent="0.3">
      <c r="A415" s="559" t="s">
        <v>472</v>
      </c>
      <c r="B415" s="559">
        <v>2014</v>
      </c>
      <c r="C415" s="559" t="s">
        <v>213</v>
      </c>
      <c r="D415" s="559" t="s">
        <v>103</v>
      </c>
      <c r="E415" s="559" t="s">
        <v>96</v>
      </c>
      <c r="F415" s="559">
        <v>11.678999999999901</v>
      </c>
      <c r="G415" s="174"/>
    </row>
    <row r="416" spans="1:7" x14ac:dyDescent="0.3">
      <c r="A416" s="559" t="s">
        <v>472</v>
      </c>
      <c r="B416" s="559">
        <v>2014</v>
      </c>
      <c r="C416" s="559" t="s">
        <v>214</v>
      </c>
      <c r="D416" s="559" t="s">
        <v>33</v>
      </c>
      <c r="E416" s="559" t="s">
        <v>101</v>
      </c>
      <c r="F416" s="559">
        <v>0</v>
      </c>
      <c r="G416" s="174"/>
    </row>
    <row r="417" spans="1:7" x14ac:dyDescent="0.3">
      <c r="A417" s="559" t="s">
        <v>472</v>
      </c>
      <c r="B417" s="559">
        <v>2014</v>
      </c>
      <c r="C417" s="559" t="s">
        <v>215</v>
      </c>
      <c r="D417" s="559" t="s">
        <v>35</v>
      </c>
      <c r="E417" s="559" t="s">
        <v>101</v>
      </c>
      <c r="F417" s="559">
        <v>0</v>
      </c>
      <c r="G417" s="174"/>
    </row>
    <row r="418" spans="1:7" x14ac:dyDescent="0.3">
      <c r="A418" s="559" t="s">
        <v>472</v>
      </c>
      <c r="B418" s="559">
        <v>2014</v>
      </c>
      <c r="C418" s="559" t="s">
        <v>216</v>
      </c>
      <c r="D418" s="559" t="s">
        <v>35</v>
      </c>
      <c r="E418" s="559" t="s">
        <v>101</v>
      </c>
      <c r="F418" s="559">
        <v>0</v>
      </c>
      <c r="G418" s="174"/>
    </row>
    <row r="419" spans="1:7" x14ac:dyDescent="0.3">
      <c r="A419" s="559" t="s">
        <v>472</v>
      </c>
      <c r="B419" s="559">
        <v>2014</v>
      </c>
      <c r="C419" s="559" t="s">
        <v>217</v>
      </c>
      <c r="D419" s="559" t="s">
        <v>19</v>
      </c>
      <c r="E419" s="559" t="s">
        <v>96</v>
      </c>
      <c r="F419" s="559">
        <v>4073.7649999999599</v>
      </c>
      <c r="G419" s="174"/>
    </row>
    <row r="420" spans="1:7" x14ac:dyDescent="0.3">
      <c r="A420" s="559" t="s">
        <v>472</v>
      </c>
      <c r="B420" s="559">
        <v>2014</v>
      </c>
      <c r="C420" s="559" t="s">
        <v>219</v>
      </c>
      <c r="D420" s="559" t="s">
        <v>28</v>
      </c>
      <c r="E420" s="559" t="s">
        <v>96</v>
      </c>
      <c r="F420" s="559">
        <v>19577.782999999599</v>
      </c>
      <c r="G420" s="174"/>
    </row>
    <row r="421" spans="1:7" x14ac:dyDescent="0.3">
      <c r="A421" s="559" t="s">
        <v>472</v>
      </c>
      <c r="B421" s="559">
        <v>2014</v>
      </c>
      <c r="C421" s="559" t="s">
        <v>220</v>
      </c>
      <c r="D421" s="559" t="s">
        <v>8</v>
      </c>
      <c r="E421" s="559" t="s">
        <v>96</v>
      </c>
      <c r="F421" s="559">
        <v>63316.307999999401</v>
      </c>
      <c r="G421" s="174"/>
    </row>
    <row r="422" spans="1:7" x14ac:dyDescent="0.3">
      <c r="A422" s="559" t="s">
        <v>472</v>
      </c>
      <c r="B422" s="559">
        <v>2014</v>
      </c>
      <c r="C422" s="559" t="s">
        <v>221</v>
      </c>
      <c r="D422" s="559" t="s">
        <v>33</v>
      </c>
      <c r="E422" s="559" t="s">
        <v>101</v>
      </c>
      <c r="F422" s="559">
        <v>0</v>
      </c>
      <c r="G422" s="174"/>
    </row>
    <row r="423" spans="1:7" x14ac:dyDescent="0.3">
      <c r="A423" s="559" t="s">
        <v>472</v>
      </c>
      <c r="B423" s="559">
        <v>2014</v>
      </c>
      <c r="C423" s="559" t="s">
        <v>222</v>
      </c>
      <c r="D423" s="559" t="s">
        <v>33</v>
      </c>
      <c r="E423" s="559" t="s">
        <v>96</v>
      </c>
      <c r="F423" s="559">
        <v>206.601</v>
      </c>
      <c r="G423" s="174"/>
    </row>
    <row r="424" spans="1:7" x14ac:dyDescent="0.3">
      <c r="A424" s="559" t="s">
        <v>472</v>
      </c>
      <c r="B424" s="559">
        <v>2014</v>
      </c>
      <c r="C424" s="559" t="s">
        <v>223</v>
      </c>
      <c r="D424" s="559" t="s">
        <v>33</v>
      </c>
      <c r="E424" s="559" t="s">
        <v>101</v>
      </c>
      <c r="F424" s="559">
        <v>0</v>
      </c>
      <c r="G424" s="174"/>
    </row>
    <row r="425" spans="1:7" x14ac:dyDescent="0.3">
      <c r="A425" s="559" t="s">
        <v>472</v>
      </c>
      <c r="B425" s="559">
        <v>2014</v>
      </c>
      <c r="C425" s="559" t="s">
        <v>224</v>
      </c>
      <c r="D425" s="559" t="s">
        <v>40</v>
      </c>
      <c r="E425" s="559" t="s">
        <v>96</v>
      </c>
      <c r="F425" s="559">
        <v>45248.327000000798</v>
      </c>
      <c r="G425" s="174"/>
    </row>
    <row r="426" spans="1:7" x14ac:dyDescent="0.3">
      <c r="A426" s="559" t="s">
        <v>472</v>
      </c>
      <c r="B426" s="559">
        <v>2014</v>
      </c>
      <c r="C426" s="559" t="s">
        <v>225</v>
      </c>
      <c r="D426" s="559" t="s">
        <v>40</v>
      </c>
      <c r="E426" s="559" t="s">
        <v>96</v>
      </c>
      <c r="F426" s="559">
        <v>56200.521999999997</v>
      </c>
      <c r="G426" s="174"/>
    </row>
    <row r="427" spans="1:7" x14ac:dyDescent="0.3">
      <c r="A427" s="559" t="s">
        <v>472</v>
      </c>
      <c r="B427" s="559">
        <v>2014</v>
      </c>
      <c r="C427" s="559" t="s">
        <v>226</v>
      </c>
      <c r="D427" s="559" t="s">
        <v>37</v>
      </c>
      <c r="E427" s="559" t="s">
        <v>96</v>
      </c>
      <c r="F427" s="559">
        <v>209345.81000000099</v>
      </c>
      <c r="G427" s="174"/>
    </row>
    <row r="428" spans="1:7" x14ac:dyDescent="0.3">
      <c r="A428" s="559" t="s">
        <v>472</v>
      </c>
      <c r="B428" s="559">
        <v>2014</v>
      </c>
      <c r="C428" s="559" t="s">
        <v>227</v>
      </c>
      <c r="D428" s="559" t="s">
        <v>48</v>
      </c>
      <c r="E428" s="559" t="s">
        <v>96</v>
      </c>
      <c r="F428" s="559">
        <v>73529.3820000001</v>
      </c>
      <c r="G428" s="174"/>
    </row>
    <row r="429" spans="1:7" x14ac:dyDescent="0.3">
      <c r="A429" s="559" t="s">
        <v>472</v>
      </c>
      <c r="B429" s="559">
        <v>2014</v>
      </c>
      <c r="C429" s="559" t="s">
        <v>228</v>
      </c>
      <c r="D429" s="559" t="s">
        <v>15</v>
      </c>
      <c r="E429" s="559" t="s">
        <v>96</v>
      </c>
      <c r="F429" s="559">
        <v>15189.425999999799</v>
      </c>
      <c r="G429" s="174"/>
    </row>
    <row r="430" spans="1:7" x14ac:dyDescent="0.3">
      <c r="A430" s="559" t="s">
        <v>472</v>
      </c>
      <c r="B430" s="559">
        <v>2014</v>
      </c>
      <c r="C430" s="559" t="s">
        <v>229</v>
      </c>
      <c r="D430" s="559" t="s">
        <v>23</v>
      </c>
      <c r="E430" s="559" t="s">
        <v>96</v>
      </c>
      <c r="F430" s="559">
        <v>645186.53300000099</v>
      </c>
      <c r="G430" s="174"/>
    </row>
    <row r="431" spans="1:7" x14ac:dyDescent="0.3">
      <c r="A431" s="559" t="s">
        <v>472</v>
      </c>
      <c r="B431" s="559">
        <v>2014</v>
      </c>
      <c r="C431" s="559" t="s">
        <v>230</v>
      </c>
      <c r="D431" s="559" t="s">
        <v>28</v>
      </c>
      <c r="E431" s="559" t="s">
        <v>96</v>
      </c>
      <c r="F431" s="559">
        <v>78635.4470000008</v>
      </c>
      <c r="G431" s="174"/>
    </row>
    <row r="432" spans="1:7" x14ac:dyDescent="0.3">
      <c r="A432" s="559" t="s">
        <v>472</v>
      </c>
      <c r="B432" s="559">
        <v>2014</v>
      </c>
      <c r="C432" s="559" t="s">
        <v>231</v>
      </c>
      <c r="D432" s="559" t="s">
        <v>17</v>
      </c>
      <c r="E432" s="559" t="s">
        <v>101</v>
      </c>
      <c r="F432" s="559">
        <v>0</v>
      </c>
      <c r="G432" s="174"/>
    </row>
    <row r="433" spans="1:7" x14ac:dyDescent="0.3">
      <c r="A433" s="559" t="s">
        <v>472</v>
      </c>
      <c r="B433" s="559">
        <v>2014</v>
      </c>
      <c r="C433" s="559" t="s">
        <v>232</v>
      </c>
      <c r="D433" s="559" t="s">
        <v>28</v>
      </c>
      <c r="E433" s="559" t="s">
        <v>96</v>
      </c>
      <c r="F433" s="559">
        <v>117475.568999999</v>
      </c>
      <c r="G433" s="174"/>
    </row>
    <row r="434" spans="1:7" x14ac:dyDescent="0.3">
      <c r="A434" s="559" t="s">
        <v>472</v>
      </c>
      <c r="B434" s="559">
        <v>2014</v>
      </c>
      <c r="C434" s="559" t="s">
        <v>233</v>
      </c>
      <c r="D434" s="559" t="s">
        <v>28</v>
      </c>
      <c r="E434" s="559" t="s">
        <v>96</v>
      </c>
      <c r="F434" s="559">
        <v>30446.425999999799</v>
      </c>
      <c r="G434" s="174"/>
    </row>
    <row r="435" spans="1:7" x14ac:dyDescent="0.3">
      <c r="A435" s="559" t="s">
        <v>472</v>
      </c>
      <c r="B435" s="559">
        <v>2014</v>
      </c>
      <c r="C435" s="559" t="s">
        <v>234</v>
      </c>
      <c r="D435" s="559" t="s">
        <v>23</v>
      </c>
      <c r="E435" s="559" t="s">
        <v>96</v>
      </c>
      <c r="F435" s="559">
        <v>87824.625999999305</v>
      </c>
      <c r="G435" s="174"/>
    </row>
    <row r="436" spans="1:7" x14ac:dyDescent="0.3">
      <c r="A436" s="559" t="s">
        <v>472</v>
      </c>
      <c r="B436" s="559">
        <v>2014</v>
      </c>
      <c r="C436" s="559" t="s">
        <v>235</v>
      </c>
      <c r="D436" s="559" t="s">
        <v>28</v>
      </c>
      <c r="E436" s="559" t="s">
        <v>96</v>
      </c>
      <c r="F436" s="559">
        <v>12817.4389999998</v>
      </c>
      <c r="G436" s="174"/>
    </row>
    <row r="437" spans="1:7" x14ac:dyDescent="0.3">
      <c r="A437" s="559" t="s">
        <v>472</v>
      </c>
      <c r="B437" s="559">
        <v>2014</v>
      </c>
      <c r="C437" s="559" t="s">
        <v>236</v>
      </c>
      <c r="D437" s="559" t="s">
        <v>51</v>
      </c>
      <c r="E437" s="559" t="s">
        <v>96</v>
      </c>
      <c r="F437" s="559">
        <v>39.222999999999999</v>
      </c>
      <c r="G437" s="174"/>
    </row>
    <row r="438" spans="1:7" x14ac:dyDescent="0.3">
      <c r="A438" s="559" t="s">
        <v>472</v>
      </c>
      <c r="B438" s="559">
        <v>2014</v>
      </c>
      <c r="C438" s="559" t="s">
        <v>237</v>
      </c>
      <c r="D438" s="559" t="s">
        <v>18</v>
      </c>
      <c r="E438" s="559" t="s">
        <v>101</v>
      </c>
      <c r="F438" s="559">
        <v>0</v>
      </c>
      <c r="G438" s="174"/>
    </row>
    <row r="439" spans="1:7" x14ac:dyDescent="0.3">
      <c r="A439" s="559" t="s">
        <v>472</v>
      </c>
      <c r="B439" s="559">
        <v>2014</v>
      </c>
      <c r="C439" s="559" t="s">
        <v>238</v>
      </c>
      <c r="D439" s="559" t="s">
        <v>17</v>
      </c>
      <c r="E439" s="559" t="s">
        <v>96</v>
      </c>
      <c r="F439" s="559">
        <v>4.2130000000000001</v>
      </c>
      <c r="G439" s="174"/>
    </row>
    <row r="440" spans="1:7" x14ac:dyDescent="0.3">
      <c r="A440" s="559" t="s">
        <v>472</v>
      </c>
      <c r="B440" s="559">
        <v>2014</v>
      </c>
      <c r="C440" s="559" t="s">
        <v>239</v>
      </c>
      <c r="D440" s="559" t="s">
        <v>21</v>
      </c>
      <c r="E440" s="559" t="s">
        <v>101</v>
      </c>
      <c r="F440" s="559">
        <v>0</v>
      </c>
      <c r="G440" s="174"/>
    </row>
    <row r="441" spans="1:7" x14ac:dyDescent="0.3">
      <c r="A441" s="559" t="s">
        <v>472</v>
      </c>
      <c r="B441" s="559">
        <v>2014</v>
      </c>
      <c r="C441" s="559" t="s">
        <v>240</v>
      </c>
      <c r="D441" s="559" t="s">
        <v>73</v>
      </c>
      <c r="E441" s="559" t="s">
        <v>96</v>
      </c>
      <c r="F441" s="559">
        <v>76255.616999999795</v>
      </c>
      <c r="G441" s="174"/>
    </row>
    <row r="442" spans="1:7" x14ac:dyDescent="0.3">
      <c r="A442" s="559" t="s">
        <v>472</v>
      </c>
      <c r="B442" s="559">
        <v>2014</v>
      </c>
      <c r="C442" s="559" t="s">
        <v>241</v>
      </c>
      <c r="D442" s="559" t="s">
        <v>14</v>
      </c>
      <c r="E442" s="559" t="s">
        <v>110</v>
      </c>
      <c r="F442" s="559">
        <v>0</v>
      </c>
      <c r="G442" s="174"/>
    </row>
    <row r="443" spans="1:7" x14ac:dyDescent="0.3">
      <c r="A443" s="559" t="s">
        <v>472</v>
      </c>
      <c r="B443" s="559">
        <v>2014</v>
      </c>
      <c r="C443" s="559" t="s">
        <v>242</v>
      </c>
      <c r="D443" s="559" t="s">
        <v>32</v>
      </c>
      <c r="E443" s="559" t="s">
        <v>96</v>
      </c>
      <c r="F443" s="559">
        <v>7136.3850000000702</v>
      </c>
      <c r="G443" s="174"/>
    </row>
    <row r="444" spans="1:7" x14ac:dyDescent="0.3">
      <c r="A444" s="559" t="s">
        <v>472</v>
      </c>
      <c r="B444" s="559">
        <v>2014</v>
      </c>
      <c r="C444" s="559" t="s">
        <v>243</v>
      </c>
      <c r="D444" s="559" t="s">
        <v>51</v>
      </c>
      <c r="E444" s="559" t="s">
        <v>96</v>
      </c>
      <c r="F444" s="559">
        <v>722.62039352956106</v>
      </c>
      <c r="G444" s="174"/>
    </row>
    <row r="445" spans="1:7" x14ac:dyDescent="0.3">
      <c r="A445" s="559" t="s">
        <v>472</v>
      </c>
      <c r="B445" s="559">
        <v>2014</v>
      </c>
      <c r="C445" s="559" t="s">
        <v>243</v>
      </c>
      <c r="D445" s="559" t="s">
        <v>28</v>
      </c>
      <c r="E445" s="559" t="s">
        <v>96</v>
      </c>
      <c r="F445" s="559">
        <v>30963.4436064701</v>
      </c>
      <c r="G445" s="174"/>
    </row>
    <row r="446" spans="1:7" x14ac:dyDescent="0.3">
      <c r="A446" s="559" t="s">
        <v>472</v>
      </c>
      <c r="B446" s="559">
        <v>2014</v>
      </c>
      <c r="C446" s="559" t="s">
        <v>244</v>
      </c>
      <c r="D446" s="559" t="s">
        <v>71</v>
      </c>
      <c r="E446" s="559" t="s">
        <v>96</v>
      </c>
      <c r="F446" s="559">
        <v>61692.135999998703</v>
      </c>
      <c r="G446" s="174"/>
    </row>
    <row r="447" spans="1:7" x14ac:dyDescent="0.3">
      <c r="A447" s="559" t="s">
        <v>472</v>
      </c>
      <c r="B447" s="559">
        <v>2014</v>
      </c>
      <c r="C447" s="559" t="s">
        <v>245</v>
      </c>
      <c r="D447" s="559" t="s">
        <v>35</v>
      </c>
      <c r="E447" s="559" t="s">
        <v>101</v>
      </c>
      <c r="F447" s="559">
        <v>0</v>
      </c>
      <c r="G447" s="174"/>
    </row>
    <row r="448" spans="1:7" x14ac:dyDescent="0.3">
      <c r="A448" s="559" t="s">
        <v>472</v>
      </c>
      <c r="B448" s="559">
        <v>2014</v>
      </c>
      <c r="C448" s="559" t="s">
        <v>246</v>
      </c>
      <c r="D448" s="559" t="s">
        <v>20</v>
      </c>
      <c r="E448" s="559" t="s">
        <v>96</v>
      </c>
      <c r="F448" s="559">
        <v>65659.203999998994</v>
      </c>
      <c r="G448" s="174"/>
    </row>
    <row r="449" spans="1:7" x14ac:dyDescent="0.3">
      <c r="A449" s="559" t="s">
        <v>472</v>
      </c>
      <c r="B449" s="559">
        <v>2014</v>
      </c>
      <c r="C449" s="559" t="s">
        <v>247</v>
      </c>
      <c r="D449" s="559" t="s">
        <v>14</v>
      </c>
      <c r="E449" s="559" t="s">
        <v>101</v>
      </c>
      <c r="F449" s="559">
        <v>0</v>
      </c>
      <c r="G449" s="174"/>
    </row>
    <row r="450" spans="1:7" x14ac:dyDescent="0.3">
      <c r="A450" s="559" t="s">
        <v>472</v>
      </c>
      <c r="B450" s="559">
        <v>2014</v>
      </c>
      <c r="C450" s="559" t="s">
        <v>248</v>
      </c>
      <c r="D450" s="559" t="s">
        <v>14</v>
      </c>
      <c r="E450" s="559" t="s">
        <v>101</v>
      </c>
      <c r="F450" s="559">
        <v>0</v>
      </c>
      <c r="G450" s="174"/>
    </row>
    <row r="451" spans="1:7" x14ac:dyDescent="0.3">
      <c r="A451" s="559" t="s">
        <v>472</v>
      </c>
      <c r="B451" s="559">
        <v>2014</v>
      </c>
      <c r="C451" s="559" t="s">
        <v>249</v>
      </c>
      <c r="D451" s="559" t="s">
        <v>14</v>
      </c>
      <c r="E451" s="559" t="s">
        <v>101</v>
      </c>
      <c r="F451" s="559">
        <v>0</v>
      </c>
      <c r="G451" s="174"/>
    </row>
    <row r="452" spans="1:7" x14ac:dyDescent="0.3">
      <c r="A452" s="559" t="s">
        <v>472</v>
      </c>
      <c r="B452" s="559">
        <v>2014</v>
      </c>
      <c r="C452" s="559" t="s">
        <v>250</v>
      </c>
      <c r="D452" s="559" t="s">
        <v>17</v>
      </c>
      <c r="E452" s="559" t="s">
        <v>101</v>
      </c>
      <c r="F452" s="559">
        <v>0</v>
      </c>
      <c r="G452" s="174"/>
    </row>
    <row r="453" spans="1:7" x14ac:dyDescent="0.3">
      <c r="A453" s="559" t="s">
        <v>472</v>
      </c>
      <c r="B453" s="559">
        <v>2014</v>
      </c>
      <c r="C453" s="559" t="s">
        <v>251</v>
      </c>
      <c r="D453" s="559" t="s">
        <v>4</v>
      </c>
      <c r="E453" s="559" t="s">
        <v>101</v>
      </c>
      <c r="F453" s="559">
        <v>0</v>
      </c>
      <c r="G453" s="174"/>
    </row>
    <row r="454" spans="1:7" x14ac:dyDescent="0.3">
      <c r="A454" s="559" t="s">
        <v>472</v>
      </c>
      <c r="B454" s="559">
        <v>2014</v>
      </c>
      <c r="C454" s="559" t="s">
        <v>252</v>
      </c>
      <c r="D454" s="559" t="s">
        <v>28</v>
      </c>
      <c r="E454" s="559" t="s">
        <v>96</v>
      </c>
      <c r="F454" s="559">
        <v>4273.2282079851002</v>
      </c>
      <c r="G454" s="174"/>
    </row>
    <row r="455" spans="1:7" x14ac:dyDescent="0.3">
      <c r="A455" s="559" t="s">
        <v>472</v>
      </c>
      <c r="B455" s="559">
        <v>2014</v>
      </c>
      <c r="C455" s="559" t="s">
        <v>252</v>
      </c>
      <c r="D455" s="559" t="s">
        <v>32</v>
      </c>
      <c r="E455" s="559" t="s">
        <v>96</v>
      </c>
      <c r="F455" s="559">
        <v>7557.8000965644596</v>
      </c>
      <c r="G455" s="174"/>
    </row>
    <row r="456" spans="1:7" x14ac:dyDescent="0.3">
      <c r="A456" s="559" t="s">
        <v>472</v>
      </c>
      <c r="B456" s="559">
        <v>2014</v>
      </c>
      <c r="C456" s="559" t="s">
        <v>253</v>
      </c>
      <c r="D456" s="559" t="s">
        <v>32</v>
      </c>
      <c r="E456" s="559" t="s">
        <v>96</v>
      </c>
      <c r="F456" s="559">
        <v>5428.1170000000202</v>
      </c>
      <c r="G456" s="174"/>
    </row>
    <row r="457" spans="1:7" x14ac:dyDescent="0.3">
      <c r="A457" s="559" t="s">
        <v>472</v>
      </c>
      <c r="B457" s="559">
        <v>2014</v>
      </c>
      <c r="C457" s="559" t="s">
        <v>254</v>
      </c>
      <c r="D457" s="559" t="s">
        <v>28</v>
      </c>
      <c r="E457" s="559" t="s">
        <v>96</v>
      </c>
      <c r="F457" s="559">
        <v>15067.475999999901</v>
      </c>
      <c r="G457" s="174"/>
    </row>
    <row r="458" spans="1:7" x14ac:dyDescent="0.3">
      <c r="A458" s="559" t="s">
        <v>472</v>
      </c>
      <c r="B458" s="559">
        <v>2014</v>
      </c>
      <c r="C458" s="559" t="s">
        <v>678</v>
      </c>
      <c r="D458" s="559" t="s">
        <v>2</v>
      </c>
      <c r="E458" s="559" t="s">
        <v>96</v>
      </c>
      <c r="F458" s="559">
        <v>15891.253999999701</v>
      </c>
      <c r="G458" s="174"/>
    </row>
    <row r="459" spans="1:7" x14ac:dyDescent="0.3">
      <c r="A459" s="559" t="s">
        <v>472</v>
      </c>
      <c r="B459" s="559">
        <v>2014</v>
      </c>
      <c r="C459" s="559" t="s">
        <v>257</v>
      </c>
      <c r="D459" s="559" t="s">
        <v>4</v>
      </c>
      <c r="E459" s="559" t="s">
        <v>96</v>
      </c>
      <c r="F459" s="559">
        <v>2904.22169977967</v>
      </c>
      <c r="G459" s="174"/>
    </row>
    <row r="460" spans="1:7" x14ac:dyDescent="0.3">
      <c r="A460" s="559" t="s">
        <v>472</v>
      </c>
      <c r="B460" s="559">
        <v>2014</v>
      </c>
      <c r="C460" s="559" t="s">
        <v>257</v>
      </c>
      <c r="D460" s="559" t="s">
        <v>37</v>
      </c>
      <c r="E460" s="559" t="s">
        <v>96</v>
      </c>
      <c r="F460" s="559">
        <v>136707.62230022199</v>
      </c>
      <c r="G460" s="174"/>
    </row>
    <row r="461" spans="1:7" x14ac:dyDescent="0.3">
      <c r="A461" s="559" t="s">
        <v>472</v>
      </c>
      <c r="B461" s="559">
        <v>2014</v>
      </c>
      <c r="C461" s="559" t="s">
        <v>258</v>
      </c>
      <c r="D461" s="559" t="s">
        <v>41</v>
      </c>
      <c r="E461" s="559" t="s">
        <v>96</v>
      </c>
      <c r="F461" s="559">
        <v>558.13199999999995</v>
      </c>
      <c r="G461" s="174"/>
    </row>
    <row r="462" spans="1:7" x14ac:dyDescent="0.3">
      <c r="A462" s="559" t="s">
        <v>472</v>
      </c>
      <c r="B462" s="559">
        <v>2014</v>
      </c>
      <c r="C462" s="559" t="s">
        <v>259</v>
      </c>
      <c r="D462" s="559" t="s">
        <v>36</v>
      </c>
      <c r="E462" s="559" t="s">
        <v>96</v>
      </c>
      <c r="F462" s="559">
        <v>23342.684000000299</v>
      </c>
      <c r="G462" s="174"/>
    </row>
    <row r="463" spans="1:7" x14ac:dyDescent="0.3">
      <c r="A463" s="559" t="s">
        <v>472</v>
      </c>
      <c r="B463" s="559">
        <v>2014</v>
      </c>
      <c r="C463" s="559" t="s">
        <v>260</v>
      </c>
      <c r="D463" s="559" t="s">
        <v>37</v>
      </c>
      <c r="E463" s="559" t="s">
        <v>96</v>
      </c>
      <c r="F463" s="559">
        <v>251540.202000002</v>
      </c>
      <c r="G463" s="174"/>
    </row>
    <row r="464" spans="1:7" x14ac:dyDescent="0.3">
      <c r="A464" s="559" t="s">
        <v>472</v>
      </c>
      <c r="B464" s="559">
        <v>2014</v>
      </c>
      <c r="C464" s="559" t="s">
        <v>261</v>
      </c>
      <c r="D464" s="559" t="s">
        <v>28</v>
      </c>
      <c r="E464" s="559" t="s">
        <v>96</v>
      </c>
      <c r="F464" s="559">
        <v>54945.851000000599</v>
      </c>
      <c r="G464" s="174"/>
    </row>
    <row r="465" spans="1:7" x14ac:dyDescent="0.3">
      <c r="A465" s="559" t="s">
        <v>472</v>
      </c>
      <c r="B465" s="559">
        <v>2014</v>
      </c>
      <c r="C465" s="559" t="s">
        <v>262</v>
      </c>
      <c r="D465" s="559" t="s">
        <v>37</v>
      </c>
      <c r="E465" s="559" t="s">
        <v>96</v>
      </c>
      <c r="F465" s="559">
        <v>74407.256999999794</v>
      </c>
      <c r="G465" s="174"/>
    </row>
    <row r="466" spans="1:7" x14ac:dyDescent="0.3">
      <c r="A466" s="559" t="s">
        <v>472</v>
      </c>
      <c r="B466" s="559">
        <v>2014</v>
      </c>
      <c r="C466" s="559" t="s">
        <v>263</v>
      </c>
      <c r="D466" s="559" t="s">
        <v>49</v>
      </c>
      <c r="E466" s="559" t="s">
        <v>96</v>
      </c>
      <c r="F466" s="572">
        <v>0.31499999999999601</v>
      </c>
      <c r="G466" s="174"/>
    </row>
    <row r="467" spans="1:7" x14ac:dyDescent="0.3">
      <c r="A467" s="559" t="s">
        <v>472</v>
      </c>
      <c r="B467" s="559">
        <v>2014</v>
      </c>
      <c r="C467" s="559" t="s">
        <v>264</v>
      </c>
      <c r="D467" s="559" t="s">
        <v>51</v>
      </c>
      <c r="E467" s="559" t="s">
        <v>96</v>
      </c>
      <c r="F467" s="572">
        <v>848.27502566118096</v>
      </c>
      <c r="G467" s="174"/>
    </row>
    <row r="468" spans="1:7" x14ac:dyDescent="0.3">
      <c r="A468" s="559" t="s">
        <v>472</v>
      </c>
      <c r="B468" s="559">
        <v>2014</v>
      </c>
      <c r="C468" s="559" t="s">
        <v>264</v>
      </c>
      <c r="D468" s="559" t="s">
        <v>37</v>
      </c>
      <c r="E468" s="559" t="s">
        <v>96</v>
      </c>
      <c r="F468" s="572">
        <v>3953031.0628393302</v>
      </c>
      <c r="G468" s="174"/>
    </row>
    <row r="469" spans="1:7" x14ac:dyDescent="0.3">
      <c r="A469" s="559" t="s">
        <v>472</v>
      </c>
      <c r="B469" s="559">
        <v>2014</v>
      </c>
      <c r="C469" s="559" t="s">
        <v>265</v>
      </c>
      <c r="D469" s="559" t="s">
        <v>37</v>
      </c>
      <c r="E469" s="559" t="s">
        <v>96</v>
      </c>
      <c r="F469" s="572">
        <v>295469.73200000101</v>
      </c>
      <c r="G469" s="174"/>
    </row>
    <row r="470" spans="1:7" x14ac:dyDescent="0.3">
      <c r="A470" s="559" t="s">
        <v>472</v>
      </c>
      <c r="B470" s="559">
        <v>2014</v>
      </c>
      <c r="C470" s="559" t="s">
        <v>266</v>
      </c>
      <c r="D470" s="559" t="s">
        <v>40</v>
      </c>
      <c r="E470" s="559" t="s">
        <v>96</v>
      </c>
      <c r="F470" s="572">
        <v>29420.1719999995</v>
      </c>
      <c r="G470" s="174"/>
    </row>
    <row r="471" spans="1:7" x14ac:dyDescent="0.3">
      <c r="A471" s="559" t="s">
        <v>472</v>
      </c>
      <c r="B471" s="559">
        <v>2014</v>
      </c>
      <c r="C471" s="559" t="s">
        <v>267</v>
      </c>
      <c r="D471" s="559" t="s">
        <v>4</v>
      </c>
      <c r="E471" s="559" t="s">
        <v>96</v>
      </c>
      <c r="F471" s="572">
        <v>34.107999999999898</v>
      </c>
      <c r="G471" s="174"/>
    </row>
    <row r="472" spans="1:7" x14ac:dyDescent="0.3">
      <c r="A472" s="559" t="s">
        <v>472</v>
      </c>
      <c r="B472" s="559">
        <v>2014</v>
      </c>
      <c r="C472" s="559" t="s">
        <v>268</v>
      </c>
      <c r="D472" s="559" t="s">
        <v>4</v>
      </c>
      <c r="E472" s="559" t="s">
        <v>101</v>
      </c>
      <c r="F472" s="572">
        <v>0</v>
      </c>
      <c r="G472" s="174"/>
    </row>
    <row r="473" spans="1:7" x14ac:dyDescent="0.3">
      <c r="A473" s="559" t="s">
        <v>472</v>
      </c>
      <c r="B473" s="559">
        <v>2014</v>
      </c>
      <c r="C473" s="559" t="s">
        <v>269</v>
      </c>
      <c r="D473" s="559" t="s">
        <v>8</v>
      </c>
      <c r="E473" s="559" t="s">
        <v>96</v>
      </c>
      <c r="F473" s="572">
        <v>99892.585000000705</v>
      </c>
      <c r="G473" s="174"/>
    </row>
    <row r="474" spans="1:7" x14ac:dyDescent="0.3">
      <c r="A474" s="559" t="s">
        <v>472</v>
      </c>
      <c r="B474" s="559">
        <v>2014</v>
      </c>
      <c r="C474" s="559" t="s">
        <v>270</v>
      </c>
      <c r="D474" s="559" t="s">
        <v>36</v>
      </c>
      <c r="E474" s="559" t="s">
        <v>96</v>
      </c>
      <c r="F474" s="559">
        <v>111947.086999999</v>
      </c>
      <c r="G474" s="174"/>
    </row>
    <row r="475" spans="1:7" x14ac:dyDescent="0.3">
      <c r="A475" s="559" t="s">
        <v>472</v>
      </c>
      <c r="B475" s="559">
        <v>2014</v>
      </c>
      <c r="C475" s="559" t="s">
        <v>679</v>
      </c>
      <c r="D475" s="559" t="s">
        <v>41</v>
      </c>
      <c r="E475" s="559" t="s">
        <v>96</v>
      </c>
      <c r="F475" s="559">
        <v>16635.593999999801</v>
      </c>
      <c r="G475" s="174"/>
    </row>
    <row r="476" spans="1:7" x14ac:dyDescent="0.3">
      <c r="A476" s="559" t="s">
        <v>472</v>
      </c>
      <c r="B476" s="559">
        <v>2014</v>
      </c>
      <c r="C476" s="559" t="s">
        <v>273</v>
      </c>
      <c r="D476" s="559" t="s">
        <v>37</v>
      </c>
      <c r="E476" s="559" t="s">
        <v>96</v>
      </c>
      <c r="F476" s="559">
        <v>318911.32999999903</v>
      </c>
      <c r="G476" s="174"/>
    </row>
    <row r="477" spans="1:7" x14ac:dyDescent="0.3">
      <c r="A477" s="559" t="s">
        <v>472</v>
      </c>
      <c r="B477" s="559">
        <v>2014</v>
      </c>
      <c r="C477" s="559" t="s">
        <v>274</v>
      </c>
      <c r="D477" s="559" t="s">
        <v>37</v>
      </c>
      <c r="E477" s="559" t="s">
        <v>96</v>
      </c>
      <c r="F477" s="559">
        <v>180210.12499999901</v>
      </c>
      <c r="G477" s="174"/>
    </row>
    <row r="478" spans="1:7" x14ac:dyDescent="0.3">
      <c r="A478" s="559" t="s">
        <v>472</v>
      </c>
      <c r="B478" s="559">
        <v>2014</v>
      </c>
      <c r="C478" s="559" t="s">
        <v>275</v>
      </c>
      <c r="D478" s="559" t="s">
        <v>36</v>
      </c>
      <c r="E478" s="559" t="s">
        <v>96</v>
      </c>
      <c r="F478" s="559">
        <v>48164.501000000702</v>
      </c>
      <c r="G478" s="174"/>
    </row>
    <row r="479" spans="1:7" x14ac:dyDescent="0.3">
      <c r="A479" s="559" t="s">
        <v>472</v>
      </c>
      <c r="B479" s="559">
        <v>2014</v>
      </c>
      <c r="C479" s="559" t="s">
        <v>276</v>
      </c>
      <c r="D479" s="559" t="s">
        <v>36</v>
      </c>
      <c r="E479" s="559" t="s">
        <v>96</v>
      </c>
      <c r="F479" s="559">
        <v>83855.283000000898</v>
      </c>
      <c r="G479" s="174"/>
    </row>
    <row r="480" spans="1:7" x14ac:dyDescent="0.3">
      <c r="A480" s="559" t="s">
        <v>472</v>
      </c>
      <c r="B480" s="559">
        <v>2014</v>
      </c>
      <c r="C480" s="559" t="s">
        <v>277</v>
      </c>
      <c r="D480" s="559" t="s">
        <v>103</v>
      </c>
      <c r="E480" s="559" t="s">
        <v>96</v>
      </c>
      <c r="F480" s="559">
        <v>6.9000000000000006E-2</v>
      </c>
      <c r="G480" s="174"/>
    </row>
    <row r="481" spans="1:7" x14ac:dyDescent="0.3">
      <c r="A481" s="559" t="s">
        <v>472</v>
      </c>
      <c r="B481" s="559">
        <v>2014</v>
      </c>
      <c r="C481" s="559" t="s">
        <v>278</v>
      </c>
      <c r="D481" s="559" t="s">
        <v>35</v>
      </c>
      <c r="E481" s="559" t="s">
        <v>101</v>
      </c>
      <c r="F481" s="559">
        <v>0</v>
      </c>
      <c r="G481" s="174"/>
    </row>
    <row r="482" spans="1:7" x14ac:dyDescent="0.3">
      <c r="A482" s="559" t="s">
        <v>472</v>
      </c>
      <c r="B482" s="559">
        <v>2014</v>
      </c>
      <c r="C482" s="559" t="s">
        <v>279</v>
      </c>
      <c r="D482" s="559" t="s">
        <v>4</v>
      </c>
      <c r="E482" s="559" t="s">
        <v>101</v>
      </c>
      <c r="F482" s="559">
        <v>0</v>
      </c>
      <c r="G482" s="174"/>
    </row>
    <row r="483" spans="1:7" x14ac:dyDescent="0.3">
      <c r="A483" s="559" t="s">
        <v>472</v>
      </c>
      <c r="B483" s="559">
        <v>2014</v>
      </c>
      <c r="C483" s="559" t="s">
        <v>280</v>
      </c>
      <c r="D483" s="559" t="s">
        <v>4</v>
      </c>
      <c r="E483" s="559" t="s">
        <v>101</v>
      </c>
      <c r="F483" s="559">
        <v>0</v>
      </c>
      <c r="G483" s="174"/>
    </row>
    <row r="484" spans="1:7" x14ac:dyDescent="0.3">
      <c r="A484" s="559" t="s">
        <v>472</v>
      </c>
      <c r="B484" s="559">
        <v>2014</v>
      </c>
      <c r="C484" s="559" t="s">
        <v>281</v>
      </c>
      <c r="D484" s="559" t="s">
        <v>10</v>
      </c>
      <c r="E484" s="559" t="s">
        <v>101</v>
      </c>
      <c r="F484" s="559">
        <v>0</v>
      </c>
      <c r="G484" s="174"/>
    </row>
    <row r="485" spans="1:7" x14ac:dyDescent="0.3">
      <c r="A485" s="559" t="s">
        <v>472</v>
      </c>
      <c r="B485" s="559">
        <v>2014</v>
      </c>
      <c r="C485" s="559" t="s">
        <v>282</v>
      </c>
      <c r="D485" s="559" t="s">
        <v>12</v>
      </c>
      <c r="E485" s="559" t="s">
        <v>96</v>
      </c>
      <c r="F485" s="559">
        <v>86117.893000000098</v>
      </c>
      <c r="G485" s="174"/>
    </row>
    <row r="486" spans="1:7" x14ac:dyDescent="0.3">
      <c r="A486" s="559" t="s">
        <v>472</v>
      </c>
      <c r="B486" s="559">
        <v>2014</v>
      </c>
      <c r="C486" s="559" t="s">
        <v>283</v>
      </c>
      <c r="D486" s="559" t="s">
        <v>1</v>
      </c>
      <c r="E486" s="559" t="s">
        <v>96</v>
      </c>
      <c r="F486" s="559">
        <v>105393.55199999901</v>
      </c>
      <c r="G486" s="174"/>
    </row>
    <row r="487" spans="1:7" x14ac:dyDescent="0.3">
      <c r="A487" s="559" t="s">
        <v>472</v>
      </c>
      <c r="B487" s="559">
        <v>2014</v>
      </c>
      <c r="C487" s="559" t="s">
        <v>284</v>
      </c>
      <c r="D487" s="559" t="s">
        <v>28</v>
      </c>
      <c r="E487" s="559" t="s">
        <v>96</v>
      </c>
      <c r="F487" s="559">
        <v>43340.89</v>
      </c>
      <c r="G487" s="174"/>
    </row>
    <row r="488" spans="1:7" x14ac:dyDescent="0.3">
      <c r="A488" s="559" t="s">
        <v>472</v>
      </c>
      <c r="B488" s="559">
        <v>2014</v>
      </c>
      <c r="C488" s="559" t="s">
        <v>285</v>
      </c>
      <c r="D488" s="559" t="s">
        <v>4</v>
      </c>
      <c r="E488" s="559" t="s">
        <v>96</v>
      </c>
      <c r="F488" s="559">
        <v>725.38799999999299</v>
      </c>
      <c r="G488" s="174"/>
    </row>
    <row r="489" spans="1:7" x14ac:dyDescent="0.3">
      <c r="A489" s="559" t="s">
        <v>472</v>
      </c>
      <c r="B489" s="559">
        <v>2014</v>
      </c>
      <c r="C489" s="559" t="s">
        <v>286</v>
      </c>
      <c r="D489" s="559" t="s">
        <v>4</v>
      </c>
      <c r="E489" s="559" t="s">
        <v>101</v>
      </c>
      <c r="F489" s="559">
        <v>0</v>
      </c>
      <c r="G489" s="174"/>
    </row>
    <row r="490" spans="1:7" x14ac:dyDescent="0.3">
      <c r="A490" s="559" t="s">
        <v>472</v>
      </c>
      <c r="B490" s="559">
        <v>2014</v>
      </c>
      <c r="C490" s="559" t="s">
        <v>287</v>
      </c>
      <c r="D490" s="559" t="s">
        <v>4</v>
      </c>
      <c r="E490" s="559" t="s">
        <v>101</v>
      </c>
      <c r="F490" s="559">
        <v>0</v>
      </c>
      <c r="G490" s="174"/>
    </row>
    <row r="491" spans="1:7" x14ac:dyDescent="0.3">
      <c r="A491" s="559" t="s">
        <v>472</v>
      </c>
      <c r="B491" s="559">
        <v>2014</v>
      </c>
      <c r="C491" s="559" t="s">
        <v>288</v>
      </c>
      <c r="D491" s="559" t="s">
        <v>4</v>
      </c>
      <c r="E491" s="559" t="s">
        <v>101</v>
      </c>
      <c r="F491" s="559">
        <v>0</v>
      </c>
      <c r="G491" s="174"/>
    </row>
    <row r="492" spans="1:7" x14ac:dyDescent="0.3">
      <c r="A492" s="559" t="s">
        <v>472</v>
      </c>
      <c r="B492" s="559">
        <v>2014</v>
      </c>
      <c r="C492" s="559" t="s">
        <v>289</v>
      </c>
      <c r="D492" s="559" t="s">
        <v>19</v>
      </c>
      <c r="E492" s="559" t="s">
        <v>96</v>
      </c>
      <c r="F492" s="559">
        <v>289540.99200000498</v>
      </c>
      <c r="G492" s="174"/>
    </row>
    <row r="493" spans="1:7" x14ac:dyDescent="0.3">
      <c r="A493" s="559" t="s">
        <v>472</v>
      </c>
      <c r="B493" s="559">
        <v>2014</v>
      </c>
      <c r="C493" s="559" t="s">
        <v>290</v>
      </c>
      <c r="D493" s="559" t="s">
        <v>35</v>
      </c>
      <c r="E493" s="559" t="s">
        <v>101</v>
      </c>
      <c r="F493" s="559">
        <v>0</v>
      </c>
      <c r="G493" s="174"/>
    </row>
    <row r="494" spans="1:7" x14ac:dyDescent="0.3">
      <c r="A494" s="559" t="s">
        <v>472</v>
      </c>
      <c r="B494" s="559">
        <v>2014</v>
      </c>
      <c r="C494" s="559" t="s">
        <v>291</v>
      </c>
      <c r="D494" s="559" t="s">
        <v>0</v>
      </c>
      <c r="E494" s="559" t="s">
        <v>96</v>
      </c>
      <c r="F494" s="572">
        <v>18387.173999999901</v>
      </c>
      <c r="G494" s="174"/>
    </row>
    <row r="495" spans="1:7" x14ac:dyDescent="0.3">
      <c r="A495" s="559" t="s">
        <v>472</v>
      </c>
      <c r="B495" s="559">
        <v>2014</v>
      </c>
      <c r="C495" s="559" t="s">
        <v>292</v>
      </c>
      <c r="D495" s="559" t="s">
        <v>37</v>
      </c>
      <c r="E495" s="559" t="s">
        <v>96</v>
      </c>
      <c r="F495" s="572">
        <v>644966.03300000203</v>
      </c>
      <c r="G495" s="174"/>
    </row>
    <row r="496" spans="1:7" x14ac:dyDescent="0.3">
      <c r="A496" s="559" t="s">
        <v>472</v>
      </c>
      <c r="B496" s="559">
        <v>2014</v>
      </c>
      <c r="C496" s="559" t="s">
        <v>293</v>
      </c>
      <c r="D496" s="559" t="s">
        <v>49</v>
      </c>
      <c r="E496" s="559" t="s">
        <v>96</v>
      </c>
      <c r="F496" s="572">
        <v>1483.7239999999599</v>
      </c>
      <c r="G496" s="174"/>
    </row>
    <row r="497" spans="1:7" x14ac:dyDescent="0.3">
      <c r="A497" s="559" t="s">
        <v>472</v>
      </c>
      <c r="B497" s="559">
        <v>2014</v>
      </c>
      <c r="C497" s="559" t="s">
        <v>294</v>
      </c>
      <c r="D497" s="559" t="s">
        <v>17</v>
      </c>
      <c r="E497" s="559" t="s">
        <v>96</v>
      </c>
      <c r="F497" s="572">
        <v>1609.8410000000199</v>
      </c>
      <c r="G497" s="174"/>
    </row>
    <row r="498" spans="1:7" x14ac:dyDescent="0.3">
      <c r="A498" s="559" t="s">
        <v>472</v>
      </c>
      <c r="B498" s="559">
        <v>2014</v>
      </c>
      <c r="C498" s="559" t="s">
        <v>295</v>
      </c>
      <c r="D498" s="559" t="s">
        <v>17</v>
      </c>
      <c r="E498" s="559" t="s">
        <v>101</v>
      </c>
      <c r="F498" s="572">
        <v>0</v>
      </c>
      <c r="G498" s="174"/>
    </row>
    <row r="499" spans="1:7" x14ac:dyDescent="0.3">
      <c r="A499" s="559" t="s">
        <v>472</v>
      </c>
      <c r="B499" s="559">
        <v>2014</v>
      </c>
      <c r="C499" s="559" t="s">
        <v>296</v>
      </c>
      <c r="D499" s="559" t="s">
        <v>37</v>
      </c>
      <c r="E499" s="559" t="s">
        <v>96</v>
      </c>
      <c r="F499" s="572">
        <v>217678.24699999701</v>
      </c>
      <c r="G499" s="174"/>
    </row>
    <row r="500" spans="1:7" x14ac:dyDescent="0.3">
      <c r="A500" s="559" t="s">
        <v>472</v>
      </c>
      <c r="B500" s="559">
        <v>2014</v>
      </c>
      <c r="C500" s="559" t="s">
        <v>297</v>
      </c>
      <c r="D500" s="559" t="s">
        <v>28</v>
      </c>
      <c r="E500" s="559" t="s">
        <v>96</v>
      </c>
      <c r="F500" s="572">
        <v>49073.282000001003</v>
      </c>
      <c r="G500" s="174"/>
    </row>
    <row r="501" spans="1:7" x14ac:dyDescent="0.3">
      <c r="A501" s="559" t="s">
        <v>472</v>
      </c>
      <c r="B501" s="559">
        <v>2014</v>
      </c>
      <c r="C501" s="559" t="s">
        <v>298</v>
      </c>
      <c r="D501" s="559" t="s">
        <v>28</v>
      </c>
      <c r="E501" s="559" t="s">
        <v>96</v>
      </c>
      <c r="F501" s="572">
        <v>145969.69500000001</v>
      </c>
      <c r="G501" s="174"/>
    </row>
    <row r="502" spans="1:7" x14ac:dyDescent="0.3">
      <c r="A502" s="559" t="s">
        <v>472</v>
      </c>
      <c r="B502" s="559">
        <v>2014</v>
      </c>
      <c r="C502" s="559" t="s">
        <v>299</v>
      </c>
      <c r="D502" s="559" t="s">
        <v>35</v>
      </c>
      <c r="E502" s="559" t="s">
        <v>101</v>
      </c>
      <c r="F502" s="572">
        <v>0</v>
      </c>
      <c r="G502" s="174"/>
    </row>
    <row r="503" spans="1:7" x14ac:dyDescent="0.3">
      <c r="A503" s="559" t="s">
        <v>472</v>
      </c>
      <c r="B503" s="559">
        <v>2014</v>
      </c>
      <c r="C503" s="559" t="s">
        <v>300</v>
      </c>
      <c r="D503" s="559" t="s">
        <v>4</v>
      </c>
      <c r="E503" s="559" t="s">
        <v>96</v>
      </c>
      <c r="F503" s="572">
        <v>1004.806</v>
      </c>
      <c r="G503" s="174"/>
    </row>
    <row r="504" spans="1:7" x14ac:dyDescent="0.3">
      <c r="A504" s="559" t="s">
        <v>472</v>
      </c>
      <c r="B504" s="559">
        <v>2014</v>
      </c>
      <c r="C504" s="559" t="s">
        <v>301</v>
      </c>
      <c r="D504" s="559" t="s">
        <v>4</v>
      </c>
      <c r="E504" s="559" t="s">
        <v>101</v>
      </c>
      <c r="F504" s="572">
        <v>0</v>
      </c>
      <c r="G504" s="174"/>
    </row>
    <row r="505" spans="1:7" x14ac:dyDescent="0.3">
      <c r="A505" s="559" t="s">
        <v>472</v>
      </c>
      <c r="B505" s="559">
        <v>2014</v>
      </c>
      <c r="C505" s="559" t="s">
        <v>302</v>
      </c>
      <c r="D505" s="559" t="s">
        <v>4</v>
      </c>
      <c r="E505" s="559" t="s">
        <v>101</v>
      </c>
      <c r="F505" s="572">
        <v>0</v>
      </c>
      <c r="G505" s="174"/>
    </row>
    <row r="506" spans="1:7" x14ac:dyDescent="0.3">
      <c r="A506" s="559" t="s">
        <v>472</v>
      </c>
      <c r="B506" s="559">
        <v>2014</v>
      </c>
      <c r="C506" s="559" t="s">
        <v>303</v>
      </c>
      <c r="D506" s="559" t="s">
        <v>0</v>
      </c>
      <c r="E506" s="559" t="s">
        <v>96</v>
      </c>
      <c r="F506" s="559">
        <v>121930.23599999701</v>
      </c>
      <c r="G506" s="174"/>
    </row>
    <row r="507" spans="1:7" x14ac:dyDescent="0.3">
      <c r="A507" s="559" t="s">
        <v>472</v>
      </c>
      <c r="B507" s="559">
        <v>2014</v>
      </c>
      <c r="C507" s="559" t="s">
        <v>304</v>
      </c>
      <c r="D507" s="559" t="s">
        <v>10</v>
      </c>
      <c r="E507" s="559" t="s">
        <v>101</v>
      </c>
      <c r="F507" s="559">
        <v>0</v>
      </c>
      <c r="G507" s="174"/>
    </row>
    <row r="508" spans="1:7" x14ac:dyDescent="0.3">
      <c r="A508" s="559" t="s">
        <v>472</v>
      </c>
      <c r="B508" s="559">
        <v>2014</v>
      </c>
      <c r="C508" s="559" t="s">
        <v>386</v>
      </c>
      <c r="D508" s="559" t="s">
        <v>0</v>
      </c>
      <c r="E508" s="559" t="s">
        <v>96</v>
      </c>
      <c r="F508" s="559">
        <v>6097.0089999998399</v>
      </c>
      <c r="G508" s="174"/>
    </row>
    <row r="509" spans="1:7" x14ac:dyDescent="0.3">
      <c r="A509" s="559" t="s">
        <v>472</v>
      </c>
      <c r="B509" s="559">
        <v>2014</v>
      </c>
      <c r="C509" s="559" t="s">
        <v>305</v>
      </c>
      <c r="D509" s="559" t="s">
        <v>10</v>
      </c>
      <c r="E509" s="559" t="s">
        <v>101</v>
      </c>
      <c r="F509" s="559">
        <v>0</v>
      </c>
      <c r="G509" s="174"/>
    </row>
    <row r="510" spans="1:7" x14ac:dyDescent="0.3">
      <c r="A510" s="559" t="s">
        <v>472</v>
      </c>
      <c r="B510" s="559">
        <v>2014</v>
      </c>
      <c r="C510" s="559" t="s">
        <v>306</v>
      </c>
      <c r="D510" s="559" t="s">
        <v>11</v>
      </c>
      <c r="E510" s="559" t="s">
        <v>96</v>
      </c>
      <c r="F510" s="559">
        <v>2145.67400000001</v>
      </c>
      <c r="G510" s="174"/>
    </row>
    <row r="511" spans="1:7" x14ac:dyDescent="0.3">
      <c r="A511" s="559" t="s">
        <v>472</v>
      </c>
      <c r="B511" s="559">
        <v>2014</v>
      </c>
      <c r="C511" s="559" t="s">
        <v>307</v>
      </c>
      <c r="D511" s="559" t="s">
        <v>40</v>
      </c>
      <c r="E511" s="559" t="s">
        <v>96</v>
      </c>
      <c r="F511" s="559">
        <v>153087.98200000299</v>
      </c>
      <c r="G511" s="174"/>
    </row>
    <row r="512" spans="1:7" x14ac:dyDescent="0.3">
      <c r="A512" s="559" t="s">
        <v>472</v>
      </c>
      <c r="B512" s="559">
        <v>2014</v>
      </c>
      <c r="C512" s="559" t="s">
        <v>308</v>
      </c>
      <c r="D512" s="559" t="s">
        <v>10</v>
      </c>
      <c r="E512" s="559" t="s">
        <v>110</v>
      </c>
      <c r="F512" s="559">
        <v>0</v>
      </c>
      <c r="G512" s="174"/>
    </row>
    <row r="513" spans="1:7" x14ac:dyDescent="0.3">
      <c r="A513" s="559" t="s">
        <v>472</v>
      </c>
      <c r="B513" s="559">
        <v>2014</v>
      </c>
      <c r="C513" s="559" t="s">
        <v>308</v>
      </c>
      <c r="D513" s="559" t="s">
        <v>10</v>
      </c>
      <c r="E513" s="559" t="s">
        <v>96</v>
      </c>
      <c r="F513" s="559">
        <v>118.51267304445599</v>
      </c>
      <c r="G513" s="174"/>
    </row>
    <row r="514" spans="1:7" x14ac:dyDescent="0.3">
      <c r="A514" s="559" t="s">
        <v>472</v>
      </c>
      <c r="B514" s="559">
        <v>2014</v>
      </c>
      <c r="C514" s="559" t="s">
        <v>308</v>
      </c>
      <c r="D514" s="559" t="s">
        <v>32</v>
      </c>
      <c r="E514" s="559" t="s">
        <v>96</v>
      </c>
      <c r="F514" s="559">
        <v>12382.6947400113</v>
      </c>
      <c r="G514" s="174"/>
    </row>
    <row r="515" spans="1:7" x14ac:dyDescent="0.3">
      <c r="A515" s="559" t="s">
        <v>472</v>
      </c>
      <c r="B515" s="559">
        <v>2014</v>
      </c>
      <c r="C515" s="559" t="s">
        <v>309</v>
      </c>
      <c r="D515" s="559" t="s">
        <v>10</v>
      </c>
      <c r="E515" s="559" t="s">
        <v>101</v>
      </c>
      <c r="F515" s="559">
        <v>0</v>
      </c>
      <c r="G515" s="174"/>
    </row>
    <row r="516" spans="1:7" x14ac:dyDescent="0.3">
      <c r="A516" s="559" t="s">
        <v>472</v>
      </c>
      <c r="B516" s="559">
        <v>2014</v>
      </c>
      <c r="C516" s="559" t="s">
        <v>310</v>
      </c>
      <c r="D516" s="559" t="s">
        <v>28</v>
      </c>
      <c r="E516" s="559" t="s">
        <v>96</v>
      </c>
      <c r="F516" s="559">
        <v>53039.579000000602</v>
      </c>
      <c r="G516" s="174"/>
    </row>
    <row r="517" spans="1:7" x14ac:dyDescent="0.3">
      <c r="A517" s="559" t="s">
        <v>472</v>
      </c>
      <c r="B517" s="559">
        <v>2014</v>
      </c>
      <c r="C517" s="559" t="s">
        <v>311</v>
      </c>
      <c r="D517" s="559" t="s">
        <v>0</v>
      </c>
      <c r="E517" s="559" t="s">
        <v>96</v>
      </c>
      <c r="F517" s="559">
        <v>69890.4299999988</v>
      </c>
      <c r="G517" s="174"/>
    </row>
    <row r="518" spans="1:7" x14ac:dyDescent="0.3">
      <c r="A518" s="559" t="s">
        <v>472</v>
      </c>
      <c r="B518" s="559">
        <v>2014</v>
      </c>
      <c r="C518" s="559" t="s">
        <v>312</v>
      </c>
      <c r="D518" s="559" t="s">
        <v>49</v>
      </c>
      <c r="E518" s="559" t="s">
        <v>96</v>
      </c>
      <c r="F518" s="559">
        <v>3443.15600000007</v>
      </c>
      <c r="G518" s="174"/>
    </row>
    <row r="519" spans="1:7" x14ac:dyDescent="0.3">
      <c r="A519" s="559" t="s">
        <v>472</v>
      </c>
      <c r="B519" s="559">
        <v>2014</v>
      </c>
      <c r="C519" s="559" t="s">
        <v>313</v>
      </c>
      <c r="D519" s="559" t="s">
        <v>38</v>
      </c>
      <c r="E519" s="559" t="s">
        <v>96</v>
      </c>
      <c r="F519" s="559">
        <v>70037.713999999905</v>
      </c>
      <c r="G519" s="174"/>
    </row>
    <row r="520" spans="1:7" x14ac:dyDescent="0.3">
      <c r="A520" s="559" t="s">
        <v>472</v>
      </c>
      <c r="B520" s="559">
        <v>2014</v>
      </c>
      <c r="C520" s="559" t="s">
        <v>314</v>
      </c>
      <c r="D520" s="559" t="s">
        <v>32</v>
      </c>
      <c r="E520" s="559" t="s">
        <v>96</v>
      </c>
      <c r="F520" s="559">
        <v>1.32785508389502</v>
      </c>
      <c r="G520" s="174"/>
    </row>
    <row r="521" spans="1:7" x14ac:dyDescent="0.3">
      <c r="A521" s="559" t="s">
        <v>472</v>
      </c>
      <c r="B521" s="559">
        <v>2014</v>
      </c>
      <c r="C521" s="559" t="s">
        <v>314</v>
      </c>
      <c r="D521" s="559" t="s">
        <v>42</v>
      </c>
      <c r="E521" s="559" t="s">
        <v>96</v>
      </c>
      <c r="F521" s="559">
        <v>70506.574999999197</v>
      </c>
      <c r="G521" s="174"/>
    </row>
    <row r="522" spans="1:7" x14ac:dyDescent="0.3">
      <c r="A522" s="559" t="s">
        <v>472</v>
      </c>
      <c r="B522" s="559">
        <v>2014</v>
      </c>
      <c r="C522" s="559" t="s">
        <v>315</v>
      </c>
      <c r="D522" s="559" t="s">
        <v>49</v>
      </c>
      <c r="E522" s="559" t="s">
        <v>96</v>
      </c>
      <c r="F522" s="559">
        <v>3447.1439999999802</v>
      </c>
      <c r="G522" s="174"/>
    </row>
    <row r="523" spans="1:7" x14ac:dyDescent="0.3">
      <c r="A523" s="559" t="s">
        <v>472</v>
      </c>
      <c r="B523" s="559">
        <v>2014</v>
      </c>
      <c r="C523" s="559" t="s">
        <v>316</v>
      </c>
      <c r="D523" s="559" t="s">
        <v>36</v>
      </c>
      <c r="E523" s="559" t="s">
        <v>96</v>
      </c>
      <c r="F523" s="559">
        <v>14336.4469999999</v>
      </c>
      <c r="G523" s="174"/>
    </row>
    <row r="524" spans="1:7" x14ac:dyDescent="0.3">
      <c r="A524" s="559" t="s">
        <v>472</v>
      </c>
      <c r="B524" s="559">
        <v>2014</v>
      </c>
      <c r="C524" s="559" t="s">
        <v>317</v>
      </c>
      <c r="D524" s="559" t="s">
        <v>7</v>
      </c>
      <c r="E524" s="559" t="s">
        <v>96</v>
      </c>
      <c r="F524" s="559">
        <v>105196.060999997</v>
      </c>
      <c r="G524" s="174"/>
    </row>
    <row r="525" spans="1:7" x14ac:dyDescent="0.3">
      <c r="A525" s="559" t="s">
        <v>472</v>
      </c>
      <c r="B525" s="559">
        <v>2014</v>
      </c>
      <c r="C525" s="559" t="s">
        <v>317</v>
      </c>
      <c r="D525" s="559" t="s">
        <v>10</v>
      </c>
      <c r="E525" s="559" t="s">
        <v>96</v>
      </c>
      <c r="F525" s="559">
        <v>4.7540648809991301E-3</v>
      </c>
      <c r="G525" s="174"/>
    </row>
    <row r="526" spans="1:7" x14ac:dyDescent="0.3">
      <c r="A526" s="559" t="s">
        <v>472</v>
      </c>
      <c r="B526" s="559">
        <v>2014</v>
      </c>
      <c r="C526" s="559" t="s">
        <v>318</v>
      </c>
      <c r="D526" s="559" t="s">
        <v>10</v>
      </c>
      <c r="E526" s="559" t="s">
        <v>101</v>
      </c>
      <c r="F526" s="559">
        <v>0</v>
      </c>
      <c r="G526" s="174"/>
    </row>
    <row r="527" spans="1:7" x14ac:dyDescent="0.3">
      <c r="A527" s="559" t="s">
        <v>472</v>
      </c>
      <c r="B527" s="559">
        <v>2014</v>
      </c>
      <c r="C527" s="559" t="s">
        <v>319</v>
      </c>
      <c r="D527" s="559" t="s">
        <v>10</v>
      </c>
      <c r="E527" s="559" t="s">
        <v>101</v>
      </c>
      <c r="F527" s="559">
        <v>0</v>
      </c>
      <c r="G527" s="174"/>
    </row>
    <row r="528" spans="1:7" x14ac:dyDescent="0.3">
      <c r="A528" s="559" t="s">
        <v>472</v>
      </c>
      <c r="B528" s="559">
        <v>2014</v>
      </c>
      <c r="C528" s="559" t="s">
        <v>320</v>
      </c>
      <c r="D528" s="559" t="s">
        <v>10</v>
      </c>
      <c r="E528" s="559" t="s">
        <v>101</v>
      </c>
      <c r="F528" s="559">
        <v>0</v>
      </c>
      <c r="G528" s="174"/>
    </row>
    <row r="529" spans="1:7" x14ac:dyDescent="0.3">
      <c r="A529" s="559" t="s">
        <v>472</v>
      </c>
      <c r="B529" s="559">
        <v>2014</v>
      </c>
      <c r="C529" s="559" t="s">
        <v>321</v>
      </c>
      <c r="D529" s="559" t="s">
        <v>35</v>
      </c>
      <c r="E529" s="559" t="s">
        <v>110</v>
      </c>
      <c r="F529" s="559">
        <v>0</v>
      </c>
      <c r="G529" s="174"/>
    </row>
    <row r="530" spans="1:7" x14ac:dyDescent="0.3">
      <c r="A530" s="559" t="s">
        <v>472</v>
      </c>
      <c r="B530" s="559">
        <v>2014</v>
      </c>
      <c r="C530" s="559" t="s">
        <v>321</v>
      </c>
      <c r="D530" s="559" t="s">
        <v>103</v>
      </c>
      <c r="E530" s="559" t="s">
        <v>96</v>
      </c>
      <c r="F530" s="559">
        <v>146.683999999999</v>
      </c>
      <c r="G530" s="174"/>
    </row>
    <row r="531" spans="1:7" x14ac:dyDescent="0.3">
      <c r="A531" s="559" t="s">
        <v>472</v>
      </c>
      <c r="B531" s="559">
        <v>2014</v>
      </c>
      <c r="C531" s="559" t="s">
        <v>322</v>
      </c>
      <c r="D531" s="559" t="s">
        <v>39</v>
      </c>
      <c r="E531" s="559" t="s">
        <v>96</v>
      </c>
      <c r="F531" s="559">
        <v>181924.90100000199</v>
      </c>
      <c r="G531" s="174"/>
    </row>
    <row r="532" spans="1:7" x14ac:dyDescent="0.3">
      <c r="A532" s="559" t="s">
        <v>472</v>
      </c>
      <c r="B532" s="559">
        <v>2014</v>
      </c>
      <c r="C532" s="559" t="s">
        <v>323</v>
      </c>
      <c r="D532" s="559" t="s">
        <v>4</v>
      </c>
      <c r="E532" s="559" t="s">
        <v>101</v>
      </c>
      <c r="F532" s="559">
        <v>0</v>
      </c>
      <c r="G532" s="174"/>
    </row>
    <row r="533" spans="1:7" x14ac:dyDescent="0.3">
      <c r="A533" s="559" t="s">
        <v>472</v>
      </c>
      <c r="B533" s="559">
        <v>2014</v>
      </c>
      <c r="C533" s="559" t="s">
        <v>324</v>
      </c>
      <c r="D533" s="559" t="s">
        <v>14</v>
      </c>
      <c r="E533" s="559" t="s">
        <v>110</v>
      </c>
      <c r="F533" s="559">
        <v>0</v>
      </c>
      <c r="G533" s="174"/>
    </row>
    <row r="534" spans="1:7" x14ac:dyDescent="0.3">
      <c r="A534" s="559" t="s">
        <v>472</v>
      </c>
      <c r="B534" s="559">
        <v>2014</v>
      </c>
      <c r="C534" s="559" t="s">
        <v>325</v>
      </c>
      <c r="D534" s="559" t="s">
        <v>52</v>
      </c>
      <c r="E534" s="559" t="s">
        <v>96</v>
      </c>
      <c r="F534" s="559">
        <v>1320877.35099999</v>
      </c>
      <c r="G534" s="174"/>
    </row>
    <row r="535" spans="1:7" x14ac:dyDescent="0.3">
      <c r="A535" s="559" t="s">
        <v>472</v>
      </c>
      <c r="B535" s="559">
        <v>2014</v>
      </c>
      <c r="C535" s="559" t="s">
        <v>326</v>
      </c>
      <c r="D535" s="559" t="s">
        <v>0</v>
      </c>
      <c r="E535" s="559" t="s">
        <v>96</v>
      </c>
      <c r="F535" s="559">
        <v>4151.9425558937701</v>
      </c>
      <c r="G535" s="174"/>
    </row>
    <row r="536" spans="1:7" x14ac:dyDescent="0.3">
      <c r="A536" s="559" t="s">
        <v>472</v>
      </c>
      <c r="B536" s="559">
        <v>2014</v>
      </c>
      <c r="C536" s="559" t="s">
        <v>326</v>
      </c>
      <c r="D536" s="559" t="s">
        <v>14</v>
      </c>
      <c r="E536" s="559" t="s">
        <v>96</v>
      </c>
      <c r="F536" s="572">
        <v>1185.1017137885699</v>
      </c>
      <c r="G536" s="174"/>
    </row>
    <row r="537" spans="1:7" x14ac:dyDescent="0.3">
      <c r="A537" s="559" t="s">
        <v>472</v>
      </c>
      <c r="B537" s="559">
        <v>2014</v>
      </c>
      <c r="C537" s="559" t="s">
        <v>326</v>
      </c>
      <c r="D537" s="559" t="s">
        <v>20</v>
      </c>
      <c r="E537" s="559" t="s">
        <v>96</v>
      </c>
      <c r="F537" s="572">
        <v>4057.9517303174298</v>
      </c>
      <c r="G537" s="174"/>
    </row>
    <row r="538" spans="1:7" x14ac:dyDescent="0.3">
      <c r="A538" s="559" t="s">
        <v>472</v>
      </c>
      <c r="B538" s="559">
        <v>2014</v>
      </c>
      <c r="C538" s="559" t="s">
        <v>327</v>
      </c>
      <c r="D538" s="559" t="s">
        <v>40</v>
      </c>
      <c r="E538" s="559" t="s">
        <v>96</v>
      </c>
      <c r="F538" s="559">
        <v>50327.259000000202</v>
      </c>
      <c r="G538" s="174"/>
    </row>
    <row r="539" spans="1:7" x14ac:dyDescent="0.3">
      <c r="A539" s="559" t="s">
        <v>472</v>
      </c>
      <c r="B539" s="559">
        <v>2014</v>
      </c>
      <c r="C539" s="559" t="s">
        <v>328</v>
      </c>
      <c r="D539" s="559" t="s">
        <v>11</v>
      </c>
      <c r="E539" s="559" t="s">
        <v>96</v>
      </c>
      <c r="F539" s="559">
        <v>17245.976999999901</v>
      </c>
      <c r="G539" s="174"/>
    </row>
    <row r="540" spans="1:7" x14ac:dyDescent="0.3">
      <c r="A540" s="559" t="s">
        <v>472</v>
      </c>
      <c r="B540" s="559">
        <v>2014</v>
      </c>
      <c r="C540" s="559" t="s">
        <v>329</v>
      </c>
      <c r="D540" s="559" t="s">
        <v>31</v>
      </c>
      <c r="E540" s="559" t="s">
        <v>96</v>
      </c>
      <c r="F540" s="559">
        <v>4748.6979999999003</v>
      </c>
      <c r="G540" s="174"/>
    </row>
    <row r="541" spans="1:7" x14ac:dyDescent="0.3">
      <c r="A541" s="559" t="s">
        <v>472</v>
      </c>
      <c r="B541" s="559">
        <v>2014</v>
      </c>
      <c r="C541" s="559" t="s">
        <v>330</v>
      </c>
      <c r="D541" s="559" t="s">
        <v>14</v>
      </c>
      <c r="E541" s="559" t="s">
        <v>110</v>
      </c>
      <c r="F541" s="559">
        <v>0</v>
      </c>
      <c r="G541" s="174"/>
    </row>
    <row r="542" spans="1:7" x14ac:dyDescent="0.3">
      <c r="A542" s="559" t="s">
        <v>472</v>
      </c>
      <c r="B542" s="559">
        <v>2014</v>
      </c>
      <c r="C542" s="559" t="s">
        <v>330</v>
      </c>
      <c r="D542" s="559" t="s">
        <v>14</v>
      </c>
      <c r="E542" s="559" t="s">
        <v>96</v>
      </c>
      <c r="F542" s="559">
        <v>224.98499999999899</v>
      </c>
      <c r="G542" s="174"/>
    </row>
    <row r="543" spans="1:7" x14ac:dyDescent="0.3">
      <c r="A543" s="559" t="s">
        <v>472</v>
      </c>
      <c r="B543" s="559">
        <v>2014</v>
      </c>
      <c r="C543" s="559" t="s">
        <v>331</v>
      </c>
      <c r="D543" s="559" t="s">
        <v>37</v>
      </c>
      <c r="E543" s="559" t="s">
        <v>96</v>
      </c>
      <c r="F543" s="572">
        <v>163445.627000001</v>
      </c>
      <c r="G543" s="174"/>
    </row>
    <row r="544" spans="1:7" x14ac:dyDescent="0.3">
      <c r="A544" s="559" t="s">
        <v>472</v>
      </c>
      <c r="B544" s="559">
        <v>2014</v>
      </c>
      <c r="C544" s="559" t="s">
        <v>332</v>
      </c>
      <c r="D544" s="559" t="s">
        <v>28</v>
      </c>
      <c r="E544" s="559" t="s">
        <v>96</v>
      </c>
      <c r="F544" s="572">
        <v>50154.709999999497</v>
      </c>
      <c r="G544" s="174"/>
    </row>
    <row r="545" spans="1:7" x14ac:dyDescent="0.3">
      <c r="A545" s="559" t="s">
        <v>472</v>
      </c>
      <c r="B545" s="559">
        <v>2014</v>
      </c>
      <c r="C545" s="559" t="s">
        <v>333</v>
      </c>
      <c r="D545" s="559" t="s">
        <v>4</v>
      </c>
      <c r="E545" s="559" t="s">
        <v>96</v>
      </c>
      <c r="F545" s="572">
        <v>44.7920964219471</v>
      </c>
      <c r="G545" s="174"/>
    </row>
    <row r="546" spans="1:7" x14ac:dyDescent="0.3">
      <c r="A546" s="559" t="s">
        <v>472</v>
      </c>
      <c r="B546" s="559">
        <v>2014</v>
      </c>
      <c r="C546" s="559" t="s">
        <v>333</v>
      </c>
      <c r="D546" s="559" t="s">
        <v>26</v>
      </c>
      <c r="E546" s="559" t="s">
        <v>96</v>
      </c>
      <c r="F546" s="572">
        <v>136239.05999027699</v>
      </c>
      <c r="G546" s="174"/>
    </row>
    <row r="547" spans="1:7" x14ac:dyDescent="0.3">
      <c r="A547" s="559" t="s">
        <v>472</v>
      </c>
      <c r="B547" s="559">
        <v>2014</v>
      </c>
      <c r="C547" s="559" t="s">
        <v>334</v>
      </c>
      <c r="D547" s="559" t="s">
        <v>4</v>
      </c>
      <c r="E547" s="559" t="s">
        <v>96</v>
      </c>
      <c r="F547" s="572">
        <v>420.04700000001202</v>
      </c>
      <c r="G547" s="174"/>
    </row>
    <row r="548" spans="1:7" x14ac:dyDescent="0.3">
      <c r="A548" s="559" t="s">
        <v>472</v>
      </c>
      <c r="B548" s="559">
        <v>2014</v>
      </c>
      <c r="C548" s="559" t="s">
        <v>335</v>
      </c>
      <c r="D548" s="559" t="s">
        <v>4</v>
      </c>
      <c r="E548" s="559" t="s">
        <v>101</v>
      </c>
      <c r="F548" s="572">
        <v>0</v>
      </c>
      <c r="G548" s="174"/>
    </row>
    <row r="549" spans="1:7" x14ac:dyDescent="0.3">
      <c r="A549" s="559" t="s">
        <v>472</v>
      </c>
      <c r="B549" s="559">
        <v>2014</v>
      </c>
      <c r="C549" s="559" t="s">
        <v>336</v>
      </c>
      <c r="D549" s="559" t="s">
        <v>28</v>
      </c>
      <c r="E549" s="559" t="s">
        <v>96</v>
      </c>
      <c r="F549" s="572">
        <v>66009.611000000004</v>
      </c>
      <c r="G549" s="174"/>
    </row>
    <row r="550" spans="1:7" x14ac:dyDescent="0.3">
      <c r="A550" s="559" t="s">
        <v>472</v>
      </c>
      <c r="B550" s="559">
        <v>2014</v>
      </c>
      <c r="C550" s="559" t="s">
        <v>337</v>
      </c>
      <c r="D550" s="559" t="s">
        <v>40</v>
      </c>
      <c r="E550" s="559" t="s">
        <v>96</v>
      </c>
      <c r="F550" s="572">
        <v>88083.967000001197</v>
      </c>
      <c r="G550" s="174"/>
    </row>
    <row r="551" spans="1:7" x14ac:dyDescent="0.3">
      <c r="A551" s="559" t="s">
        <v>472</v>
      </c>
      <c r="B551" s="559">
        <v>2014</v>
      </c>
      <c r="C551" s="559" t="s">
        <v>338</v>
      </c>
      <c r="D551" s="559" t="s">
        <v>37</v>
      </c>
      <c r="E551" s="559" t="s">
        <v>96</v>
      </c>
      <c r="F551" s="572">
        <v>191473.35099999799</v>
      </c>
      <c r="G551" s="174"/>
    </row>
    <row r="552" spans="1:7" x14ac:dyDescent="0.3">
      <c r="A552" s="559" t="s">
        <v>472</v>
      </c>
      <c r="B552" s="559">
        <v>2014</v>
      </c>
      <c r="C552" s="559" t="s">
        <v>339</v>
      </c>
      <c r="D552" s="559" t="s">
        <v>51</v>
      </c>
      <c r="E552" s="559" t="s">
        <v>96</v>
      </c>
      <c r="F552" s="572">
        <v>14181.0439999995</v>
      </c>
      <c r="G552" s="174"/>
    </row>
    <row r="553" spans="1:7" x14ac:dyDescent="0.3">
      <c r="A553" s="559" t="s">
        <v>472</v>
      </c>
      <c r="B553" s="559">
        <v>2014</v>
      </c>
      <c r="C553" s="559" t="s">
        <v>340</v>
      </c>
      <c r="D553" s="559" t="s">
        <v>680</v>
      </c>
      <c r="E553" s="559" t="s">
        <v>101</v>
      </c>
      <c r="F553" s="572">
        <v>0</v>
      </c>
      <c r="G553" s="174"/>
    </row>
    <row r="554" spans="1:7" x14ac:dyDescent="0.3">
      <c r="A554" s="559" t="s">
        <v>472</v>
      </c>
      <c r="B554" s="559">
        <v>2014</v>
      </c>
      <c r="C554" s="559" t="s">
        <v>341</v>
      </c>
      <c r="D554" s="559" t="s">
        <v>17</v>
      </c>
      <c r="E554" s="559" t="s">
        <v>101</v>
      </c>
      <c r="F554" s="572">
        <v>0</v>
      </c>
      <c r="G554" s="174"/>
    </row>
    <row r="555" spans="1:7" x14ac:dyDescent="0.3">
      <c r="A555" s="559" t="s">
        <v>472</v>
      </c>
      <c r="B555" s="559">
        <v>2014</v>
      </c>
      <c r="C555" s="559" t="s">
        <v>342</v>
      </c>
      <c r="D555" s="559" t="s">
        <v>28</v>
      </c>
      <c r="E555" s="559" t="s">
        <v>96</v>
      </c>
      <c r="F555" s="559">
        <v>75461.153999999893</v>
      </c>
      <c r="G555" s="174"/>
    </row>
    <row r="556" spans="1:7" x14ac:dyDescent="0.3">
      <c r="A556" s="559" t="s">
        <v>472</v>
      </c>
      <c r="B556" s="559">
        <v>2014</v>
      </c>
      <c r="C556" s="559" t="s">
        <v>343</v>
      </c>
      <c r="D556" s="559" t="s">
        <v>17</v>
      </c>
      <c r="E556" s="559" t="s">
        <v>101</v>
      </c>
      <c r="F556" s="559">
        <v>0</v>
      </c>
      <c r="G556" s="174"/>
    </row>
    <row r="557" spans="1:7" x14ac:dyDescent="0.3">
      <c r="A557" s="559" t="s">
        <v>472</v>
      </c>
      <c r="B557" s="559">
        <v>2014</v>
      </c>
      <c r="C557" s="559" t="s">
        <v>344</v>
      </c>
      <c r="D557" s="559" t="s">
        <v>12</v>
      </c>
      <c r="E557" s="559" t="s">
        <v>96</v>
      </c>
      <c r="F557" s="559">
        <v>14316.211999999699</v>
      </c>
      <c r="G557" s="174"/>
    </row>
    <row r="558" spans="1:7" x14ac:dyDescent="0.3">
      <c r="A558" s="559" t="s">
        <v>472</v>
      </c>
      <c r="B558" s="559">
        <v>2014</v>
      </c>
      <c r="C558" s="559" t="s">
        <v>345</v>
      </c>
      <c r="D558" s="559" t="s">
        <v>12</v>
      </c>
      <c r="E558" s="559" t="s">
        <v>96</v>
      </c>
      <c r="F558" s="559">
        <v>9393.9839999998003</v>
      </c>
      <c r="G558" s="174"/>
    </row>
    <row r="559" spans="1:7" x14ac:dyDescent="0.3">
      <c r="A559" s="559" t="s">
        <v>472</v>
      </c>
      <c r="B559" s="559">
        <v>2014</v>
      </c>
      <c r="C559" s="559" t="s">
        <v>346</v>
      </c>
      <c r="D559" s="559" t="s">
        <v>2</v>
      </c>
      <c r="E559" s="559" t="s">
        <v>96</v>
      </c>
      <c r="F559" s="559">
        <v>16820.0709999996</v>
      </c>
      <c r="G559" s="174"/>
    </row>
    <row r="560" spans="1:7" x14ac:dyDescent="0.3">
      <c r="A560" s="559" t="s">
        <v>472</v>
      </c>
      <c r="B560" s="559">
        <v>2014</v>
      </c>
      <c r="C560" s="559" t="s">
        <v>347</v>
      </c>
      <c r="D560" s="559" t="s">
        <v>68</v>
      </c>
      <c r="E560" s="559" t="s">
        <v>96</v>
      </c>
      <c r="F560" s="559">
        <v>40635.350999999901</v>
      </c>
      <c r="G560" s="174"/>
    </row>
    <row r="561" spans="1:7" x14ac:dyDescent="0.3">
      <c r="A561" s="559" t="s">
        <v>472</v>
      </c>
      <c r="B561" s="559">
        <v>2014</v>
      </c>
      <c r="C561" s="559" t="s">
        <v>349</v>
      </c>
      <c r="D561" s="559" t="s">
        <v>36</v>
      </c>
      <c r="E561" s="559" t="s">
        <v>96</v>
      </c>
      <c r="F561" s="559">
        <v>80195.077999999703</v>
      </c>
      <c r="G561" s="174"/>
    </row>
    <row r="562" spans="1:7" x14ac:dyDescent="0.3">
      <c r="A562" s="559" t="s">
        <v>472</v>
      </c>
      <c r="B562" s="559">
        <v>2014</v>
      </c>
      <c r="C562" s="559" t="s">
        <v>350</v>
      </c>
      <c r="D562" s="559" t="s">
        <v>17</v>
      </c>
      <c r="E562" s="559" t="s">
        <v>101</v>
      </c>
      <c r="F562" s="559">
        <v>0</v>
      </c>
      <c r="G562" s="174"/>
    </row>
    <row r="563" spans="1:7" x14ac:dyDescent="0.3">
      <c r="A563" s="559" t="s">
        <v>472</v>
      </c>
      <c r="B563" s="559">
        <v>2014</v>
      </c>
      <c r="C563" s="559" t="s">
        <v>351</v>
      </c>
      <c r="D563" s="559" t="s">
        <v>4</v>
      </c>
      <c r="E563" s="559" t="s">
        <v>101</v>
      </c>
      <c r="F563" s="559">
        <v>0</v>
      </c>
      <c r="G563" s="174"/>
    </row>
    <row r="564" spans="1:7" x14ac:dyDescent="0.3">
      <c r="A564" s="559" t="s">
        <v>472</v>
      </c>
      <c r="B564" s="559">
        <v>2014</v>
      </c>
      <c r="C564" s="559" t="s">
        <v>352</v>
      </c>
      <c r="D564" s="559" t="s">
        <v>4</v>
      </c>
      <c r="E564" s="559" t="s">
        <v>101</v>
      </c>
      <c r="F564" s="559">
        <v>0</v>
      </c>
      <c r="G564" s="174"/>
    </row>
    <row r="565" spans="1:7" x14ac:dyDescent="0.3">
      <c r="A565" s="559" t="s">
        <v>472</v>
      </c>
      <c r="B565" s="559">
        <v>2014</v>
      </c>
      <c r="C565" s="559" t="s">
        <v>353</v>
      </c>
      <c r="D565" s="559" t="s">
        <v>20</v>
      </c>
      <c r="E565" s="559" t="s">
        <v>96</v>
      </c>
      <c r="F565" s="559">
        <v>4052.2169999999601</v>
      </c>
      <c r="G565" s="174"/>
    </row>
    <row r="566" spans="1:7" x14ac:dyDescent="0.3">
      <c r="A566" s="559" t="s">
        <v>472</v>
      </c>
      <c r="B566" s="559">
        <v>2014</v>
      </c>
      <c r="C566" s="559" t="s">
        <v>354</v>
      </c>
      <c r="D566" s="559" t="s">
        <v>14</v>
      </c>
      <c r="E566" s="559" t="s">
        <v>101</v>
      </c>
      <c r="F566" s="559">
        <v>0</v>
      </c>
      <c r="G566" s="174"/>
    </row>
    <row r="567" spans="1:7" x14ac:dyDescent="0.3">
      <c r="A567" s="559" t="s">
        <v>472</v>
      </c>
      <c r="B567" s="559">
        <v>2014</v>
      </c>
      <c r="C567" s="559" t="s">
        <v>355</v>
      </c>
      <c r="D567" s="559" t="s">
        <v>36</v>
      </c>
      <c r="E567" s="559" t="s">
        <v>96</v>
      </c>
      <c r="F567" s="559">
        <v>163742.28500000201</v>
      </c>
      <c r="G567" s="174"/>
    </row>
    <row r="568" spans="1:7" x14ac:dyDescent="0.3">
      <c r="A568" s="559" t="s">
        <v>472</v>
      </c>
      <c r="B568" s="559">
        <v>2014</v>
      </c>
      <c r="C568" s="559" t="s">
        <v>356</v>
      </c>
      <c r="D568" s="559" t="s">
        <v>28</v>
      </c>
      <c r="E568" s="559" t="s">
        <v>96</v>
      </c>
      <c r="F568" s="559">
        <v>7975.13399999993</v>
      </c>
      <c r="G568" s="174"/>
    </row>
    <row r="569" spans="1:7" x14ac:dyDescent="0.3">
      <c r="A569" s="559" t="s">
        <v>472</v>
      </c>
      <c r="B569" s="559">
        <v>2014</v>
      </c>
      <c r="C569" s="559" t="s">
        <v>357</v>
      </c>
      <c r="D569" s="559" t="s">
        <v>14</v>
      </c>
      <c r="E569" s="559" t="s">
        <v>110</v>
      </c>
      <c r="F569" s="559">
        <v>0</v>
      </c>
      <c r="G569" s="174"/>
    </row>
    <row r="570" spans="1:7" x14ac:dyDescent="0.3">
      <c r="A570" s="559" t="s">
        <v>472</v>
      </c>
      <c r="B570" s="559">
        <v>2014</v>
      </c>
      <c r="C570" s="559" t="s">
        <v>357</v>
      </c>
      <c r="D570" s="559" t="s">
        <v>14</v>
      </c>
      <c r="E570" s="559" t="s">
        <v>96</v>
      </c>
      <c r="F570" s="559">
        <v>115.07599999999999</v>
      </c>
      <c r="G570" s="174"/>
    </row>
    <row r="571" spans="1:7" x14ac:dyDescent="0.3">
      <c r="A571" s="559" t="s">
        <v>472</v>
      </c>
      <c r="B571" s="559">
        <v>2014</v>
      </c>
      <c r="C571" s="559" t="s">
        <v>358</v>
      </c>
      <c r="D571" s="559" t="s">
        <v>14</v>
      </c>
      <c r="E571" s="559" t="s">
        <v>110</v>
      </c>
      <c r="F571" s="559">
        <v>0</v>
      </c>
      <c r="G571" s="174"/>
    </row>
    <row r="572" spans="1:7" x14ac:dyDescent="0.3">
      <c r="A572" s="559" t="s">
        <v>472</v>
      </c>
      <c r="B572" s="559">
        <v>2014</v>
      </c>
      <c r="C572" s="559" t="s">
        <v>358</v>
      </c>
      <c r="D572" s="559" t="s">
        <v>14</v>
      </c>
      <c r="E572" s="559" t="s">
        <v>96</v>
      </c>
      <c r="F572" s="559">
        <v>110.355</v>
      </c>
      <c r="G572" s="174"/>
    </row>
    <row r="573" spans="1:7" x14ac:dyDescent="0.3">
      <c r="A573" s="559" t="s">
        <v>473</v>
      </c>
      <c r="B573" s="559">
        <v>2014</v>
      </c>
      <c r="C573" s="559" t="s">
        <v>95</v>
      </c>
      <c r="D573" s="559" t="s">
        <v>0</v>
      </c>
      <c r="E573" s="559" t="s">
        <v>96</v>
      </c>
      <c r="F573" s="559">
        <v>9238.4339999999902</v>
      </c>
      <c r="G573" s="174"/>
    </row>
    <row r="574" spans="1:7" x14ac:dyDescent="0.3">
      <c r="A574" s="559" t="s">
        <v>473</v>
      </c>
      <c r="B574" s="559">
        <v>2014</v>
      </c>
      <c r="C574" s="559" t="s">
        <v>97</v>
      </c>
      <c r="D574" s="559" t="s">
        <v>37</v>
      </c>
      <c r="E574" s="559" t="s">
        <v>96</v>
      </c>
      <c r="F574" s="559">
        <v>22126783.879000001</v>
      </c>
      <c r="G574" s="174"/>
    </row>
    <row r="575" spans="1:7" x14ac:dyDescent="0.3">
      <c r="A575" s="559" t="s">
        <v>473</v>
      </c>
      <c r="B575" s="559">
        <v>2014</v>
      </c>
      <c r="C575" s="559" t="s">
        <v>98</v>
      </c>
      <c r="D575" s="559" t="s">
        <v>37</v>
      </c>
      <c r="E575" s="559" t="s">
        <v>96</v>
      </c>
      <c r="F575" s="559">
        <v>13232824.244999999</v>
      </c>
      <c r="G575" s="174"/>
    </row>
    <row r="576" spans="1:7" x14ac:dyDescent="0.3">
      <c r="A576" s="559" t="s">
        <v>473</v>
      </c>
      <c r="B576" s="559">
        <v>2014</v>
      </c>
      <c r="C576" s="559" t="s">
        <v>99</v>
      </c>
      <c r="D576" s="559" t="s">
        <v>25</v>
      </c>
      <c r="E576" s="559" t="s">
        <v>96</v>
      </c>
      <c r="F576" s="559">
        <v>322.16799999999898</v>
      </c>
      <c r="G576" s="174"/>
    </row>
    <row r="577" spans="1:7" x14ac:dyDescent="0.3">
      <c r="A577" s="559" t="s">
        <v>473</v>
      </c>
      <c r="B577" s="559">
        <v>2014</v>
      </c>
      <c r="C577" s="559" t="s">
        <v>100</v>
      </c>
      <c r="D577" s="559" t="s">
        <v>17</v>
      </c>
      <c r="E577" s="559" t="s">
        <v>101</v>
      </c>
      <c r="F577" s="559">
        <v>446618.51500000001</v>
      </c>
      <c r="G577" s="174"/>
    </row>
    <row r="578" spans="1:7" x14ac:dyDescent="0.3">
      <c r="A578" s="559" t="s">
        <v>473</v>
      </c>
      <c r="B578" s="559">
        <v>2014</v>
      </c>
      <c r="C578" s="559" t="s">
        <v>102</v>
      </c>
      <c r="D578" s="559" t="s">
        <v>103</v>
      </c>
      <c r="E578" s="559" t="s">
        <v>96</v>
      </c>
      <c r="F578" s="559">
        <v>136.584</v>
      </c>
      <c r="G578" s="174"/>
    </row>
    <row r="579" spans="1:7" x14ac:dyDescent="0.3">
      <c r="A579" s="559" t="s">
        <v>473</v>
      </c>
      <c r="B579" s="559">
        <v>2014</v>
      </c>
      <c r="C579" s="559" t="s">
        <v>104</v>
      </c>
      <c r="D579" s="559" t="s">
        <v>35</v>
      </c>
      <c r="E579" s="559" t="s">
        <v>101</v>
      </c>
      <c r="F579" s="559">
        <v>12179.3469999998</v>
      </c>
      <c r="G579" s="174"/>
    </row>
    <row r="580" spans="1:7" x14ac:dyDescent="0.3">
      <c r="A580" s="559" t="s">
        <v>473</v>
      </c>
      <c r="B580" s="559">
        <v>2014</v>
      </c>
      <c r="C580" s="559" t="s">
        <v>105</v>
      </c>
      <c r="D580" s="559" t="s">
        <v>17</v>
      </c>
      <c r="E580" s="559" t="s">
        <v>101</v>
      </c>
      <c r="F580" s="559">
        <v>0</v>
      </c>
      <c r="G580" s="174"/>
    </row>
    <row r="581" spans="1:7" x14ac:dyDescent="0.3">
      <c r="A581" s="559" t="s">
        <v>473</v>
      </c>
      <c r="B581" s="559">
        <v>2014</v>
      </c>
      <c r="C581" s="559" t="s">
        <v>106</v>
      </c>
      <c r="D581" s="559" t="s">
        <v>17</v>
      </c>
      <c r="E581" s="559" t="s">
        <v>101</v>
      </c>
      <c r="F581" s="559">
        <v>408956.016999999</v>
      </c>
      <c r="G581" s="174"/>
    </row>
    <row r="582" spans="1:7" x14ac:dyDescent="0.3">
      <c r="A582" s="559" t="s">
        <v>473</v>
      </c>
      <c r="B582" s="559">
        <v>2014</v>
      </c>
      <c r="C582" s="559" t="s">
        <v>545</v>
      </c>
      <c r="D582" s="559" t="s">
        <v>9</v>
      </c>
      <c r="E582" s="559" t="s">
        <v>96</v>
      </c>
      <c r="F582" s="559">
        <v>484213.00000000198</v>
      </c>
      <c r="G582" s="174"/>
    </row>
    <row r="583" spans="1:7" x14ac:dyDescent="0.3">
      <c r="A583" s="559" t="s">
        <v>473</v>
      </c>
      <c r="B583" s="559">
        <v>2014</v>
      </c>
      <c r="C583" s="559" t="s">
        <v>109</v>
      </c>
      <c r="D583" s="559" t="s">
        <v>35</v>
      </c>
      <c r="E583" s="559" t="s">
        <v>101</v>
      </c>
      <c r="F583" s="559">
        <v>82359.489999999598</v>
      </c>
      <c r="G583" s="174"/>
    </row>
    <row r="584" spans="1:7" x14ac:dyDescent="0.3">
      <c r="A584" s="559" t="s">
        <v>473</v>
      </c>
      <c r="B584" s="559">
        <v>2014</v>
      </c>
      <c r="C584" s="559" t="s">
        <v>111</v>
      </c>
      <c r="D584" s="559" t="s">
        <v>6</v>
      </c>
      <c r="E584" s="559" t="s">
        <v>96</v>
      </c>
      <c r="F584" s="559">
        <v>35465.894</v>
      </c>
      <c r="G584" s="174"/>
    </row>
    <row r="585" spans="1:7" x14ac:dyDescent="0.3">
      <c r="A585" s="559" t="s">
        <v>473</v>
      </c>
      <c r="B585" s="559">
        <v>2014</v>
      </c>
      <c r="C585" s="559" t="s">
        <v>112</v>
      </c>
      <c r="D585" s="559" t="s">
        <v>17</v>
      </c>
      <c r="E585" s="559" t="s">
        <v>101</v>
      </c>
      <c r="F585" s="572">
        <v>460015.10100000002</v>
      </c>
      <c r="G585" s="174"/>
    </row>
    <row r="586" spans="1:7" x14ac:dyDescent="0.3">
      <c r="A586" s="559" t="s">
        <v>473</v>
      </c>
      <c r="B586" s="559">
        <v>2014</v>
      </c>
      <c r="C586" s="559" t="s">
        <v>113</v>
      </c>
      <c r="D586" s="559" t="s">
        <v>41</v>
      </c>
      <c r="E586" s="559" t="s">
        <v>96</v>
      </c>
      <c r="F586" s="572">
        <v>2088.8069999999998</v>
      </c>
      <c r="G586" s="174"/>
    </row>
    <row r="587" spans="1:7" x14ac:dyDescent="0.3">
      <c r="A587" s="559" t="s">
        <v>473</v>
      </c>
      <c r="B587" s="559">
        <v>2014</v>
      </c>
      <c r="C587" s="559" t="s">
        <v>114</v>
      </c>
      <c r="D587" s="559" t="s">
        <v>14</v>
      </c>
      <c r="E587" s="559" t="s">
        <v>101</v>
      </c>
      <c r="F587" s="559">
        <v>0</v>
      </c>
      <c r="G587" s="174"/>
    </row>
    <row r="588" spans="1:7" x14ac:dyDescent="0.3">
      <c r="A588" s="559" t="s">
        <v>473</v>
      </c>
      <c r="B588" s="559">
        <v>2014</v>
      </c>
      <c r="C588" s="559" t="s">
        <v>115</v>
      </c>
      <c r="D588" s="559" t="s">
        <v>71</v>
      </c>
      <c r="E588" s="559" t="s">
        <v>96</v>
      </c>
      <c r="F588" s="559">
        <v>114072.280999999</v>
      </c>
      <c r="G588" s="174"/>
    </row>
    <row r="589" spans="1:7" x14ac:dyDescent="0.3">
      <c r="A589" s="559" t="s">
        <v>473</v>
      </c>
      <c r="B589" s="559">
        <v>2014</v>
      </c>
      <c r="C589" s="559" t="s">
        <v>116</v>
      </c>
      <c r="D589" s="559" t="s">
        <v>51</v>
      </c>
      <c r="E589" s="559" t="s">
        <v>96</v>
      </c>
      <c r="F589" s="559">
        <v>266.194993775174</v>
      </c>
      <c r="G589" s="174"/>
    </row>
    <row r="590" spans="1:7" x14ac:dyDescent="0.3">
      <c r="A590" s="559" t="s">
        <v>473</v>
      </c>
      <c r="B590" s="559">
        <v>2014</v>
      </c>
      <c r="C590" s="559" t="s">
        <v>116</v>
      </c>
      <c r="D590" s="559" t="s">
        <v>30</v>
      </c>
      <c r="E590" s="559" t="s">
        <v>96</v>
      </c>
      <c r="F590" s="559">
        <v>30024.577006224899</v>
      </c>
      <c r="G590" s="174"/>
    </row>
    <row r="591" spans="1:7" x14ac:dyDescent="0.3">
      <c r="A591" s="559" t="s">
        <v>473</v>
      </c>
      <c r="B591" s="559">
        <v>2014</v>
      </c>
      <c r="C591" s="559" t="s">
        <v>117</v>
      </c>
      <c r="D591" s="559" t="s">
        <v>14</v>
      </c>
      <c r="E591" s="559" t="s">
        <v>101</v>
      </c>
      <c r="F591" s="559">
        <v>0</v>
      </c>
      <c r="G591" s="174"/>
    </row>
    <row r="592" spans="1:7" x14ac:dyDescent="0.3">
      <c r="A592" s="559" t="s">
        <v>473</v>
      </c>
      <c r="B592" s="559">
        <v>2014</v>
      </c>
      <c r="C592" s="559" t="s">
        <v>118</v>
      </c>
      <c r="D592" s="559" t="s">
        <v>13</v>
      </c>
      <c r="E592" s="559" t="s">
        <v>96</v>
      </c>
      <c r="F592" s="572">
        <v>111475.888000001</v>
      </c>
      <c r="G592" s="174"/>
    </row>
    <row r="593" spans="1:7" x14ac:dyDescent="0.3">
      <c r="A593" s="559" t="s">
        <v>473</v>
      </c>
      <c r="B593" s="559">
        <v>2014</v>
      </c>
      <c r="C593" s="559" t="s">
        <v>119</v>
      </c>
      <c r="D593" s="559" t="s">
        <v>5</v>
      </c>
      <c r="E593" s="559" t="s">
        <v>96</v>
      </c>
      <c r="F593" s="572">
        <v>3163234.5910000098</v>
      </c>
      <c r="G593" s="174"/>
    </row>
    <row r="594" spans="1:7" x14ac:dyDescent="0.3">
      <c r="A594" s="559" t="s">
        <v>473</v>
      </c>
      <c r="B594" s="559">
        <v>2014</v>
      </c>
      <c r="C594" s="559" t="s">
        <v>120</v>
      </c>
      <c r="D594" s="559" t="s">
        <v>5</v>
      </c>
      <c r="E594" s="559" t="s">
        <v>96</v>
      </c>
      <c r="F594" s="572">
        <v>8141903.5489999996</v>
      </c>
      <c r="G594" s="174"/>
    </row>
    <row r="595" spans="1:7" x14ac:dyDescent="0.3">
      <c r="A595" s="559" t="s">
        <v>473</v>
      </c>
      <c r="B595" s="559">
        <v>2014</v>
      </c>
      <c r="C595" s="559" t="s">
        <v>121</v>
      </c>
      <c r="D595" s="559" t="s">
        <v>0</v>
      </c>
      <c r="E595" s="559" t="s">
        <v>96</v>
      </c>
      <c r="F595" s="572">
        <v>28707.318999999901</v>
      </c>
      <c r="G595" s="174"/>
    </row>
    <row r="596" spans="1:7" x14ac:dyDescent="0.3">
      <c r="A596" s="559" t="s">
        <v>473</v>
      </c>
      <c r="B596" s="559">
        <v>2014</v>
      </c>
      <c r="C596" s="559" t="s">
        <v>122</v>
      </c>
      <c r="D596" s="559" t="s">
        <v>28</v>
      </c>
      <c r="E596" s="559" t="s">
        <v>96</v>
      </c>
      <c r="F596" s="572">
        <v>95240.174999999406</v>
      </c>
      <c r="G596" s="174"/>
    </row>
    <row r="597" spans="1:7" x14ac:dyDescent="0.3">
      <c r="A597" s="559" t="s">
        <v>473</v>
      </c>
      <c r="B597" s="559">
        <v>2014</v>
      </c>
      <c r="C597" s="559" t="s">
        <v>123</v>
      </c>
      <c r="D597" s="559" t="s">
        <v>35</v>
      </c>
      <c r="E597" s="559" t="s">
        <v>110</v>
      </c>
      <c r="F597" s="572">
        <v>0</v>
      </c>
      <c r="G597" s="174"/>
    </row>
    <row r="598" spans="1:7" x14ac:dyDescent="0.3">
      <c r="A598" s="559" t="s">
        <v>473</v>
      </c>
      <c r="B598" s="559">
        <v>2014</v>
      </c>
      <c r="C598" s="559" t="s">
        <v>124</v>
      </c>
      <c r="D598" s="559" t="s">
        <v>49</v>
      </c>
      <c r="E598" s="559" t="s">
        <v>96</v>
      </c>
      <c r="F598" s="572">
        <v>4009.0029999999902</v>
      </c>
      <c r="G598" s="174"/>
    </row>
    <row r="599" spans="1:7" x14ac:dyDescent="0.3">
      <c r="A599" s="559" t="s">
        <v>473</v>
      </c>
      <c r="B599" s="559">
        <v>2014</v>
      </c>
      <c r="C599" s="559" t="s">
        <v>125</v>
      </c>
      <c r="D599" s="559" t="s">
        <v>20</v>
      </c>
      <c r="E599" s="559" t="s">
        <v>96</v>
      </c>
      <c r="F599" s="572">
        <v>35686.100999999697</v>
      </c>
      <c r="G599" s="174"/>
    </row>
    <row r="600" spans="1:7" x14ac:dyDescent="0.3">
      <c r="A600" s="559" t="s">
        <v>473</v>
      </c>
      <c r="B600" s="559">
        <v>2014</v>
      </c>
      <c r="C600" s="559" t="s">
        <v>126</v>
      </c>
      <c r="D600" s="559" t="s">
        <v>23</v>
      </c>
      <c r="E600" s="559" t="s">
        <v>96</v>
      </c>
      <c r="F600" s="572">
        <v>1379915.9292261</v>
      </c>
      <c r="G600" s="174"/>
    </row>
    <row r="601" spans="1:7" x14ac:dyDescent="0.3">
      <c r="A601" s="559" t="s">
        <v>473</v>
      </c>
      <c r="B601" s="559">
        <v>2014</v>
      </c>
      <c r="C601" s="559" t="s">
        <v>126</v>
      </c>
      <c r="D601" s="559" t="s">
        <v>556</v>
      </c>
      <c r="E601" s="559" t="s">
        <v>756</v>
      </c>
      <c r="F601" s="572">
        <v>6730960.4467738904</v>
      </c>
      <c r="G601" s="174"/>
    </row>
    <row r="602" spans="1:7" x14ac:dyDescent="0.3">
      <c r="A602" s="559" t="s">
        <v>473</v>
      </c>
      <c r="B602" s="559">
        <v>2014</v>
      </c>
      <c r="C602" s="559" t="s">
        <v>127</v>
      </c>
      <c r="D602" s="559" t="s">
        <v>28</v>
      </c>
      <c r="E602" s="559" t="s">
        <v>96</v>
      </c>
      <c r="F602" s="572">
        <v>0</v>
      </c>
      <c r="G602" s="174"/>
    </row>
    <row r="603" spans="1:7" x14ac:dyDescent="0.3">
      <c r="A603" s="559" t="s">
        <v>473</v>
      </c>
      <c r="B603" s="559">
        <v>2014</v>
      </c>
      <c r="C603" s="559" t="s">
        <v>128</v>
      </c>
      <c r="D603" s="559" t="s">
        <v>25</v>
      </c>
      <c r="E603" s="559" t="s">
        <v>96</v>
      </c>
      <c r="F603" s="572">
        <v>0</v>
      </c>
      <c r="G603" s="174"/>
    </row>
    <row r="604" spans="1:7" x14ac:dyDescent="0.3">
      <c r="A604" s="559" t="s">
        <v>473</v>
      </c>
      <c r="B604" s="559">
        <v>2014</v>
      </c>
      <c r="C604" s="559" t="s">
        <v>129</v>
      </c>
      <c r="D604" s="559" t="s">
        <v>103</v>
      </c>
      <c r="E604" s="559" t="s">
        <v>96</v>
      </c>
      <c r="F604" s="572">
        <v>68.460000000000093</v>
      </c>
      <c r="G604" s="174"/>
    </row>
    <row r="605" spans="1:7" x14ac:dyDescent="0.3">
      <c r="A605" s="559" t="s">
        <v>473</v>
      </c>
      <c r="B605" s="559">
        <v>2014</v>
      </c>
      <c r="C605" s="559" t="s">
        <v>130</v>
      </c>
      <c r="D605" s="559" t="s">
        <v>35</v>
      </c>
      <c r="E605" s="559" t="s">
        <v>101</v>
      </c>
      <c r="F605" s="572">
        <v>108948.224</v>
      </c>
      <c r="G605" s="174"/>
    </row>
    <row r="606" spans="1:7" x14ac:dyDescent="0.3">
      <c r="A606" s="559" t="s">
        <v>473</v>
      </c>
      <c r="B606" s="559">
        <v>2014</v>
      </c>
      <c r="C606" s="559" t="s">
        <v>131</v>
      </c>
      <c r="D606" s="559" t="s">
        <v>38</v>
      </c>
      <c r="E606" s="559" t="s">
        <v>96</v>
      </c>
      <c r="F606" s="572">
        <v>322830.27699999802</v>
      </c>
      <c r="G606" s="174"/>
    </row>
    <row r="607" spans="1:7" x14ac:dyDescent="0.3">
      <c r="A607" s="559" t="s">
        <v>473</v>
      </c>
      <c r="B607" s="559">
        <v>2014</v>
      </c>
      <c r="C607" s="559" t="s">
        <v>132</v>
      </c>
      <c r="D607" s="559" t="s">
        <v>25</v>
      </c>
      <c r="E607" s="559" t="s">
        <v>96</v>
      </c>
      <c r="F607" s="572">
        <v>0</v>
      </c>
      <c r="G607" s="174"/>
    </row>
    <row r="608" spans="1:7" x14ac:dyDescent="0.3">
      <c r="A608" s="559" t="s">
        <v>473</v>
      </c>
      <c r="B608" s="559">
        <v>2014</v>
      </c>
      <c r="C608" s="559" t="s">
        <v>133</v>
      </c>
      <c r="D608" s="559" t="s">
        <v>1</v>
      </c>
      <c r="E608" s="559" t="s">
        <v>96</v>
      </c>
      <c r="F608" s="572">
        <v>0</v>
      </c>
      <c r="G608" s="174"/>
    </row>
    <row r="609" spans="1:7" x14ac:dyDescent="0.3">
      <c r="A609" s="559" t="s">
        <v>473</v>
      </c>
      <c r="B609" s="559">
        <v>2014</v>
      </c>
      <c r="C609" s="559" t="s">
        <v>134</v>
      </c>
      <c r="D609" s="559" t="s">
        <v>25</v>
      </c>
      <c r="E609" s="559" t="s">
        <v>96</v>
      </c>
      <c r="F609" s="572">
        <v>0</v>
      </c>
      <c r="G609" s="174"/>
    </row>
    <row r="610" spans="1:7" x14ac:dyDescent="0.3">
      <c r="A610" s="559" t="s">
        <v>473</v>
      </c>
      <c r="B610" s="559">
        <v>2014</v>
      </c>
      <c r="C610" s="559" t="s">
        <v>135</v>
      </c>
      <c r="D610" s="559" t="s">
        <v>103</v>
      </c>
      <c r="E610" s="559" t="s">
        <v>96</v>
      </c>
      <c r="F610" s="572">
        <v>16.873999999999999</v>
      </c>
      <c r="G610" s="174"/>
    </row>
    <row r="611" spans="1:7" x14ac:dyDescent="0.3">
      <c r="A611" s="559" t="s">
        <v>473</v>
      </c>
      <c r="B611" s="559">
        <v>2014</v>
      </c>
      <c r="C611" s="559" t="s">
        <v>136</v>
      </c>
      <c r="D611" s="559" t="s">
        <v>35</v>
      </c>
      <c r="E611" s="559" t="s">
        <v>101</v>
      </c>
      <c r="F611" s="572">
        <v>0</v>
      </c>
      <c r="G611" s="174"/>
    </row>
    <row r="612" spans="1:7" x14ac:dyDescent="0.3">
      <c r="A612" s="559" t="s">
        <v>473</v>
      </c>
      <c r="B612" s="559">
        <v>2014</v>
      </c>
      <c r="C612" s="559" t="s">
        <v>137</v>
      </c>
      <c r="D612" s="559" t="s">
        <v>40</v>
      </c>
      <c r="E612" s="559" t="s">
        <v>96</v>
      </c>
      <c r="F612" s="572">
        <v>0</v>
      </c>
      <c r="G612" s="174"/>
    </row>
    <row r="613" spans="1:7" x14ac:dyDescent="0.3">
      <c r="A613" s="559" t="s">
        <v>473</v>
      </c>
      <c r="B613" s="559">
        <v>2014</v>
      </c>
      <c r="C613" s="559" t="s">
        <v>138</v>
      </c>
      <c r="D613" s="559" t="s">
        <v>40</v>
      </c>
      <c r="E613" s="559" t="s">
        <v>96</v>
      </c>
      <c r="F613" s="572">
        <v>0</v>
      </c>
      <c r="G613" s="174"/>
    </row>
    <row r="614" spans="1:7" x14ac:dyDescent="0.3">
      <c r="A614" s="559" t="s">
        <v>473</v>
      </c>
      <c r="B614" s="559">
        <v>2014</v>
      </c>
      <c r="C614" s="559" t="s">
        <v>139</v>
      </c>
      <c r="D614" s="559" t="s">
        <v>28</v>
      </c>
      <c r="E614" s="559" t="s">
        <v>96</v>
      </c>
      <c r="F614" s="572">
        <v>261186.26800000001</v>
      </c>
      <c r="G614" s="174"/>
    </row>
    <row r="615" spans="1:7" x14ac:dyDescent="0.3">
      <c r="A615" s="559" t="s">
        <v>473</v>
      </c>
      <c r="B615" s="559">
        <v>2014</v>
      </c>
      <c r="C615" s="559" t="s">
        <v>140</v>
      </c>
      <c r="D615" s="559" t="s">
        <v>12</v>
      </c>
      <c r="E615" s="559" t="s">
        <v>96</v>
      </c>
      <c r="F615" s="572">
        <v>75768.123000000007</v>
      </c>
      <c r="G615" s="174"/>
    </row>
    <row r="616" spans="1:7" x14ac:dyDescent="0.3">
      <c r="A616" s="559" t="s">
        <v>473</v>
      </c>
      <c r="B616" s="559">
        <v>2014</v>
      </c>
      <c r="C616" s="559" t="s">
        <v>141</v>
      </c>
      <c r="D616" s="559" t="s">
        <v>12</v>
      </c>
      <c r="E616" s="559" t="s">
        <v>96</v>
      </c>
      <c r="F616" s="572">
        <v>13509.336000000099</v>
      </c>
      <c r="G616" s="174"/>
    </row>
    <row r="617" spans="1:7" x14ac:dyDescent="0.3">
      <c r="A617" s="559" t="s">
        <v>473</v>
      </c>
      <c r="B617" s="559">
        <v>2014</v>
      </c>
      <c r="C617" s="559" t="s">
        <v>142</v>
      </c>
      <c r="D617" s="559" t="s">
        <v>1</v>
      </c>
      <c r="E617" s="559" t="s">
        <v>96</v>
      </c>
      <c r="F617" s="572">
        <v>2591.1669005722401</v>
      </c>
      <c r="G617" s="174"/>
    </row>
    <row r="618" spans="1:7" x14ac:dyDescent="0.3">
      <c r="A618" s="559" t="s">
        <v>473</v>
      </c>
      <c r="B618" s="559">
        <v>2014</v>
      </c>
      <c r="C618" s="559" t="s">
        <v>142</v>
      </c>
      <c r="D618" s="559" t="s">
        <v>4</v>
      </c>
      <c r="E618" s="559" t="s">
        <v>96</v>
      </c>
      <c r="F618" s="572">
        <v>32.847099427753903</v>
      </c>
      <c r="G618" s="174"/>
    </row>
    <row r="619" spans="1:7" x14ac:dyDescent="0.3">
      <c r="A619" s="559" t="s">
        <v>473</v>
      </c>
      <c r="B619" s="559">
        <v>2014</v>
      </c>
      <c r="C619" s="559" t="s">
        <v>142</v>
      </c>
      <c r="D619" s="559" t="s">
        <v>27</v>
      </c>
      <c r="E619" s="559" t="s">
        <v>110</v>
      </c>
      <c r="F619" s="572">
        <v>0</v>
      </c>
      <c r="G619" s="174"/>
    </row>
    <row r="620" spans="1:7" x14ac:dyDescent="0.3">
      <c r="A620" s="559" t="s">
        <v>473</v>
      </c>
      <c r="B620" s="559">
        <v>2014</v>
      </c>
      <c r="C620" s="559" t="s">
        <v>143</v>
      </c>
      <c r="D620" s="559" t="s">
        <v>4</v>
      </c>
      <c r="E620" s="559" t="s">
        <v>96</v>
      </c>
      <c r="F620" s="572">
        <v>166.49299999999999</v>
      </c>
      <c r="G620" s="174"/>
    </row>
    <row r="621" spans="1:7" x14ac:dyDescent="0.3">
      <c r="A621" s="559" t="s">
        <v>473</v>
      </c>
      <c r="B621" s="559">
        <v>2014</v>
      </c>
      <c r="C621" s="559" t="s">
        <v>144</v>
      </c>
      <c r="D621" s="559" t="s">
        <v>4</v>
      </c>
      <c r="E621" s="559" t="s">
        <v>101</v>
      </c>
      <c r="F621" s="572">
        <v>0</v>
      </c>
      <c r="G621" s="174"/>
    </row>
    <row r="622" spans="1:7" x14ac:dyDescent="0.3">
      <c r="A622" s="559" t="s">
        <v>473</v>
      </c>
      <c r="B622" s="559">
        <v>2014</v>
      </c>
      <c r="C622" s="559" t="s">
        <v>145</v>
      </c>
      <c r="D622" s="559" t="s">
        <v>41</v>
      </c>
      <c r="E622" s="559" t="s">
        <v>96</v>
      </c>
      <c r="F622" s="572">
        <v>14229.602000000001</v>
      </c>
      <c r="G622" s="174"/>
    </row>
    <row r="623" spans="1:7" x14ac:dyDescent="0.3">
      <c r="A623" s="559" t="s">
        <v>473</v>
      </c>
      <c r="B623" s="559">
        <v>2014</v>
      </c>
      <c r="C623" s="559" t="s">
        <v>146</v>
      </c>
      <c r="D623" s="559" t="s">
        <v>31</v>
      </c>
      <c r="E623" s="559" t="s">
        <v>96</v>
      </c>
      <c r="F623" s="572">
        <v>24273.1609999996</v>
      </c>
      <c r="G623" s="174"/>
    </row>
    <row r="624" spans="1:7" x14ac:dyDescent="0.3">
      <c r="A624" s="559" t="s">
        <v>473</v>
      </c>
      <c r="B624" s="559">
        <v>2014</v>
      </c>
      <c r="C624" s="559" t="s">
        <v>147</v>
      </c>
      <c r="D624" s="559" t="s">
        <v>11</v>
      </c>
      <c r="E624" s="559" t="s">
        <v>96</v>
      </c>
      <c r="F624" s="572">
        <v>0</v>
      </c>
      <c r="G624" s="174"/>
    </row>
    <row r="625" spans="1:7" x14ac:dyDescent="0.3">
      <c r="A625" s="559" t="s">
        <v>473</v>
      </c>
      <c r="B625" s="559">
        <v>2014</v>
      </c>
      <c r="C625" s="559" t="s">
        <v>148</v>
      </c>
      <c r="D625" s="559" t="s">
        <v>73</v>
      </c>
      <c r="E625" s="559" t="s">
        <v>96</v>
      </c>
      <c r="F625" s="572">
        <v>169629.21700000201</v>
      </c>
      <c r="G625" s="174"/>
    </row>
    <row r="626" spans="1:7" x14ac:dyDescent="0.3">
      <c r="A626" s="559" t="s">
        <v>473</v>
      </c>
      <c r="B626" s="559">
        <v>2014</v>
      </c>
      <c r="C626" s="559" t="s">
        <v>149</v>
      </c>
      <c r="D626" s="559" t="s">
        <v>36</v>
      </c>
      <c r="E626" s="559" t="s">
        <v>96</v>
      </c>
      <c r="F626" s="559">
        <v>0</v>
      </c>
      <c r="G626" s="174"/>
    </row>
    <row r="627" spans="1:7" x14ac:dyDescent="0.3">
      <c r="A627" s="559" t="s">
        <v>473</v>
      </c>
      <c r="B627" s="559">
        <v>2014</v>
      </c>
      <c r="C627" s="559" t="s">
        <v>150</v>
      </c>
      <c r="D627" s="559" t="s">
        <v>1</v>
      </c>
      <c r="E627" s="559" t="s">
        <v>96</v>
      </c>
      <c r="F627" s="559">
        <v>0</v>
      </c>
      <c r="G627" s="174"/>
    </row>
    <row r="628" spans="1:7" x14ac:dyDescent="0.3">
      <c r="A628" s="559" t="s">
        <v>473</v>
      </c>
      <c r="B628" s="559">
        <v>2014</v>
      </c>
      <c r="C628" s="559" t="s">
        <v>150</v>
      </c>
      <c r="D628" s="559" t="s">
        <v>70</v>
      </c>
      <c r="E628" s="559" t="s">
        <v>96</v>
      </c>
      <c r="F628" s="559">
        <v>0</v>
      </c>
      <c r="G628" s="174"/>
    </row>
    <row r="629" spans="1:7" x14ac:dyDescent="0.3">
      <c r="A629" s="559" t="s">
        <v>473</v>
      </c>
      <c r="B629" s="559">
        <v>2014</v>
      </c>
      <c r="C629" s="559" t="s">
        <v>151</v>
      </c>
      <c r="D629" s="559" t="s">
        <v>40</v>
      </c>
      <c r="E629" s="559" t="s">
        <v>96</v>
      </c>
      <c r="F629" s="559">
        <v>0</v>
      </c>
      <c r="G629" s="174"/>
    </row>
    <row r="630" spans="1:7" x14ac:dyDescent="0.3">
      <c r="A630" s="559" t="s">
        <v>473</v>
      </c>
      <c r="B630" s="559">
        <v>2014</v>
      </c>
      <c r="C630" s="559" t="s">
        <v>152</v>
      </c>
      <c r="D630" s="559" t="s">
        <v>5</v>
      </c>
      <c r="E630" s="559" t="s">
        <v>96</v>
      </c>
      <c r="F630" s="559">
        <v>1717184.6259650399</v>
      </c>
      <c r="G630" s="174"/>
    </row>
    <row r="631" spans="1:7" x14ac:dyDescent="0.3">
      <c r="A631" s="559" t="s">
        <v>473</v>
      </c>
      <c r="B631" s="559">
        <v>2014</v>
      </c>
      <c r="C631" s="559" t="s">
        <v>152</v>
      </c>
      <c r="D631" s="559" t="s">
        <v>24</v>
      </c>
      <c r="E631" s="559" t="s">
        <v>756</v>
      </c>
      <c r="F631" s="559">
        <v>12381040.368034899</v>
      </c>
      <c r="G631" s="174"/>
    </row>
    <row r="632" spans="1:7" x14ac:dyDescent="0.3">
      <c r="A632" s="559" t="s">
        <v>473</v>
      </c>
      <c r="B632" s="559">
        <v>2014</v>
      </c>
      <c r="C632" s="559" t="s">
        <v>153</v>
      </c>
      <c r="D632" s="559" t="s">
        <v>73</v>
      </c>
      <c r="E632" s="559" t="s">
        <v>96</v>
      </c>
      <c r="F632" s="559">
        <v>51973.228999999497</v>
      </c>
      <c r="G632" s="174"/>
    </row>
    <row r="633" spans="1:7" x14ac:dyDescent="0.3">
      <c r="A633" s="559" t="s">
        <v>473</v>
      </c>
      <c r="B633" s="559">
        <v>2014</v>
      </c>
      <c r="C633" s="559" t="s">
        <v>154</v>
      </c>
      <c r="D633" s="559" t="s">
        <v>41</v>
      </c>
      <c r="E633" s="559" t="s">
        <v>96</v>
      </c>
      <c r="F633" s="559">
        <v>2579.0569999999002</v>
      </c>
      <c r="G633" s="174"/>
    </row>
    <row r="634" spans="1:7" x14ac:dyDescent="0.3">
      <c r="A634" s="559" t="s">
        <v>473</v>
      </c>
      <c r="B634" s="559">
        <v>2014</v>
      </c>
      <c r="C634" s="559" t="s">
        <v>155</v>
      </c>
      <c r="D634" s="559" t="s">
        <v>28</v>
      </c>
      <c r="E634" s="559" t="s">
        <v>96</v>
      </c>
      <c r="F634" s="559">
        <v>0</v>
      </c>
      <c r="G634" s="174"/>
    </row>
    <row r="635" spans="1:7" x14ac:dyDescent="0.3">
      <c r="A635" s="559" t="s">
        <v>473</v>
      </c>
      <c r="B635" s="559">
        <v>2014</v>
      </c>
      <c r="C635" s="559" t="s">
        <v>156</v>
      </c>
      <c r="D635" s="559" t="s">
        <v>39</v>
      </c>
      <c r="E635" s="559" t="s">
        <v>96</v>
      </c>
      <c r="F635" s="559">
        <v>140114.193</v>
      </c>
      <c r="G635" s="174"/>
    </row>
    <row r="636" spans="1:7" x14ac:dyDescent="0.3">
      <c r="A636" s="559" t="s">
        <v>473</v>
      </c>
      <c r="B636" s="559">
        <v>2014</v>
      </c>
      <c r="C636" s="559" t="s">
        <v>157</v>
      </c>
      <c r="D636" s="559" t="s">
        <v>39</v>
      </c>
      <c r="E636" s="559" t="s">
        <v>96</v>
      </c>
      <c r="F636" s="559">
        <v>937258.51200000104</v>
      </c>
      <c r="G636" s="174"/>
    </row>
    <row r="637" spans="1:7" x14ac:dyDescent="0.3">
      <c r="A637" s="559" t="s">
        <v>473</v>
      </c>
      <c r="B637" s="559">
        <v>2014</v>
      </c>
      <c r="C637" s="559" t="s">
        <v>158</v>
      </c>
      <c r="D637" s="559" t="s">
        <v>49</v>
      </c>
      <c r="E637" s="559" t="s">
        <v>96</v>
      </c>
      <c r="F637" s="559">
        <v>12813.5709999998</v>
      </c>
      <c r="G637" s="174"/>
    </row>
    <row r="638" spans="1:7" x14ac:dyDescent="0.3">
      <c r="A638" s="559" t="s">
        <v>473</v>
      </c>
      <c r="B638" s="559">
        <v>2014</v>
      </c>
      <c r="C638" s="559" t="s">
        <v>159</v>
      </c>
      <c r="D638" s="559" t="s">
        <v>40</v>
      </c>
      <c r="E638" s="559" t="s">
        <v>96</v>
      </c>
      <c r="F638" s="559">
        <v>0</v>
      </c>
      <c r="G638" s="174"/>
    </row>
    <row r="639" spans="1:7" x14ac:dyDescent="0.3">
      <c r="A639" s="559" t="s">
        <v>473</v>
      </c>
      <c r="B639" s="559">
        <v>2014</v>
      </c>
      <c r="C639" s="559" t="s">
        <v>160</v>
      </c>
      <c r="D639" s="559" t="s">
        <v>40</v>
      </c>
      <c r="E639" s="559" t="s">
        <v>96</v>
      </c>
      <c r="F639" s="559">
        <v>0</v>
      </c>
      <c r="G639" s="174"/>
    </row>
    <row r="640" spans="1:7" x14ac:dyDescent="0.3">
      <c r="A640" s="559" t="s">
        <v>473</v>
      </c>
      <c r="B640" s="559">
        <v>2014</v>
      </c>
      <c r="C640" s="559" t="s">
        <v>161</v>
      </c>
      <c r="D640" s="559" t="s">
        <v>37</v>
      </c>
      <c r="E640" s="559" t="s">
        <v>96</v>
      </c>
      <c r="F640" s="559">
        <v>16519619.6309999</v>
      </c>
      <c r="G640" s="174"/>
    </row>
    <row r="641" spans="1:7" x14ac:dyDescent="0.3">
      <c r="A641" s="559" t="s">
        <v>473</v>
      </c>
      <c r="B641" s="559">
        <v>2014</v>
      </c>
      <c r="C641" s="559" t="s">
        <v>162</v>
      </c>
      <c r="D641" s="559" t="s">
        <v>37</v>
      </c>
      <c r="E641" s="559" t="s">
        <v>96</v>
      </c>
      <c r="F641" s="559">
        <v>21101392.541000001</v>
      </c>
      <c r="G641" s="174"/>
    </row>
    <row r="642" spans="1:7" x14ac:dyDescent="0.3">
      <c r="A642" s="559" t="s">
        <v>473</v>
      </c>
      <c r="B642" s="559">
        <v>2014</v>
      </c>
      <c r="C642" s="559" t="s">
        <v>163</v>
      </c>
      <c r="D642" s="559" t="s">
        <v>28</v>
      </c>
      <c r="E642" s="559" t="s">
        <v>96</v>
      </c>
      <c r="F642" s="559">
        <v>319348.31999999803</v>
      </c>
      <c r="G642" s="174"/>
    </row>
    <row r="643" spans="1:7" x14ac:dyDescent="0.3">
      <c r="A643" s="559" t="s">
        <v>473</v>
      </c>
      <c r="B643" s="559">
        <v>2014</v>
      </c>
      <c r="C643" s="559" t="s">
        <v>164</v>
      </c>
      <c r="D643" s="559" t="s">
        <v>41</v>
      </c>
      <c r="E643" s="559" t="s">
        <v>96</v>
      </c>
      <c r="F643" s="559">
        <v>55703.214000000196</v>
      </c>
      <c r="G643" s="174"/>
    </row>
    <row r="644" spans="1:7" x14ac:dyDescent="0.3">
      <c r="A644" s="559" t="s">
        <v>473</v>
      </c>
      <c r="B644" s="559">
        <v>2014</v>
      </c>
      <c r="C644" s="559" t="s">
        <v>165</v>
      </c>
      <c r="D644" s="559" t="s">
        <v>39</v>
      </c>
      <c r="E644" s="559" t="s">
        <v>96</v>
      </c>
      <c r="F644" s="559">
        <v>374867.89299999998</v>
      </c>
      <c r="G644" s="174"/>
    </row>
    <row r="645" spans="1:7" x14ac:dyDescent="0.3">
      <c r="A645" s="559" t="s">
        <v>473</v>
      </c>
      <c r="B645" s="559">
        <v>2014</v>
      </c>
      <c r="C645" s="559" t="s">
        <v>166</v>
      </c>
      <c r="D645" s="559" t="s">
        <v>10</v>
      </c>
      <c r="E645" s="559" t="s">
        <v>101</v>
      </c>
      <c r="F645" s="559">
        <v>0</v>
      </c>
      <c r="G645" s="174"/>
    </row>
    <row r="646" spans="1:7" x14ac:dyDescent="0.3">
      <c r="A646" s="559" t="s">
        <v>473</v>
      </c>
      <c r="B646" s="559">
        <v>2014</v>
      </c>
      <c r="C646" s="559" t="s">
        <v>167</v>
      </c>
      <c r="D646" s="559" t="s">
        <v>10</v>
      </c>
      <c r="E646" s="559" t="s">
        <v>101</v>
      </c>
      <c r="F646" s="559">
        <v>0</v>
      </c>
      <c r="G646" s="174"/>
    </row>
    <row r="647" spans="1:7" x14ac:dyDescent="0.3">
      <c r="A647" s="559" t="s">
        <v>473</v>
      </c>
      <c r="B647" s="559">
        <v>2014</v>
      </c>
      <c r="C647" s="559" t="s">
        <v>168</v>
      </c>
      <c r="D647" s="559" t="s">
        <v>10</v>
      </c>
      <c r="E647" s="559" t="s">
        <v>101</v>
      </c>
      <c r="F647" s="559">
        <v>0</v>
      </c>
      <c r="G647" s="174"/>
    </row>
    <row r="648" spans="1:7" x14ac:dyDescent="0.3">
      <c r="A648" s="559" t="s">
        <v>473</v>
      </c>
      <c r="B648" s="559">
        <v>2014</v>
      </c>
      <c r="C648" s="559" t="s">
        <v>169</v>
      </c>
      <c r="D648" s="559" t="s">
        <v>10</v>
      </c>
      <c r="E648" s="559" t="s">
        <v>101</v>
      </c>
      <c r="F648" s="559">
        <v>32814.233999999997</v>
      </c>
      <c r="G648" s="174"/>
    </row>
    <row r="649" spans="1:7" x14ac:dyDescent="0.3">
      <c r="A649" s="559" t="s">
        <v>473</v>
      </c>
      <c r="B649" s="559">
        <v>2014</v>
      </c>
      <c r="C649" s="559" t="s">
        <v>170</v>
      </c>
      <c r="D649" s="559" t="s">
        <v>37</v>
      </c>
      <c r="E649" s="559" t="s">
        <v>96</v>
      </c>
      <c r="F649" s="559">
        <v>1873637.5719999899</v>
      </c>
      <c r="G649" s="174"/>
    </row>
    <row r="650" spans="1:7" x14ac:dyDescent="0.3">
      <c r="A650" s="559" t="s">
        <v>473</v>
      </c>
      <c r="B650" s="559">
        <v>2014</v>
      </c>
      <c r="C650" s="559" t="s">
        <v>171</v>
      </c>
      <c r="D650" s="559" t="s">
        <v>25</v>
      </c>
      <c r="E650" s="559" t="s">
        <v>96</v>
      </c>
      <c r="F650" s="559">
        <v>77920.645000000703</v>
      </c>
      <c r="G650" s="174"/>
    </row>
    <row r="651" spans="1:7" x14ac:dyDescent="0.3">
      <c r="A651" s="559" t="s">
        <v>473</v>
      </c>
      <c r="B651" s="559">
        <v>2014</v>
      </c>
      <c r="C651" s="559" t="s">
        <v>172</v>
      </c>
      <c r="D651" s="559" t="s">
        <v>25</v>
      </c>
      <c r="E651" s="559" t="s">
        <v>96</v>
      </c>
      <c r="F651" s="559">
        <v>128125.06399999899</v>
      </c>
      <c r="G651" s="174"/>
    </row>
    <row r="652" spans="1:7" x14ac:dyDescent="0.3">
      <c r="A652" s="559" t="s">
        <v>473</v>
      </c>
      <c r="B652" s="559">
        <v>2014</v>
      </c>
      <c r="C652" s="559" t="s">
        <v>173</v>
      </c>
      <c r="D652" s="559" t="s">
        <v>32</v>
      </c>
      <c r="E652" s="559" t="s">
        <v>96</v>
      </c>
      <c r="F652" s="559">
        <v>142037.842999999</v>
      </c>
      <c r="G652" s="174"/>
    </row>
    <row r="653" spans="1:7" x14ac:dyDescent="0.3">
      <c r="A653" s="559" t="s">
        <v>473</v>
      </c>
      <c r="B653" s="559">
        <v>2014</v>
      </c>
      <c r="C653" s="559" t="s">
        <v>174</v>
      </c>
      <c r="D653" s="559" t="s">
        <v>28</v>
      </c>
      <c r="E653" s="559" t="s">
        <v>96</v>
      </c>
      <c r="F653" s="559">
        <v>148078.79099999799</v>
      </c>
      <c r="G653" s="174"/>
    </row>
    <row r="654" spans="1:7" x14ac:dyDescent="0.3">
      <c r="A654" s="559" t="s">
        <v>473</v>
      </c>
      <c r="B654" s="559">
        <v>2014</v>
      </c>
      <c r="C654" s="559" t="s">
        <v>175</v>
      </c>
      <c r="D654" s="559" t="s">
        <v>28</v>
      </c>
      <c r="E654" s="559" t="s">
        <v>96</v>
      </c>
      <c r="F654" s="559">
        <v>156289.52799999801</v>
      </c>
      <c r="G654" s="174"/>
    </row>
    <row r="655" spans="1:7" x14ac:dyDescent="0.3">
      <c r="A655" s="559" t="s">
        <v>473</v>
      </c>
      <c r="B655" s="559">
        <v>2014</v>
      </c>
      <c r="C655" s="559" t="s">
        <v>176</v>
      </c>
      <c r="D655" s="559" t="s">
        <v>51</v>
      </c>
      <c r="E655" s="559" t="s">
        <v>96</v>
      </c>
      <c r="F655" s="559">
        <v>51671.0619999997</v>
      </c>
      <c r="G655" s="174"/>
    </row>
    <row r="656" spans="1:7" x14ac:dyDescent="0.3">
      <c r="A656" s="559" t="s">
        <v>473</v>
      </c>
      <c r="B656" s="559">
        <v>2014</v>
      </c>
      <c r="C656" s="559" t="s">
        <v>177</v>
      </c>
      <c r="D656" s="559" t="s">
        <v>103</v>
      </c>
      <c r="E656" s="559" t="s">
        <v>96</v>
      </c>
      <c r="F656" s="559">
        <v>154.61399999999901</v>
      </c>
      <c r="G656" s="174"/>
    </row>
    <row r="657" spans="1:7" x14ac:dyDescent="0.3">
      <c r="A657" s="559" t="s">
        <v>473</v>
      </c>
      <c r="B657" s="559">
        <v>2014</v>
      </c>
      <c r="C657" s="559" t="s">
        <v>178</v>
      </c>
      <c r="D657" s="559" t="s">
        <v>35</v>
      </c>
      <c r="E657" s="559" t="s">
        <v>101</v>
      </c>
      <c r="F657" s="559">
        <v>0</v>
      </c>
      <c r="G657" s="174"/>
    </row>
    <row r="658" spans="1:7" x14ac:dyDescent="0.3">
      <c r="A658" s="559" t="s">
        <v>473</v>
      </c>
      <c r="B658" s="559">
        <v>2014</v>
      </c>
      <c r="C658" s="559" t="s">
        <v>179</v>
      </c>
      <c r="D658" s="559" t="s">
        <v>35</v>
      </c>
      <c r="E658" s="559" t="s">
        <v>101</v>
      </c>
      <c r="F658" s="559">
        <v>7856.7000000000899</v>
      </c>
      <c r="G658" s="174"/>
    </row>
    <row r="659" spans="1:7" x14ac:dyDescent="0.3">
      <c r="A659" s="559" t="s">
        <v>473</v>
      </c>
      <c r="B659" s="559">
        <v>2014</v>
      </c>
      <c r="C659" s="559" t="s">
        <v>180</v>
      </c>
      <c r="D659" s="559" t="s">
        <v>35</v>
      </c>
      <c r="E659" s="559" t="s">
        <v>101</v>
      </c>
      <c r="F659" s="559">
        <v>27547.591</v>
      </c>
      <c r="G659" s="174"/>
    </row>
    <row r="660" spans="1:7" x14ac:dyDescent="0.3">
      <c r="A660" s="559" t="s">
        <v>473</v>
      </c>
      <c r="B660" s="559">
        <v>2014</v>
      </c>
      <c r="C660" s="559" t="s">
        <v>181</v>
      </c>
      <c r="D660" s="559" t="s">
        <v>14</v>
      </c>
      <c r="E660" s="559" t="s">
        <v>96</v>
      </c>
      <c r="F660" s="559">
        <v>1125.2329999999999</v>
      </c>
      <c r="G660" s="174"/>
    </row>
    <row r="661" spans="1:7" x14ac:dyDescent="0.3">
      <c r="A661" s="559" t="s">
        <v>473</v>
      </c>
      <c r="B661" s="559">
        <v>2014</v>
      </c>
      <c r="C661" s="559" t="s">
        <v>182</v>
      </c>
      <c r="D661" s="559" t="s">
        <v>47</v>
      </c>
      <c r="E661" s="559" t="s">
        <v>101</v>
      </c>
      <c r="F661" s="559">
        <v>0</v>
      </c>
      <c r="G661" s="174"/>
    </row>
    <row r="662" spans="1:7" x14ac:dyDescent="0.3">
      <c r="A662" s="559" t="s">
        <v>473</v>
      </c>
      <c r="B662" s="559">
        <v>2014</v>
      </c>
      <c r="C662" s="559" t="s">
        <v>183</v>
      </c>
      <c r="D662" s="559" t="s">
        <v>47</v>
      </c>
      <c r="E662" s="559" t="s">
        <v>101</v>
      </c>
      <c r="F662" s="559">
        <v>0</v>
      </c>
      <c r="G662" s="174"/>
    </row>
    <row r="663" spans="1:7" x14ac:dyDescent="0.3">
      <c r="A663" s="559" t="s">
        <v>473</v>
      </c>
      <c r="B663" s="559">
        <v>2014</v>
      </c>
      <c r="C663" s="559" t="s">
        <v>184</v>
      </c>
      <c r="D663" s="559" t="s">
        <v>1</v>
      </c>
      <c r="E663" s="559" t="s">
        <v>96</v>
      </c>
      <c r="F663" s="559">
        <v>0</v>
      </c>
      <c r="G663" s="174"/>
    </row>
    <row r="664" spans="1:7" x14ac:dyDescent="0.3">
      <c r="A664" s="559" t="s">
        <v>473</v>
      </c>
      <c r="B664" s="559">
        <v>2014</v>
      </c>
      <c r="C664" s="559" t="s">
        <v>184</v>
      </c>
      <c r="D664" s="559" t="s">
        <v>71</v>
      </c>
      <c r="E664" s="559" t="s">
        <v>96</v>
      </c>
      <c r="F664" s="559">
        <v>20966.5176733517</v>
      </c>
      <c r="G664" s="174"/>
    </row>
    <row r="665" spans="1:7" x14ac:dyDescent="0.3">
      <c r="A665" s="559" t="s">
        <v>473</v>
      </c>
      <c r="B665" s="559">
        <v>2014</v>
      </c>
      <c r="C665" s="559" t="s">
        <v>184</v>
      </c>
      <c r="D665" s="559" t="s">
        <v>35</v>
      </c>
      <c r="E665" s="559" t="s">
        <v>110</v>
      </c>
      <c r="F665" s="559">
        <v>0</v>
      </c>
      <c r="G665" s="174"/>
    </row>
    <row r="666" spans="1:7" x14ac:dyDescent="0.3">
      <c r="A666" s="559" t="s">
        <v>473</v>
      </c>
      <c r="B666" s="559">
        <v>2014</v>
      </c>
      <c r="C666" s="559" t="s">
        <v>185</v>
      </c>
      <c r="D666" s="559" t="s">
        <v>35</v>
      </c>
      <c r="E666" s="559" t="s">
        <v>101</v>
      </c>
      <c r="F666" s="559">
        <v>153156.29199999999</v>
      </c>
      <c r="G666" s="174"/>
    </row>
    <row r="667" spans="1:7" x14ac:dyDescent="0.3">
      <c r="A667" s="559" t="s">
        <v>473</v>
      </c>
      <c r="B667" s="559">
        <v>2014</v>
      </c>
      <c r="C667" s="559" t="s">
        <v>186</v>
      </c>
      <c r="D667" s="559" t="s">
        <v>1</v>
      </c>
      <c r="E667" s="559" t="s">
        <v>96</v>
      </c>
      <c r="F667" s="559">
        <v>2692.4129999998099</v>
      </c>
      <c r="G667" s="174"/>
    </row>
    <row r="668" spans="1:7" x14ac:dyDescent="0.3">
      <c r="A668" s="559" t="s">
        <v>473</v>
      </c>
      <c r="B668" s="559">
        <v>2014</v>
      </c>
      <c r="C668" s="559" t="s">
        <v>187</v>
      </c>
      <c r="D668" s="559" t="s">
        <v>71</v>
      </c>
      <c r="E668" s="559" t="s">
        <v>96</v>
      </c>
      <c r="F668" s="559">
        <v>0</v>
      </c>
      <c r="G668" s="174"/>
    </row>
    <row r="669" spans="1:7" x14ac:dyDescent="0.3">
      <c r="A669" s="559" t="s">
        <v>473</v>
      </c>
      <c r="B669" s="559">
        <v>2014</v>
      </c>
      <c r="C669" s="559" t="s">
        <v>188</v>
      </c>
      <c r="D669" s="559" t="s">
        <v>69</v>
      </c>
      <c r="E669" s="559" t="s">
        <v>96</v>
      </c>
      <c r="F669" s="559">
        <v>29895.879887864201</v>
      </c>
      <c r="G669" s="174"/>
    </row>
    <row r="670" spans="1:7" x14ac:dyDescent="0.3">
      <c r="A670" s="559" t="s">
        <v>473</v>
      </c>
      <c r="B670" s="559">
        <v>2014</v>
      </c>
      <c r="C670" s="559" t="s">
        <v>188</v>
      </c>
      <c r="D670" s="559" t="s">
        <v>73</v>
      </c>
      <c r="E670" s="559" t="s">
        <v>96</v>
      </c>
      <c r="F670" s="559">
        <v>25742.738112135601</v>
      </c>
      <c r="G670" s="174"/>
    </row>
    <row r="671" spans="1:7" x14ac:dyDescent="0.3">
      <c r="A671" s="559" t="s">
        <v>473</v>
      </c>
      <c r="B671" s="559">
        <v>2014</v>
      </c>
      <c r="C671" s="559" t="s">
        <v>189</v>
      </c>
      <c r="D671" s="559" t="s">
        <v>25</v>
      </c>
      <c r="E671" s="559" t="s">
        <v>96</v>
      </c>
      <c r="F671" s="559">
        <v>98875.836999999796</v>
      </c>
      <c r="G671" s="174"/>
    </row>
    <row r="672" spans="1:7" x14ac:dyDescent="0.3">
      <c r="A672" s="559" t="s">
        <v>473</v>
      </c>
      <c r="B672" s="559">
        <v>2014</v>
      </c>
      <c r="C672" s="559" t="s">
        <v>190</v>
      </c>
      <c r="D672" s="559" t="s">
        <v>25</v>
      </c>
      <c r="E672" s="559" t="s">
        <v>96</v>
      </c>
      <c r="F672" s="559">
        <v>0</v>
      </c>
      <c r="G672" s="174"/>
    </row>
    <row r="673" spans="1:7" x14ac:dyDescent="0.3">
      <c r="A673" s="559" t="s">
        <v>473</v>
      </c>
      <c r="B673" s="559">
        <v>2014</v>
      </c>
      <c r="C673" s="559" t="s">
        <v>191</v>
      </c>
      <c r="D673" s="559" t="s">
        <v>12</v>
      </c>
      <c r="E673" s="559" t="s">
        <v>96</v>
      </c>
      <c r="F673" s="559">
        <v>0</v>
      </c>
      <c r="G673" s="174"/>
    </row>
    <row r="674" spans="1:7" x14ac:dyDescent="0.3">
      <c r="A674" s="559" t="s">
        <v>473</v>
      </c>
      <c r="B674" s="559">
        <v>2014</v>
      </c>
      <c r="C674" s="559" t="s">
        <v>192</v>
      </c>
      <c r="D674" s="559" t="s">
        <v>22</v>
      </c>
      <c r="E674" s="559" t="s">
        <v>756</v>
      </c>
      <c r="F674" s="559">
        <v>256710.03099999999</v>
      </c>
      <c r="G674" s="174"/>
    </row>
    <row r="675" spans="1:7" x14ac:dyDescent="0.3">
      <c r="A675" s="559" t="s">
        <v>473</v>
      </c>
      <c r="B675" s="559">
        <v>2014</v>
      </c>
      <c r="C675" s="559" t="s">
        <v>192</v>
      </c>
      <c r="D675" s="559" t="s">
        <v>51</v>
      </c>
      <c r="E675" s="559" t="s">
        <v>96</v>
      </c>
      <c r="F675" s="559">
        <v>8.3885118061021302</v>
      </c>
      <c r="G675" s="174"/>
    </row>
    <row r="676" spans="1:7" x14ac:dyDescent="0.3">
      <c r="A676" s="559" t="s">
        <v>473</v>
      </c>
      <c r="B676" s="559">
        <v>2014</v>
      </c>
      <c r="C676" s="559" t="s">
        <v>193</v>
      </c>
      <c r="D676" s="559" t="s">
        <v>11</v>
      </c>
      <c r="E676" s="559" t="s">
        <v>96</v>
      </c>
      <c r="F676" s="559">
        <v>0</v>
      </c>
      <c r="G676" s="174"/>
    </row>
    <row r="677" spans="1:7" x14ac:dyDescent="0.3">
      <c r="A677" s="559" t="s">
        <v>473</v>
      </c>
      <c r="B677" s="559">
        <v>2014</v>
      </c>
      <c r="C677" s="559" t="s">
        <v>395</v>
      </c>
      <c r="D677" s="559" t="s">
        <v>17</v>
      </c>
      <c r="E677" s="559" t="s">
        <v>101</v>
      </c>
      <c r="F677" s="559">
        <v>205959.22499999701</v>
      </c>
      <c r="G677" s="174"/>
    </row>
    <row r="678" spans="1:7" x14ac:dyDescent="0.3">
      <c r="A678" s="559" t="s">
        <v>473</v>
      </c>
      <c r="B678" s="559">
        <v>2014</v>
      </c>
      <c r="C678" s="559" t="s">
        <v>194</v>
      </c>
      <c r="D678" s="559" t="s">
        <v>25</v>
      </c>
      <c r="E678" s="559" t="s">
        <v>96</v>
      </c>
      <c r="F678" s="559">
        <v>43539.631000000001</v>
      </c>
      <c r="G678" s="174"/>
    </row>
    <row r="679" spans="1:7" x14ac:dyDescent="0.3">
      <c r="A679" s="559" t="s">
        <v>473</v>
      </c>
      <c r="B679" s="559">
        <v>2014</v>
      </c>
      <c r="C679" s="559" t="s">
        <v>195</v>
      </c>
      <c r="D679" s="559" t="s">
        <v>25</v>
      </c>
      <c r="E679" s="559" t="s">
        <v>96</v>
      </c>
      <c r="F679" s="559">
        <v>44492.498999999902</v>
      </c>
      <c r="G679" s="174"/>
    </row>
    <row r="680" spans="1:7" x14ac:dyDescent="0.3">
      <c r="A680" s="559" t="s">
        <v>473</v>
      </c>
      <c r="B680" s="559">
        <v>2014</v>
      </c>
      <c r="C680" s="559" t="s">
        <v>196</v>
      </c>
      <c r="D680" s="559" t="s">
        <v>19</v>
      </c>
      <c r="E680" s="559" t="s">
        <v>96</v>
      </c>
      <c r="F680" s="559">
        <v>7636.2939999999899</v>
      </c>
      <c r="G680" s="174"/>
    </row>
    <row r="681" spans="1:7" x14ac:dyDescent="0.3">
      <c r="A681" s="559" t="s">
        <v>473</v>
      </c>
      <c r="B681" s="559">
        <v>2014</v>
      </c>
      <c r="C681" s="559" t="s">
        <v>197</v>
      </c>
      <c r="D681" s="559" t="s">
        <v>3</v>
      </c>
      <c r="E681" s="559" t="s">
        <v>756</v>
      </c>
      <c r="F681" s="559">
        <v>175505.74600000001</v>
      </c>
      <c r="G681" s="174"/>
    </row>
    <row r="682" spans="1:7" x14ac:dyDescent="0.3">
      <c r="A682" s="559" t="s">
        <v>473</v>
      </c>
      <c r="B682" s="559">
        <v>2014</v>
      </c>
      <c r="C682" s="559" t="s">
        <v>198</v>
      </c>
      <c r="D682" s="559" t="s">
        <v>28</v>
      </c>
      <c r="E682" s="559" t="s">
        <v>96</v>
      </c>
      <c r="F682" s="559">
        <v>0</v>
      </c>
      <c r="G682" s="174"/>
    </row>
    <row r="683" spans="1:7" x14ac:dyDescent="0.3">
      <c r="A683" s="559" t="s">
        <v>473</v>
      </c>
      <c r="B683" s="559">
        <v>2014</v>
      </c>
      <c r="C683" s="559" t="s">
        <v>199</v>
      </c>
      <c r="D683" s="559" t="s">
        <v>28</v>
      </c>
      <c r="E683" s="559" t="s">
        <v>96</v>
      </c>
      <c r="F683" s="559">
        <v>0</v>
      </c>
      <c r="G683" s="174"/>
    </row>
    <row r="684" spans="1:7" x14ac:dyDescent="0.3">
      <c r="A684" s="559" t="s">
        <v>473</v>
      </c>
      <c r="B684" s="559">
        <v>2014</v>
      </c>
      <c r="C684" s="559" t="s">
        <v>200</v>
      </c>
      <c r="D684" s="559" t="s">
        <v>677</v>
      </c>
      <c r="E684" s="559" t="s">
        <v>96</v>
      </c>
      <c r="F684" s="559">
        <v>199543.748388245</v>
      </c>
      <c r="G684" s="174"/>
    </row>
    <row r="685" spans="1:7" x14ac:dyDescent="0.3">
      <c r="A685" s="559" t="s">
        <v>473</v>
      </c>
      <c r="B685" s="559">
        <v>2014</v>
      </c>
      <c r="C685" s="559" t="s">
        <v>200</v>
      </c>
      <c r="D685" s="559" t="s">
        <v>34</v>
      </c>
      <c r="E685" s="559" t="s">
        <v>96</v>
      </c>
      <c r="F685" s="559">
        <v>7674122.5374710504</v>
      </c>
      <c r="G685" s="174"/>
    </row>
    <row r="686" spans="1:7" x14ac:dyDescent="0.3">
      <c r="A686" s="559" t="s">
        <v>473</v>
      </c>
      <c r="B686" s="559">
        <v>2014</v>
      </c>
      <c r="C686" s="559" t="s">
        <v>201</v>
      </c>
      <c r="D686" s="559" t="s">
        <v>34</v>
      </c>
      <c r="E686" s="559" t="s">
        <v>110</v>
      </c>
      <c r="F686" s="559">
        <v>0</v>
      </c>
      <c r="G686" s="174"/>
    </row>
    <row r="687" spans="1:7" x14ac:dyDescent="0.3">
      <c r="A687" s="559" t="s">
        <v>473</v>
      </c>
      <c r="B687" s="559">
        <v>2014</v>
      </c>
      <c r="C687" s="559" t="s">
        <v>202</v>
      </c>
      <c r="D687" s="559" t="s">
        <v>33</v>
      </c>
      <c r="E687" s="559" t="s">
        <v>101</v>
      </c>
      <c r="F687" s="559">
        <v>0</v>
      </c>
      <c r="G687" s="174"/>
    </row>
    <row r="688" spans="1:7" x14ac:dyDescent="0.3">
      <c r="A688" s="559" t="s">
        <v>473</v>
      </c>
      <c r="B688" s="559">
        <v>2014</v>
      </c>
      <c r="C688" s="559" t="s">
        <v>203</v>
      </c>
      <c r="D688" s="559" t="s">
        <v>17</v>
      </c>
      <c r="E688" s="559" t="s">
        <v>101</v>
      </c>
      <c r="F688" s="559">
        <v>0</v>
      </c>
      <c r="G688" s="174"/>
    </row>
    <row r="689" spans="1:7" x14ac:dyDescent="0.3">
      <c r="A689" s="559" t="s">
        <v>473</v>
      </c>
      <c r="B689" s="559">
        <v>2014</v>
      </c>
      <c r="C689" s="559" t="s">
        <v>204</v>
      </c>
      <c r="D689" s="559" t="s">
        <v>28</v>
      </c>
      <c r="E689" s="559" t="s">
        <v>96</v>
      </c>
      <c r="F689" s="559">
        <v>247912.014</v>
      </c>
      <c r="G689" s="174"/>
    </row>
    <row r="690" spans="1:7" x14ac:dyDescent="0.3">
      <c r="A690" s="559" t="s">
        <v>473</v>
      </c>
      <c r="B690" s="559">
        <v>2014</v>
      </c>
      <c r="C690" s="559" t="s">
        <v>205</v>
      </c>
      <c r="D690" s="559" t="s">
        <v>35</v>
      </c>
      <c r="E690" s="559" t="s">
        <v>110</v>
      </c>
      <c r="F690" s="559">
        <v>4424.0650000000196</v>
      </c>
      <c r="G690" s="174"/>
    </row>
    <row r="691" spans="1:7" x14ac:dyDescent="0.3">
      <c r="A691" s="559" t="s">
        <v>473</v>
      </c>
      <c r="B691" s="559">
        <v>2014</v>
      </c>
      <c r="C691" s="559" t="s">
        <v>205</v>
      </c>
      <c r="D691" s="559" t="s">
        <v>41</v>
      </c>
      <c r="E691" s="559" t="s">
        <v>96</v>
      </c>
      <c r="F691" s="559">
        <v>4162.1230000000096</v>
      </c>
      <c r="G691" s="174"/>
    </row>
    <row r="692" spans="1:7" x14ac:dyDescent="0.3">
      <c r="A692" s="559" t="s">
        <v>473</v>
      </c>
      <c r="B692" s="559">
        <v>2014</v>
      </c>
      <c r="C692" s="559" t="s">
        <v>206</v>
      </c>
      <c r="D692" s="559" t="s">
        <v>35</v>
      </c>
      <c r="E692" s="559" t="s">
        <v>101</v>
      </c>
      <c r="F692" s="559">
        <v>4782.6570000000002</v>
      </c>
      <c r="G692" s="174"/>
    </row>
    <row r="693" spans="1:7" x14ac:dyDescent="0.3">
      <c r="A693" s="559" t="s">
        <v>473</v>
      </c>
      <c r="B693" s="559">
        <v>2014</v>
      </c>
      <c r="C693" s="559" t="s">
        <v>207</v>
      </c>
      <c r="D693" s="559" t="s">
        <v>40</v>
      </c>
      <c r="E693" s="559" t="s">
        <v>96</v>
      </c>
      <c r="F693" s="559">
        <v>38466.724999999598</v>
      </c>
      <c r="G693" s="174"/>
    </row>
    <row r="694" spans="1:7" x14ac:dyDescent="0.3">
      <c r="A694" s="559" t="s">
        <v>473</v>
      </c>
      <c r="B694" s="559">
        <v>2014</v>
      </c>
      <c r="C694" s="559" t="s">
        <v>208</v>
      </c>
      <c r="D694" s="559" t="s">
        <v>47</v>
      </c>
      <c r="E694" s="559" t="s">
        <v>96</v>
      </c>
      <c r="F694" s="559">
        <v>24884.678000000102</v>
      </c>
      <c r="G694" s="174"/>
    </row>
    <row r="695" spans="1:7" x14ac:dyDescent="0.3">
      <c r="A695" s="559" t="s">
        <v>473</v>
      </c>
      <c r="B695" s="559">
        <v>2014</v>
      </c>
      <c r="C695" s="559" t="s">
        <v>209</v>
      </c>
      <c r="D695" s="559" t="s">
        <v>47</v>
      </c>
      <c r="E695" s="559" t="s">
        <v>96</v>
      </c>
      <c r="F695" s="559">
        <v>22872.596000000001</v>
      </c>
      <c r="G695" s="174"/>
    </row>
    <row r="696" spans="1:7" x14ac:dyDescent="0.3">
      <c r="A696" s="559" t="s">
        <v>473</v>
      </c>
      <c r="B696" s="559">
        <v>2014</v>
      </c>
      <c r="C696" s="559" t="s">
        <v>210</v>
      </c>
      <c r="D696" s="559" t="s">
        <v>28</v>
      </c>
      <c r="E696" s="559" t="s">
        <v>96</v>
      </c>
      <c r="F696" s="559">
        <v>30481.342999999699</v>
      </c>
      <c r="G696" s="174"/>
    </row>
    <row r="697" spans="1:7" x14ac:dyDescent="0.3">
      <c r="A697" s="559" t="s">
        <v>473</v>
      </c>
      <c r="B697" s="559">
        <v>2014</v>
      </c>
      <c r="C697" s="559" t="s">
        <v>211</v>
      </c>
      <c r="D697" s="559" t="s">
        <v>35</v>
      </c>
      <c r="E697" s="559" t="s">
        <v>110</v>
      </c>
      <c r="F697" s="559">
        <v>0</v>
      </c>
      <c r="G697" s="174"/>
    </row>
    <row r="698" spans="1:7" x14ac:dyDescent="0.3">
      <c r="A698" s="559" t="s">
        <v>473</v>
      </c>
      <c r="B698" s="559">
        <v>2014</v>
      </c>
      <c r="C698" s="559" t="s">
        <v>212</v>
      </c>
      <c r="D698" s="559" t="s">
        <v>14</v>
      </c>
      <c r="E698" s="559" t="s">
        <v>101</v>
      </c>
      <c r="F698" s="559">
        <v>0</v>
      </c>
      <c r="G698" s="174"/>
    </row>
    <row r="699" spans="1:7" x14ac:dyDescent="0.3">
      <c r="A699" s="559" t="s">
        <v>473</v>
      </c>
      <c r="B699" s="559">
        <v>2014</v>
      </c>
      <c r="C699" s="559" t="s">
        <v>213</v>
      </c>
      <c r="D699" s="559" t="s">
        <v>72</v>
      </c>
      <c r="E699" s="559" t="s">
        <v>110</v>
      </c>
      <c r="F699" s="559">
        <v>0</v>
      </c>
      <c r="G699" s="174"/>
    </row>
    <row r="700" spans="1:7" x14ac:dyDescent="0.3">
      <c r="A700" s="559" t="s">
        <v>473</v>
      </c>
      <c r="B700" s="559">
        <v>2014</v>
      </c>
      <c r="C700" s="559" t="s">
        <v>213</v>
      </c>
      <c r="D700" s="559" t="s">
        <v>103</v>
      </c>
      <c r="E700" s="559" t="s">
        <v>96</v>
      </c>
      <c r="F700" s="559">
        <v>54.302999999999997</v>
      </c>
      <c r="G700" s="174"/>
    </row>
    <row r="701" spans="1:7" x14ac:dyDescent="0.3">
      <c r="A701" s="559" t="s">
        <v>473</v>
      </c>
      <c r="B701" s="559">
        <v>2014</v>
      </c>
      <c r="C701" s="559" t="s">
        <v>214</v>
      </c>
      <c r="D701" s="559" t="s">
        <v>33</v>
      </c>
      <c r="E701" s="559" t="s">
        <v>101</v>
      </c>
      <c r="F701" s="559">
        <v>86381.671000000293</v>
      </c>
      <c r="G701" s="174"/>
    </row>
    <row r="702" spans="1:7" x14ac:dyDescent="0.3">
      <c r="A702" s="559" t="s">
        <v>473</v>
      </c>
      <c r="B702" s="559">
        <v>2014</v>
      </c>
      <c r="C702" s="559" t="s">
        <v>215</v>
      </c>
      <c r="D702" s="559" t="s">
        <v>35</v>
      </c>
      <c r="E702" s="559" t="s">
        <v>101</v>
      </c>
      <c r="F702" s="559">
        <v>138352.95000000001</v>
      </c>
      <c r="G702" s="174"/>
    </row>
    <row r="703" spans="1:7" x14ac:dyDescent="0.3">
      <c r="A703" s="559" t="s">
        <v>473</v>
      </c>
      <c r="B703" s="559">
        <v>2014</v>
      </c>
      <c r="C703" s="559" t="s">
        <v>216</v>
      </c>
      <c r="D703" s="559" t="s">
        <v>35</v>
      </c>
      <c r="E703" s="559" t="s">
        <v>101</v>
      </c>
      <c r="F703" s="559">
        <v>0</v>
      </c>
      <c r="G703" s="174"/>
    </row>
    <row r="704" spans="1:7" x14ac:dyDescent="0.3">
      <c r="A704" s="559" t="s">
        <v>473</v>
      </c>
      <c r="B704" s="559">
        <v>2014</v>
      </c>
      <c r="C704" s="559" t="s">
        <v>217</v>
      </c>
      <c r="D704" s="559" t="s">
        <v>19</v>
      </c>
      <c r="E704" s="559" t="s">
        <v>96</v>
      </c>
      <c r="F704" s="559">
        <v>7092.8490000000002</v>
      </c>
      <c r="G704" s="174"/>
    </row>
    <row r="705" spans="1:7" x14ac:dyDescent="0.3">
      <c r="A705" s="559" t="s">
        <v>473</v>
      </c>
      <c r="B705" s="559">
        <v>2014</v>
      </c>
      <c r="C705" s="559" t="s">
        <v>218</v>
      </c>
      <c r="D705" s="559" t="s">
        <v>39</v>
      </c>
      <c r="E705" s="559" t="s">
        <v>96</v>
      </c>
      <c r="F705" s="559">
        <v>8.2000000000000003E-2</v>
      </c>
      <c r="G705" s="174"/>
    </row>
    <row r="706" spans="1:7" x14ac:dyDescent="0.3">
      <c r="A706" s="559" t="s">
        <v>473</v>
      </c>
      <c r="B706" s="559">
        <v>2014</v>
      </c>
      <c r="C706" s="559" t="s">
        <v>219</v>
      </c>
      <c r="D706" s="559" t="s">
        <v>28</v>
      </c>
      <c r="E706" s="559" t="s">
        <v>96</v>
      </c>
      <c r="F706" s="559">
        <v>49316.525999999998</v>
      </c>
      <c r="G706" s="174"/>
    </row>
    <row r="707" spans="1:7" x14ac:dyDescent="0.3">
      <c r="A707" s="559" t="s">
        <v>473</v>
      </c>
      <c r="B707" s="559">
        <v>2014</v>
      </c>
      <c r="C707" s="559" t="s">
        <v>220</v>
      </c>
      <c r="D707" s="559" t="s">
        <v>8</v>
      </c>
      <c r="E707" s="559" t="s">
        <v>96</v>
      </c>
      <c r="F707" s="559">
        <v>21971.503000000299</v>
      </c>
      <c r="G707" s="174"/>
    </row>
    <row r="708" spans="1:7" x14ac:dyDescent="0.3">
      <c r="A708" s="559" t="s">
        <v>473</v>
      </c>
      <c r="B708" s="559">
        <v>2014</v>
      </c>
      <c r="C708" s="559" t="s">
        <v>221</v>
      </c>
      <c r="D708" s="559" t="s">
        <v>33</v>
      </c>
      <c r="E708" s="559" t="s">
        <v>101</v>
      </c>
      <c r="F708" s="559">
        <v>10087.416999999699</v>
      </c>
      <c r="G708" s="174"/>
    </row>
    <row r="709" spans="1:7" x14ac:dyDescent="0.3">
      <c r="A709" s="559" t="s">
        <v>473</v>
      </c>
      <c r="B709" s="559">
        <v>2014</v>
      </c>
      <c r="C709" s="559" t="s">
        <v>222</v>
      </c>
      <c r="D709" s="559" t="s">
        <v>33</v>
      </c>
      <c r="E709" s="559" t="s">
        <v>96</v>
      </c>
      <c r="F709" s="559">
        <v>1313.7939999999901</v>
      </c>
      <c r="G709" s="174"/>
    </row>
    <row r="710" spans="1:7" x14ac:dyDescent="0.3">
      <c r="A710" s="559" t="s">
        <v>473</v>
      </c>
      <c r="B710" s="559">
        <v>2014</v>
      </c>
      <c r="C710" s="559" t="s">
        <v>223</v>
      </c>
      <c r="D710" s="559" t="s">
        <v>33</v>
      </c>
      <c r="E710" s="559" t="s">
        <v>101</v>
      </c>
      <c r="F710" s="559">
        <v>0</v>
      </c>
      <c r="G710" s="174"/>
    </row>
    <row r="711" spans="1:7" x14ac:dyDescent="0.3">
      <c r="A711" s="559" t="s">
        <v>473</v>
      </c>
      <c r="B711" s="559">
        <v>2014</v>
      </c>
      <c r="C711" s="559" t="s">
        <v>224</v>
      </c>
      <c r="D711" s="559" t="s">
        <v>40</v>
      </c>
      <c r="E711" s="559" t="s">
        <v>96</v>
      </c>
      <c r="F711" s="572">
        <v>0</v>
      </c>
      <c r="G711" s="174"/>
    </row>
    <row r="712" spans="1:7" x14ac:dyDescent="0.3">
      <c r="A712" s="559" t="s">
        <v>473</v>
      </c>
      <c r="B712" s="559">
        <v>2014</v>
      </c>
      <c r="C712" s="559" t="s">
        <v>225</v>
      </c>
      <c r="D712" s="559" t="s">
        <v>40</v>
      </c>
      <c r="E712" s="559" t="s">
        <v>96</v>
      </c>
      <c r="F712" s="572">
        <v>0</v>
      </c>
      <c r="G712" s="174"/>
    </row>
    <row r="713" spans="1:7" x14ac:dyDescent="0.3">
      <c r="A713" s="559" t="s">
        <v>473</v>
      </c>
      <c r="B713" s="559">
        <v>2014</v>
      </c>
      <c r="C713" s="559" t="s">
        <v>226</v>
      </c>
      <c r="D713" s="559" t="s">
        <v>37</v>
      </c>
      <c r="E713" s="559" t="s">
        <v>96</v>
      </c>
      <c r="F713" s="559">
        <v>15686139.4719999</v>
      </c>
      <c r="G713" s="174"/>
    </row>
    <row r="714" spans="1:7" x14ac:dyDescent="0.3">
      <c r="A714" s="559" t="s">
        <v>473</v>
      </c>
      <c r="B714" s="559">
        <v>2014</v>
      </c>
      <c r="C714" s="559" t="s">
        <v>227</v>
      </c>
      <c r="D714" s="559" t="s">
        <v>48</v>
      </c>
      <c r="E714" s="559" t="s">
        <v>96</v>
      </c>
      <c r="F714" s="559">
        <v>5670687.1399999699</v>
      </c>
      <c r="G714" s="174"/>
    </row>
    <row r="715" spans="1:7" x14ac:dyDescent="0.3">
      <c r="A715" s="559" t="s">
        <v>473</v>
      </c>
      <c r="B715" s="559">
        <v>2014</v>
      </c>
      <c r="C715" s="559" t="s">
        <v>228</v>
      </c>
      <c r="D715" s="559" t="s">
        <v>15</v>
      </c>
      <c r="E715" s="559" t="s">
        <v>96</v>
      </c>
      <c r="F715" s="559">
        <v>61859.466000000102</v>
      </c>
      <c r="G715" s="174"/>
    </row>
    <row r="716" spans="1:7" x14ac:dyDescent="0.3">
      <c r="A716" s="559" t="s">
        <v>473</v>
      </c>
      <c r="B716" s="559">
        <v>2014</v>
      </c>
      <c r="C716" s="559" t="s">
        <v>229</v>
      </c>
      <c r="D716" s="559" t="s">
        <v>23</v>
      </c>
      <c r="E716" s="559" t="s">
        <v>96</v>
      </c>
      <c r="F716" s="559">
        <v>17529671.6800001</v>
      </c>
      <c r="G716" s="174"/>
    </row>
    <row r="717" spans="1:7" x14ac:dyDescent="0.3">
      <c r="A717" s="559" t="s">
        <v>473</v>
      </c>
      <c r="B717" s="559">
        <v>2014</v>
      </c>
      <c r="C717" s="559" t="s">
        <v>230</v>
      </c>
      <c r="D717" s="559" t="s">
        <v>28</v>
      </c>
      <c r="E717" s="559" t="s">
        <v>96</v>
      </c>
      <c r="F717" s="559">
        <v>48365.050000000199</v>
      </c>
      <c r="G717" s="174"/>
    </row>
    <row r="718" spans="1:7" x14ac:dyDescent="0.3">
      <c r="A718" s="559" t="s">
        <v>473</v>
      </c>
      <c r="B718" s="559">
        <v>2014</v>
      </c>
      <c r="C718" s="559" t="s">
        <v>231</v>
      </c>
      <c r="D718" s="559" t="s">
        <v>17</v>
      </c>
      <c r="E718" s="559" t="s">
        <v>101</v>
      </c>
      <c r="F718" s="572">
        <v>1476633.2579999899</v>
      </c>
      <c r="G718" s="174"/>
    </row>
    <row r="719" spans="1:7" x14ac:dyDescent="0.3">
      <c r="A719" s="559" t="s">
        <v>473</v>
      </c>
      <c r="B719" s="559">
        <v>2014</v>
      </c>
      <c r="C719" s="559" t="s">
        <v>232</v>
      </c>
      <c r="D719" s="559" t="s">
        <v>28</v>
      </c>
      <c r="E719" s="559" t="s">
        <v>96</v>
      </c>
      <c r="F719" s="572">
        <v>0</v>
      </c>
      <c r="G719" s="174"/>
    </row>
    <row r="720" spans="1:7" x14ac:dyDescent="0.3">
      <c r="A720" s="559" t="s">
        <v>473</v>
      </c>
      <c r="B720" s="559">
        <v>2014</v>
      </c>
      <c r="C720" s="559" t="s">
        <v>233</v>
      </c>
      <c r="D720" s="559" t="s">
        <v>28</v>
      </c>
      <c r="E720" s="559" t="s">
        <v>96</v>
      </c>
      <c r="F720" s="559">
        <v>37446.575000000601</v>
      </c>
      <c r="G720" s="174"/>
    </row>
    <row r="721" spans="1:7" x14ac:dyDescent="0.3">
      <c r="A721" s="559" t="s">
        <v>473</v>
      </c>
      <c r="B721" s="559">
        <v>2014</v>
      </c>
      <c r="C721" s="559" t="s">
        <v>234</v>
      </c>
      <c r="D721" s="559" t="s">
        <v>23</v>
      </c>
      <c r="E721" s="559" t="s">
        <v>96</v>
      </c>
      <c r="F721" s="559">
        <v>2581865.077</v>
      </c>
      <c r="G721" s="174"/>
    </row>
    <row r="722" spans="1:7" x14ac:dyDescent="0.3">
      <c r="A722" s="559" t="s">
        <v>473</v>
      </c>
      <c r="B722" s="559">
        <v>2014</v>
      </c>
      <c r="C722" s="559" t="s">
        <v>235</v>
      </c>
      <c r="D722" s="559" t="s">
        <v>28</v>
      </c>
      <c r="E722" s="559" t="s">
        <v>96</v>
      </c>
      <c r="F722" s="559">
        <v>5129.3699999999099</v>
      </c>
      <c r="G722" s="174"/>
    </row>
    <row r="723" spans="1:7" x14ac:dyDescent="0.3">
      <c r="A723" s="559" t="s">
        <v>473</v>
      </c>
      <c r="B723" s="559">
        <v>2014</v>
      </c>
      <c r="C723" s="559" t="s">
        <v>236</v>
      </c>
      <c r="D723" s="559" t="s">
        <v>51</v>
      </c>
      <c r="E723" s="559" t="s">
        <v>96</v>
      </c>
      <c r="F723" s="559">
        <v>136.97399999999999</v>
      </c>
      <c r="G723" s="174"/>
    </row>
    <row r="724" spans="1:7" x14ac:dyDescent="0.3">
      <c r="A724" s="559" t="s">
        <v>473</v>
      </c>
      <c r="B724" s="559">
        <v>2014</v>
      </c>
      <c r="C724" s="559" t="s">
        <v>237</v>
      </c>
      <c r="D724" s="559" t="s">
        <v>18</v>
      </c>
      <c r="E724" s="559" t="s">
        <v>101</v>
      </c>
      <c r="F724" s="559">
        <v>191932.10600000099</v>
      </c>
      <c r="G724" s="174"/>
    </row>
    <row r="725" spans="1:7" x14ac:dyDescent="0.3">
      <c r="A725" s="559" t="s">
        <v>473</v>
      </c>
      <c r="B725" s="559">
        <v>2014</v>
      </c>
      <c r="C725" s="559" t="s">
        <v>238</v>
      </c>
      <c r="D725" s="559" t="s">
        <v>17</v>
      </c>
      <c r="E725" s="559" t="s">
        <v>96</v>
      </c>
      <c r="F725" s="572">
        <v>6.6399999999999899</v>
      </c>
      <c r="G725" s="174"/>
    </row>
    <row r="726" spans="1:7" x14ac:dyDescent="0.3">
      <c r="A726" s="559" t="s">
        <v>473</v>
      </c>
      <c r="B726" s="559">
        <v>2014</v>
      </c>
      <c r="C726" s="559" t="s">
        <v>239</v>
      </c>
      <c r="D726" s="559" t="s">
        <v>21</v>
      </c>
      <c r="E726" s="559" t="s">
        <v>101</v>
      </c>
      <c r="F726" s="572">
        <v>130478.322999999</v>
      </c>
      <c r="G726" s="174"/>
    </row>
    <row r="727" spans="1:7" x14ac:dyDescent="0.3">
      <c r="A727" s="559" t="s">
        <v>473</v>
      </c>
      <c r="B727" s="559">
        <v>2014</v>
      </c>
      <c r="C727" s="559" t="s">
        <v>240</v>
      </c>
      <c r="D727" s="559" t="s">
        <v>73</v>
      </c>
      <c r="E727" s="559" t="s">
        <v>96</v>
      </c>
      <c r="F727" s="572">
        <v>151587.318</v>
      </c>
      <c r="G727" s="174"/>
    </row>
    <row r="728" spans="1:7" x14ac:dyDescent="0.3">
      <c r="A728" s="559" t="s">
        <v>473</v>
      </c>
      <c r="B728" s="559">
        <v>2014</v>
      </c>
      <c r="C728" s="559" t="s">
        <v>241</v>
      </c>
      <c r="D728" s="559" t="s">
        <v>14</v>
      </c>
      <c r="E728" s="559" t="s">
        <v>110</v>
      </c>
      <c r="F728" s="572">
        <v>0</v>
      </c>
      <c r="G728" s="174"/>
    </row>
    <row r="729" spans="1:7" x14ac:dyDescent="0.3">
      <c r="A729" s="559" t="s">
        <v>473</v>
      </c>
      <c r="B729" s="559">
        <v>2014</v>
      </c>
      <c r="C729" s="559" t="s">
        <v>242</v>
      </c>
      <c r="D729" s="559" t="s">
        <v>32</v>
      </c>
      <c r="E729" s="559" t="s">
        <v>96</v>
      </c>
      <c r="F729" s="572">
        <v>0</v>
      </c>
      <c r="G729" s="174"/>
    </row>
    <row r="730" spans="1:7" x14ac:dyDescent="0.3">
      <c r="A730" s="559" t="s">
        <v>473</v>
      </c>
      <c r="B730" s="559">
        <v>2014</v>
      </c>
      <c r="C730" s="559" t="s">
        <v>243</v>
      </c>
      <c r="D730" s="559" t="s">
        <v>51</v>
      </c>
      <c r="E730" s="559" t="s">
        <v>96</v>
      </c>
      <c r="F730" s="572">
        <v>1417.7036761465599</v>
      </c>
      <c r="G730" s="174"/>
    </row>
    <row r="731" spans="1:7" x14ac:dyDescent="0.3">
      <c r="A731" s="559" t="s">
        <v>473</v>
      </c>
      <c r="B731" s="559">
        <v>2014</v>
      </c>
      <c r="C731" s="559" t="s">
        <v>243</v>
      </c>
      <c r="D731" s="559" t="s">
        <v>28</v>
      </c>
      <c r="E731" s="559" t="s">
        <v>96</v>
      </c>
      <c r="F731" s="572">
        <v>62922.964323854001</v>
      </c>
      <c r="G731" s="174"/>
    </row>
    <row r="732" spans="1:7" x14ac:dyDescent="0.3">
      <c r="A732" s="559" t="s">
        <v>473</v>
      </c>
      <c r="B732" s="559">
        <v>2014</v>
      </c>
      <c r="C732" s="559" t="s">
        <v>244</v>
      </c>
      <c r="D732" s="559" t="s">
        <v>71</v>
      </c>
      <c r="E732" s="559" t="s">
        <v>96</v>
      </c>
      <c r="F732" s="572">
        <v>122319.769</v>
      </c>
      <c r="G732" s="174"/>
    </row>
    <row r="733" spans="1:7" x14ac:dyDescent="0.3">
      <c r="A733" s="559" t="s">
        <v>473</v>
      </c>
      <c r="B733" s="559">
        <v>2014</v>
      </c>
      <c r="C733" s="559" t="s">
        <v>245</v>
      </c>
      <c r="D733" s="559" t="s">
        <v>35</v>
      </c>
      <c r="E733" s="559" t="s">
        <v>101</v>
      </c>
      <c r="F733" s="572">
        <v>5220.56699999991</v>
      </c>
      <c r="G733" s="174"/>
    </row>
    <row r="734" spans="1:7" x14ac:dyDescent="0.3">
      <c r="A734" s="559" t="s">
        <v>473</v>
      </c>
      <c r="B734" s="559">
        <v>2014</v>
      </c>
      <c r="C734" s="559" t="s">
        <v>246</v>
      </c>
      <c r="D734" s="559" t="s">
        <v>20</v>
      </c>
      <c r="E734" s="559" t="s">
        <v>96</v>
      </c>
      <c r="F734" s="572">
        <v>129995.006000001</v>
      </c>
      <c r="G734" s="174"/>
    </row>
    <row r="735" spans="1:7" x14ac:dyDescent="0.3">
      <c r="A735" s="559" t="s">
        <v>473</v>
      </c>
      <c r="B735" s="559">
        <v>2014</v>
      </c>
      <c r="C735" s="559" t="s">
        <v>247</v>
      </c>
      <c r="D735" s="559" t="s">
        <v>14</v>
      </c>
      <c r="E735" s="559" t="s">
        <v>101</v>
      </c>
      <c r="F735" s="572">
        <v>43486.276000002399</v>
      </c>
      <c r="G735" s="174"/>
    </row>
    <row r="736" spans="1:7" x14ac:dyDescent="0.3">
      <c r="A736" s="559" t="s">
        <v>473</v>
      </c>
      <c r="B736" s="559">
        <v>2014</v>
      </c>
      <c r="C736" s="559" t="s">
        <v>248</v>
      </c>
      <c r="D736" s="559" t="s">
        <v>14</v>
      </c>
      <c r="E736" s="559" t="s">
        <v>101</v>
      </c>
      <c r="F736" s="572">
        <v>0</v>
      </c>
      <c r="G736" s="174"/>
    </row>
    <row r="737" spans="1:7" x14ac:dyDescent="0.3">
      <c r="A737" s="559" t="s">
        <v>473</v>
      </c>
      <c r="B737" s="559">
        <v>2014</v>
      </c>
      <c r="C737" s="559" t="s">
        <v>249</v>
      </c>
      <c r="D737" s="559" t="s">
        <v>14</v>
      </c>
      <c r="E737" s="559" t="s">
        <v>101</v>
      </c>
      <c r="F737" s="572">
        <v>0</v>
      </c>
      <c r="G737" s="174"/>
    </row>
    <row r="738" spans="1:7" x14ac:dyDescent="0.3">
      <c r="A738" s="559" t="s">
        <v>473</v>
      </c>
      <c r="B738" s="559">
        <v>2014</v>
      </c>
      <c r="C738" s="559" t="s">
        <v>250</v>
      </c>
      <c r="D738" s="559" t="s">
        <v>17</v>
      </c>
      <c r="E738" s="559" t="s">
        <v>101</v>
      </c>
      <c r="F738" s="572">
        <v>612963.70699999901</v>
      </c>
      <c r="G738" s="174"/>
    </row>
    <row r="739" spans="1:7" x14ac:dyDescent="0.3">
      <c r="A739" s="559" t="s">
        <v>473</v>
      </c>
      <c r="B739" s="559">
        <v>2014</v>
      </c>
      <c r="C739" s="559" t="s">
        <v>251</v>
      </c>
      <c r="D739" s="559" t="s">
        <v>4</v>
      </c>
      <c r="E739" s="559" t="s">
        <v>101</v>
      </c>
      <c r="F739" s="572">
        <v>110427.361999999</v>
      </c>
      <c r="G739" s="174"/>
    </row>
    <row r="740" spans="1:7" x14ac:dyDescent="0.3">
      <c r="A740" s="559" t="s">
        <v>473</v>
      </c>
      <c r="B740" s="559">
        <v>2014</v>
      </c>
      <c r="C740" s="559" t="s">
        <v>252</v>
      </c>
      <c r="D740" s="559" t="s">
        <v>28</v>
      </c>
      <c r="E740" s="559" t="s">
        <v>96</v>
      </c>
      <c r="F740" s="572">
        <v>0</v>
      </c>
      <c r="G740" s="174"/>
    </row>
    <row r="741" spans="1:7" x14ac:dyDescent="0.3">
      <c r="A741" s="559" t="s">
        <v>473</v>
      </c>
      <c r="B741" s="559">
        <v>2014</v>
      </c>
      <c r="C741" s="559" t="s">
        <v>252</v>
      </c>
      <c r="D741" s="559" t="s">
        <v>32</v>
      </c>
      <c r="E741" s="559" t="s">
        <v>96</v>
      </c>
      <c r="F741" s="572">
        <v>0</v>
      </c>
      <c r="G741" s="174"/>
    </row>
    <row r="742" spans="1:7" x14ac:dyDescent="0.3">
      <c r="A742" s="559" t="s">
        <v>473</v>
      </c>
      <c r="B742" s="559">
        <v>2014</v>
      </c>
      <c r="C742" s="559" t="s">
        <v>253</v>
      </c>
      <c r="D742" s="559" t="s">
        <v>32</v>
      </c>
      <c r="E742" s="559" t="s">
        <v>96</v>
      </c>
      <c r="F742" s="572">
        <v>12793.3999999999</v>
      </c>
      <c r="G742" s="174"/>
    </row>
    <row r="743" spans="1:7" x14ac:dyDescent="0.3">
      <c r="A743" s="559" t="s">
        <v>473</v>
      </c>
      <c r="B743" s="559">
        <v>2014</v>
      </c>
      <c r="C743" s="559" t="s">
        <v>254</v>
      </c>
      <c r="D743" s="559" t="s">
        <v>28</v>
      </c>
      <c r="E743" s="559" t="s">
        <v>96</v>
      </c>
      <c r="F743" s="572">
        <v>59255.188000000198</v>
      </c>
      <c r="G743" s="174"/>
    </row>
    <row r="744" spans="1:7" x14ac:dyDescent="0.3">
      <c r="A744" s="559" t="s">
        <v>473</v>
      </c>
      <c r="B744" s="559">
        <v>2014</v>
      </c>
      <c r="C744" s="559" t="s">
        <v>678</v>
      </c>
      <c r="D744" s="559" t="s">
        <v>2</v>
      </c>
      <c r="E744" s="559" t="s">
        <v>96</v>
      </c>
      <c r="F744" s="572">
        <v>25943.7679999998</v>
      </c>
      <c r="G744" s="174"/>
    </row>
    <row r="745" spans="1:7" x14ac:dyDescent="0.3">
      <c r="A745" s="559" t="s">
        <v>473</v>
      </c>
      <c r="B745" s="559">
        <v>2014</v>
      </c>
      <c r="C745" s="559" t="s">
        <v>257</v>
      </c>
      <c r="D745" s="559" t="s">
        <v>4</v>
      </c>
      <c r="E745" s="559" t="s">
        <v>96</v>
      </c>
      <c r="F745" s="572">
        <v>199456.06120357499</v>
      </c>
      <c r="G745" s="174"/>
    </row>
    <row r="746" spans="1:7" x14ac:dyDescent="0.3">
      <c r="A746" s="559" t="s">
        <v>473</v>
      </c>
      <c r="B746" s="559">
        <v>2014</v>
      </c>
      <c r="C746" s="559" t="s">
        <v>257</v>
      </c>
      <c r="D746" s="559" t="s">
        <v>37</v>
      </c>
      <c r="E746" s="559" t="s">
        <v>96</v>
      </c>
      <c r="F746" s="572">
        <v>9467514.3717963994</v>
      </c>
      <c r="G746" s="174"/>
    </row>
    <row r="747" spans="1:7" x14ac:dyDescent="0.3">
      <c r="A747" s="559" t="s">
        <v>473</v>
      </c>
      <c r="B747" s="559">
        <v>2014</v>
      </c>
      <c r="C747" s="559" t="s">
        <v>258</v>
      </c>
      <c r="D747" s="559" t="s">
        <v>41</v>
      </c>
      <c r="E747" s="559" t="s">
        <v>96</v>
      </c>
      <c r="F747" s="572">
        <v>341.30000000000399</v>
      </c>
      <c r="G747" s="174"/>
    </row>
    <row r="748" spans="1:7" x14ac:dyDescent="0.3">
      <c r="A748" s="559" t="s">
        <v>473</v>
      </c>
      <c r="B748" s="559">
        <v>2014</v>
      </c>
      <c r="C748" s="559" t="s">
        <v>259</v>
      </c>
      <c r="D748" s="559" t="s">
        <v>36</v>
      </c>
      <c r="E748" s="559" t="s">
        <v>96</v>
      </c>
      <c r="F748" s="572">
        <v>0</v>
      </c>
      <c r="G748" s="174"/>
    </row>
    <row r="749" spans="1:7" x14ac:dyDescent="0.3">
      <c r="A749" s="559" t="s">
        <v>473</v>
      </c>
      <c r="B749" s="559">
        <v>2014</v>
      </c>
      <c r="C749" s="559" t="s">
        <v>261</v>
      </c>
      <c r="D749" s="559" t="s">
        <v>28</v>
      </c>
      <c r="E749" s="559" t="s">
        <v>96</v>
      </c>
      <c r="F749" s="572">
        <v>195672.84999999899</v>
      </c>
      <c r="G749" s="174"/>
    </row>
    <row r="750" spans="1:7" x14ac:dyDescent="0.3">
      <c r="A750" s="559" t="s">
        <v>473</v>
      </c>
      <c r="B750" s="559">
        <v>2014</v>
      </c>
      <c r="C750" s="559" t="s">
        <v>262</v>
      </c>
      <c r="D750" s="559" t="s">
        <v>37</v>
      </c>
      <c r="E750" s="559" t="s">
        <v>96</v>
      </c>
      <c r="F750" s="572">
        <v>6713129.9100000504</v>
      </c>
      <c r="G750" s="174"/>
    </row>
    <row r="751" spans="1:7" x14ac:dyDescent="0.3">
      <c r="A751" s="559" t="s">
        <v>473</v>
      </c>
      <c r="B751" s="559">
        <v>2014</v>
      </c>
      <c r="C751" s="559" t="s">
        <v>263</v>
      </c>
      <c r="D751" s="559" t="s">
        <v>49</v>
      </c>
      <c r="E751" s="559" t="s">
        <v>96</v>
      </c>
      <c r="F751" s="572">
        <v>206.362999999999</v>
      </c>
      <c r="G751" s="174"/>
    </row>
    <row r="752" spans="1:7" x14ac:dyDescent="0.3">
      <c r="A752" s="559" t="s">
        <v>473</v>
      </c>
      <c r="B752" s="559">
        <v>2014</v>
      </c>
      <c r="C752" s="559" t="s">
        <v>264</v>
      </c>
      <c r="D752" s="559" t="s">
        <v>51</v>
      </c>
      <c r="E752" s="559" t="s">
        <v>96</v>
      </c>
      <c r="F752" s="572">
        <v>8852.6791641056898</v>
      </c>
      <c r="G752" s="174"/>
    </row>
    <row r="753" spans="1:7" x14ac:dyDescent="0.3">
      <c r="A753" s="559" t="s">
        <v>473</v>
      </c>
      <c r="B753" s="559">
        <v>2014</v>
      </c>
      <c r="C753" s="559" t="s">
        <v>264</v>
      </c>
      <c r="D753" s="559" t="s">
        <v>37</v>
      </c>
      <c r="E753" s="559" t="s">
        <v>96</v>
      </c>
      <c r="F753" s="572">
        <v>41106002.013820402</v>
      </c>
      <c r="G753" s="174"/>
    </row>
    <row r="754" spans="1:7" x14ac:dyDescent="0.3">
      <c r="A754" s="559" t="s">
        <v>473</v>
      </c>
      <c r="B754" s="559">
        <v>2014</v>
      </c>
      <c r="C754" s="559" t="s">
        <v>265</v>
      </c>
      <c r="D754" s="559" t="s">
        <v>37</v>
      </c>
      <c r="E754" s="559" t="s">
        <v>96</v>
      </c>
      <c r="F754" s="573">
        <v>26967085.019999702</v>
      </c>
      <c r="G754" s="174"/>
    </row>
    <row r="755" spans="1:7" x14ac:dyDescent="0.3">
      <c r="A755" s="559" t="s">
        <v>473</v>
      </c>
      <c r="B755" s="559">
        <v>2014</v>
      </c>
      <c r="C755" s="559" t="s">
        <v>266</v>
      </c>
      <c r="D755" s="559" t="s">
        <v>40</v>
      </c>
      <c r="E755" s="559" t="s">
        <v>96</v>
      </c>
      <c r="F755" s="559">
        <v>0</v>
      </c>
      <c r="G755" s="174"/>
    </row>
    <row r="756" spans="1:7" x14ac:dyDescent="0.3">
      <c r="A756" s="559" t="s">
        <v>473</v>
      </c>
      <c r="B756" s="559">
        <v>2014</v>
      </c>
      <c r="C756" s="559" t="s">
        <v>267</v>
      </c>
      <c r="D756" s="559" t="s">
        <v>4</v>
      </c>
      <c r="E756" s="559" t="s">
        <v>96</v>
      </c>
      <c r="F756" s="559">
        <v>20.672999999999899</v>
      </c>
      <c r="G756" s="174"/>
    </row>
    <row r="757" spans="1:7" x14ac:dyDescent="0.3">
      <c r="A757" s="559" t="s">
        <v>473</v>
      </c>
      <c r="B757" s="559">
        <v>2014</v>
      </c>
      <c r="C757" s="559" t="s">
        <v>268</v>
      </c>
      <c r="D757" s="559" t="s">
        <v>4</v>
      </c>
      <c r="E757" s="559" t="s">
        <v>101</v>
      </c>
      <c r="F757" s="559">
        <v>57699.374000000898</v>
      </c>
      <c r="G757" s="174"/>
    </row>
    <row r="758" spans="1:7" x14ac:dyDescent="0.3">
      <c r="A758" s="559" t="s">
        <v>473</v>
      </c>
      <c r="B758" s="559">
        <v>2014</v>
      </c>
      <c r="C758" s="559" t="s">
        <v>269</v>
      </c>
      <c r="D758" s="559" t="s">
        <v>8</v>
      </c>
      <c r="E758" s="559" t="s">
        <v>96</v>
      </c>
      <c r="F758" s="559">
        <v>0</v>
      </c>
      <c r="G758" s="174"/>
    </row>
    <row r="759" spans="1:7" x14ac:dyDescent="0.3">
      <c r="A759" s="559" t="s">
        <v>473</v>
      </c>
      <c r="B759" s="559">
        <v>2014</v>
      </c>
      <c r="C759" s="559" t="s">
        <v>270</v>
      </c>
      <c r="D759" s="559" t="s">
        <v>36</v>
      </c>
      <c r="E759" s="559" t="s">
        <v>96</v>
      </c>
      <c r="F759" s="559">
        <v>0</v>
      </c>
      <c r="G759" s="174"/>
    </row>
    <row r="760" spans="1:7" x14ac:dyDescent="0.3">
      <c r="A760" s="559" t="s">
        <v>473</v>
      </c>
      <c r="B760" s="559">
        <v>2014</v>
      </c>
      <c r="C760" s="559" t="s">
        <v>679</v>
      </c>
      <c r="D760" s="559" t="s">
        <v>41</v>
      </c>
      <c r="E760" s="559" t="s">
        <v>96</v>
      </c>
      <c r="F760" s="559">
        <v>56930.042999999998</v>
      </c>
      <c r="G760" s="174"/>
    </row>
    <row r="761" spans="1:7" x14ac:dyDescent="0.3">
      <c r="A761" s="559" t="s">
        <v>473</v>
      </c>
      <c r="B761" s="559">
        <v>2014</v>
      </c>
      <c r="C761" s="559" t="s">
        <v>273</v>
      </c>
      <c r="D761" s="559" t="s">
        <v>37</v>
      </c>
      <c r="E761" s="559" t="s">
        <v>96</v>
      </c>
      <c r="F761" s="559">
        <v>17157295.221999999</v>
      </c>
      <c r="G761" s="174"/>
    </row>
    <row r="762" spans="1:7" x14ac:dyDescent="0.3">
      <c r="A762" s="559" t="s">
        <v>473</v>
      </c>
      <c r="B762" s="559">
        <v>2014</v>
      </c>
      <c r="C762" s="559" t="s">
        <v>274</v>
      </c>
      <c r="D762" s="559" t="s">
        <v>37</v>
      </c>
      <c r="E762" s="559" t="s">
        <v>96</v>
      </c>
      <c r="F762" s="559">
        <v>8896992.3549999297</v>
      </c>
      <c r="G762" s="174"/>
    </row>
    <row r="763" spans="1:7" x14ac:dyDescent="0.3">
      <c r="A763" s="559" t="s">
        <v>473</v>
      </c>
      <c r="B763" s="559">
        <v>2014</v>
      </c>
      <c r="C763" s="559" t="s">
        <v>275</v>
      </c>
      <c r="D763" s="559" t="s">
        <v>36</v>
      </c>
      <c r="E763" s="559" t="s">
        <v>96</v>
      </c>
      <c r="F763" s="559">
        <v>0</v>
      </c>
      <c r="G763" s="174"/>
    </row>
    <row r="764" spans="1:7" x14ac:dyDescent="0.3">
      <c r="A764" s="559" t="s">
        <v>473</v>
      </c>
      <c r="B764" s="559">
        <v>2014</v>
      </c>
      <c r="C764" s="559" t="s">
        <v>276</v>
      </c>
      <c r="D764" s="559" t="s">
        <v>36</v>
      </c>
      <c r="E764" s="559" t="s">
        <v>96</v>
      </c>
      <c r="F764" s="559">
        <v>0</v>
      </c>
      <c r="G764" s="174"/>
    </row>
    <row r="765" spans="1:7" x14ac:dyDescent="0.3">
      <c r="A765" s="559" t="s">
        <v>473</v>
      </c>
      <c r="B765" s="559">
        <v>2014</v>
      </c>
      <c r="C765" s="559" t="s">
        <v>277</v>
      </c>
      <c r="D765" s="559" t="s">
        <v>103</v>
      </c>
      <c r="E765" s="559" t="s">
        <v>96</v>
      </c>
      <c r="F765" s="559">
        <v>0.58799999999999997</v>
      </c>
      <c r="G765" s="174"/>
    </row>
    <row r="766" spans="1:7" x14ac:dyDescent="0.3">
      <c r="A766" s="559" t="s">
        <v>473</v>
      </c>
      <c r="B766" s="559">
        <v>2014</v>
      </c>
      <c r="C766" s="559" t="s">
        <v>278</v>
      </c>
      <c r="D766" s="559" t="s">
        <v>35</v>
      </c>
      <c r="E766" s="559" t="s">
        <v>101</v>
      </c>
      <c r="F766" s="559">
        <v>101277.376999999</v>
      </c>
      <c r="G766" s="174"/>
    </row>
    <row r="767" spans="1:7" x14ac:dyDescent="0.3">
      <c r="A767" s="559" t="s">
        <v>473</v>
      </c>
      <c r="B767" s="559">
        <v>2014</v>
      </c>
      <c r="C767" s="559" t="s">
        <v>279</v>
      </c>
      <c r="D767" s="559" t="s">
        <v>4</v>
      </c>
      <c r="E767" s="559" t="s">
        <v>101</v>
      </c>
      <c r="F767" s="559">
        <v>0</v>
      </c>
      <c r="G767" s="174"/>
    </row>
    <row r="768" spans="1:7" x14ac:dyDescent="0.3">
      <c r="A768" s="559" t="s">
        <v>473</v>
      </c>
      <c r="B768" s="559">
        <v>2014</v>
      </c>
      <c r="C768" s="559" t="s">
        <v>280</v>
      </c>
      <c r="D768" s="559" t="s">
        <v>4</v>
      </c>
      <c r="E768" s="559" t="s">
        <v>101</v>
      </c>
      <c r="F768" s="559">
        <v>0</v>
      </c>
      <c r="G768" s="174"/>
    </row>
    <row r="769" spans="1:7" x14ac:dyDescent="0.3">
      <c r="A769" s="559" t="s">
        <v>473</v>
      </c>
      <c r="B769" s="559">
        <v>2014</v>
      </c>
      <c r="C769" s="559" t="s">
        <v>281</v>
      </c>
      <c r="D769" s="559" t="s">
        <v>10</v>
      </c>
      <c r="E769" s="559" t="s">
        <v>101</v>
      </c>
      <c r="F769" s="559">
        <v>206550.00500000099</v>
      </c>
      <c r="G769" s="174"/>
    </row>
    <row r="770" spans="1:7" x14ac:dyDescent="0.3">
      <c r="A770" s="559" t="s">
        <v>473</v>
      </c>
      <c r="B770" s="559">
        <v>2014</v>
      </c>
      <c r="C770" s="559" t="s">
        <v>282</v>
      </c>
      <c r="D770" s="559" t="s">
        <v>12</v>
      </c>
      <c r="E770" s="559" t="s">
        <v>96</v>
      </c>
      <c r="F770" s="559">
        <v>30372.859</v>
      </c>
      <c r="G770" s="174"/>
    </row>
    <row r="771" spans="1:7" x14ac:dyDescent="0.3">
      <c r="A771" s="559" t="s">
        <v>473</v>
      </c>
      <c r="B771" s="559">
        <v>2014</v>
      </c>
      <c r="C771" s="559" t="s">
        <v>283</v>
      </c>
      <c r="D771" s="559" t="s">
        <v>1</v>
      </c>
      <c r="E771" s="559" t="s">
        <v>96</v>
      </c>
      <c r="F771" s="559">
        <v>16641.186000000002</v>
      </c>
      <c r="G771" s="174"/>
    </row>
    <row r="772" spans="1:7" x14ac:dyDescent="0.3">
      <c r="A772" s="559" t="s">
        <v>473</v>
      </c>
      <c r="B772" s="559">
        <v>2014</v>
      </c>
      <c r="C772" s="559" t="s">
        <v>284</v>
      </c>
      <c r="D772" s="559" t="s">
        <v>28</v>
      </c>
      <c r="E772" s="559" t="s">
        <v>96</v>
      </c>
      <c r="F772" s="559">
        <v>128767.504</v>
      </c>
      <c r="G772" s="174"/>
    </row>
    <row r="773" spans="1:7" x14ac:dyDescent="0.3">
      <c r="A773" s="559" t="s">
        <v>473</v>
      </c>
      <c r="B773" s="559">
        <v>2014</v>
      </c>
      <c r="C773" s="559" t="s">
        <v>285</v>
      </c>
      <c r="D773" s="559" t="s">
        <v>4</v>
      </c>
      <c r="E773" s="559" t="s">
        <v>96</v>
      </c>
      <c r="F773" s="559">
        <v>7185.7880000000196</v>
      </c>
      <c r="G773" s="174"/>
    </row>
    <row r="774" spans="1:7" x14ac:dyDescent="0.3">
      <c r="A774" s="559" t="s">
        <v>473</v>
      </c>
      <c r="B774" s="559">
        <v>2014</v>
      </c>
      <c r="C774" s="559" t="s">
        <v>286</v>
      </c>
      <c r="D774" s="559" t="s">
        <v>4</v>
      </c>
      <c r="E774" s="559" t="s">
        <v>101</v>
      </c>
      <c r="F774" s="559">
        <v>4167.3079999997099</v>
      </c>
      <c r="G774" s="174"/>
    </row>
    <row r="775" spans="1:7" x14ac:dyDescent="0.3">
      <c r="A775" s="559" t="s">
        <v>473</v>
      </c>
      <c r="B775" s="559">
        <v>2014</v>
      </c>
      <c r="C775" s="559" t="s">
        <v>287</v>
      </c>
      <c r="D775" s="559" t="s">
        <v>4</v>
      </c>
      <c r="E775" s="559" t="s">
        <v>101</v>
      </c>
      <c r="F775" s="559">
        <v>0</v>
      </c>
      <c r="G775" s="174"/>
    </row>
    <row r="776" spans="1:7" x14ac:dyDescent="0.3">
      <c r="A776" s="559" t="s">
        <v>473</v>
      </c>
      <c r="B776" s="559">
        <v>2014</v>
      </c>
      <c r="C776" s="559" t="s">
        <v>288</v>
      </c>
      <c r="D776" s="559" t="s">
        <v>4</v>
      </c>
      <c r="E776" s="559" t="s">
        <v>101</v>
      </c>
      <c r="F776" s="559">
        <v>0</v>
      </c>
      <c r="G776" s="174"/>
    </row>
    <row r="777" spans="1:7" x14ac:dyDescent="0.3">
      <c r="A777" s="559" t="s">
        <v>473</v>
      </c>
      <c r="B777" s="559">
        <v>2014</v>
      </c>
      <c r="C777" s="559" t="s">
        <v>289</v>
      </c>
      <c r="D777" s="559" t="s">
        <v>19</v>
      </c>
      <c r="E777" s="559" t="s">
        <v>96</v>
      </c>
      <c r="F777" s="559">
        <v>58487.124999996697</v>
      </c>
      <c r="G777" s="174"/>
    </row>
    <row r="778" spans="1:7" x14ac:dyDescent="0.3">
      <c r="A778" s="559" t="s">
        <v>473</v>
      </c>
      <c r="B778" s="559">
        <v>2014</v>
      </c>
      <c r="C778" s="559" t="s">
        <v>290</v>
      </c>
      <c r="D778" s="559" t="s">
        <v>35</v>
      </c>
      <c r="E778" s="559" t="s">
        <v>101</v>
      </c>
      <c r="F778" s="559">
        <v>0</v>
      </c>
      <c r="G778" s="174"/>
    </row>
    <row r="779" spans="1:7" x14ac:dyDescent="0.3">
      <c r="A779" s="559" t="s">
        <v>473</v>
      </c>
      <c r="B779" s="559">
        <v>2014</v>
      </c>
      <c r="C779" s="559" t="s">
        <v>291</v>
      </c>
      <c r="D779" s="559" t="s">
        <v>0</v>
      </c>
      <c r="E779" s="559" t="s">
        <v>96</v>
      </c>
      <c r="F779" s="559">
        <v>41565.782999999901</v>
      </c>
      <c r="G779" s="174"/>
    </row>
    <row r="780" spans="1:7" x14ac:dyDescent="0.3">
      <c r="A780" s="559" t="s">
        <v>473</v>
      </c>
      <c r="B780" s="559">
        <v>2014</v>
      </c>
      <c r="C780" s="559" t="s">
        <v>292</v>
      </c>
      <c r="D780" s="559" t="s">
        <v>37</v>
      </c>
      <c r="E780" s="559" t="s">
        <v>96</v>
      </c>
      <c r="F780" s="559">
        <v>11328089.249</v>
      </c>
      <c r="G780" s="174"/>
    </row>
    <row r="781" spans="1:7" x14ac:dyDescent="0.3">
      <c r="A781" s="559" t="s">
        <v>473</v>
      </c>
      <c r="B781" s="559">
        <v>2014</v>
      </c>
      <c r="C781" s="559" t="s">
        <v>293</v>
      </c>
      <c r="D781" s="559" t="s">
        <v>49</v>
      </c>
      <c r="E781" s="559" t="s">
        <v>96</v>
      </c>
      <c r="F781" s="559">
        <v>79249.464999999793</v>
      </c>
      <c r="G781" s="174"/>
    </row>
    <row r="782" spans="1:7" x14ac:dyDescent="0.3">
      <c r="A782" s="559" t="s">
        <v>473</v>
      </c>
      <c r="B782" s="559">
        <v>2014</v>
      </c>
      <c r="C782" s="559" t="s">
        <v>294</v>
      </c>
      <c r="D782" s="559" t="s">
        <v>17</v>
      </c>
      <c r="E782" s="559" t="s">
        <v>96</v>
      </c>
      <c r="F782" s="559">
        <v>27494.705999999998</v>
      </c>
      <c r="G782" s="174"/>
    </row>
    <row r="783" spans="1:7" x14ac:dyDescent="0.3">
      <c r="A783" s="559" t="s">
        <v>473</v>
      </c>
      <c r="B783" s="559">
        <v>2014</v>
      </c>
      <c r="C783" s="559" t="s">
        <v>295</v>
      </c>
      <c r="D783" s="559" t="s">
        <v>17</v>
      </c>
      <c r="E783" s="559" t="s">
        <v>101</v>
      </c>
      <c r="F783" s="559">
        <v>0</v>
      </c>
      <c r="G783" s="174"/>
    </row>
    <row r="784" spans="1:7" x14ac:dyDescent="0.3">
      <c r="A784" s="559" t="s">
        <v>473</v>
      </c>
      <c r="B784" s="559">
        <v>2014</v>
      </c>
      <c r="C784" s="559" t="s">
        <v>296</v>
      </c>
      <c r="D784" s="559" t="s">
        <v>37</v>
      </c>
      <c r="E784" s="559" t="s">
        <v>96</v>
      </c>
      <c r="F784" s="559">
        <v>15669515.853</v>
      </c>
      <c r="G784" s="174"/>
    </row>
    <row r="785" spans="1:7" x14ac:dyDescent="0.3">
      <c r="A785" s="559" t="s">
        <v>473</v>
      </c>
      <c r="B785" s="559">
        <v>2014</v>
      </c>
      <c r="C785" s="559" t="s">
        <v>297</v>
      </c>
      <c r="D785" s="559" t="s">
        <v>28</v>
      </c>
      <c r="E785" s="559" t="s">
        <v>96</v>
      </c>
      <c r="F785" s="559">
        <v>0</v>
      </c>
      <c r="G785" s="174"/>
    </row>
    <row r="786" spans="1:7" x14ac:dyDescent="0.3">
      <c r="A786" s="559" t="s">
        <v>473</v>
      </c>
      <c r="B786" s="559">
        <v>2014</v>
      </c>
      <c r="C786" s="559" t="s">
        <v>298</v>
      </c>
      <c r="D786" s="559" t="s">
        <v>28</v>
      </c>
      <c r="E786" s="559" t="s">
        <v>96</v>
      </c>
      <c r="F786" s="559">
        <v>0</v>
      </c>
      <c r="G786" s="174"/>
    </row>
    <row r="787" spans="1:7" x14ac:dyDescent="0.3">
      <c r="A787" s="559" t="s">
        <v>473</v>
      </c>
      <c r="B787" s="559">
        <v>2014</v>
      </c>
      <c r="C787" s="559" t="s">
        <v>299</v>
      </c>
      <c r="D787" s="559" t="s">
        <v>35</v>
      </c>
      <c r="E787" s="559" t="s">
        <v>101</v>
      </c>
      <c r="F787" s="559">
        <v>225442.450999997</v>
      </c>
      <c r="G787" s="174"/>
    </row>
    <row r="788" spans="1:7" x14ac:dyDescent="0.3">
      <c r="A788" s="559" t="s">
        <v>473</v>
      </c>
      <c r="B788" s="559">
        <v>2014</v>
      </c>
      <c r="C788" s="559" t="s">
        <v>300</v>
      </c>
      <c r="D788" s="559" t="s">
        <v>4</v>
      </c>
      <c r="E788" s="559" t="s">
        <v>96</v>
      </c>
      <c r="F788" s="559">
        <v>5987.5839999999998</v>
      </c>
      <c r="G788" s="174"/>
    </row>
    <row r="789" spans="1:7" x14ac:dyDescent="0.3">
      <c r="A789" s="559" t="s">
        <v>473</v>
      </c>
      <c r="B789" s="559">
        <v>2014</v>
      </c>
      <c r="C789" s="559" t="s">
        <v>301</v>
      </c>
      <c r="D789" s="559" t="s">
        <v>4</v>
      </c>
      <c r="E789" s="559" t="s">
        <v>101</v>
      </c>
      <c r="F789" s="559">
        <v>93339.116000000897</v>
      </c>
      <c r="G789" s="174"/>
    </row>
    <row r="790" spans="1:7" x14ac:dyDescent="0.3">
      <c r="A790" s="559" t="s">
        <v>473</v>
      </c>
      <c r="B790" s="559">
        <v>2014</v>
      </c>
      <c r="C790" s="559" t="s">
        <v>302</v>
      </c>
      <c r="D790" s="559" t="s">
        <v>4</v>
      </c>
      <c r="E790" s="559" t="s">
        <v>101</v>
      </c>
      <c r="F790" s="559">
        <v>93339.116000000897</v>
      </c>
      <c r="G790" s="174"/>
    </row>
    <row r="791" spans="1:7" x14ac:dyDescent="0.3">
      <c r="A791" s="559" t="s">
        <v>473</v>
      </c>
      <c r="B791" s="559">
        <v>2014</v>
      </c>
      <c r="C791" s="559" t="s">
        <v>303</v>
      </c>
      <c r="D791" s="559" t="s">
        <v>0</v>
      </c>
      <c r="E791" s="559" t="s">
        <v>96</v>
      </c>
      <c r="F791" s="559">
        <v>90395.671999999293</v>
      </c>
      <c r="G791" s="174"/>
    </row>
    <row r="792" spans="1:7" x14ac:dyDescent="0.3">
      <c r="A792" s="559" t="s">
        <v>473</v>
      </c>
      <c r="B792" s="559">
        <v>2014</v>
      </c>
      <c r="C792" s="559" t="s">
        <v>304</v>
      </c>
      <c r="D792" s="559" t="s">
        <v>10</v>
      </c>
      <c r="E792" s="559" t="s">
        <v>101</v>
      </c>
      <c r="F792" s="559">
        <v>76264.232000000397</v>
      </c>
      <c r="G792" s="174"/>
    </row>
    <row r="793" spans="1:7" x14ac:dyDescent="0.3">
      <c r="A793" s="559" t="s">
        <v>473</v>
      </c>
      <c r="B793" s="559">
        <v>2014</v>
      </c>
      <c r="C793" s="559" t="s">
        <v>386</v>
      </c>
      <c r="D793" s="559" t="s">
        <v>0</v>
      </c>
      <c r="E793" s="559" t="s">
        <v>96</v>
      </c>
      <c r="F793" s="559">
        <v>80.191000000010803</v>
      </c>
      <c r="G793" s="174"/>
    </row>
    <row r="794" spans="1:7" x14ac:dyDescent="0.3">
      <c r="A794" s="559" t="s">
        <v>473</v>
      </c>
      <c r="B794" s="559">
        <v>2014</v>
      </c>
      <c r="C794" s="559" t="s">
        <v>305</v>
      </c>
      <c r="D794" s="559" t="s">
        <v>10</v>
      </c>
      <c r="E794" s="559" t="s">
        <v>101</v>
      </c>
      <c r="F794" s="559">
        <v>0</v>
      </c>
      <c r="G794" s="174"/>
    </row>
    <row r="795" spans="1:7" x14ac:dyDescent="0.3">
      <c r="A795" s="559" t="s">
        <v>473</v>
      </c>
      <c r="B795" s="559">
        <v>2014</v>
      </c>
      <c r="C795" s="559" t="s">
        <v>306</v>
      </c>
      <c r="D795" s="559" t="s">
        <v>11</v>
      </c>
      <c r="E795" s="559" t="s">
        <v>96</v>
      </c>
      <c r="F795" s="559">
        <v>0</v>
      </c>
      <c r="G795" s="174"/>
    </row>
    <row r="796" spans="1:7" x14ac:dyDescent="0.3">
      <c r="A796" s="559" t="s">
        <v>473</v>
      </c>
      <c r="B796" s="559">
        <v>2014</v>
      </c>
      <c r="C796" s="559" t="s">
        <v>307</v>
      </c>
      <c r="D796" s="559" t="s">
        <v>40</v>
      </c>
      <c r="E796" s="559" t="s">
        <v>96</v>
      </c>
      <c r="F796" s="559">
        <v>0</v>
      </c>
      <c r="G796" s="174"/>
    </row>
    <row r="797" spans="1:7" x14ac:dyDescent="0.3">
      <c r="A797" s="559" t="s">
        <v>473</v>
      </c>
      <c r="B797" s="559">
        <v>2014</v>
      </c>
      <c r="C797" s="559" t="s">
        <v>308</v>
      </c>
      <c r="D797" s="559" t="s">
        <v>10</v>
      </c>
      <c r="E797" s="559" t="s">
        <v>110</v>
      </c>
      <c r="F797" s="559">
        <v>0</v>
      </c>
      <c r="G797" s="174"/>
    </row>
    <row r="798" spans="1:7" x14ac:dyDescent="0.3">
      <c r="A798" s="559" t="s">
        <v>473</v>
      </c>
      <c r="B798" s="559">
        <v>2014</v>
      </c>
      <c r="C798" s="559" t="s">
        <v>308</v>
      </c>
      <c r="D798" s="559" t="s">
        <v>10</v>
      </c>
      <c r="E798" s="559" t="s">
        <v>96</v>
      </c>
      <c r="F798" s="559">
        <v>1237.59670243204</v>
      </c>
      <c r="G798" s="174"/>
    </row>
    <row r="799" spans="1:7" x14ac:dyDescent="0.3">
      <c r="A799" s="559" t="s">
        <v>473</v>
      </c>
      <c r="B799" s="559">
        <v>2014</v>
      </c>
      <c r="C799" s="559" t="s">
        <v>308</v>
      </c>
      <c r="D799" s="559" t="s">
        <v>32</v>
      </c>
      <c r="E799" s="559" t="s">
        <v>96</v>
      </c>
      <c r="F799" s="559">
        <v>0</v>
      </c>
      <c r="G799" s="174"/>
    </row>
    <row r="800" spans="1:7" x14ac:dyDescent="0.3">
      <c r="A800" s="559" t="s">
        <v>473</v>
      </c>
      <c r="B800" s="559">
        <v>2014</v>
      </c>
      <c r="C800" s="559" t="s">
        <v>309</v>
      </c>
      <c r="D800" s="559" t="s">
        <v>10</v>
      </c>
      <c r="E800" s="559" t="s">
        <v>101</v>
      </c>
      <c r="F800" s="559">
        <v>1320134.686</v>
      </c>
      <c r="G800" s="174"/>
    </row>
    <row r="801" spans="1:7" x14ac:dyDescent="0.3">
      <c r="A801" s="559" t="s">
        <v>473</v>
      </c>
      <c r="B801" s="559">
        <v>2014</v>
      </c>
      <c r="C801" s="559" t="s">
        <v>310</v>
      </c>
      <c r="D801" s="559" t="s">
        <v>28</v>
      </c>
      <c r="E801" s="559" t="s">
        <v>96</v>
      </c>
      <c r="F801" s="559">
        <v>0</v>
      </c>
      <c r="G801" s="174"/>
    </row>
    <row r="802" spans="1:7" x14ac:dyDescent="0.3">
      <c r="A802" s="559" t="s">
        <v>473</v>
      </c>
      <c r="B802" s="559">
        <v>2014</v>
      </c>
      <c r="C802" s="559" t="s">
        <v>311</v>
      </c>
      <c r="D802" s="559" t="s">
        <v>0</v>
      </c>
      <c r="E802" s="559" t="s">
        <v>96</v>
      </c>
      <c r="F802" s="559">
        <v>315311.85299999901</v>
      </c>
      <c r="G802" s="174"/>
    </row>
    <row r="803" spans="1:7" x14ac:dyDescent="0.3">
      <c r="A803" s="559" t="s">
        <v>473</v>
      </c>
      <c r="B803" s="559">
        <v>2014</v>
      </c>
      <c r="C803" s="559" t="s">
        <v>312</v>
      </c>
      <c r="D803" s="559" t="s">
        <v>49</v>
      </c>
      <c r="E803" s="559" t="s">
        <v>96</v>
      </c>
      <c r="F803" s="559">
        <v>10606.002999999901</v>
      </c>
      <c r="G803" s="174"/>
    </row>
    <row r="804" spans="1:7" x14ac:dyDescent="0.3">
      <c r="A804" s="559" t="s">
        <v>473</v>
      </c>
      <c r="B804" s="559">
        <v>2014</v>
      </c>
      <c r="C804" s="559" t="s">
        <v>313</v>
      </c>
      <c r="D804" s="559" t="s">
        <v>38</v>
      </c>
      <c r="E804" s="559" t="s">
        <v>96</v>
      </c>
      <c r="F804" s="559">
        <v>257557.47099999999</v>
      </c>
      <c r="G804" s="174"/>
    </row>
    <row r="805" spans="1:7" x14ac:dyDescent="0.3">
      <c r="A805" s="559" t="s">
        <v>473</v>
      </c>
      <c r="B805" s="559">
        <v>2014</v>
      </c>
      <c r="C805" s="559" t="s">
        <v>314</v>
      </c>
      <c r="D805" s="559" t="s">
        <v>32</v>
      </c>
      <c r="E805" s="559" t="s">
        <v>96</v>
      </c>
      <c r="F805" s="559">
        <v>5.3526904488742204</v>
      </c>
      <c r="G805" s="174"/>
    </row>
    <row r="806" spans="1:7" x14ac:dyDescent="0.3">
      <c r="A806" s="559" t="s">
        <v>473</v>
      </c>
      <c r="B806" s="559">
        <v>2014</v>
      </c>
      <c r="C806" s="559" t="s">
        <v>314</v>
      </c>
      <c r="D806" s="559" t="s">
        <v>42</v>
      </c>
      <c r="E806" s="559" t="s">
        <v>96</v>
      </c>
      <c r="F806" s="559">
        <v>15882.495000000101</v>
      </c>
      <c r="G806" s="174"/>
    </row>
    <row r="807" spans="1:7" x14ac:dyDescent="0.3">
      <c r="A807" s="559" t="s">
        <v>473</v>
      </c>
      <c r="B807" s="559">
        <v>2014</v>
      </c>
      <c r="C807" s="559" t="s">
        <v>315</v>
      </c>
      <c r="D807" s="559" t="s">
        <v>49</v>
      </c>
      <c r="E807" s="559" t="s">
        <v>96</v>
      </c>
      <c r="F807" s="559">
        <v>0</v>
      </c>
      <c r="G807" s="174"/>
    </row>
    <row r="808" spans="1:7" x14ac:dyDescent="0.3">
      <c r="A808" s="559" t="s">
        <v>473</v>
      </c>
      <c r="B808" s="559">
        <v>2014</v>
      </c>
      <c r="C808" s="559" t="s">
        <v>316</v>
      </c>
      <c r="D808" s="559" t="s">
        <v>36</v>
      </c>
      <c r="E808" s="559" t="s">
        <v>96</v>
      </c>
      <c r="F808" s="559">
        <v>0</v>
      </c>
      <c r="G808" s="174"/>
    </row>
    <row r="809" spans="1:7" x14ac:dyDescent="0.3">
      <c r="A809" s="559" t="s">
        <v>473</v>
      </c>
      <c r="B809" s="559">
        <v>2014</v>
      </c>
      <c r="C809" s="559" t="s">
        <v>317</v>
      </c>
      <c r="D809" s="559" t="s">
        <v>7</v>
      </c>
      <c r="E809" s="559" t="s">
        <v>96</v>
      </c>
      <c r="F809" s="559">
        <v>0</v>
      </c>
      <c r="G809" s="174"/>
    </row>
    <row r="810" spans="1:7" x14ac:dyDescent="0.3">
      <c r="A810" s="559" t="s">
        <v>473</v>
      </c>
      <c r="B810" s="559">
        <v>2014</v>
      </c>
      <c r="C810" s="559" t="s">
        <v>317</v>
      </c>
      <c r="D810" s="559" t="s">
        <v>10</v>
      </c>
      <c r="E810" s="559" t="s">
        <v>96</v>
      </c>
      <c r="F810" s="559">
        <v>7.6104469405388397E-2</v>
      </c>
      <c r="G810" s="174"/>
    </row>
    <row r="811" spans="1:7" x14ac:dyDescent="0.3">
      <c r="A811" s="559" t="s">
        <v>473</v>
      </c>
      <c r="B811" s="559">
        <v>2014</v>
      </c>
      <c r="C811" s="559" t="s">
        <v>318</v>
      </c>
      <c r="D811" s="559" t="s">
        <v>10</v>
      </c>
      <c r="E811" s="559" t="s">
        <v>101</v>
      </c>
      <c r="F811" s="559">
        <v>131816.761999999</v>
      </c>
      <c r="G811" s="174"/>
    </row>
    <row r="812" spans="1:7" x14ac:dyDescent="0.3">
      <c r="A812" s="559" t="s">
        <v>473</v>
      </c>
      <c r="B812" s="559">
        <v>2014</v>
      </c>
      <c r="C812" s="559" t="s">
        <v>319</v>
      </c>
      <c r="D812" s="559" t="s">
        <v>10</v>
      </c>
      <c r="E812" s="559" t="s">
        <v>101</v>
      </c>
      <c r="F812" s="559">
        <v>175011.41699999999</v>
      </c>
      <c r="G812" s="174"/>
    </row>
    <row r="813" spans="1:7" x14ac:dyDescent="0.3">
      <c r="A813" s="559" t="s">
        <v>473</v>
      </c>
      <c r="B813" s="559">
        <v>2014</v>
      </c>
      <c r="C813" s="559" t="s">
        <v>320</v>
      </c>
      <c r="D813" s="559" t="s">
        <v>10</v>
      </c>
      <c r="E813" s="559" t="s">
        <v>101</v>
      </c>
      <c r="F813" s="559">
        <v>184072.13699999999</v>
      </c>
      <c r="G813" s="174"/>
    </row>
    <row r="814" spans="1:7" x14ac:dyDescent="0.3">
      <c r="A814" s="559" t="s">
        <v>473</v>
      </c>
      <c r="B814" s="559">
        <v>2014</v>
      </c>
      <c r="C814" s="559" t="s">
        <v>321</v>
      </c>
      <c r="D814" s="559" t="s">
        <v>35</v>
      </c>
      <c r="E814" s="559" t="s">
        <v>110</v>
      </c>
      <c r="F814" s="559">
        <v>0</v>
      </c>
      <c r="G814" s="174"/>
    </row>
    <row r="815" spans="1:7" x14ac:dyDescent="0.3">
      <c r="A815" s="559" t="s">
        <v>473</v>
      </c>
      <c r="B815" s="559">
        <v>2014</v>
      </c>
      <c r="C815" s="559" t="s">
        <v>321</v>
      </c>
      <c r="D815" s="559" t="s">
        <v>103</v>
      </c>
      <c r="E815" s="559" t="s">
        <v>96</v>
      </c>
      <c r="F815" s="559">
        <v>395.41699999999901</v>
      </c>
      <c r="G815" s="174"/>
    </row>
    <row r="816" spans="1:7" x14ac:dyDescent="0.3">
      <c r="A816" s="559" t="s">
        <v>473</v>
      </c>
      <c r="B816" s="559">
        <v>2014</v>
      </c>
      <c r="C816" s="559" t="s">
        <v>322</v>
      </c>
      <c r="D816" s="559" t="s">
        <v>39</v>
      </c>
      <c r="E816" s="559" t="s">
        <v>96</v>
      </c>
      <c r="F816" s="559">
        <v>1333470.304</v>
      </c>
      <c r="G816" s="174"/>
    </row>
    <row r="817" spans="1:7" x14ac:dyDescent="0.3">
      <c r="A817" s="559" t="s">
        <v>473</v>
      </c>
      <c r="B817" s="559">
        <v>2014</v>
      </c>
      <c r="C817" s="559" t="s">
        <v>323</v>
      </c>
      <c r="D817" s="559" t="s">
        <v>4</v>
      </c>
      <c r="E817" s="559" t="s">
        <v>101</v>
      </c>
      <c r="F817" s="559">
        <v>0</v>
      </c>
      <c r="G817" s="174"/>
    </row>
    <row r="818" spans="1:7" x14ac:dyDescent="0.3">
      <c r="A818" s="559" t="s">
        <v>473</v>
      </c>
      <c r="B818" s="559">
        <v>2014</v>
      </c>
      <c r="C818" s="559" t="s">
        <v>324</v>
      </c>
      <c r="D818" s="559" t="s">
        <v>14</v>
      </c>
      <c r="E818" s="559" t="s">
        <v>110</v>
      </c>
      <c r="F818" s="559">
        <v>0</v>
      </c>
      <c r="G818" s="174"/>
    </row>
    <row r="819" spans="1:7" x14ac:dyDescent="0.3">
      <c r="A819" s="559" t="s">
        <v>473</v>
      </c>
      <c r="B819" s="559">
        <v>2014</v>
      </c>
      <c r="C819" s="559" t="s">
        <v>325</v>
      </c>
      <c r="D819" s="559" t="s">
        <v>52</v>
      </c>
      <c r="E819" s="559" t="s">
        <v>96</v>
      </c>
      <c r="F819" s="559">
        <v>2641311.0389999901</v>
      </c>
      <c r="G819" s="174"/>
    </row>
    <row r="820" spans="1:7" x14ac:dyDescent="0.3">
      <c r="A820" s="559" t="s">
        <v>473</v>
      </c>
      <c r="B820" s="559">
        <v>2014</v>
      </c>
      <c r="C820" s="559" t="s">
        <v>326</v>
      </c>
      <c r="D820" s="559" t="s">
        <v>0</v>
      </c>
      <c r="E820" s="559" t="s">
        <v>96</v>
      </c>
      <c r="F820" s="559">
        <v>6126.2928412976498</v>
      </c>
      <c r="G820" s="174"/>
    </row>
    <row r="821" spans="1:7" x14ac:dyDescent="0.3">
      <c r="A821" s="559" t="s">
        <v>473</v>
      </c>
      <c r="B821" s="559">
        <v>2014</v>
      </c>
      <c r="C821" s="559" t="s">
        <v>326</v>
      </c>
      <c r="D821" s="559" t="s">
        <v>14</v>
      </c>
      <c r="E821" s="559" t="s">
        <v>96</v>
      </c>
      <c r="F821" s="559">
        <v>1646.54765892152</v>
      </c>
      <c r="G821" s="174"/>
    </row>
    <row r="822" spans="1:7" x14ac:dyDescent="0.3">
      <c r="A822" s="559" t="s">
        <v>473</v>
      </c>
      <c r="B822" s="559">
        <v>2014</v>
      </c>
      <c r="C822" s="559" t="s">
        <v>326</v>
      </c>
      <c r="D822" s="559" t="s">
        <v>20</v>
      </c>
      <c r="E822" s="559" t="s">
        <v>96</v>
      </c>
      <c r="F822" s="559">
        <v>5178.1084997807802</v>
      </c>
      <c r="G822" s="174"/>
    </row>
    <row r="823" spans="1:7" x14ac:dyDescent="0.3">
      <c r="A823" s="559" t="s">
        <v>473</v>
      </c>
      <c r="B823" s="559">
        <v>2014</v>
      </c>
      <c r="C823" s="559" t="s">
        <v>327</v>
      </c>
      <c r="D823" s="559" t="s">
        <v>40</v>
      </c>
      <c r="E823" s="559" t="s">
        <v>96</v>
      </c>
      <c r="F823" s="572">
        <v>0</v>
      </c>
      <c r="G823" s="174"/>
    </row>
    <row r="824" spans="1:7" x14ac:dyDescent="0.3">
      <c r="A824" s="559" t="s">
        <v>473</v>
      </c>
      <c r="B824" s="559">
        <v>2014</v>
      </c>
      <c r="C824" s="559" t="s">
        <v>328</v>
      </c>
      <c r="D824" s="559" t="s">
        <v>11</v>
      </c>
      <c r="E824" s="559" t="s">
        <v>96</v>
      </c>
      <c r="F824" s="572">
        <v>0</v>
      </c>
      <c r="G824" s="174"/>
    </row>
    <row r="825" spans="1:7" x14ac:dyDescent="0.3">
      <c r="A825" s="559" t="s">
        <v>473</v>
      </c>
      <c r="B825" s="559">
        <v>2014</v>
      </c>
      <c r="C825" s="559" t="s">
        <v>329</v>
      </c>
      <c r="D825" s="559" t="s">
        <v>31</v>
      </c>
      <c r="E825" s="559" t="s">
        <v>96</v>
      </c>
      <c r="F825" s="559">
        <v>2369.89299999998</v>
      </c>
      <c r="G825" s="174"/>
    </row>
    <row r="826" spans="1:7" x14ac:dyDescent="0.3">
      <c r="A826" s="559" t="s">
        <v>473</v>
      </c>
      <c r="B826" s="559">
        <v>2014</v>
      </c>
      <c r="C826" s="559" t="s">
        <v>330</v>
      </c>
      <c r="D826" s="559" t="s">
        <v>14</v>
      </c>
      <c r="E826" s="559" t="s">
        <v>110</v>
      </c>
      <c r="F826" s="559">
        <v>0</v>
      </c>
      <c r="G826" s="174"/>
    </row>
    <row r="827" spans="1:7" x14ac:dyDescent="0.3">
      <c r="A827" s="559" t="s">
        <v>473</v>
      </c>
      <c r="B827" s="559">
        <v>2014</v>
      </c>
      <c r="C827" s="559" t="s">
        <v>330</v>
      </c>
      <c r="D827" s="559" t="s">
        <v>14</v>
      </c>
      <c r="E827" s="559" t="s">
        <v>96</v>
      </c>
      <c r="F827" s="559">
        <v>0</v>
      </c>
      <c r="G827" s="174"/>
    </row>
    <row r="828" spans="1:7" x14ac:dyDescent="0.3">
      <c r="A828" s="559" t="s">
        <v>473</v>
      </c>
      <c r="B828" s="559">
        <v>2014</v>
      </c>
      <c r="C828" s="559" t="s">
        <v>331</v>
      </c>
      <c r="D828" s="559" t="s">
        <v>37</v>
      </c>
      <c r="E828" s="559" t="s">
        <v>96</v>
      </c>
      <c r="F828" s="559">
        <v>5117601.9479999803</v>
      </c>
      <c r="G828" s="174"/>
    </row>
    <row r="829" spans="1:7" x14ac:dyDescent="0.3">
      <c r="A829" s="559" t="s">
        <v>473</v>
      </c>
      <c r="B829" s="559">
        <v>2014</v>
      </c>
      <c r="C829" s="559" t="s">
        <v>332</v>
      </c>
      <c r="D829" s="559" t="s">
        <v>28</v>
      </c>
      <c r="E829" s="559" t="s">
        <v>96</v>
      </c>
      <c r="F829" s="559">
        <v>75890.851000000606</v>
      </c>
      <c r="G829" s="174"/>
    </row>
    <row r="830" spans="1:7" x14ac:dyDescent="0.3">
      <c r="A830" s="559" t="s">
        <v>473</v>
      </c>
      <c r="B830" s="559">
        <v>2014</v>
      </c>
      <c r="C830" s="559" t="s">
        <v>333</v>
      </c>
      <c r="D830" s="559" t="s">
        <v>4</v>
      </c>
      <c r="E830" s="559" t="s">
        <v>96</v>
      </c>
      <c r="F830" s="572">
        <v>49.559364656255298</v>
      </c>
      <c r="G830" s="174"/>
    </row>
    <row r="831" spans="1:7" x14ac:dyDescent="0.3">
      <c r="A831" s="559" t="s">
        <v>473</v>
      </c>
      <c r="B831" s="559">
        <v>2014</v>
      </c>
      <c r="C831" s="559" t="s">
        <v>333</v>
      </c>
      <c r="D831" s="559" t="s">
        <v>26</v>
      </c>
      <c r="E831" s="559" t="s">
        <v>96</v>
      </c>
      <c r="F831" s="572">
        <v>150415.480205228</v>
      </c>
      <c r="G831" s="174"/>
    </row>
    <row r="832" spans="1:7" x14ac:dyDescent="0.3">
      <c r="A832" s="559" t="s">
        <v>473</v>
      </c>
      <c r="B832" s="559">
        <v>2014</v>
      </c>
      <c r="C832" s="559" t="s">
        <v>334</v>
      </c>
      <c r="D832" s="559" t="s">
        <v>4</v>
      </c>
      <c r="E832" s="559" t="s">
        <v>96</v>
      </c>
      <c r="F832" s="572">
        <v>0</v>
      </c>
      <c r="G832" s="174"/>
    </row>
    <row r="833" spans="1:7" x14ac:dyDescent="0.3">
      <c r="A833" s="559" t="s">
        <v>473</v>
      </c>
      <c r="B833" s="559">
        <v>2014</v>
      </c>
      <c r="C833" s="559" t="s">
        <v>335</v>
      </c>
      <c r="D833" s="559" t="s">
        <v>4</v>
      </c>
      <c r="E833" s="559" t="s">
        <v>101</v>
      </c>
      <c r="F833" s="572">
        <v>46232.307000000001</v>
      </c>
      <c r="G833" s="174"/>
    </row>
    <row r="834" spans="1:7" x14ac:dyDescent="0.3">
      <c r="A834" s="559" t="s">
        <v>473</v>
      </c>
      <c r="B834" s="559">
        <v>2014</v>
      </c>
      <c r="C834" s="559" t="s">
        <v>336</v>
      </c>
      <c r="D834" s="559" t="s">
        <v>28</v>
      </c>
      <c r="E834" s="559" t="s">
        <v>96</v>
      </c>
      <c r="F834" s="572">
        <v>359501.72200000001</v>
      </c>
      <c r="G834" s="174"/>
    </row>
    <row r="835" spans="1:7" x14ac:dyDescent="0.3">
      <c r="A835" s="559" t="s">
        <v>473</v>
      </c>
      <c r="B835" s="559">
        <v>2014</v>
      </c>
      <c r="C835" s="559" t="s">
        <v>337</v>
      </c>
      <c r="D835" s="559" t="s">
        <v>40</v>
      </c>
      <c r="E835" s="559" t="s">
        <v>96</v>
      </c>
      <c r="F835" s="572">
        <v>0</v>
      </c>
      <c r="G835" s="174"/>
    </row>
    <row r="836" spans="1:7" x14ac:dyDescent="0.3">
      <c r="A836" s="559" t="s">
        <v>473</v>
      </c>
      <c r="B836" s="559">
        <v>2014</v>
      </c>
      <c r="C836" s="559" t="s">
        <v>338</v>
      </c>
      <c r="D836" s="559" t="s">
        <v>37</v>
      </c>
      <c r="E836" s="559" t="s">
        <v>96</v>
      </c>
      <c r="F836" s="559">
        <v>13074912.4209999</v>
      </c>
      <c r="G836" s="174"/>
    </row>
    <row r="837" spans="1:7" x14ac:dyDescent="0.3">
      <c r="A837" s="559" t="s">
        <v>473</v>
      </c>
      <c r="B837" s="559">
        <v>2014</v>
      </c>
      <c r="C837" s="559" t="s">
        <v>339</v>
      </c>
      <c r="D837" s="559" t="s">
        <v>51</v>
      </c>
      <c r="E837" s="559" t="s">
        <v>96</v>
      </c>
      <c r="F837" s="559">
        <v>0</v>
      </c>
      <c r="G837" s="174"/>
    </row>
    <row r="838" spans="1:7" x14ac:dyDescent="0.3">
      <c r="A838" s="559" t="s">
        <v>473</v>
      </c>
      <c r="B838" s="559">
        <v>2014</v>
      </c>
      <c r="C838" s="559" t="s">
        <v>340</v>
      </c>
      <c r="D838" s="559" t="s">
        <v>680</v>
      </c>
      <c r="E838" s="559" t="s">
        <v>101</v>
      </c>
      <c r="F838" s="559">
        <v>274837.23099999898</v>
      </c>
      <c r="G838" s="174"/>
    </row>
    <row r="839" spans="1:7" x14ac:dyDescent="0.3">
      <c r="A839" s="559" t="s">
        <v>473</v>
      </c>
      <c r="B839" s="559">
        <v>2014</v>
      </c>
      <c r="C839" s="559" t="s">
        <v>341</v>
      </c>
      <c r="D839" s="559" t="s">
        <v>17</v>
      </c>
      <c r="E839" s="559" t="s">
        <v>101</v>
      </c>
      <c r="F839" s="559">
        <v>568020.551000003</v>
      </c>
      <c r="G839" s="174"/>
    </row>
    <row r="840" spans="1:7" x14ac:dyDescent="0.3">
      <c r="A840" s="559" t="s">
        <v>473</v>
      </c>
      <c r="B840" s="559">
        <v>2014</v>
      </c>
      <c r="C840" s="559" t="s">
        <v>342</v>
      </c>
      <c r="D840" s="559" t="s">
        <v>28</v>
      </c>
      <c r="E840" s="559" t="s">
        <v>96</v>
      </c>
      <c r="F840" s="559">
        <v>227234.754000001</v>
      </c>
      <c r="G840" s="174"/>
    </row>
    <row r="841" spans="1:7" x14ac:dyDescent="0.3">
      <c r="A841" s="559" t="s">
        <v>473</v>
      </c>
      <c r="B841" s="559">
        <v>2014</v>
      </c>
      <c r="C841" s="559" t="s">
        <v>343</v>
      </c>
      <c r="D841" s="559" t="s">
        <v>17</v>
      </c>
      <c r="E841" s="559" t="s">
        <v>101</v>
      </c>
      <c r="F841" s="559">
        <v>274983.81999999902</v>
      </c>
      <c r="G841" s="174"/>
    </row>
    <row r="842" spans="1:7" x14ac:dyDescent="0.3">
      <c r="A842" s="559" t="s">
        <v>473</v>
      </c>
      <c r="B842" s="559">
        <v>2014</v>
      </c>
      <c r="C842" s="559" t="s">
        <v>344</v>
      </c>
      <c r="D842" s="559" t="s">
        <v>12</v>
      </c>
      <c r="E842" s="559" t="s">
        <v>96</v>
      </c>
      <c r="F842" s="559">
        <v>6203.6799999999403</v>
      </c>
      <c r="G842" s="174"/>
    </row>
    <row r="843" spans="1:7" x14ac:dyDescent="0.3">
      <c r="A843" s="559" t="s">
        <v>473</v>
      </c>
      <c r="B843" s="559">
        <v>2014</v>
      </c>
      <c r="C843" s="559" t="s">
        <v>345</v>
      </c>
      <c r="D843" s="559" t="s">
        <v>12</v>
      </c>
      <c r="E843" s="559" t="s">
        <v>96</v>
      </c>
      <c r="F843" s="559">
        <v>6556.1570000000602</v>
      </c>
      <c r="G843" s="174"/>
    </row>
    <row r="844" spans="1:7" x14ac:dyDescent="0.3">
      <c r="A844" s="559" t="s">
        <v>473</v>
      </c>
      <c r="B844" s="559">
        <v>2014</v>
      </c>
      <c r="C844" s="559" t="s">
        <v>346</v>
      </c>
      <c r="D844" s="559" t="s">
        <v>2</v>
      </c>
      <c r="E844" s="559" t="s">
        <v>96</v>
      </c>
      <c r="F844" s="559">
        <v>21036.211999999701</v>
      </c>
      <c r="G844" s="174"/>
    </row>
    <row r="845" spans="1:7" x14ac:dyDescent="0.3">
      <c r="A845" s="559" t="s">
        <v>473</v>
      </c>
      <c r="B845" s="559">
        <v>2014</v>
      </c>
      <c r="C845" s="559" t="s">
        <v>347</v>
      </c>
      <c r="D845" s="559" t="s">
        <v>68</v>
      </c>
      <c r="E845" s="559" t="s">
        <v>96</v>
      </c>
      <c r="F845" s="559">
        <v>34026.575000000099</v>
      </c>
      <c r="G845" s="174"/>
    </row>
    <row r="846" spans="1:7" x14ac:dyDescent="0.3">
      <c r="A846" s="559" t="s">
        <v>473</v>
      </c>
      <c r="B846" s="559">
        <v>2014</v>
      </c>
      <c r="C846" s="559" t="s">
        <v>348</v>
      </c>
      <c r="D846" s="559" t="s">
        <v>37</v>
      </c>
      <c r="E846" s="559" t="s">
        <v>96</v>
      </c>
      <c r="F846" s="559">
        <v>6059305.8099999698</v>
      </c>
      <c r="G846" s="174"/>
    </row>
    <row r="847" spans="1:7" x14ac:dyDescent="0.3">
      <c r="A847" s="559" t="s">
        <v>473</v>
      </c>
      <c r="B847" s="559">
        <v>2014</v>
      </c>
      <c r="C847" s="559" t="s">
        <v>349</v>
      </c>
      <c r="D847" s="559" t="s">
        <v>36</v>
      </c>
      <c r="E847" s="559" t="s">
        <v>96</v>
      </c>
      <c r="F847" s="559">
        <v>0</v>
      </c>
      <c r="G847" s="174"/>
    </row>
    <row r="848" spans="1:7" x14ac:dyDescent="0.3">
      <c r="A848" s="559" t="s">
        <v>473</v>
      </c>
      <c r="B848" s="559">
        <v>2014</v>
      </c>
      <c r="C848" s="559" t="s">
        <v>350</v>
      </c>
      <c r="D848" s="559" t="s">
        <v>17</v>
      </c>
      <c r="E848" s="559" t="s">
        <v>101</v>
      </c>
      <c r="F848" s="559">
        <v>148015.70600000001</v>
      </c>
      <c r="G848" s="174"/>
    </row>
    <row r="849" spans="1:7" x14ac:dyDescent="0.3">
      <c r="A849" s="559" t="s">
        <v>473</v>
      </c>
      <c r="B849" s="559">
        <v>2014</v>
      </c>
      <c r="C849" s="559" t="s">
        <v>351</v>
      </c>
      <c r="D849" s="559" t="s">
        <v>4</v>
      </c>
      <c r="E849" s="559" t="s">
        <v>101</v>
      </c>
      <c r="F849" s="559">
        <v>52682.201999999503</v>
      </c>
      <c r="G849" s="174"/>
    </row>
    <row r="850" spans="1:7" x14ac:dyDescent="0.3">
      <c r="A850" s="559" t="s">
        <v>473</v>
      </c>
      <c r="B850" s="559">
        <v>2014</v>
      </c>
      <c r="C850" s="559" t="s">
        <v>352</v>
      </c>
      <c r="D850" s="559" t="s">
        <v>4</v>
      </c>
      <c r="E850" s="559" t="s">
        <v>101</v>
      </c>
      <c r="F850" s="559">
        <v>275139.84300000401</v>
      </c>
      <c r="G850" s="174"/>
    </row>
    <row r="851" spans="1:7" x14ac:dyDescent="0.3">
      <c r="A851" s="559" t="s">
        <v>473</v>
      </c>
      <c r="B851" s="559">
        <v>2014</v>
      </c>
      <c r="C851" s="559" t="s">
        <v>353</v>
      </c>
      <c r="D851" s="559" t="s">
        <v>20</v>
      </c>
      <c r="E851" s="559" t="s">
        <v>96</v>
      </c>
      <c r="F851" s="572">
        <v>9767.5850000000792</v>
      </c>
      <c r="G851" s="174"/>
    </row>
    <row r="852" spans="1:7" x14ac:dyDescent="0.3">
      <c r="A852" s="559" t="s">
        <v>473</v>
      </c>
      <c r="B852" s="559">
        <v>2014</v>
      </c>
      <c r="C852" s="559" t="s">
        <v>354</v>
      </c>
      <c r="D852" s="559" t="s">
        <v>14</v>
      </c>
      <c r="E852" s="559" t="s">
        <v>101</v>
      </c>
      <c r="F852" s="572">
        <v>0</v>
      </c>
      <c r="G852" s="174"/>
    </row>
    <row r="853" spans="1:7" x14ac:dyDescent="0.3">
      <c r="A853" s="559" t="s">
        <v>473</v>
      </c>
      <c r="B853" s="559">
        <v>2014</v>
      </c>
      <c r="C853" s="559" t="s">
        <v>355</v>
      </c>
      <c r="D853" s="559" t="s">
        <v>36</v>
      </c>
      <c r="E853" s="559" t="s">
        <v>96</v>
      </c>
      <c r="F853" s="572">
        <v>0</v>
      </c>
      <c r="G853" s="174"/>
    </row>
    <row r="854" spans="1:7" x14ac:dyDescent="0.3">
      <c r="A854" s="559" t="s">
        <v>473</v>
      </c>
      <c r="B854" s="559">
        <v>2014</v>
      </c>
      <c r="C854" s="559" t="s">
        <v>356</v>
      </c>
      <c r="D854" s="559" t="s">
        <v>28</v>
      </c>
      <c r="E854" s="559" t="s">
        <v>96</v>
      </c>
      <c r="F854" s="572">
        <v>22290.774000000001</v>
      </c>
      <c r="G854" s="174"/>
    </row>
    <row r="855" spans="1:7" x14ac:dyDescent="0.3">
      <c r="A855" s="559" t="s">
        <v>473</v>
      </c>
      <c r="B855" s="559">
        <v>2014</v>
      </c>
      <c r="C855" s="559" t="s">
        <v>357</v>
      </c>
      <c r="D855" s="559" t="s">
        <v>14</v>
      </c>
      <c r="E855" s="559" t="s">
        <v>110</v>
      </c>
      <c r="F855" s="572">
        <v>0</v>
      </c>
      <c r="G855" s="174"/>
    </row>
    <row r="856" spans="1:7" x14ac:dyDescent="0.3">
      <c r="A856" s="559" t="s">
        <v>473</v>
      </c>
      <c r="B856" s="559">
        <v>2014</v>
      </c>
      <c r="C856" s="559" t="s">
        <v>357</v>
      </c>
      <c r="D856" s="559" t="s">
        <v>14</v>
      </c>
      <c r="E856" s="559" t="s">
        <v>96</v>
      </c>
      <c r="F856" s="572">
        <v>471.435</v>
      </c>
      <c r="G856" s="174"/>
    </row>
    <row r="857" spans="1:7" x14ac:dyDescent="0.3">
      <c r="A857" s="559" t="s">
        <v>473</v>
      </c>
      <c r="B857" s="559">
        <v>2014</v>
      </c>
      <c r="C857" s="559" t="s">
        <v>358</v>
      </c>
      <c r="D857" s="559" t="s">
        <v>14</v>
      </c>
      <c r="E857" s="559" t="s">
        <v>110</v>
      </c>
      <c r="F857" s="572">
        <v>0</v>
      </c>
      <c r="G857" s="174"/>
    </row>
    <row r="858" spans="1:7" x14ac:dyDescent="0.3">
      <c r="A858" s="559" t="s">
        <v>473</v>
      </c>
      <c r="B858" s="559">
        <v>2014</v>
      </c>
      <c r="C858" s="559" t="s">
        <v>358</v>
      </c>
      <c r="D858" s="559" t="s">
        <v>14</v>
      </c>
      <c r="E858" s="559" t="s">
        <v>96</v>
      </c>
      <c r="F858" s="572">
        <v>458.815</v>
      </c>
      <c r="G858" s="174"/>
    </row>
    <row r="859" spans="1:7" x14ac:dyDescent="0.3">
      <c r="A859" s="559" t="s">
        <v>480</v>
      </c>
      <c r="B859" s="559">
        <v>2014</v>
      </c>
      <c r="C859" s="559" t="s">
        <v>95</v>
      </c>
      <c r="D859" s="559" t="s">
        <v>0</v>
      </c>
      <c r="E859" s="559" t="s">
        <v>96</v>
      </c>
      <c r="F859" s="559">
        <v>13255.587</v>
      </c>
      <c r="G859" s="174"/>
    </row>
    <row r="860" spans="1:7" x14ac:dyDescent="0.3">
      <c r="A860" s="559" t="s">
        <v>480</v>
      </c>
      <c r="B860" s="559">
        <v>2014</v>
      </c>
      <c r="C860" s="559" t="s">
        <v>97</v>
      </c>
      <c r="D860" s="559" t="s">
        <v>37</v>
      </c>
      <c r="E860" s="559" t="s">
        <v>96</v>
      </c>
      <c r="F860" s="559">
        <v>6146679.0019999798</v>
      </c>
      <c r="G860" s="174"/>
    </row>
    <row r="861" spans="1:7" x14ac:dyDescent="0.3">
      <c r="A861" s="559" t="s">
        <v>480</v>
      </c>
      <c r="B861" s="559">
        <v>2014</v>
      </c>
      <c r="C861" s="559" t="s">
        <v>98</v>
      </c>
      <c r="D861" s="559" t="s">
        <v>37</v>
      </c>
      <c r="E861" s="559" t="s">
        <v>96</v>
      </c>
      <c r="F861" s="559">
        <v>3850357.4530000002</v>
      </c>
      <c r="G861" s="174"/>
    </row>
    <row r="862" spans="1:7" x14ac:dyDescent="0.3">
      <c r="A862" s="559" t="s">
        <v>480</v>
      </c>
      <c r="B862" s="559">
        <v>2014</v>
      </c>
      <c r="C862" s="559" t="s">
        <v>99</v>
      </c>
      <c r="D862" s="559" t="s">
        <v>25</v>
      </c>
      <c r="E862" s="559" t="s">
        <v>96</v>
      </c>
      <c r="F862" s="559">
        <v>2182.1779999999799</v>
      </c>
      <c r="G862" s="174"/>
    </row>
    <row r="863" spans="1:7" x14ac:dyDescent="0.3">
      <c r="A863" s="559" t="s">
        <v>480</v>
      </c>
      <c r="B863" s="559">
        <v>2014</v>
      </c>
      <c r="C863" s="559" t="s">
        <v>100</v>
      </c>
      <c r="D863" s="559" t="s">
        <v>17</v>
      </c>
      <c r="E863" s="559" t="s">
        <v>101</v>
      </c>
      <c r="F863" s="559">
        <v>0</v>
      </c>
      <c r="G863" s="174"/>
    </row>
    <row r="864" spans="1:7" x14ac:dyDescent="0.3">
      <c r="A864" s="559" t="s">
        <v>480</v>
      </c>
      <c r="B864" s="559">
        <v>2014</v>
      </c>
      <c r="C864" s="559" t="s">
        <v>102</v>
      </c>
      <c r="D864" s="559" t="s">
        <v>103</v>
      </c>
      <c r="E864" s="559" t="s">
        <v>96</v>
      </c>
      <c r="F864" s="559">
        <v>143.63899999999899</v>
      </c>
      <c r="G864" s="174"/>
    </row>
    <row r="865" spans="1:7" x14ac:dyDescent="0.3">
      <c r="A865" s="559" t="s">
        <v>480</v>
      </c>
      <c r="B865" s="559">
        <v>2014</v>
      </c>
      <c r="C865" s="559" t="s">
        <v>104</v>
      </c>
      <c r="D865" s="559" t="s">
        <v>35</v>
      </c>
      <c r="E865" s="559" t="s">
        <v>101</v>
      </c>
      <c r="F865" s="559">
        <v>0</v>
      </c>
      <c r="G865" s="174"/>
    </row>
    <row r="866" spans="1:7" x14ac:dyDescent="0.3">
      <c r="A866" s="559" t="s">
        <v>480</v>
      </c>
      <c r="B866" s="559">
        <v>2014</v>
      </c>
      <c r="C866" s="559" t="s">
        <v>105</v>
      </c>
      <c r="D866" s="559" t="s">
        <v>17</v>
      </c>
      <c r="E866" s="559" t="s">
        <v>101</v>
      </c>
      <c r="F866" s="559">
        <v>0</v>
      </c>
      <c r="G866" s="174"/>
    </row>
    <row r="867" spans="1:7" x14ac:dyDescent="0.3">
      <c r="A867" s="559" t="s">
        <v>480</v>
      </c>
      <c r="B867" s="559">
        <v>2014</v>
      </c>
      <c r="C867" s="559" t="s">
        <v>106</v>
      </c>
      <c r="D867" s="559" t="s">
        <v>17</v>
      </c>
      <c r="E867" s="559" t="s">
        <v>101</v>
      </c>
      <c r="F867" s="559">
        <v>0</v>
      </c>
      <c r="G867" s="174"/>
    </row>
    <row r="868" spans="1:7" x14ac:dyDescent="0.3">
      <c r="A868" s="559" t="s">
        <v>480</v>
      </c>
      <c r="B868" s="559">
        <v>2014</v>
      </c>
      <c r="C868" s="559" t="s">
        <v>545</v>
      </c>
      <c r="D868" s="559" t="s">
        <v>9</v>
      </c>
      <c r="E868" s="559" t="s">
        <v>96</v>
      </c>
      <c r="F868" s="559">
        <v>1065719.443</v>
      </c>
      <c r="G868" s="174"/>
    </row>
    <row r="869" spans="1:7" x14ac:dyDescent="0.3">
      <c r="A869" s="559" t="s">
        <v>480</v>
      </c>
      <c r="B869" s="559">
        <v>2014</v>
      </c>
      <c r="C869" s="559" t="s">
        <v>109</v>
      </c>
      <c r="D869" s="559" t="s">
        <v>35</v>
      </c>
      <c r="E869" s="559" t="s">
        <v>101</v>
      </c>
      <c r="F869" s="559">
        <v>0</v>
      </c>
      <c r="G869" s="174"/>
    </row>
    <row r="870" spans="1:7" x14ac:dyDescent="0.3">
      <c r="A870" s="559" t="s">
        <v>480</v>
      </c>
      <c r="B870" s="559">
        <v>2014</v>
      </c>
      <c r="C870" s="559" t="s">
        <v>111</v>
      </c>
      <c r="D870" s="559" t="s">
        <v>6</v>
      </c>
      <c r="E870" s="559" t="s">
        <v>96</v>
      </c>
      <c r="F870" s="559">
        <v>125184.696</v>
      </c>
      <c r="G870" s="174"/>
    </row>
    <row r="871" spans="1:7" x14ac:dyDescent="0.3">
      <c r="A871" s="559" t="s">
        <v>480</v>
      </c>
      <c r="B871" s="559">
        <v>2014</v>
      </c>
      <c r="C871" s="559" t="s">
        <v>112</v>
      </c>
      <c r="D871" s="559" t="s">
        <v>17</v>
      </c>
      <c r="E871" s="559" t="s">
        <v>101</v>
      </c>
      <c r="F871" s="559">
        <v>0</v>
      </c>
      <c r="G871" s="174"/>
    </row>
    <row r="872" spans="1:7" x14ac:dyDescent="0.3">
      <c r="A872" s="559" t="s">
        <v>480</v>
      </c>
      <c r="B872" s="559">
        <v>2014</v>
      </c>
      <c r="C872" s="559" t="s">
        <v>113</v>
      </c>
      <c r="D872" s="559" t="s">
        <v>41</v>
      </c>
      <c r="E872" s="559" t="s">
        <v>96</v>
      </c>
      <c r="F872" s="559">
        <v>5700.62499999998</v>
      </c>
      <c r="G872" s="174"/>
    </row>
    <row r="873" spans="1:7" x14ac:dyDescent="0.3">
      <c r="A873" s="559" t="s">
        <v>480</v>
      </c>
      <c r="B873" s="559">
        <v>2014</v>
      </c>
      <c r="C873" s="559" t="s">
        <v>114</v>
      </c>
      <c r="D873" s="559" t="s">
        <v>14</v>
      </c>
      <c r="E873" s="559" t="s">
        <v>101</v>
      </c>
      <c r="F873" s="559">
        <v>0</v>
      </c>
      <c r="G873" s="174"/>
    </row>
    <row r="874" spans="1:7" x14ac:dyDescent="0.3">
      <c r="A874" s="559" t="s">
        <v>480</v>
      </c>
      <c r="B874" s="559">
        <v>2014</v>
      </c>
      <c r="C874" s="559" t="s">
        <v>115</v>
      </c>
      <c r="D874" s="559" t="s">
        <v>71</v>
      </c>
      <c r="E874" s="559" t="s">
        <v>96</v>
      </c>
      <c r="F874" s="559">
        <v>278798.83100000001</v>
      </c>
      <c r="G874" s="174"/>
    </row>
    <row r="875" spans="1:7" x14ac:dyDescent="0.3">
      <c r="A875" s="559" t="s">
        <v>480</v>
      </c>
      <c r="B875" s="559">
        <v>2014</v>
      </c>
      <c r="C875" s="559" t="s">
        <v>116</v>
      </c>
      <c r="D875" s="559" t="s">
        <v>51</v>
      </c>
      <c r="E875" s="559" t="s">
        <v>96</v>
      </c>
      <c r="F875" s="559">
        <v>796.54351373123404</v>
      </c>
      <c r="G875" s="174"/>
    </row>
    <row r="876" spans="1:7" x14ac:dyDescent="0.3">
      <c r="A876" s="559" t="s">
        <v>480</v>
      </c>
      <c r="B876" s="559">
        <v>2014</v>
      </c>
      <c r="C876" s="559" t="s">
        <v>116</v>
      </c>
      <c r="D876" s="559" t="s">
        <v>30</v>
      </c>
      <c r="E876" s="559" t="s">
        <v>96</v>
      </c>
      <c r="F876" s="559">
        <v>89843.470486268794</v>
      </c>
      <c r="G876" s="174"/>
    </row>
    <row r="877" spans="1:7" x14ac:dyDescent="0.3">
      <c r="A877" s="559" t="s">
        <v>480</v>
      </c>
      <c r="B877" s="559">
        <v>2014</v>
      </c>
      <c r="C877" s="559" t="s">
        <v>117</v>
      </c>
      <c r="D877" s="559" t="s">
        <v>14</v>
      </c>
      <c r="E877" s="559" t="s">
        <v>101</v>
      </c>
      <c r="F877" s="559">
        <v>0</v>
      </c>
      <c r="G877" s="174"/>
    </row>
    <row r="878" spans="1:7" x14ac:dyDescent="0.3">
      <c r="A878" s="559" t="s">
        <v>480</v>
      </c>
      <c r="B878" s="559">
        <v>2014</v>
      </c>
      <c r="C878" s="559" t="s">
        <v>118</v>
      </c>
      <c r="D878" s="559" t="s">
        <v>13</v>
      </c>
      <c r="E878" s="559" t="s">
        <v>96</v>
      </c>
      <c r="F878" s="559">
        <v>829631.13199999998</v>
      </c>
      <c r="G878" s="174"/>
    </row>
    <row r="879" spans="1:7" x14ac:dyDescent="0.3">
      <c r="A879" s="559" t="s">
        <v>480</v>
      </c>
      <c r="B879" s="559">
        <v>2014</v>
      </c>
      <c r="C879" s="559" t="s">
        <v>119</v>
      </c>
      <c r="D879" s="559" t="s">
        <v>5</v>
      </c>
      <c r="E879" s="559" t="s">
        <v>96</v>
      </c>
      <c r="F879" s="572">
        <v>856302.46999999695</v>
      </c>
      <c r="G879" s="174"/>
    </row>
    <row r="880" spans="1:7" x14ac:dyDescent="0.3">
      <c r="A880" s="559" t="s">
        <v>480</v>
      </c>
      <c r="B880" s="559">
        <v>2014</v>
      </c>
      <c r="C880" s="559" t="s">
        <v>120</v>
      </c>
      <c r="D880" s="559" t="s">
        <v>5</v>
      </c>
      <c r="E880" s="559" t="s">
        <v>96</v>
      </c>
      <c r="F880" s="572">
        <v>2156942.8080000002</v>
      </c>
      <c r="G880" s="174"/>
    </row>
    <row r="881" spans="1:7" x14ac:dyDescent="0.3">
      <c r="A881" s="559" t="s">
        <v>480</v>
      </c>
      <c r="B881" s="559">
        <v>2014</v>
      </c>
      <c r="C881" s="559" t="s">
        <v>121</v>
      </c>
      <c r="D881" s="559" t="s">
        <v>0</v>
      </c>
      <c r="E881" s="559" t="s">
        <v>96</v>
      </c>
      <c r="F881" s="559">
        <v>52349.595999999801</v>
      </c>
      <c r="G881" s="174"/>
    </row>
    <row r="882" spans="1:7" x14ac:dyDescent="0.3">
      <c r="A882" s="559" t="s">
        <v>480</v>
      </c>
      <c r="B882" s="559">
        <v>2014</v>
      </c>
      <c r="C882" s="559" t="s">
        <v>122</v>
      </c>
      <c r="D882" s="559" t="s">
        <v>28</v>
      </c>
      <c r="E882" s="559" t="s">
        <v>96</v>
      </c>
      <c r="F882" s="559">
        <v>953354.35600000306</v>
      </c>
      <c r="G882" s="174"/>
    </row>
    <row r="883" spans="1:7" x14ac:dyDescent="0.3">
      <c r="A883" s="559" t="s">
        <v>480</v>
      </c>
      <c r="B883" s="559">
        <v>2014</v>
      </c>
      <c r="C883" s="559" t="s">
        <v>123</v>
      </c>
      <c r="D883" s="559" t="s">
        <v>35</v>
      </c>
      <c r="E883" s="559" t="s">
        <v>110</v>
      </c>
      <c r="F883" s="559">
        <v>0</v>
      </c>
      <c r="G883" s="174"/>
    </row>
    <row r="884" spans="1:7" x14ac:dyDescent="0.3">
      <c r="A884" s="559" t="s">
        <v>480</v>
      </c>
      <c r="B884" s="559">
        <v>2014</v>
      </c>
      <c r="C884" s="559" t="s">
        <v>124</v>
      </c>
      <c r="D884" s="559" t="s">
        <v>49</v>
      </c>
      <c r="E884" s="559" t="s">
        <v>96</v>
      </c>
      <c r="F884" s="559">
        <v>15728.032999999999</v>
      </c>
      <c r="G884" s="174"/>
    </row>
    <row r="885" spans="1:7" x14ac:dyDescent="0.3">
      <c r="A885" s="559" t="s">
        <v>480</v>
      </c>
      <c r="B885" s="559">
        <v>2014</v>
      </c>
      <c r="C885" s="559" t="s">
        <v>125</v>
      </c>
      <c r="D885" s="559" t="s">
        <v>20</v>
      </c>
      <c r="E885" s="559" t="s">
        <v>96</v>
      </c>
      <c r="F885" s="559">
        <v>36929.1429999998</v>
      </c>
      <c r="G885" s="174"/>
    </row>
    <row r="886" spans="1:7" x14ac:dyDescent="0.3">
      <c r="A886" s="559" t="s">
        <v>480</v>
      </c>
      <c r="B886" s="559">
        <v>2014</v>
      </c>
      <c r="C886" s="559" t="s">
        <v>126</v>
      </c>
      <c r="D886" s="559" t="s">
        <v>23</v>
      </c>
      <c r="E886" s="559" t="s">
        <v>96</v>
      </c>
      <c r="F886" s="572">
        <v>412753.27326881501</v>
      </c>
      <c r="G886" s="174"/>
    </row>
    <row r="887" spans="1:7" x14ac:dyDescent="0.3">
      <c r="A887" s="559" t="s">
        <v>480</v>
      </c>
      <c r="B887" s="559">
        <v>2014</v>
      </c>
      <c r="C887" s="559" t="s">
        <v>126</v>
      </c>
      <c r="D887" s="559" t="s">
        <v>556</v>
      </c>
      <c r="E887" s="559" t="s">
        <v>756</v>
      </c>
      <c r="F887" s="572">
        <v>2013329.86873117</v>
      </c>
      <c r="G887" s="174"/>
    </row>
    <row r="888" spans="1:7" x14ac:dyDescent="0.3">
      <c r="A888" s="559" t="s">
        <v>480</v>
      </c>
      <c r="B888" s="559">
        <v>2014</v>
      </c>
      <c r="C888" s="559" t="s">
        <v>127</v>
      </c>
      <c r="D888" s="559" t="s">
        <v>28</v>
      </c>
      <c r="E888" s="559" t="s">
        <v>96</v>
      </c>
      <c r="F888" s="559">
        <v>252033.277999999</v>
      </c>
      <c r="G888" s="174"/>
    </row>
    <row r="889" spans="1:7" x14ac:dyDescent="0.3">
      <c r="A889" s="559" t="s">
        <v>480</v>
      </c>
      <c r="B889" s="559">
        <v>2014</v>
      </c>
      <c r="C889" s="559" t="s">
        <v>128</v>
      </c>
      <c r="D889" s="559" t="s">
        <v>25</v>
      </c>
      <c r="E889" s="559" t="s">
        <v>96</v>
      </c>
      <c r="F889" s="559">
        <v>1148377.868</v>
      </c>
      <c r="G889" s="174"/>
    </row>
    <row r="890" spans="1:7" x14ac:dyDescent="0.3">
      <c r="A890" s="559" t="s">
        <v>480</v>
      </c>
      <c r="B890" s="559">
        <v>2014</v>
      </c>
      <c r="C890" s="559" t="s">
        <v>129</v>
      </c>
      <c r="D890" s="559" t="s">
        <v>103</v>
      </c>
      <c r="E890" s="559" t="s">
        <v>96</v>
      </c>
      <c r="F890" s="559">
        <v>68.459000000000103</v>
      </c>
      <c r="G890" s="174"/>
    </row>
    <row r="891" spans="1:7" x14ac:dyDescent="0.3">
      <c r="A891" s="559" t="s">
        <v>480</v>
      </c>
      <c r="B891" s="559">
        <v>2014</v>
      </c>
      <c r="C891" s="559" t="s">
        <v>130</v>
      </c>
      <c r="D891" s="559" t="s">
        <v>35</v>
      </c>
      <c r="E891" s="559" t="s">
        <v>101</v>
      </c>
      <c r="F891" s="559">
        <v>0</v>
      </c>
      <c r="G891" s="174"/>
    </row>
    <row r="892" spans="1:7" x14ac:dyDescent="0.3">
      <c r="A892" s="559" t="s">
        <v>480</v>
      </c>
      <c r="B892" s="559">
        <v>2014</v>
      </c>
      <c r="C892" s="559" t="s">
        <v>131</v>
      </c>
      <c r="D892" s="559" t="s">
        <v>38</v>
      </c>
      <c r="E892" s="559" t="s">
        <v>96</v>
      </c>
      <c r="F892" s="559">
        <v>668660.19000000402</v>
      </c>
      <c r="G892" s="174"/>
    </row>
    <row r="893" spans="1:7" x14ac:dyDescent="0.3">
      <c r="A893" s="559" t="s">
        <v>480</v>
      </c>
      <c r="B893" s="559">
        <v>2014</v>
      </c>
      <c r="C893" s="559" t="s">
        <v>132</v>
      </c>
      <c r="D893" s="559" t="s">
        <v>25</v>
      </c>
      <c r="E893" s="559" t="s">
        <v>96</v>
      </c>
      <c r="F893" s="572">
        <v>2993.68099999999</v>
      </c>
      <c r="G893" s="174"/>
    </row>
    <row r="894" spans="1:7" x14ac:dyDescent="0.3">
      <c r="A894" s="559" t="s">
        <v>480</v>
      </c>
      <c r="B894" s="559">
        <v>2014</v>
      </c>
      <c r="C894" s="559" t="s">
        <v>133</v>
      </c>
      <c r="D894" s="559" t="s">
        <v>1</v>
      </c>
      <c r="E894" s="559" t="s">
        <v>96</v>
      </c>
      <c r="F894" s="572">
        <v>234285.44599999901</v>
      </c>
      <c r="G894" s="174"/>
    </row>
    <row r="895" spans="1:7" x14ac:dyDescent="0.3">
      <c r="A895" s="559" t="s">
        <v>480</v>
      </c>
      <c r="B895" s="559">
        <v>2014</v>
      </c>
      <c r="C895" s="559" t="s">
        <v>134</v>
      </c>
      <c r="D895" s="559" t="s">
        <v>25</v>
      </c>
      <c r="E895" s="559" t="s">
        <v>96</v>
      </c>
      <c r="F895" s="572">
        <v>2280.9759999999801</v>
      </c>
      <c r="G895" s="174"/>
    </row>
    <row r="896" spans="1:7" x14ac:dyDescent="0.3">
      <c r="A896" s="559" t="s">
        <v>480</v>
      </c>
      <c r="B896" s="559">
        <v>2014</v>
      </c>
      <c r="C896" s="559" t="s">
        <v>135</v>
      </c>
      <c r="D896" s="559" t="s">
        <v>103</v>
      </c>
      <c r="E896" s="559" t="s">
        <v>96</v>
      </c>
      <c r="F896" s="572">
        <v>18.321999999999999</v>
      </c>
      <c r="G896" s="174"/>
    </row>
    <row r="897" spans="1:7" x14ac:dyDescent="0.3">
      <c r="A897" s="559" t="s">
        <v>480</v>
      </c>
      <c r="B897" s="559">
        <v>2014</v>
      </c>
      <c r="C897" s="559" t="s">
        <v>136</v>
      </c>
      <c r="D897" s="559" t="s">
        <v>35</v>
      </c>
      <c r="E897" s="559" t="s">
        <v>101</v>
      </c>
      <c r="F897" s="572">
        <v>0</v>
      </c>
      <c r="G897" s="174"/>
    </row>
    <row r="898" spans="1:7" x14ac:dyDescent="0.3">
      <c r="A898" s="559" t="s">
        <v>480</v>
      </c>
      <c r="B898" s="559">
        <v>2014</v>
      </c>
      <c r="C898" s="559" t="s">
        <v>137</v>
      </c>
      <c r="D898" s="559" t="s">
        <v>40</v>
      </c>
      <c r="E898" s="559" t="s">
        <v>96</v>
      </c>
      <c r="F898" s="572">
        <v>180970.495999999</v>
      </c>
      <c r="G898" s="174"/>
    </row>
    <row r="899" spans="1:7" x14ac:dyDescent="0.3">
      <c r="A899" s="559" t="s">
        <v>480</v>
      </c>
      <c r="B899" s="559">
        <v>2014</v>
      </c>
      <c r="C899" s="559" t="s">
        <v>138</v>
      </c>
      <c r="D899" s="559" t="s">
        <v>40</v>
      </c>
      <c r="E899" s="559" t="s">
        <v>96</v>
      </c>
      <c r="F899" s="559">
        <v>1452646.3799999901</v>
      </c>
      <c r="G899" s="174"/>
    </row>
    <row r="900" spans="1:7" x14ac:dyDescent="0.3">
      <c r="A900" s="559" t="s">
        <v>480</v>
      </c>
      <c r="B900" s="559">
        <v>2014</v>
      </c>
      <c r="C900" s="559" t="s">
        <v>139</v>
      </c>
      <c r="D900" s="559" t="s">
        <v>28</v>
      </c>
      <c r="E900" s="559" t="s">
        <v>96</v>
      </c>
      <c r="F900" s="559">
        <v>699267.64999999804</v>
      </c>
      <c r="G900" s="174"/>
    </row>
    <row r="901" spans="1:7" x14ac:dyDescent="0.3">
      <c r="A901" s="559" t="s">
        <v>480</v>
      </c>
      <c r="B901" s="559">
        <v>2014</v>
      </c>
      <c r="C901" s="559" t="s">
        <v>140</v>
      </c>
      <c r="D901" s="559" t="s">
        <v>12</v>
      </c>
      <c r="E901" s="559" t="s">
        <v>96</v>
      </c>
      <c r="F901" s="559">
        <v>148252.73599999899</v>
      </c>
      <c r="G901" s="174"/>
    </row>
    <row r="902" spans="1:7" x14ac:dyDescent="0.3">
      <c r="A902" s="559" t="s">
        <v>480</v>
      </c>
      <c r="B902" s="559">
        <v>2014</v>
      </c>
      <c r="C902" s="559" t="s">
        <v>141</v>
      </c>
      <c r="D902" s="559" t="s">
        <v>12</v>
      </c>
      <c r="E902" s="559" t="s">
        <v>96</v>
      </c>
      <c r="F902" s="559">
        <v>69563.823999999993</v>
      </c>
      <c r="G902" s="174"/>
    </row>
    <row r="903" spans="1:7" x14ac:dyDescent="0.3">
      <c r="A903" s="559" t="s">
        <v>480</v>
      </c>
      <c r="B903" s="559">
        <v>2014</v>
      </c>
      <c r="C903" s="559" t="s">
        <v>142</v>
      </c>
      <c r="D903" s="559" t="s">
        <v>1</v>
      </c>
      <c r="E903" s="559" t="s">
        <v>96</v>
      </c>
      <c r="F903" s="559">
        <v>2773.3237768240301</v>
      </c>
      <c r="G903" s="174"/>
    </row>
    <row r="904" spans="1:7" x14ac:dyDescent="0.3">
      <c r="A904" s="559" t="s">
        <v>480</v>
      </c>
      <c r="B904" s="559">
        <v>2014</v>
      </c>
      <c r="C904" s="559" t="s">
        <v>142</v>
      </c>
      <c r="D904" s="559" t="s">
        <v>4</v>
      </c>
      <c r="E904" s="559" t="s">
        <v>96</v>
      </c>
      <c r="F904" s="559">
        <v>35.1562231759657</v>
      </c>
      <c r="G904" s="174"/>
    </row>
    <row r="905" spans="1:7" x14ac:dyDescent="0.3">
      <c r="A905" s="559" t="s">
        <v>480</v>
      </c>
      <c r="B905" s="559">
        <v>2014</v>
      </c>
      <c r="C905" s="559" t="s">
        <v>142</v>
      </c>
      <c r="D905" s="559" t="s">
        <v>27</v>
      </c>
      <c r="E905" s="559" t="s">
        <v>110</v>
      </c>
      <c r="F905" s="559">
        <v>0</v>
      </c>
      <c r="G905" s="174"/>
    </row>
    <row r="906" spans="1:7" x14ac:dyDescent="0.3">
      <c r="A906" s="559" t="s">
        <v>480</v>
      </c>
      <c r="B906" s="559">
        <v>2014</v>
      </c>
      <c r="C906" s="559" t="s">
        <v>143</v>
      </c>
      <c r="D906" s="559" t="s">
        <v>4</v>
      </c>
      <c r="E906" s="559" t="s">
        <v>96</v>
      </c>
      <c r="F906" s="559">
        <v>166.49299999999999</v>
      </c>
      <c r="G906" s="174"/>
    </row>
    <row r="907" spans="1:7" x14ac:dyDescent="0.3">
      <c r="A907" s="559" t="s">
        <v>480</v>
      </c>
      <c r="B907" s="559">
        <v>2014</v>
      </c>
      <c r="C907" s="559" t="s">
        <v>144</v>
      </c>
      <c r="D907" s="559" t="s">
        <v>4</v>
      </c>
      <c r="E907" s="559" t="s">
        <v>101</v>
      </c>
      <c r="F907" s="559">
        <v>0</v>
      </c>
      <c r="G907" s="174"/>
    </row>
    <row r="908" spans="1:7" x14ac:dyDescent="0.3">
      <c r="A908" s="559" t="s">
        <v>480</v>
      </c>
      <c r="B908" s="559">
        <v>2014</v>
      </c>
      <c r="C908" s="559" t="s">
        <v>145</v>
      </c>
      <c r="D908" s="559" t="s">
        <v>41</v>
      </c>
      <c r="E908" s="559" t="s">
        <v>96</v>
      </c>
      <c r="F908" s="559">
        <v>56458.317999999999</v>
      </c>
      <c r="G908" s="174"/>
    </row>
    <row r="909" spans="1:7" x14ac:dyDescent="0.3">
      <c r="A909" s="559" t="s">
        <v>480</v>
      </c>
      <c r="B909" s="559">
        <v>2014</v>
      </c>
      <c r="C909" s="559" t="s">
        <v>146</v>
      </c>
      <c r="D909" s="559" t="s">
        <v>31</v>
      </c>
      <c r="E909" s="559" t="s">
        <v>96</v>
      </c>
      <c r="F909" s="559">
        <v>144128.448999999</v>
      </c>
      <c r="G909" s="174"/>
    </row>
    <row r="910" spans="1:7" x14ac:dyDescent="0.3">
      <c r="A910" s="559" t="s">
        <v>480</v>
      </c>
      <c r="B910" s="559">
        <v>2014</v>
      </c>
      <c r="C910" s="559" t="s">
        <v>147</v>
      </c>
      <c r="D910" s="559" t="s">
        <v>11</v>
      </c>
      <c r="E910" s="559" t="s">
        <v>96</v>
      </c>
      <c r="F910" s="559">
        <v>417114.80199999601</v>
      </c>
      <c r="G910" s="174"/>
    </row>
    <row r="911" spans="1:7" x14ac:dyDescent="0.3">
      <c r="A911" s="559" t="s">
        <v>480</v>
      </c>
      <c r="B911" s="559">
        <v>2014</v>
      </c>
      <c r="C911" s="559" t="s">
        <v>148</v>
      </c>
      <c r="D911" s="559" t="s">
        <v>73</v>
      </c>
      <c r="E911" s="559" t="s">
        <v>96</v>
      </c>
      <c r="F911" s="559">
        <v>246328.99500000101</v>
      </c>
      <c r="G911" s="174"/>
    </row>
    <row r="912" spans="1:7" x14ac:dyDescent="0.3">
      <c r="A912" s="559" t="s">
        <v>480</v>
      </c>
      <c r="B912" s="559">
        <v>2014</v>
      </c>
      <c r="C912" s="559" t="s">
        <v>149</v>
      </c>
      <c r="D912" s="559" t="s">
        <v>36</v>
      </c>
      <c r="E912" s="559" t="s">
        <v>96</v>
      </c>
      <c r="F912" s="559">
        <v>343788.14999999898</v>
      </c>
      <c r="G912" s="174"/>
    </row>
    <row r="913" spans="1:7" x14ac:dyDescent="0.3">
      <c r="A913" s="559" t="s">
        <v>480</v>
      </c>
      <c r="B913" s="559">
        <v>2014</v>
      </c>
      <c r="C913" s="559" t="s">
        <v>150</v>
      </c>
      <c r="D913" s="559" t="s">
        <v>1</v>
      </c>
      <c r="E913" s="559" t="s">
        <v>96</v>
      </c>
      <c r="F913" s="559">
        <v>378646.942847603</v>
      </c>
      <c r="G913" s="174"/>
    </row>
    <row r="914" spans="1:7" x14ac:dyDescent="0.3">
      <c r="A914" s="559" t="s">
        <v>480</v>
      </c>
      <c r="B914" s="559">
        <v>2014</v>
      </c>
      <c r="C914" s="559" t="s">
        <v>150</v>
      </c>
      <c r="D914" s="559" t="s">
        <v>70</v>
      </c>
      <c r="E914" s="559" t="s">
        <v>96</v>
      </c>
      <c r="F914" s="572">
        <v>18026.8141523991</v>
      </c>
      <c r="G914" s="174"/>
    </row>
    <row r="915" spans="1:7" x14ac:dyDescent="0.3">
      <c r="A915" s="559" t="s">
        <v>480</v>
      </c>
      <c r="B915" s="559">
        <v>2014</v>
      </c>
      <c r="C915" s="559" t="s">
        <v>151</v>
      </c>
      <c r="D915" s="559" t="s">
        <v>40</v>
      </c>
      <c r="E915" s="559" t="s">
        <v>96</v>
      </c>
      <c r="F915" s="572">
        <v>558160.23800000001</v>
      </c>
      <c r="G915" s="174"/>
    </row>
    <row r="916" spans="1:7" x14ac:dyDescent="0.3">
      <c r="A916" s="559" t="s">
        <v>480</v>
      </c>
      <c r="B916" s="559">
        <v>2014</v>
      </c>
      <c r="C916" s="559" t="s">
        <v>152</v>
      </c>
      <c r="D916" s="559" t="s">
        <v>5</v>
      </c>
      <c r="E916" s="559" t="s">
        <v>96</v>
      </c>
      <c r="F916" s="559">
        <v>521132.30730739899</v>
      </c>
      <c r="G916" s="174"/>
    </row>
    <row r="917" spans="1:7" x14ac:dyDescent="0.3">
      <c r="A917" s="559" t="s">
        <v>480</v>
      </c>
      <c r="B917" s="559">
        <v>2014</v>
      </c>
      <c r="C917" s="559" t="s">
        <v>152</v>
      </c>
      <c r="D917" s="559" t="s">
        <v>24</v>
      </c>
      <c r="E917" s="559" t="s">
        <v>756</v>
      </c>
      <c r="F917" s="559">
        <v>3757406.1846925798</v>
      </c>
      <c r="G917" s="174"/>
    </row>
    <row r="918" spans="1:7" x14ac:dyDescent="0.3">
      <c r="A918" s="559" t="s">
        <v>480</v>
      </c>
      <c r="B918" s="559">
        <v>2014</v>
      </c>
      <c r="C918" s="559" t="s">
        <v>153</v>
      </c>
      <c r="D918" s="559" t="s">
        <v>73</v>
      </c>
      <c r="E918" s="559" t="s">
        <v>96</v>
      </c>
      <c r="F918" s="559">
        <v>280238.984999999</v>
      </c>
      <c r="G918" s="174"/>
    </row>
    <row r="919" spans="1:7" x14ac:dyDescent="0.3">
      <c r="A919" s="559" t="s">
        <v>480</v>
      </c>
      <c r="B919" s="559">
        <v>2014</v>
      </c>
      <c r="C919" s="559" t="s">
        <v>154</v>
      </c>
      <c r="D919" s="559" t="s">
        <v>41</v>
      </c>
      <c r="E919" s="559" t="s">
        <v>96</v>
      </c>
      <c r="F919" s="559">
        <v>119216.139999999</v>
      </c>
      <c r="G919" s="174"/>
    </row>
    <row r="920" spans="1:7" x14ac:dyDescent="0.3">
      <c r="A920" s="559" t="s">
        <v>480</v>
      </c>
      <c r="B920" s="559">
        <v>2014</v>
      </c>
      <c r="C920" s="559" t="s">
        <v>155</v>
      </c>
      <c r="D920" s="559" t="s">
        <v>28</v>
      </c>
      <c r="E920" s="559" t="s">
        <v>96</v>
      </c>
      <c r="F920" s="559">
        <v>92037.239999999903</v>
      </c>
      <c r="G920" s="174"/>
    </row>
    <row r="921" spans="1:7" x14ac:dyDescent="0.3">
      <c r="A921" s="559" t="s">
        <v>480</v>
      </c>
      <c r="B921" s="559">
        <v>2014</v>
      </c>
      <c r="C921" s="559" t="s">
        <v>156</v>
      </c>
      <c r="D921" s="559" t="s">
        <v>39</v>
      </c>
      <c r="E921" s="559" t="s">
        <v>96</v>
      </c>
      <c r="F921" s="572">
        <v>462104.73799999902</v>
      </c>
      <c r="G921" s="174"/>
    </row>
    <row r="922" spans="1:7" x14ac:dyDescent="0.3">
      <c r="A922" s="559" t="s">
        <v>480</v>
      </c>
      <c r="B922" s="559">
        <v>2014</v>
      </c>
      <c r="C922" s="559" t="s">
        <v>157</v>
      </c>
      <c r="D922" s="559" t="s">
        <v>39</v>
      </c>
      <c r="E922" s="559" t="s">
        <v>96</v>
      </c>
      <c r="F922" s="572">
        <v>2125357.13799999</v>
      </c>
      <c r="G922" s="174"/>
    </row>
    <row r="923" spans="1:7" x14ac:dyDescent="0.3">
      <c r="A923" s="559" t="s">
        <v>480</v>
      </c>
      <c r="B923" s="559">
        <v>2014</v>
      </c>
      <c r="C923" s="559" t="s">
        <v>158</v>
      </c>
      <c r="D923" s="559" t="s">
        <v>49</v>
      </c>
      <c r="E923" s="559" t="s">
        <v>96</v>
      </c>
      <c r="F923" s="572">
        <v>22148.447999999698</v>
      </c>
      <c r="G923" s="174"/>
    </row>
    <row r="924" spans="1:7" x14ac:dyDescent="0.3">
      <c r="A924" s="559" t="s">
        <v>480</v>
      </c>
      <c r="B924" s="559">
        <v>2014</v>
      </c>
      <c r="C924" s="559" t="s">
        <v>159</v>
      </c>
      <c r="D924" s="559" t="s">
        <v>40</v>
      </c>
      <c r="E924" s="559" t="s">
        <v>96</v>
      </c>
      <c r="F924" s="572">
        <v>125179.27599999899</v>
      </c>
      <c r="G924" s="174"/>
    </row>
    <row r="925" spans="1:7" x14ac:dyDescent="0.3">
      <c r="A925" s="559" t="s">
        <v>480</v>
      </c>
      <c r="B925" s="559">
        <v>2014</v>
      </c>
      <c r="C925" s="559" t="s">
        <v>160</v>
      </c>
      <c r="D925" s="559" t="s">
        <v>40</v>
      </c>
      <c r="E925" s="559" t="s">
        <v>96</v>
      </c>
      <c r="F925" s="572">
        <v>114980.496999999</v>
      </c>
      <c r="G925" s="174"/>
    </row>
    <row r="926" spans="1:7" x14ac:dyDescent="0.3">
      <c r="A926" s="559" t="s">
        <v>480</v>
      </c>
      <c r="B926" s="559">
        <v>2014</v>
      </c>
      <c r="C926" s="559" t="s">
        <v>161</v>
      </c>
      <c r="D926" s="559" t="s">
        <v>37</v>
      </c>
      <c r="E926" s="559" t="s">
        <v>96</v>
      </c>
      <c r="F926" s="572">
        <v>4485964.3319999902</v>
      </c>
      <c r="G926" s="174"/>
    </row>
    <row r="927" spans="1:7" x14ac:dyDescent="0.3">
      <c r="A927" s="559" t="s">
        <v>480</v>
      </c>
      <c r="B927" s="559">
        <v>2014</v>
      </c>
      <c r="C927" s="559" t="s">
        <v>162</v>
      </c>
      <c r="D927" s="559" t="s">
        <v>37</v>
      </c>
      <c r="E927" s="559" t="s">
        <v>96</v>
      </c>
      <c r="F927" s="572">
        <v>5860236.5369999902</v>
      </c>
      <c r="G927" s="174"/>
    </row>
    <row r="928" spans="1:7" x14ac:dyDescent="0.3">
      <c r="A928" s="559" t="s">
        <v>480</v>
      </c>
      <c r="B928" s="559">
        <v>2014</v>
      </c>
      <c r="C928" s="559" t="s">
        <v>163</v>
      </c>
      <c r="D928" s="559" t="s">
        <v>28</v>
      </c>
      <c r="E928" s="559" t="s">
        <v>96</v>
      </c>
      <c r="F928" s="572">
        <v>721526.05500000203</v>
      </c>
      <c r="G928" s="174"/>
    </row>
    <row r="929" spans="1:7" x14ac:dyDescent="0.3">
      <c r="A929" s="559" t="s">
        <v>480</v>
      </c>
      <c r="B929" s="559">
        <v>2014</v>
      </c>
      <c r="C929" s="559" t="s">
        <v>164</v>
      </c>
      <c r="D929" s="559" t="s">
        <v>41</v>
      </c>
      <c r="E929" s="559" t="s">
        <v>96</v>
      </c>
      <c r="F929" s="572">
        <v>73446.338000000003</v>
      </c>
      <c r="G929" s="174"/>
    </row>
    <row r="930" spans="1:7" x14ac:dyDescent="0.3">
      <c r="A930" s="559" t="s">
        <v>480</v>
      </c>
      <c r="B930" s="559">
        <v>2014</v>
      </c>
      <c r="C930" s="559" t="s">
        <v>165</v>
      </c>
      <c r="D930" s="559" t="s">
        <v>39</v>
      </c>
      <c r="E930" s="559" t="s">
        <v>96</v>
      </c>
      <c r="F930" s="572">
        <v>563317.36600000097</v>
      </c>
      <c r="G930" s="174"/>
    </row>
    <row r="931" spans="1:7" x14ac:dyDescent="0.3">
      <c r="A931" s="559" t="s">
        <v>480</v>
      </c>
      <c r="B931" s="559">
        <v>2014</v>
      </c>
      <c r="C931" s="559" t="s">
        <v>166</v>
      </c>
      <c r="D931" s="559" t="s">
        <v>10</v>
      </c>
      <c r="E931" s="559" t="s">
        <v>101</v>
      </c>
      <c r="F931" s="572">
        <v>0</v>
      </c>
      <c r="G931" s="174"/>
    </row>
    <row r="932" spans="1:7" x14ac:dyDescent="0.3">
      <c r="A932" s="559" t="s">
        <v>480</v>
      </c>
      <c r="B932" s="559">
        <v>2014</v>
      </c>
      <c r="C932" s="559" t="s">
        <v>167</v>
      </c>
      <c r="D932" s="559" t="s">
        <v>10</v>
      </c>
      <c r="E932" s="559" t="s">
        <v>101</v>
      </c>
      <c r="F932" s="572">
        <v>0</v>
      </c>
      <c r="G932" s="174"/>
    </row>
    <row r="933" spans="1:7" x14ac:dyDescent="0.3">
      <c r="A933" s="559" t="s">
        <v>480</v>
      </c>
      <c r="B933" s="559">
        <v>2014</v>
      </c>
      <c r="C933" s="559" t="s">
        <v>168</v>
      </c>
      <c r="D933" s="559" t="s">
        <v>10</v>
      </c>
      <c r="E933" s="559" t="s">
        <v>101</v>
      </c>
      <c r="F933" s="572">
        <v>0</v>
      </c>
      <c r="G933" s="174"/>
    </row>
    <row r="934" spans="1:7" x14ac:dyDescent="0.3">
      <c r="A934" s="559" t="s">
        <v>480</v>
      </c>
      <c r="B934" s="559">
        <v>2014</v>
      </c>
      <c r="C934" s="559" t="s">
        <v>169</v>
      </c>
      <c r="D934" s="559" t="s">
        <v>10</v>
      </c>
      <c r="E934" s="559" t="s">
        <v>101</v>
      </c>
      <c r="F934" s="572">
        <v>0</v>
      </c>
      <c r="G934" s="174"/>
    </row>
    <row r="935" spans="1:7" x14ac:dyDescent="0.3">
      <c r="A935" s="559" t="s">
        <v>480</v>
      </c>
      <c r="B935" s="559">
        <v>2014</v>
      </c>
      <c r="C935" s="559" t="s">
        <v>170</v>
      </c>
      <c r="D935" s="559" t="s">
        <v>37</v>
      </c>
      <c r="E935" s="559" t="s">
        <v>96</v>
      </c>
      <c r="F935" s="572">
        <v>665792.04</v>
      </c>
      <c r="G935" s="174"/>
    </row>
    <row r="936" spans="1:7" x14ac:dyDescent="0.3">
      <c r="A936" s="559" t="s">
        <v>480</v>
      </c>
      <c r="B936" s="559">
        <v>2014</v>
      </c>
      <c r="C936" s="559" t="s">
        <v>171</v>
      </c>
      <c r="D936" s="559" t="s">
        <v>25</v>
      </c>
      <c r="E936" s="559" t="s">
        <v>96</v>
      </c>
      <c r="F936" s="572">
        <v>154179.595999999</v>
      </c>
      <c r="G936" s="174"/>
    </row>
    <row r="937" spans="1:7" x14ac:dyDescent="0.3">
      <c r="A937" s="559" t="s">
        <v>480</v>
      </c>
      <c r="B937" s="559">
        <v>2014</v>
      </c>
      <c r="C937" s="559" t="s">
        <v>172</v>
      </c>
      <c r="D937" s="559" t="s">
        <v>25</v>
      </c>
      <c r="E937" s="559" t="s">
        <v>96</v>
      </c>
      <c r="F937" s="572">
        <v>174237.15499999901</v>
      </c>
      <c r="G937" s="174"/>
    </row>
    <row r="938" spans="1:7" x14ac:dyDescent="0.3">
      <c r="A938" s="559" t="s">
        <v>480</v>
      </c>
      <c r="B938" s="559">
        <v>2014</v>
      </c>
      <c r="C938" s="559" t="s">
        <v>173</v>
      </c>
      <c r="D938" s="559" t="s">
        <v>32</v>
      </c>
      <c r="E938" s="559" t="s">
        <v>96</v>
      </c>
      <c r="F938" s="572">
        <v>373384.44300000102</v>
      </c>
      <c r="G938" s="174"/>
    </row>
    <row r="939" spans="1:7" x14ac:dyDescent="0.3">
      <c r="A939" s="559" t="s">
        <v>480</v>
      </c>
      <c r="B939" s="559">
        <v>2014</v>
      </c>
      <c r="C939" s="559" t="s">
        <v>174</v>
      </c>
      <c r="D939" s="559" t="s">
        <v>28</v>
      </c>
      <c r="E939" s="559" t="s">
        <v>96</v>
      </c>
      <c r="F939" s="572">
        <v>273406.04199999903</v>
      </c>
      <c r="G939" s="174"/>
    </row>
    <row r="940" spans="1:7" x14ac:dyDescent="0.3">
      <c r="A940" s="559" t="s">
        <v>480</v>
      </c>
      <c r="B940" s="559">
        <v>2014</v>
      </c>
      <c r="C940" s="559" t="s">
        <v>175</v>
      </c>
      <c r="D940" s="559" t="s">
        <v>28</v>
      </c>
      <c r="E940" s="559" t="s">
        <v>96</v>
      </c>
      <c r="F940" s="572">
        <v>384670.653999998</v>
      </c>
      <c r="G940" s="174"/>
    </row>
    <row r="941" spans="1:7" x14ac:dyDescent="0.3">
      <c r="A941" s="559" t="s">
        <v>480</v>
      </c>
      <c r="B941" s="559">
        <v>2014</v>
      </c>
      <c r="C941" s="559" t="s">
        <v>176</v>
      </c>
      <c r="D941" s="559" t="s">
        <v>51</v>
      </c>
      <c r="E941" s="559" t="s">
        <v>96</v>
      </c>
      <c r="F941" s="572">
        <v>130889.495</v>
      </c>
      <c r="G941" s="174"/>
    </row>
    <row r="942" spans="1:7" x14ac:dyDescent="0.3">
      <c r="A942" s="559" t="s">
        <v>480</v>
      </c>
      <c r="B942" s="559">
        <v>2014</v>
      </c>
      <c r="C942" s="559" t="s">
        <v>177</v>
      </c>
      <c r="D942" s="559" t="s">
        <v>103</v>
      </c>
      <c r="E942" s="559" t="s">
        <v>96</v>
      </c>
      <c r="F942" s="559">
        <v>156.396999999999</v>
      </c>
      <c r="G942" s="174"/>
    </row>
    <row r="943" spans="1:7" x14ac:dyDescent="0.3">
      <c r="A943" s="559" t="s">
        <v>480</v>
      </c>
      <c r="B943" s="559">
        <v>2014</v>
      </c>
      <c r="C943" s="559" t="s">
        <v>178</v>
      </c>
      <c r="D943" s="559" t="s">
        <v>35</v>
      </c>
      <c r="E943" s="559" t="s">
        <v>101</v>
      </c>
      <c r="F943" s="559">
        <v>0</v>
      </c>
      <c r="G943" s="174"/>
    </row>
    <row r="944" spans="1:7" x14ac:dyDescent="0.3">
      <c r="A944" s="559" t="s">
        <v>480</v>
      </c>
      <c r="B944" s="559">
        <v>2014</v>
      </c>
      <c r="C944" s="559" t="s">
        <v>179</v>
      </c>
      <c r="D944" s="559" t="s">
        <v>35</v>
      </c>
      <c r="E944" s="559" t="s">
        <v>101</v>
      </c>
      <c r="F944" s="559">
        <v>0</v>
      </c>
      <c r="G944" s="174"/>
    </row>
    <row r="945" spans="1:7" x14ac:dyDescent="0.3">
      <c r="A945" s="559" t="s">
        <v>480</v>
      </c>
      <c r="B945" s="559">
        <v>2014</v>
      </c>
      <c r="C945" s="559" t="s">
        <v>180</v>
      </c>
      <c r="D945" s="559" t="s">
        <v>35</v>
      </c>
      <c r="E945" s="559" t="s">
        <v>101</v>
      </c>
      <c r="F945" s="559">
        <v>0</v>
      </c>
      <c r="G945" s="174"/>
    </row>
    <row r="946" spans="1:7" x14ac:dyDescent="0.3">
      <c r="A946" s="559" t="s">
        <v>480</v>
      </c>
      <c r="B946" s="559">
        <v>2014</v>
      </c>
      <c r="C946" s="559" t="s">
        <v>181</v>
      </c>
      <c r="D946" s="559" t="s">
        <v>14</v>
      </c>
      <c r="E946" s="559" t="s">
        <v>96</v>
      </c>
      <c r="F946" s="559">
        <v>1199.271</v>
      </c>
      <c r="G946" s="174"/>
    </row>
    <row r="947" spans="1:7" x14ac:dyDescent="0.3">
      <c r="A947" s="559" t="s">
        <v>480</v>
      </c>
      <c r="B947" s="559">
        <v>2014</v>
      </c>
      <c r="C947" s="559" t="s">
        <v>182</v>
      </c>
      <c r="D947" s="559" t="s">
        <v>47</v>
      </c>
      <c r="E947" s="559" t="s">
        <v>101</v>
      </c>
      <c r="F947" s="559">
        <v>0</v>
      </c>
      <c r="G947" s="174"/>
    </row>
    <row r="948" spans="1:7" x14ac:dyDescent="0.3">
      <c r="A948" s="559" t="s">
        <v>480</v>
      </c>
      <c r="B948" s="559">
        <v>2014</v>
      </c>
      <c r="C948" s="559" t="s">
        <v>183</v>
      </c>
      <c r="D948" s="559" t="s">
        <v>47</v>
      </c>
      <c r="E948" s="559" t="s">
        <v>101</v>
      </c>
      <c r="F948" s="559">
        <v>0</v>
      </c>
      <c r="G948" s="174"/>
    </row>
    <row r="949" spans="1:7" x14ac:dyDescent="0.3">
      <c r="A949" s="559" t="s">
        <v>480</v>
      </c>
      <c r="B949" s="559">
        <v>2014</v>
      </c>
      <c r="C949" s="559" t="s">
        <v>184</v>
      </c>
      <c r="D949" s="559" t="s">
        <v>1</v>
      </c>
      <c r="E949" s="559" t="s">
        <v>96</v>
      </c>
      <c r="F949" s="559">
        <v>525140.48238310404</v>
      </c>
      <c r="G949" s="174"/>
    </row>
    <row r="950" spans="1:7" x14ac:dyDescent="0.3">
      <c r="A950" s="559" t="s">
        <v>480</v>
      </c>
      <c r="B950" s="559">
        <v>2014</v>
      </c>
      <c r="C950" s="559" t="s">
        <v>184</v>
      </c>
      <c r="D950" s="559" t="s">
        <v>71</v>
      </c>
      <c r="E950" s="559" t="s">
        <v>96</v>
      </c>
      <c r="F950" s="559">
        <v>20966.5176733517</v>
      </c>
      <c r="G950" s="174"/>
    </row>
    <row r="951" spans="1:7" x14ac:dyDescent="0.3">
      <c r="A951" s="559" t="s">
        <v>480</v>
      </c>
      <c r="B951" s="559">
        <v>2014</v>
      </c>
      <c r="C951" s="559" t="s">
        <v>184</v>
      </c>
      <c r="D951" s="559" t="s">
        <v>35</v>
      </c>
      <c r="E951" s="559" t="s">
        <v>110</v>
      </c>
      <c r="F951" s="559">
        <v>0</v>
      </c>
      <c r="G951" s="174"/>
    </row>
    <row r="952" spans="1:7" x14ac:dyDescent="0.3">
      <c r="A952" s="559" t="s">
        <v>480</v>
      </c>
      <c r="B952" s="559">
        <v>2014</v>
      </c>
      <c r="C952" s="559" t="s">
        <v>185</v>
      </c>
      <c r="D952" s="559" t="s">
        <v>35</v>
      </c>
      <c r="E952" s="559" t="s">
        <v>101</v>
      </c>
      <c r="F952" s="559">
        <v>0</v>
      </c>
      <c r="G952" s="174"/>
    </row>
    <row r="953" spans="1:7" x14ac:dyDescent="0.3">
      <c r="A953" s="559" t="s">
        <v>480</v>
      </c>
      <c r="B953" s="559">
        <v>2014</v>
      </c>
      <c r="C953" s="559" t="s">
        <v>186</v>
      </c>
      <c r="D953" s="559" t="s">
        <v>1</v>
      </c>
      <c r="E953" s="559" t="s">
        <v>96</v>
      </c>
      <c r="F953" s="559">
        <v>391155.65299999999</v>
      </c>
      <c r="G953" s="174"/>
    </row>
    <row r="954" spans="1:7" x14ac:dyDescent="0.3">
      <c r="A954" s="559" t="s">
        <v>480</v>
      </c>
      <c r="B954" s="559">
        <v>2014</v>
      </c>
      <c r="C954" s="559" t="s">
        <v>187</v>
      </c>
      <c r="D954" s="559" t="s">
        <v>71</v>
      </c>
      <c r="E954" s="559" t="s">
        <v>96</v>
      </c>
      <c r="F954" s="559">
        <v>40552.769</v>
      </c>
      <c r="G954" s="174"/>
    </row>
    <row r="955" spans="1:7" x14ac:dyDescent="0.3">
      <c r="A955" s="559" t="s">
        <v>480</v>
      </c>
      <c r="B955" s="559">
        <v>2014</v>
      </c>
      <c r="C955" s="559" t="s">
        <v>188</v>
      </c>
      <c r="D955" s="559" t="s">
        <v>69</v>
      </c>
      <c r="E955" s="559" t="s">
        <v>96</v>
      </c>
      <c r="F955" s="559">
        <v>441719.08877922699</v>
      </c>
      <c r="G955" s="174"/>
    </row>
    <row r="956" spans="1:7" x14ac:dyDescent="0.3">
      <c r="A956" s="559" t="s">
        <v>480</v>
      </c>
      <c r="B956" s="559">
        <v>2014</v>
      </c>
      <c r="C956" s="559" t="s">
        <v>188</v>
      </c>
      <c r="D956" s="559" t="s">
        <v>73</v>
      </c>
      <c r="E956" s="559" t="s">
        <v>96</v>
      </c>
      <c r="F956" s="559">
        <v>380355.38222077</v>
      </c>
      <c r="G956" s="174"/>
    </row>
    <row r="957" spans="1:7" x14ac:dyDescent="0.3">
      <c r="A957" s="559" t="s">
        <v>480</v>
      </c>
      <c r="B957" s="559">
        <v>2014</v>
      </c>
      <c r="C957" s="559" t="s">
        <v>189</v>
      </c>
      <c r="D957" s="559" t="s">
        <v>25</v>
      </c>
      <c r="E957" s="559" t="s">
        <v>96</v>
      </c>
      <c r="F957" s="559">
        <v>747590.23299999698</v>
      </c>
      <c r="G957" s="174"/>
    </row>
    <row r="958" spans="1:7" x14ac:dyDescent="0.3">
      <c r="A958" s="559" t="s">
        <v>480</v>
      </c>
      <c r="B958" s="559">
        <v>2014</v>
      </c>
      <c r="C958" s="559" t="s">
        <v>190</v>
      </c>
      <c r="D958" s="559" t="s">
        <v>25</v>
      </c>
      <c r="E958" s="559" t="s">
        <v>96</v>
      </c>
      <c r="F958" s="559">
        <v>3786081.9640000002</v>
      </c>
      <c r="G958" s="174"/>
    </row>
    <row r="959" spans="1:7" x14ac:dyDescent="0.3">
      <c r="A959" s="559" t="s">
        <v>480</v>
      </c>
      <c r="B959" s="559">
        <v>2014</v>
      </c>
      <c r="C959" s="559" t="s">
        <v>191</v>
      </c>
      <c r="D959" s="559" t="s">
        <v>12</v>
      </c>
      <c r="E959" s="559" t="s">
        <v>96</v>
      </c>
      <c r="F959" s="559">
        <v>257400.478999999</v>
      </c>
      <c r="G959" s="174"/>
    </row>
    <row r="960" spans="1:7" x14ac:dyDescent="0.3">
      <c r="A960" s="559" t="s">
        <v>480</v>
      </c>
      <c r="B960" s="559">
        <v>2014</v>
      </c>
      <c r="C960" s="559" t="s">
        <v>192</v>
      </c>
      <c r="D960" s="559" t="s">
        <v>22</v>
      </c>
      <c r="E960" s="559" t="s">
        <v>756</v>
      </c>
      <c r="F960" s="559">
        <v>160159.744000001</v>
      </c>
      <c r="G960" s="174"/>
    </row>
    <row r="961" spans="1:7" x14ac:dyDescent="0.3">
      <c r="A961" s="559" t="s">
        <v>480</v>
      </c>
      <c r="B961" s="559">
        <v>2014</v>
      </c>
      <c r="C961" s="559" t="s">
        <v>192</v>
      </c>
      <c r="D961" s="559" t="s">
        <v>51</v>
      </c>
      <c r="E961" s="559" t="s">
        <v>96</v>
      </c>
      <c r="F961" s="559">
        <v>8.3885118061021302</v>
      </c>
      <c r="G961" s="174"/>
    </row>
    <row r="962" spans="1:7" x14ac:dyDescent="0.3">
      <c r="A962" s="559" t="s">
        <v>480</v>
      </c>
      <c r="B962" s="559">
        <v>2014</v>
      </c>
      <c r="C962" s="559" t="s">
        <v>193</v>
      </c>
      <c r="D962" s="559" t="s">
        <v>11</v>
      </c>
      <c r="E962" s="559" t="s">
        <v>96</v>
      </c>
      <c r="F962" s="559">
        <v>109192.833</v>
      </c>
      <c r="G962" s="174"/>
    </row>
    <row r="963" spans="1:7" x14ac:dyDescent="0.3">
      <c r="A963" s="559" t="s">
        <v>480</v>
      </c>
      <c r="B963" s="559">
        <v>2014</v>
      </c>
      <c r="C963" s="559" t="s">
        <v>395</v>
      </c>
      <c r="D963" s="559" t="s">
        <v>17</v>
      </c>
      <c r="E963" s="559" t="s">
        <v>101</v>
      </c>
      <c r="F963" s="559">
        <v>0</v>
      </c>
      <c r="G963" s="174"/>
    </row>
    <row r="964" spans="1:7" x14ac:dyDescent="0.3">
      <c r="A964" s="559" t="s">
        <v>480</v>
      </c>
      <c r="B964" s="559">
        <v>2014</v>
      </c>
      <c r="C964" s="559" t="s">
        <v>194</v>
      </c>
      <c r="D964" s="559" t="s">
        <v>25</v>
      </c>
      <c r="E964" s="559" t="s">
        <v>96</v>
      </c>
      <c r="F964" s="559">
        <v>60305.085999999697</v>
      </c>
      <c r="G964" s="174"/>
    </row>
    <row r="965" spans="1:7" x14ac:dyDescent="0.3">
      <c r="A965" s="559" t="s">
        <v>480</v>
      </c>
      <c r="B965" s="559">
        <v>2014</v>
      </c>
      <c r="C965" s="559" t="s">
        <v>195</v>
      </c>
      <c r="D965" s="559" t="s">
        <v>25</v>
      </c>
      <c r="E965" s="559" t="s">
        <v>96</v>
      </c>
      <c r="F965" s="559">
        <v>62775.7599999995</v>
      </c>
      <c r="G965" s="174"/>
    </row>
    <row r="966" spans="1:7" x14ac:dyDescent="0.3">
      <c r="A966" s="559" t="s">
        <v>480</v>
      </c>
      <c r="B966" s="559">
        <v>2014</v>
      </c>
      <c r="C966" s="559" t="s">
        <v>196</v>
      </c>
      <c r="D966" s="559" t="s">
        <v>19</v>
      </c>
      <c r="E966" s="559" t="s">
        <v>96</v>
      </c>
      <c r="F966" s="559">
        <v>26603.63</v>
      </c>
      <c r="G966" s="174"/>
    </row>
    <row r="967" spans="1:7" x14ac:dyDescent="0.3">
      <c r="A967" s="559" t="s">
        <v>480</v>
      </c>
      <c r="B967" s="559">
        <v>2014</v>
      </c>
      <c r="C967" s="559" t="s">
        <v>197</v>
      </c>
      <c r="D967" s="559" t="s">
        <v>3</v>
      </c>
      <c r="E967" s="559" t="s">
        <v>756</v>
      </c>
      <c r="F967" s="559">
        <v>669278.76199999999</v>
      </c>
      <c r="G967" s="174"/>
    </row>
    <row r="968" spans="1:7" x14ac:dyDescent="0.3">
      <c r="A968" s="559" t="s">
        <v>480</v>
      </c>
      <c r="B968" s="559">
        <v>2014</v>
      </c>
      <c r="C968" s="559" t="s">
        <v>198</v>
      </c>
      <c r="D968" s="559" t="s">
        <v>28</v>
      </c>
      <c r="E968" s="559" t="s">
        <v>96</v>
      </c>
      <c r="F968" s="559">
        <v>183022.560999999</v>
      </c>
      <c r="G968" s="174"/>
    </row>
    <row r="969" spans="1:7" x14ac:dyDescent="0.3">
      <c r="A969" s="559" t="s">
        <v>480</v>
      </c>
      <c r="B969" s="559">
        <v>2014</v>
      </c>
      <c r="C969" s="559" t="s">
        <v>199</v>
      </c>
      <c r="D969" s="559" t="s">
        <v>28</v>
      </c>
      <c r="E969" s="559" t="s">
        <v>96</v>
      </c>
      <c r="F969" s="559">
        <v>76000.306000000201</v>
      </c>
      <c r="G969" s="174"/>
    </row>
    <row r="970" spans="1:7" x14ac:dyDescent="0.3">
      <c r="A970" s="559" t="s">
        <v>480</v>
      </c>
      <c r="B970" s="559">
        <v>2014</v>
      </c>
      <c r="C970" s="559" t="s">
        <v>200</v>
      </c>
      <c r="D970" s="559" t="s">
        <v>677</v>
      </c>
      <c r="E970" s="559" t="s">
        <v>96</v>
      </c>
      <c r="F970" s="559">
        <v>62014.2785181984</v>
      </c>
      <c r="G970" s="174"/>
    </row>
    <row r="971" spans="1:7" x14ac:dyDescent="0.3">
      <c r="A971" s="559" t="s">
        <v>480</v>
      </c>
      <c r="B971" s="559">
        <v>2014</v>
      </c>
      <c r="C971" s="559" t="s">
        <v>200</v>
      </c>
      <c r="D971" s="559" t="s">
        <v>34</v>
      </c>
      <c r="E971" s="559" t="s">
        <v>96</v>
      </c>
      <c r="F971" s="559">
        <v>2385090.2653410402</v>
      </c>
      <c r="G971" s="174"/>
    </row>
    <row r="972" spans="1:7" x14ac:dyDescent="0.3">
      <c r="A972" s="559" t="s">
        <v>480</v>
      </c>
      <c r="B972" s="559">
        <v>2014</v>
      </c>
      <c r="C972" s="559" t="s">
        <v>201</v>
      </c>
      <c r="D972" s="559" t="s">
        <v>34</v>
      </c>
      <c r="E972" s="559" t="s">
        <v>110</v>
      </c>
      <c r="F972" s="559">
        <v>0</v>
      </c>
      <c r="G972" s="174"/>
    </row>
    <row r="973" spans="1:7" x14ac:dyDescent="0.3">
      <c r="A973" s="559" t="s">
        <v>480</v>
      </c>
      <c r="B973" s="559">
        <v>2014</v>
      </c>
      <c r="C973" s="559" t="s">
        <v>202</v>
      </c>
      <c r="D973" s="559" t="s">
        <v>33</v>
      </c>
      <c r="E973" s="559" t="s">
        <v>101</v>
      </c>
      <c r="F973" s="559">
        <v>0</v>
      </c>
      <c r="G973" s="174"/>
    </row>
    <row r="974" spans="1:7" x14ac:dyDescent="0.3">
      <c r="A974" s="559" t="s">
        <v>480</v>
      </c>
      <c r="B974" s="559">
        <v>2014</v>
      </c>
      <c r="C974" s="559" t="s">
        <v>203</v>
      </c>
      <c r="D974" s="559" t="s">
        <v>17</v>
      </c>
      <c r="E974" s="559" t="s">
        <v>101</v>
      </c>
      <c r="F974" s="559">
        <v>0</v>
      </c>
      <c r="G974" s="174"/>
    </row>
    <row r="975" spans="1:7" x14ac:dyDescent="0.3">
      <c r="A975" s="559" t="s">
        <v>480</v>
      </c>
      <c r="B975" s="559">
        <v>2014</v>
      </c>
      <c r="C975" s="559" t="s">
        <v>204</v>
      </c>
      <c r="D975" s="559" t="s">
        <v>28</v>
      </c>
      <c r="E975" s="559" t="s">
        <v>96</v>
      </c>
      <c r="F975" s="559">
        <v>722338.86500000104</v>
      </c>
      <c r="G975" s="174"/>
    </row>
    <row r="976" spans="1:7" x14ac:dyDescent="0.3">
      <c r="A976" s="559" t="s">
        <v>480</v>
      </c>
      <c r="B976" s="559">
        <v>2014</v>
      </c>
      <c r="C976" s="559" t="s">
        <v>205</v>
      </c>
      <c r="D976" s="559" t="s">
        <v>35</v>
      </c>
      <c r="E976" s="559" t="s">
        <v>110</v>
      </c>
      <c r="F976" s="559">
        <v>0</v>
      </c>
      <c r="G976" s="174"/>
    </row>
    <row r="977" spans="1:7" x14ac:dyDescent="0.3">
      <c r="A977" s="559" t="s">
        <v>480</v>
      </c>
      <c r="B977" s="559">
        <v>2014</v>
      </c>
      <c r="C977" s="559" t="s">
        <v>205</v>
      </c>
      <c r="D977" s="559" t="s">
        <v>41</v>
      </c>
      <c r="E977" s="559" t="s">
        <v>96</v>
      </c>
      <c r="F977" s="559">
        <v>4233.3960000000097</v>
      </c>
      <c r="G977" s="174"/>
    </row>
    <row r="978" spans="1:7" x14ac:dyDescent="0.3">
      <c r="A978" s="559" t="s">
        <v>480</v>
      </c>
      <c r="B978" s="559">
        <v>2014</v>
      </c>
      <c r="C978" s="559" t="s">
        <v>206</v>
      </c>
      <c r="D978" s="559" t="s">
        <v>35</v>
      </c>
      <c r="E978" s="559" t="s">
        <v>101</v>
      </c>
      <c r="F978" s="559">
        <v>0</v>
      </c>
      <c r="G978" s="174"/>
    </row>
    <row r="979" spans="1:7" x14ac:dyDescent="0.3">
      <c r="A979" s="559" t="s">
        <v>480</v>
      </c>
      <c r="B979" s="559">
        <v>2014</v>
      </c>
      <c r="C979" s="559" t="s">
        <v>207</v>
      </c>
      <c r="D979" s="559" t="s">
        <v>40</v>
      </c>
      <c r="E979" s="559" t="s">
        <v>96</v>
      </c>
      <c r="F979" s="559">
        <v>328326.74199999898</v>
      </c>
      <c r="G979" s="174"/>
    </row>
    <row r="980" spans="1:7" x14ac:dyDescent="0.3">
      <c r="A980" s="559" t="s">
        <v>480</v>
      </c>
      <c r="B980" s="559">
        <v>2014</v>
      </c>
      <c r="C980" s="559" t="s">
        <v>208</v>
      </c>
      <c r="D980" s="559" t="s">
        <v>47</v>
      </c>
      <c r="E980" s="559" t="s">
        <v>96</v>
      </c>
      <c r="F980" s="559">
        <v>38714.594000000099</v>
      </c>
      <c r="G980" s="174"/>
    </row>
    <row r="981" spans="1:7" x14ac:dyDescent="0.3">
      <c r="A981" s="559" t="s">
        <v>480</v>
      </c>
      <c r="B981" s="559">
        <v>2014</v>
      </c>
      <c r="C981" s="559" t="s">
        <v>209</v>
      </c>
      <c r="D981" s="559" t="s">
        <v>47</v>
      </c>
      <c r="E981" s="559" t="s">
        <v>96</v>
      </c>
      <c r="F981" s="559">
        <v>35568.657000000101</v>
      </c>
      <c r="G981" s="174"/>
    </row>
    <row r="982" spans="1:7" x14ac:dyDescent="0.3">
      <c r="A982" s="559" t="s">
        <v>480</v>
      </c>
      <c r="B982" s="559">
        <v>2014</v>
      </c>
      <c r="C982" s="559" t="s">
        <v>210</v>
      </c>
      <c r="D982" s="559" t="s">
        <v>28</v>
      </c>
      <c r="E982" s="559" t="s">
        <v>96</v>
      </c>
      <c r="F982" s="559">
        <v>504131.64499999699</v>
      </c>
      <c r="G982" s="174"/>
    </row>
    <row r="983" spans="1:7" x14ac:dyDescent="0.3">
      <c r="A983" s="559" t="s">
        <v>480</v>
      </c>
      <c r="B983" s="559">
        <v>2014</v>
      </c>
      <c r="C983" s="559" t="s">
        <v>211</v>
      </c>
      <c r="D983" s="559" t="s">
        <v>35</v>
      </c>
      <c r="E983" s="559" t="s">
        <v>110</v>
      </c>
      <c r="F983" s="559">
        <v>0</v>
      </c>
      <c r="G983" s="174"/>
    </row>
    <row r="984" spans="1:7" x14ac:dyDescent="0.3">
      <c r="A984" s="559" t="s">
        <v>480</v>
      </c>
      <c r="B984" s="559">
        <v>2014</v>
      </c>
      <c r="C984" s="559" t="s">
        <v>212</v>
      </c>
      <c r="D984" s="559" t="s">
        <v>14</v>
      </c>
      <c r="E984" s="559" t="s">
        <v>101</v>
      </c>
      <c r="F984" s="559">
        <v>0</v>
      </c>
      <c r="G984" s="174"/>
    </row>
    <row r="985" spans="1:7" x14ac:dyDescent="0.3">
      <c r="A985" s="559" t="s">
        <v>480</v>
      </c>
      <c r="B985" s="559">
        <v>2014</v>
      </c>
      <c r="C985" s="559" t="s">
        <v>213</v>
      </c>
      <c r="D985" s="559" t="s">
        <v>72</v>
      </c>
      <c r="E985" s="559" t="s">
        <v>110</v>
      </c>
      <c r="F985" s="559">
        <v>0</v>
      </c>
      <c r="G985" s="174"/>
    </row>
    <row r="986" spans="1:7" x14ac:dyDescent="0.3">
      <c r="A986" s="559" t="s">
        <v>480</v>
      </c>
      <c r="B986" s="559">
        <v>2014</v>
      </c>
      <c r="C986" s="559" t="s">
        <v>213</v>
      </c>
      <c r="D986" s="559" t="s">
        <v>103</v>
      </c>
      <c r="E986" s="559" t="s">
        <v>96</v>
      </c>
      <c r="F986" s="559">
        <v>62.317999999999998</v>
      </c>
      <c r="G986" s="174"/>
    </row>
    <row r="987" spans="1:7" x14ac:dyDescent="0.3">
      <c r="A987" s="559" t="s">
        <v>480</v>
      </c>
      <c r="B987" s="559">
        <v>2014</v>
      </c>
      <c r="C987" s="559" t="s">
        <v>214</v>
      </c>
      <c r="D987" s="559" t="s">
        <v>33</v>
      </c>
      <c r="E987" s="559" t="s">
        <v>101</v>
      </c>
      <c r="F987" s="559">
        <v>0</v>
      </c>
      <c r="G987" s="174"/>
    </row>
    <row r="988" spans="1:7" x14ac:dyDescent="0.3">
      <c r="A988" s="559" t="s">
        <v>480</v>
      </c>
      <c r="B988" s="559">
        <v>2014</v>
      </c>
      <c r="C988" s="559" t="s">
        <v>215</v>
      </c>
      <c r="D988" s="559" t="s">
        <v>35</v>
      </c>
      <c r="E988" s="559" t="s">
        <v>101</v>
      </c>
      <c r="F988" s="559">
        <v>0</v>
      </c>
      <c r="G988" s="174"/>
    </row>
    <row r="989" spans="1:7" x14ac:dyDescent="0.3">
      <c r="A989" s="559" t="s">
        <v>480</v>
      </c>
      <c r="B989" s="559">
        <v>2014</v>
      </c>
      <c r="C989" s="559" t="s">
        <v>216</v>
      </c>
      <c r="D989" s="559" t="s">
        <v>35</v>
      </c>
      <c r="E989" s="559" t="s">
        <v>101</v>
      </c>
      <c r="F989" s="559">
        <v>0</v>
      </c>
      <c r="G989" s="174"/>
    </row>
    <row r="990" spans="1:7" x14ac:dyDescent="0.3">
      <c r="A990" s="559" t="s">
        <v>480</v>
      </c>
      <c r="B990" s="559">
        <v>2014</v>
      </c>
      <c r="C990" s="559" t="s">
        <v>217</v>
      </c>
      <c r="D990" s="559" t="s">
        <v>19</v>
      </c>
      <c r="E990" s="559" t="s">
        <v>96</v>
      </c>
      <c r="F990" s="559">
        <v>24370.728999999799</v>
      </c>
      <c r="G990" s="174"/>
    </row>
    <row r="991" spans="1:7" x14ac:dyDescent="0.3">
      <c r="A991" s="559" t="s">
        <v>480</v>
      </c>
      <c r="B991" s="559">
        <v>2014</v>
      </c>
      <c r="C991" s="559" t="s">
        <v>218</v>
      </c>
      <c r="D991" s="559" t="s">
        <v>39</v>
      </c>
      <c r="E991" s="559" t="s">
        <v>96</v>
      </c>
      <c r="F991" s="572">
        <v>8.2000000000000003E-2</v>
      </c>
      <c r="G991" s="174"/>
    </row>
    <row r="992" spans="1:7" x14ac:dyDescent="0.3">
      <c r="A992" s="559" t="s">
        <v>480</v>
      </c>
      <c r="B992" s="559">
        <v>2014</v>
      </c>
      <c r="C992" s="559" t="s">
        <v>219</v>
      </c>
      <c r="D992" s="559" t="s">
        <v>28</v>
      </c>
      <c r="E992" s="559" t="s">
        <v>96</v>
      </c>
      <c r="F992" s="572">
        <v>128278.872999999</v>
      </c>
      <c r="G992" s="174"/>
    </row>
    <row r="993" spans="1:7" x14ac:dyDescent="0.3">
      <c r="A993" s="559" t="s">
        <v>480</v>
      </c>
      <c r="B993" s="559">
        <v>2014</v>
      </c>
      <c r="C993" s="559" t="s">
        <v>220</v>
      </c>
      <c r="D993" s="559" t="s">
        <v>8</v>
      </c>
      <c r="E993" s="559" t="s">
        <v>96</v>
      </c>
      <c r="F993" s="572">
        <v>348045.49200000003</v>
      </c>
      <c r="G993" s="174"/>
    </row>
    <row r="994" spans="1:7" x14ac:dyDescent="0.3">
      <c r="A994" s="559" t="s">
        <v>480</v>
      </c>
      <c r="B994" s="559">
        <v>2014</v>
      </c>
      <c r="C994" s="559" t="s">
        <v>221</v>
      </c>
      <c r="D994" s="559" t="s">
        <v>33</v>
      </c>
      <c r="E994" s="559" t="s">
        <v>101</v>
      </c>
      <c r="F994" s="572">
        <v>0</v>
      </c>
      <c r="G994" s="174"/>
    </row>
    <row r="995" spans="1:7" x14ac:dyDescent="0.3">
      <c r="A995" s="559" t="s">
        <v>480</v>
      </c>
      <c r="B995" s="559">
        <v>2014</v>
      </c>
      <c r="C995" s="559" t="s">
        <v>222</v>
      </c>
      <c r="D995" s="559" t="s">
        <v>33</v>
      </c>
      <c r="E995" s="559" t="s">
        <v>96</v>
      </c>
      <c r="F995" s="572">
        <v>2010.94399999999</v>
      </c>
      <c r="G995" s="174"/>
    </row>
    <row r="996" spans="1:7" x14ac:dyDescent="0.3">
      <c r="A996" s="559" t="s">
        <v>480</v>
      </c>
      <c r="B996" s="559">
        <v>2014</v>
      </c>
      <c r="C996" s="559" t="s">
        <v>223</v>
      </c>
      <c r="D996" s="559" t="s">
        <v>33</v>
      </c>
      <c r="E996" s="559" t="s">
        <v>101</v>
      </c>
      <c r="F996" s="572">
        <v>0</v>
      </c>
      <c r="G996" s="174"/>
    </row>
    <row r="997" spans="1:7" x14ac:dyDescent="0.3">
      <c r="A997" s="559" t="s">
        <v>480</v>
      </c>
      <c r="B997" s="559">
        <v>2014</v>
      </c>
      <c r="C997" s="559" t="s">
        <v>224</v>
      </c>
      <c r="D997" s="559" t="s">
        <v>40</v>
      </c>
      <c r="E997" s="559" t="s">
        <v>96</v>
      </c>
      <c r="F997" s="572">
        <v>232463.197000001</v>
      </c>
      <c r="G997" s="174"/>
    </row>
    <row r="998" spans="1:7" x14ac:dyDescent="0.3">
      <c r="A998" s="559" t="s">
        <v>480</v>
      </c>
      <c r="B998" s="559">
        <v>2014</v>
      </c>
      <c r="C998" s="559" t="s">
        <v>225</v>
      </c>
      <c r="D998" s="559" t="s">
        <v>40</v>
      </c>
      <c r="E998" s="559" t="s">
        <v>96</v>
      </c>
      <c r="F998" s="572">
        <v>272456.02699999901</v>
      </c>
      <c r="G998" s="174"/>
    </row>
    <row r="999" spans="1:7" x14ac:dyDescent="0.3">
      <c r="A999" s="559" t="s">
        <v>480</v>
      </c>
      <c r="B999" s="559">
        <v>2014</v>
      </c>
      <c r="C999" s="559" t="s">
        <v>226</v>
      </c>
      <c r="D999" s="559" t="s">
        <v>37</v>
      </c>
      <c r="E999" s="559" t="s">
        <v>96</v>
      </c>
      <c r="F999" s="559">
        <v>4542910.60100001</v>
      </c>
      <c r="G999" s="174"/>
    </row>
    <row r="1000" spans="1:7" x14ac:dyDescent="0.3">
      <c r="A1000" s="559" t="s">
        <v>480</v>
      </c>
      <c r="B1000" s="559">
        <v>2014</v>
      </c>
      <c r="C1000" s="559" t="s">
        <v>227</v>
      </c>
      <c r="D1000" s="559" t="s">
        <v>48</v>
      </c>
      <c r="E1000" s="559" t="s">
        <v>96</v>
      </c>
      <c r="F1000" s="559">
        <v>1660493.2679999999</v>
      </c>
      <c r="G1000" s="174"/>
    </row>
    <row r="1001" spans="1:7" x14ac:dyDescent="0.3">
      <c r="A1001" s="559" t="s">
        <v>480</v>
      </c>
      <c r="B1001" s="559">
        <v>2014</v>
      </c>
      <c r="C1001" s="559" t="s">
        <v>228</v>
      </c>
      <c r="D1001" s="559" t="s">
        <v>15</v>
      </c>
      <c r="E1001" s="559" t="s">
        <v>96</v>
      </c>
      <c r="F1001" s="559">
        <v>118555.174999999</v>
      </c>
      <c r="G1001" s="174"/>
    </row>
    <row r="1002" spans="1:7" x14ac:dyDescent="0.3">
      <c r="A1002" s="559" t="s">
        <v>480</v>
      </c>
      <c r="B1002" s="559">
        <v>2014</v>
      </c>
      <c r="C1002" s="559" t="s">
        <v>229</v>
      </c>
      <c r="D1002" s="559" t="s">
        <v>23</v>
      </c>
      <c r="E1002" s="559" t="s">
        <v>96</v>
      </c>
      <c r="F1002" s="559">
        <v>5100856.1059999997</v>
      </c>
      <c r="G1002" s="174"/>
    </row>
    <row r="1003" spans="1:7" x14ac:dyDescent="0.3">
      <c r="A1003" s="559" t="s">
        <v>480</v>
      </c>
      <c r="B1003" s="559">
        <v>2014</v>
      </c>
      <c r="C1003" s="559" t="s">
        <v>230</v>
      </c>
      <c r="D1003" s="559" t="s">
        <v>28</v>
      </c>
      <c r="E1003" s="559" t="s">
        <v>96</v>
      </c>
      <c r="F1003" s="559">
        <v>443490.56100000098</v>
      </c>
      <c r="G1003" s="174"/>
    </row>
    <row r="1004" spans="1:7" x14ac:dyDescent="0.3">
      <c r="A1004" s="559" t="s">
        <v>480</v>
      </c>
      <c r="B1004" s="559">
        <v>2014</v>
      </c>
      <c r="C1004" s="559" t="s">
        <v>231</v>
      </c>
      <c r="D1004" s="559" t="s">
        <v>17</v>
      </c>
      <c r="E1004" s="559" t="s">
        <v>101</v>
      </c>
      <c r="F1004" s="559">
        <v>0</v>
      </c>
      <c r="G1004" s="174"/>
    </row>
    <row r="1005" spans="1:7" x14ac:dyDescent="0.3">
      <c r="A1005" s="559" t="s">
        <v>480</v>
      </c>
      <c r="B1005" s="559">
        <v>2014</v>
      </c>
      <c r="C1005" s="559" t="s">
        <v>232</v>
      </c>
      <c r="D1005" s="559" t="s">
        <v>28</v>
      </c>
      <c r="E1005" s="559" t="s">
        <v>96</v>
      </c>
      <c r="F1005" s="559">
        <v>368440.14100000099</v>
      </c>
      <c r="G1005" s="174"/>
    </row>
    <row r="1006" spans="1:7" x14ac:dyDescent="0.3">
      <c r="A1006" s="559" t="s">
        <v>480</v>
      </c>
      <c r="B1006" s="559">
        <v>2014</v>
      </c>
      <c r="C1006" s="559" t="s">
        <v>233</v>
      </c>
      <c r="D1006" s="559" t="s">
        <v>28</v>
      </c>
      <c r="E1006" s="559" t="s">
        <v>96</v>
      </c>
      <c r="F1006" s="559">
        <v>182012.378</v>
      </c>
      <c r="G1006" s="174"/>
    </row>
    <row r="1007" spans="1:7" x14ac:dyDescent="0.3">
      <c r="A1007" s="559" t="s">
        <v>480</v>
      </c>
      <c r="B1007" s="559">
        <v>2014</v>
      </c>
      <c r="C1007" s="559" t="s">
        <v>234</v>
      </c>
      <c r="D1007" s="559" t="s">
        <v>23</v>
      </c>
      <c r="E1007" s="559" t="s">
        <v>96</v>
      </c>
      <c r="F1007" s="559">
        <v>760338.51900000102</v>
      </c>
      <c r="G1007" s="174"/>
    </row>
    <row r="1008" spans="1:7" x14ac:dyDescent="0.3">
      <c r="A1008" s="559" t="s">
        <v>480</v>
      </c>
      <c r="B1008" s="559">
        <v>2014</v>
      </c>
      <c r="C1008" s="559" t="s">
        <v>235</v>
      </c>
      <c r="D1008" s="559" t="s">
        <v>28</v>
      </c>
      <c r="E1008" s="559" t="s">
        <v>96</v>
      </c>
      <c r="F1008" s="559">
        <v>73931.925999999803</v>
      </c>
      <c r="G1008" s="174"/>
    </row>
    <row r="1009" spans="1:7" x14ac:dyDescent="0.3">
      <c r="A1009" s="559" t="s">
        <v>480</v>
      </c>
      <c r="B1009" s="559">
        <v>2014</v>
      </c>
      <c r="C1009" s="559" t="s">
        <v>236</v>
      </c>
      <c r="D1009" s="559" t="s">
        <v>51</v>
      </c>
      <c r="E1009" s="559" t="s">
        <v>96</v>
      </c>
      <c r="F1009" s="559">
        <v>155.99299999999999</v>
      </c>
      <c r="G1009" s="174"/>
    </row>
    <row r="1010" spans="1:7" x14ac:dyDescent="0.3">
      <c r="A1010" s="559" t="s">
        <v>480</v>
      </c>
      <c r="B1010" s="559">
        <v>2014</v>
      </c>
      <c r="C1010" s="559" t="s">
        <v>237</v>
      </c>
      <c r="D1010" s="559" t="s">
        <v>18</v>
      </c>
      <c r="E1010" s="559" t="s">
        <v>101</v>
      </c>
      <c r="F1010" s="559">
        <v>0</v>
      </c>
      <c r="G1010" s="174"/>
    </row>
    <row r="1011" spans="1:7" x14ac:dyDescent="0.3">
      <c r="A1011" s="559" t="s">
        <v>480</v>
      </c>
      <c r="B1011" s="559">
        <v>2014</v>
      </c>
      <c r="C1011" s="559" t="s">
        <v>238</v>
      </c>
      <c r="D1011" s="559" t="s">
        <v>17</v>
      </c>
      <c r="E1011" s="559" t="s">
        <v>96</v>
      </c>
      <c r="F1011" s="559">
        <v>21.986999999999998</v>
      </c>
      <c r="G1011" s="174"/>
    </row>
    <row r="1012" spans="1:7" x14ac:dyDescent="0.3">
      <c r="A1012" s="559" t="s">
        <v>480</v>
      </c>
      <c r="B1012" s="559">
        <v>2014</v>
      </c>
      <c r="C1012" s="559" t="s">
        <v>239</v>
      </c>
      <c r="D1012" s="559" t="s">
        <v>21</v>
      </c>
      <c r="E1012" s="559" t="s">
        <v>101</v>
      </c>
      <c r="F1012" s="559">
        <v>0</v>
      </c>
      <c r="G1012" s="174"/>
    </row>
    <row r="1013" spans="1:7" x14ac:dyDescent="0.3">
      <c r="A1013" s="559" t="s">
        <v>480</v>
      </c>
      <c r="B1013" s="559">
        <v>2014</v>
      </c>
      <c r="C1013" s="559" t="s">
        <v>240</v>
      </c>
      <c r="D1013" s="559" t="s">
        <v>73</v>
      </c>
      <c r="E1013" s="559" t="s">
        <v>96</v>
      </c>
      <c r="F1013" s="559">
        <v>470890.97299999901</v>
      </c>
      <c r="G1013" s="174"/>
    </row>
    <row r="1014" spans="1:7" x14ac:dyDescent="0.3">
      <c r="A1014" s="559" t="s">
        <v>480</v>
      </c>
      <c r="B1014" s="559">
        <v>2014</v>
      </c>
      <c r="C1014" s="559" t="s">
        <v>241</v>
      </c>
      <c r="D1014" s="559" t="s">
        <v>14</v>
      </c>
      <c r="E1014" s="559" t="s">
        <v>110</v>
      </c>
      <c r="F1014" s="559">
        <v>0</v>
      </c>
      <c r="G1014" s="174"/>
    </row>
    <row r="1015" spans="1:7" x14ac:dyDescent="0.3">
      <c r="A1015" s="559" t="s">
        <v>480</v>
      </c>
      <c r="B1015" s="559">
        <v>2014</v>
      </c>
      <c r="C1015" s="559" t="s">
        <v>242</v>
      </c>
      <c r="D1015" s="559" t="s">
        <v>32</v>
      </c>
      <c r="E1015" s="559" t="s">
        <v>96</v>
      </c>
      <c r="F1015" s="559">
        <v>33728.359999999797</v>
      </c>
      <c r="G1015" s="174"/>
    </row>
    <row r="1016" spans="1:7" x14ac:dyDescent="0.3">
      <c r="A1016" s="559" t="s">
        <v>480</v>
      </c>
      <c r="B1016" s="559">
        <v>2014</v>
      </c>
      <c r="C1016" s="559" t="s">
        <v>243</v>
      </c>
      <c r="D1016" s="559" t="s">
        <v>51</v>
      </c>
      <c r="E1016" s="559" t="s">
        <v>96</v>
      </c>
      <c r="F1016" s="559">
        <v>4784.5155167819703</v>
      </c>
      <c r="G1016" s="174"/>
    </row>
    <row r="1017" spans="1:7" x14ac:dyDescent="0.3">
      <c r="A1017" s="559" t="s">
        <v>480</v>
      </c>
      <c r="B1017" s="559">
        <v>2014</v>
      </c>
      <c r="C1017" s="559" t="s">
        <v>243</v>
      </c>
      <c r="D1017" s="559" t="s">
        <v>28</v>
      </c>
      <c r="E1017" s="559" t="s">
        <v>96</v>
      </c>
      <c r="F1017" s="559">
        <v>212354.60148321799</v>
      </c>
      <c r="G1017" s="174"/>
    </row>
    <row r="1018" spans="1:7" x14ac:dyDescent="0.3">
      <c r="A1018" s="559" t="s">
        <v>480</v>
      </c>
      <c r="B1018" s="559">
        <v>2014</v>
      </c>
      <c r="C1018" s="559" t="s">
        <v>244</v>
      </c>
      <c r="D1018" s="559" t="s">
        <v>71</v>
      </c>
      <c r="E1018" s="559" t="s">
        <v>96</v>
      </c>
      <c r="F1018" s="559">
        <v>374064.72100000101</v>
      </c>
      <c r="G1018" s="174"/>
    </row>
    <row r="1019" spans="1:7" x14ac:dyDescent="0.3">
      <c r="A1019" s="559" t="s">
        <v>480</v>
      </c>
      <c r="B1019" s="559">
        <v>2014</v>
      </c>
      <c r="C1019" s="559" t="s">
        <v>245</v>
      </c>
      <c r="D1019" s="559" t="s">
        <v>35</v>
      </c>
      <c r="E1019" s="559" t="s">
        <v>101</v>
      </c>
      <c r="F1019" s="572">
        <v>0</v>
      </c>
      <c r="G1019" s="174"/>
    </row>
    <row r="1020" spans="1:7" x14ac:dyDescent="0.3">
      <c r="A1020" s="559" t="s">
        <v>480</v>
      </c>
      <c r="B1020" s="559">
        <v>2014</v>
      </c>
      <c r="C1020" s="559" t="s">
        <v>246</v>
      </c>
      <c r="D1020" s="559" t="s">
        <v>20</v>
      </c>
      <c r="E1020" s="559" t="s">
        <v>96</v>
      </c>
      <c r="F1020" s="572">
        <v>405192.97200000199</v>
      </c>
      <c r="G1020" s="174"/>
    </row>
    <row r="1021" spans="1:7" x14ac:dyDescent="0.3">
      <c r="A1021" s="559" t="s">
        <v>480</v>
      </c>
      <c r="B1021" s="559">
        <v>2014</v>
      </c>
      <c r="C1021" s="559" t="s">
        <v>247</v>
      </c>
      <c r="D1021" s="559" t="s">
        <v>14</v>
      </c>
      <c r="E1021" s="559" t="s">
        <v>101</v>
      </c>
      <c r="F1021" s="572">
        <v>0</v>
      </c>
      <c r="G1021" s="174"/>
    </row>
    <row r="1022" spans="1:7" x14ac:dyDescent="0.3">
      <c r="A1022" s="559" t="s">
        <v>480</v>
      </c>
      <c r="B1022" s="559">
        <v>2014</v>
      </c>
      <c r="C1022" s="559" t="s">
        <v>248</v>
      </c>
      <c r="D1022" s="559" t="s">
        <v>14</v>
      </c>
      <c r="E1022" s="559" t="s">
        <v>101</v>
      </c>
      <c r="F1022" s="572">
        <v>0</v>
      </c>
      <c r="G1022" s="174"/>
    </row>
    <row r="1023" spans="1:7" x14ac:dyDescent="0.3">
      <c r="A1023" s="559" t="s">
        <v>480</v>
      </c>
      <c r="B1023" s="559">
        <v>2014</v>
      </c>
      <c r="C1023" s="559" t="s">
        <v>249</v>
      </c>
      <c r="D1023" s="559" t="s">
        <v>14</v>
      </c>
      <c r="E1023" s="559" t="s">
        <v>101</v>
      </c>
      <c r="F1023" s="572">
        <v>0</v>
      </c>
      <c r="G1023" s="174"/>
    </row>
    <row r="1024" spans="1:7" x14ac:dyDescent="0.3">
      <c r="A1024" s="559" t="s">
        <v>480</v>
      </c>
      <c r="B1024" s="559">
        <v>2014</v>
      </c>
      <c r="C1024" s="559" t="s">
        <v>250</v>
      </c>
      <c r="D1024" s="559" t="s">
        <v>17</v>
      </c>
      <c r="E1024" s="559" t="s">
        <v>101</v>
      </c>
      <c r="F1024" s="572">
        <v>0</v>
      </c>
      <c r="G1024" s="174"/>
    </row>
    <row r="1025" spans="1:7" x14ac:dyDescent="0.3">
      <c r="A1025" s="559" t="s">
        <v>480</v>
      </c>
      <c r="B1025" s="559">
        <v>2014</v>
      </c>
      <c r="C1025" s="559" t="s">
        <v>251</v>
      </c>
      <c r="D1025" s="559" t="s">
        <v>4</v>
      </c>
      <c r="E1025" s="559" t="s">
        <v>101</v>
      </c>
      <c r="F1025" s="572">
        <v>0</v>
      </c>
      <c r="G1025" s="174"/>
    </row>
    <row r="1026" spans="1:7" x14ac:dyDescent="0.3">
      <c r="A1026" s="559" t="s">
        <v>480</v>
      </c>
      <c r="B1026" s="559">
        <v>2014</v>
      </c>
      <c r="C1026" s="559" t="s">
        <v>252</v>
      </c>
      <c r="D1026" s="559" t="s">
        <v>28</v>
      </c>
      <c r="E1026" s="559" t="s">
        <v>96</v>
      </c>
      <c r="F1026" s="572">
        <v>21013.163451253298</v>
      </c>
      <c r="G1026" s="174"/>
    </row>
    <row r="1027" spans="1:7" x14ac:dyDescent="0.3">
      <c r="A1027" s="559" t="s">
        <v>480</v>
      </c>
      <c r="B1027" s="559">
        <v>2014</v>
      </c>
      <c r="C1027" s="559" t="s">
        <v>252</v>
      </c>
      <c r="D1027" s="559" t="s">
        <v>32</v>
      </c>
      <c r="E1027" s="559" t="s">
        <v>96</v>
      </c>
      <c r="F1027" s="572">
        <v>37164.489403899497</v>
      </c>
      <c r="G1027" s="174"/>
    </row>
    <row r="1028" spans="1:7" x14ac:dyDescent="0.3">
      <c r="A1028" s="559" t="s">
        <v>480</v>
      </c>
      <c r="B1028" s="559">
        <v>2014</v>
      </c>
      <c r="C1028" s="559" t="s">
        <v>253</v>
      </c>
      <c r="D1028" s="559" t="s">
        <v>32</v>
      </c>
      <c r="E1028" s="559" t="s">
        <v>96</v>
      </c>
      <c r="F1028" s="572">
        <v>34254.956999999798</v>
      </c>
      <c r="G1028" s="174"/>
    </row>
    <row r="1029" spans="1:7" x14ac:dyDescent="0.3">
      <c r="A1029" s="559" t="s">
        <v>480</v>
      </c>
      <c r="B1029" s="559">
        <v>2014</v>
      </c>
      <c r="C1029" s="559" t="s">
        <v>254</v>
      </c>
      <c r="D1029" s="559" t="s">
        <v>28</v>
      </c>
      <c r="E1029" s="559" t="s">
        <v>96</v>
      </c>
      <c r="F1029" s="572">
        <v>117270.538</v>
      </c>
      <c r="G1029" s="174"/>
    </row>
    <row r="1030" spans="1:7" x14ac:dyDescent="0.3">
      <c r="A1030" s="559" t="s">
        <v>480</v>
      </c>
      <c r="B1030" s="559">
        <v>2014</v>
      </c>
      <c r="C1030" s="559" t="s">
        <v>678</v>
      </c>
      <c r="D1030" s="559" t="s">
        <v>2</v>
      </c>
      <c r="E1030" s="559" t="s">
        <v>96</v>
      </c>
      <c r="F1030" s="572">
        <v>93790.227999999901</v>
      </c>
      <c r="G1030" s="174"/>
    </row>
    <row r="1031" spans="1:7" x14ac:dyDescent="0.3">
      <c r="A1031" s="559" t="s">
        <v>480</v>
      </c>
      <c r="B1031" s="559">
        <v>2014</v>
      </c>
      <c r="C1031" s="559" t="s">
        <v>257</v>
      </c>
      <c r="D1031" s="559" t="s">
        <v>4</v>
      </c>
      <c r="E1031" s="559" t="s">
        <v>96</v>
      </c>
      <c r="F1031" s="559">
        <v>56712.707971114301</v>
      </c>
      <c r="G1031" s="174"/>
    </row>
    <row r="1032" spans="1:7" x14ac:dyDescent="0.3">
      <c r="A1032" s="559" t="s">
        <v>480</v>
      </c>
      <c r="B1032" s="559">
        <v>2014</v>
      </c>
      <c r="C1032" s="559" t="s">
        <v>257</v>
      </c>
      <c r="D1032" s="559" t="s">
        <v>37</v>
      </c>
      <c r="E1032" s="559" t="s">
        <v>96</v>
      </c>
      <c r="F1032" s="559">
        <v>2691963.2050288902</v>
      </c>
      <c r="G1032" s="174"/>
    </row>
    <row r="1033" spans="1:7" x14ac:dyDescent="0.3">
      <c r="A1033" s="559" t="s">
        <v>480</v>
      </c>
      <c r="B1033" s="559">
        <v>2014</v>
      </c>
      <c r="C1033" s="559" t="s">
        <v>258</v>
      </c>
      <c r="D1033" s="559" t="s">
        <v>41</v>
      </c>
      <c r="E1033" s="559" t="s">
        <v>96</v>
      </c>
      <c r="F1033" s="559">
        <v>2628.4630000000002</v>
      </c>
      <c r="G1033" s="174"/>
    </row>
    <row r="1034" spans="1:7" x14ac:dyDescent="0.3">
      <c r="A1034" s="559" t="s">
        <v>480</v>
      </c>
      <c r="B1034" s="559">
        <v>2014</v>
      </c>
      <c r="C1034" s="559" t="s">
        <v>259</v>
      </c>
      <c r="D1034" s="559" t="s">
        <v>36</v>
      </c>
      <c r="E1034" s="559" t="s">
        <v>96</v>
      </c>
      <c r="F1034" s="559">
        <v>68349.719000000303</v>
      </c>
      <c r="G1034" s="174"/>
    </row>
    <row r="1035" spans="1:7" x14ac:dyDescent="0.3">
      <c r="A1035" s="559" t="s">
        <v>480</v>
      </c>
      <c r="B1035" s="559">
        <v>2014</v>
      </c>
      <c r="C1035" s="559" t="s">
        <v>261</v>
      </c>
      <c r="D1035" s="559" t="s">
        <v>28</v>
      </c>
      <c r="E1035" s="559" t="s">
        <v>96</v>
      </c>
      <c r="F1035" s="559">
        <v>467093.41499999899</v>
      </c>
      <c r="G1035" s="174"/>
    </row>
    <row r="1036" spans="1:7" x14ac:dyDescent="0.3">
      <c r="A1036" s="559" t="s">
        <v>480</v>
      </c>
      <c r="B1036" s="559">
        <v>2014</v>
      </c>
      <c r="C1036" s="559" t="s">
        <v>262</v>
      </c>
      <c r="D1036" s="559" t="s">
        <v>37</v>
      </c>
      <c r="E1036" s="559" t="s">
        <v>96</v>
      </c>
      <c r="F1036" s="559">
        <v>2008697.9809999799</v>
      </c>
      <c r="G1036" s="174"/>
    </row>
    <row r="1037" spans="1:7" x14ac:dyDescent="0.3">
      <c r="A1037" s="559" t="s">
        <v>480</v>
      </c>
      <c r="B1037" s="559">
        <v>2014</v>
      </c>
      <c r="C1037" s="559" t="s">
        <v>263</v>
      </c>
      <c r="D1037" s="559" t="s">
        <v>49</v>
      </c>
      <c r="E1037" s="559" t="s">
        <v>96</v>
      </c>
      <c r="F1037" s="559">
        <v>206.362999999999</v>
      </c>
      <c r="G1037" s="174"/>
    </row>
    <row r="1038" spans="1:7" x14ac:dyDescent="0.3">
      <c r="A1038" s="559" t="s">
        <v>480</v>
      </c>
      <c r="B1038" s="559">
        <v>2014</v>
      </c>
      <c r="C1038" s="559" t="s">
        <v>264</v>
      </c>
      <c r="D1038" s="559" t="s">
        <v>51</v>
      </c>
      <c r="E1038" s="559" t="s">
        <v>96</v>
      </c>
      <c r="F1038" s="559">
        <v>2630.73623278471</v>
      </c>
      <c r="G1038" s="174"/>
    </row>
    <row r="1039" spans="1:7" x14ac:dyDescent="0.3">
      <c r="A1039" s="559" t="s">
        <v>480</v>
      </c>
      <c r="B1039" s="559">
        <v>2014</v>
      </c>
      <c r="C1039" s="559" t="s">
        <v>264</v>
      </c>
      <c r="D1039" s="559" t="s">
        <v>37</v>
      </c>
      <c r="E1039" s="559" t="s">
        <v>96</v>
      </c>
      <c r="F1039" s="559">
        <v>11938877.1125375</v>
      </c>
      <c r="G1039" s="174"/>
    </row>
    <row r="1040" spans="1:7" x14ac:dyDescent="0.3">
      <c r="A1040" s="559" t="s">
        <v>480</v>
      </c>
      <c r="B1040" s="559">
        <v>2014</v>
      </c>
      <c r="C1040" s="559" t="s">
        <v>265</v>
      </c>
      <c r="D1040" s="559" t="s">
        <v>37</v>
      </c>
      <c r="E1040" s="559" t="s">
        <v>96</v>
      </c>
      <c r="F1040" s="559">
        <v>8138932.2580000097</v>
      </c>
      <c r="G1040" s="174"/>
    </row>
    <row r="1041" spans="1:7" x14ac:dyDescent="0.3">
      <c r="A1041" s="559" t="s">
        <v>480</v>
      </c>
      <c r="B1041" s="559">
        <v>2014</v>
      </c>
      <c r="C1041" s="559" t="s">
        <v>266</v>
      </c>
      <c r="D1041" s="559" t="s">
        <v>40</v>
      </c>
      <c r="E1041" s="559" t="s">
        <v>96</v>
      </c>
      <c r="F1041" s="559">
        <v>128984.58</v>
      </c>
      <c r="G1041" s="174"/>
    </row>
    <row r="1042" spans="1:7" x14ac:dyDescent="0.3">
      <c r="A1042" s="559" t="s">
        <v>480</v>
      </c>
      <c r="B1042" s="559">
        <v>2014</v>
      </c>
      <c r="C1042" s="559" t="s">
        <v>267</v>
      </c>
      <c r="D1042" s="559" t="s">
        <v>4</v>
      </c>
      <c r="E1042" s="559" t="s">
        <v>96</v>
      </c>
      <c r="F1042" s="559">
        <v>102.997999999999</v>
      </c>
      <c r="G1042" s="174"/>
    </row>
    <row r="1043" spans="1:7" x14ac:dyDescent="0.3">
      <c r="A1043" s="559" t="s">
        <v>480</v>
      </c>
      <c r="B1043" s="559">
        <v>2014</v>
      </c>
      <c r="C1043" s="559" t="s">
        <v>268</v>
      </c>
      <c r="D1043" s="559" t="s">
        <v>4</v>
      </c>
      <c r="E1043" s="559" t="s">
        <v>101</v>
      </c>
      <c r="F1043" s="559">
        <v>0</v>
      </c>
      <c r="G1043" s="174"/>
    </row>
    <row r="1044" spans="1:7" x14ac:dyDescent="0.3">
      <c r="A1044" s="559" t="s">
        <v>480</v>
      </c>
      <c r="B1044" s="559">
        <v>2014</v>
      </c>
      <c r="C1044" s="559" t="s">
        <v>269</v>
      </c>
      <c r="D1044" s="559" t="s">
        <v>8</v>
      </c>
      <c r="E1044" s="559" t="s">
        <v>96</v>
      </c>
      <c r="F1044" s="559">
        <v>513480.95400000102</v>
      </c>
      <c r="G1044" s="174"/>
    </row>
    <row r="1045" spans="1:7" x14ac:dyDescent="0.3">
      <c r="A1045" s="559" t="s">
        <v>480</v>
      </c>
      <c r="B1045" s="559">
        <v>2014</v>
      </c>
      <c r="C1045" s="559" t="s">
        <v>270</v>
      </c>
      <c r="D1045" s="559" t="s">
        <v>36</v>
      </c>
      <c r="E1045" s="559" t="s">
        <v>96</v>
      </c>
      <c r="F1045" s="559">
        <v>345901.61599999899</v>
      </c>
      <c r="G1045" s="174"/>
    </row>
    <row r="1046" spans="1:7" x14ac:dyDescent="0.3">
      <c r="A1046" s="559" t="s">
        <v>480</v>
      </c>
      <c r="B1046" s="559">
        <v>2014</v>
      </c>
      <c r="C1046" s="559" t="s">
        <v>679</v>
      </c>
      <c r="D1046" s="559" t="s">
        <v>41</v>
      </c>
      <c r="E1046" s="559" t="s">
        <v>96</v>
      </c>
      <c r="F1046" s="559">
        <v>115703.575999999</v>
      </c>
      <c r="G1046" s="174"/>
    </row>
    <row r="1047" spans="1:7" x14ac:dyDescent="0.3">
      <c r="A1047" s="559" t="s">
        <v>480</v>
      </c>
      <c r="B1047" s="559">
        <v>2014</v>
      </c>
      <c r="C1047" s="559" t="s">
        <v>273</v>
      </c>
      <c r="D1047" s="559" t="s">
        <v>37</v>
      </c>
      <c r="E1047" s="559" t="s">
        <v>96</v>
      </c>
      <c r="F1047" s="559">
        <v>4584939.2369999997</v>
      </c>
      <c r="G1047" s="174"/>
    </row>
    <row r="1048" spans="1:7" x14ac:dyDescent="0.3">
      <c r="A1048" s="559" t="s">
        <v>480</v>
      </c>
      <c r="B1048" s="559">
        <v>2014</v>
      </c>
      <c r="C1048" s="559" t="s">
        <v>274</v>
      </c>
      <c r="D1048" s="559" t="s">
        <v>37</v>
      </c>
      <c r="E1048" s="559" t="s">
        <v>96</v>
      </c>
      <c r="F1048" s="559">
        <v>2525282.6089999899</v>
      </c>
      <c r="G1048" s="174"/>
    </row>
    <row r="1049" spans="1:7" x14ac:dyDescent="0.3">
      <c r="A1049" s="559" t="s">
        <v>480</v>
      </c>
      <c r="B1049" s="559">
        <v>2014</v>
      </c>
      <c r="C1049" s="559" t="s">
        <v>275</v>
      </c>
      <c r="D1049" s="559" t="s">
        <v>36</v>
      </c>
      <c r="E1049" s="559" t="s">
        <v>96</v>
      </c>
      <c r="F1049" s="559">
        <v>147099.25799999901</v>
      </c>
      <c r="G1049" s="174"/>
    </row>
    <row r="1050" spans="1:7" x14ac:dyDescent="0.3">
      <c r="A1050" s="559" t="s">
        <v>480</v>
      </c>
      <c r="B1050" s="559">
        <v>2014</v>
      </c>
      <c r="C1050" s="559" t="s">
        <v>276</v>
      </c>
      <c r="D1050" s="559" t="s">
        <v>36</v>
      </c>
      <c r="E1050" s="559" t="s">
        <v>96</v>
      </c>
      <c r="F1050" s="559">
        <v>314563.527</v>
      </c>
      <c r="G1050" s="174"/>
    </row>
    <row r="1051" spans="1:7" x14ac:dyDescent="0.3">
      <c r="A1051" s="559" t="s">
        <v>480</v>
      </c>
      <c r="B1051" s="559">
        <v>2014</v>
      </c>
      <c r="C1051" s="559" t="s">
        <v>277</v>
      </c>
      <c r="D1051" s="559" t="s">
        <v>103</v>
      </c>
      <c r="E1051" s="559" t="s">
        <v>96</v>
      </c>
      <c r="F1051" s="559">
        <v>0.58799999999999997</v>
      </c>
      <c r="G1051" s="174"/>
    </row>
    <row r="1052" spans="1:7" x14ac:dyDescent="0.3">
      <c r="A1052" s="559" t="s">
        <v>480</v>
      </c>
      <c r="B1052" s="559">
        <v>2014</v>
      </c>
      <c r="C1052" s="559" t="s">
        <v>278</v>
      </c>
      <c r="D1052" s="559" t="s">
        <v>35</v>
      </c>
      <c r="E1052" s="559" t="s">
        <v>101</v>
      </c>
      <c r="F1052" s="559">
        <v>0</v>
      </c>
      <c r="G1052" s="174"/>
    </row>
    <row r="1053" spans="1:7" x14ac:dyDescent="0.3">
      <c r="A1053" s="559" t="s">
        <v>480</v>
      </c>
      <c r="B1053" s="559">
        <v>2014</v>
      </c>
      <c r="C1053" s="559" t="s">
        <v>279</v>
      </c>
      <c r="D1053" s="559" t="s">
        <v>4</v>
      </c>
      <c r="E1053" s="559" t="s">
        <v>101</v>
      </c>
      <c r="F1053" s="559">
        <v>0</v>
      </c>
      <c r="G1053" s="174"/>
    </row>
    <row r="1054" spans="1:7" x14ac:dyDescent="0.3">
      <c r="A1054" s="559" t="s">
        <v>480</v>
      </c>
      <c r="B1054" s="559">
        <v>2014</v>
      </c>
      <c r="C1054" s="559" t="s">
        <v>280</v>
      </c>
      <c r="D1054" s="559" t="s">
        <v>4</v>
      </c>
      <c r="E1054" s="559" t="s">
        <v>101</v>
      </c>
      <c r="F1054" s="559">
        <v>0</v>
      </c>
      <c r="G1054" s="174"/>
    </row>
    <row r="1055" spans="1:7" x14ac:dyDescent="0.3">
      <c r="A1055" s="559" t="s">
        <v>480</v>
      </c>
      <c r="B1055" s="559">
        <v>2014</v>
      </c>
      <c r="C1055" s="559" t="s">
        <v>281</v>
      </c>
      <c r="D1055" s="559" t="s">
        <v>10</v>
      </c>
      <c r="E1055" s="559" t="s">
        <v>101</v>
      </c>
      <c r="F1055" s="559">
        <v>0</v>
      </c>
      <c r="G1055" s="174"/>
    </row>
    <row r="1056" spans="1:7" x14ac:dyDescent="0.3">
      <c r="A1056" s="559" t="s">
        <v>480</v>
      </c>
      <c r="B1056" s="559">
        <v>2014</v>
      </c>
      <c r="C1056" s="559" t="s">
        <v>282</v>
      </c>
      <c r="D1056" s="559" t="s">
        <v>12</v>
      </c>
      <c r="E1056" s="559" t="s">
        <v>96</v>
      </c>
      <c r="F1056" s="559">
        <v>467239.136999999</v>
      </c>
      <c r="G1056" s="174"/>
    </row>
    <row r="1057" spans="1:7" x14ac:dyDescent="0.3">
      <c r="A1057" s="559" t="s">
        <v>480</v>
      </c>
      <c r="B1057" s="559">
        <v>2014</v>
      </c>
      <c r="C1057" s="559" t="s">
        <v>283</v>
      </c>
      <c r="D1057" s="559" t="s">
        <v>1</v>
      </c>
      <c r="E1057" s="559" t="s">
        <v>96</v>
      </c>
      <c r="F1057" s="559">
        <v>568162.53900000302</v>
      </c>
      <c r="G1057" s="174"/>
    </row>
    <row r="1058" spans="1:7" x14ac:dyDescent="0.3">
      <c r="A1058" s="559" t="s">
        <v>480</v>
      </c>
      <c r="B1058" s="559">
        <v>2014</v>
      </c>
      <c r="C1058" s="559" t="s">
        <v>284</v>
      </c>
      <c r="D1058" s="559" t="s">
        <v>28</v>
      </c>
      <c r="E1058" s="559" t="s">
        <v>96</v>
      </c>
      <c r="F1058" s="559">
        <v>318175.12599999999</v>
      </c>
      <c r="G1058" s="174"/>
    </row>
    <row r="1059" spans="1:7" x14ac:dyDescent="0.3">
      <c r="A1059" s="559" t="s">
        <v>480</v>
      </c>
      <c r="B1059" s="559">
        <v>2014</v>
      </c>
      <c r="C1059" s="559" t="s">
        <v>285</v>
      </c>
      <c r="D1059" s="559" t="s">
        <v>4</v>
      </c>
      <c r="E1059" s="559" t="s">
        <v>96</v>
      </c>
      <c r="F1059" s="559">
        <v>7730.60700000002</v>
      </c>
      <c r="G1059" s="174"/>
    </row>
    <row r="1060" spans="1:7" x14ac:dyDescent="0.3">
      <c r="A1060" s="559" t="s">
        <v>480</v>
      </c>
      <c r="B1060" s="559">
        <v>2014</v>
      </c>
      <c r="C1060" s="559" t="s">
        <v>286</v>
      </c>
      <c r="D1060" s="559" t="s">
        <v>4</v>
      </c>
      <c r="E1060" s="559" t="s">
        <v>101</v>
      </c>
      <c r="F1060" s="559">
        <v>0</v>
      </c>
      <c r="G1060" s="174"/>
    </row>
    <row r="1061" spans="1:7" x14ac:dyDescent="0.3">
      <c r="A1061" s="559" t="s">
        <v>480</v>
      </c>
      <c r="B1061" s="559">
        <v>2014</v>
      </c>
      <c r="C1061" s="559" t="s">
        <v>287</v>
      </c>
      <c r="D1061" s="559" t="s">
        <v>4</v>
      </c>
      <c r="E1061" s="559" t="s">
        <v>101</v>
      </c>
      <c r="F1061" s="572">
        <v>0</v>
      </c>
      <c r="G1061" s="174"/>
    </row>
    <row r="1062" spans="1:7" x14ac:dyDescent="0.3">
      <c r="A1062" s="559" t="s">
        <v>480</v>
      </c>
      <c r="B1062" s="559">
        <v>2014</v>
      </c>
      <c r="C1062" s="559" t="s">
        <v>288</v>
      </c>
      <c r="D1062" s="559" t="s">
        <v>4</v>
      </c>
      <c r="E1062" s="559" t="s">
        <v>101</v>
      </c>
      <c r="F1062" s="572">
        <v>0</v>
      </c>
      <c r="G1062" s="174"/>
    </row>
    <row r="1063" spans="1:7" x14ac:dyDescent="0.3">
      <c r="A1063" s="559" t="s">
        <v>480</v>
      </c>
      <c r="B1063" s="559">
        <v>2014</v>
      </c>
      <c r="C1063" s="559" t="s">
        <v>289</v>
      </c>
      <c r="D1063" s="559" t="s">
        <v>19</v>
      </c>
      <c r="E1063" s="559" t="s">
        <v>96</v>
      </c>
      <c r="F1063" s="559">
        <v>1561582.74599999</v>
      </c>
      <c r="G1063" s="174"/>
    </row>
    <row r="1064" spans="1:7" x14ac:dyDescent="0.3">
      <c r="A1064" s="559" t="s">
        <v>480</v>
      </c>
      <c r="B1064" s="559">
        <v>2014</v>
      </c>
      <c r="C1064" s="559" t="s">
        <v>290</v>
      </c>
      <c r="D1064" s="559" t="s">
        <v>35</v>
      </c>
      <c r="E1064" s="559" t="s">
        <v>101</v>
      </c>
      <c r="F1064" s="559">
        <v>0</v>
      </c>
      <c r="G1064" s="174"/>
    </row>
    <row r="1065" spans="1:7" x14ac:dyDescent="0.3">
      <c r="A1065" s="559" t="s">
        <v>480</v>
      </c>
      <c r="B1065" s="559">
        <v>2014</v>
      </c>
      <c r="C1065" s="559" t="s">
        <v>291</v>
      </c>
      <c r="D1065" s="559" t="s">
        <v>0</v>
      </c>
      <c r="E1065" s="559" t="s">
        <v>96</v>
      </c>
      <c r="F1065" s="559">
        <v>113188.243999999</v>
      </c>
      <c r="G1065" s="174"/>
    </row>
    <row r="1066" spans="1:7" x14ac:dyDescent="0.3">
      <c r="A1066" s="559" t="s">
        <v>480</v>
      </c>
      <c r="B1066" s="559">
        <v>2014</v>
      </c>
      <c r="C1066" s="559" t="s">
        <v>292</v>
      </c>
      <c r="D1066" s="559" t="s">
        <v>37</v>
      </c>
      <c r="E1066" s="559" t="s">
        <v>96</v>
      </c>
      <c r="F1066" s="559">
        <v>3090161.1409999998</v>
      </c>
      <c r="G1066" s="174"/>
    </row>
    <row r="1067" spans="1:7" x14ac:dyDescent="0.3">
      <c r="A1067" s="559" t="s">
        <v>480</v>
      </c>
      <c r="B1067" s="559">
        <v>2014</v>
      </c>
      <c r="C1067" s="559" t="s">
        <v>293</v>
      </c>
      <c r="D1067" s="559" t="s">
        <v>49</v>
      </c>
      <c r="E1067" s="559" t="s">
        <v>96</v>
      </c>
      <c r="F1067" s="559">
        <v>23552.833999999999</v>
      </c>
      <c r="G1067" s="174"/>
    </row>
    <row r="1068" spans="1:7" x14ac:dyDescent="0.3">
      <c r="A1068" s="559" t="s">
        <v>480</v>
      </c>
      <c r="B1068" s="559">
        <v>2014</v>
      </c>
      <c r="C1068" s="559" t="s">
        <v>294</v>
      </c>
      <c r="D1068" s="559" t="s">
        <v>17</v>
      </c>
      <c r="E1068" s="559" t="s">
        <v>96</v>
      </c>
      <c r="F1068" s="572">
        <v>21797.114000000001</v>
      </c>
      <c r="G1068" s="174"/>
    </row>
    <row r="1069" spans="1:7" x14ac:dyDescent="0.3">
      <c r="A1069" s="559" t="s">
        <v>480</v>
      </c>
      <c r="B1069" s="559">
        <v>2014</v>
      </c>
      <c r="C1069" s="559" t="s">
        <v>295</v>
      </c>
      <c r="D1069" s="559" t="s">
        <v>17</v>
      </c>
      <c r="E1069" s="559" t="s">
        <v>101</v>
      </c>
      <c r="F1069" s="572">
        <v>0</v>
      </c>
      <c r="G1069" s="174"/>
    </row>
    <row r="1070" spans="1:7" x14ac:dyDescent="0.3">
      <c r="A1070" s="559" t="s">
        <v>480</v>
      </c>
      <c r="B1070" s="559">
        <v>2014</v>
      </c>
      <c r="C1070" s="559" t="s">
        <v>296</v>
      </c>
      <c r="D1070" s="559" t="s">
        <v>37</v>
      </c>
      <c r="E1070" s="559" t="s">
        <v>96</v>
      </c>
      <c r="F1070" s="559">
        <v>4222433.4259999897</v>
      </c>
      <c r="G1070" s="174"/>
    </row>
    <row r="1071" spans="1:7" x14ac:dyDescent="0.3">
      <c r="A1071" s="559" t="s">
        <v>480</v>
      </c>
      <c r="B1071" s="559">
        <v>2014</v>
      </c>
      <c r="C1071" s="559" t="s">
        <v>297</v>
      </c>
      <c r="D1071" s="559" t="s">
        <v>28</v>
      </c>
      <c r="E1071" s="559" t="s">
        <v>96</v>
      </c>
      <c r="F1071" s="559">
        <v>153039.478999999</v>
      </c>
      <c r="G1071" s="174"/>
    </row>
    <row r="1072" spans="1:7" x14ac:dyDescent="0.3">
      <c r="A1072" s="559" t="s">
        <v>480</v>
      </c>
      <c r="B1072" s="559">
        <v>2014</v>
      </c>
      <c r="C1072" s="559" t="s">
        <v>298</v>
      </c>
      <c r="D1072" s="559" t="s">
        <v>28</v>
      </c>
      <c r="E1072" s="559" t="s">
        <v>96</v>
      </c>
      <c r="F1072" s="559">
        <v>466029.557999996</v>
      </c>
      <c r="G1072" s="174"/>
    </row>
    <row r="1073" spans="1:7" x14ac:dyDescent="0.3">
      <c r="A1073" s="559" t="s">
        <v>480</v>
      </c>
      <c r="B1073" s="559">
        <v>2014</v>
      </c>
      <c r="C1073" s="559" t="s">
        <v>299</v>
      </c>
      <c r="D1073" s="559" t="s">
        <v>35</v>
      </c>
      <c r="E1073" s="559" t="s">
        <v>101</v>
      </c>
      <c r="F1073" s="559">
        <v>0</v>
      </c>
      <c r="G1073" s="174"/>
    </row>
    <row r="1074" spans="1:7" x14ac:dyDescent="0.3">
      <c r="A1074" s="559" t="s">
        <v>480</v>
      </c>
      <c r="B1074" s="559">
        <v>2014</v>
      </c>
      <c r="C1074" s="559" t="s">
        <v>300</v>
      </c>
      <c r="D1074" s="559" t="s">
        <v>4</v>
      </c>
      <c r="E1074" s="559" t="s">
        <v>96</v>
      </c>
      <c r="F1074" s="559">
        <v>6097.4840000000004</v>
      </c>
      <c r="G1074" s="174"/>
    </row>
    <row r="1075" spans="1:7" x14ac:dyDescent="0.3">
      <c r="A1075" s="559" t="s">
        <v>480</v>
      </c>
      <c r="B1075" s="559">
        <v>2014</v>
      </c>
      <c r="C1075" s="559" t="s">
        <v>301</v>
      </c>
      <c r="D1075" s="559" t="s">
        <v>4</v>
      </c>
      <c r="E1075" s="559" t="s">
        <v>101</v>
      </c>
      <c r="F1075" s="572">
        <v>0</v>
      </c>
      <c r="G1075" s="174"/>
    </row>
    <row r="1076" spans="1:7" x14ac:dyDescent="0.3">
      <c r="A1076" s="559" t="s">
        <v>480</v>
      </c>
      <c r="B1076" s="559">
        <v>2014</v>
      </c>
      <c r="C1076" s="559" t="s">
        <v>302</v>
      </c>
      <c r="D1076" s="559" t="s">
        <v>4</v>
      </c>
      <c r="E1076" s="559" t="s">
        <v>101</v>
      </c>
      <c r="F1076" s="572">
        <v>0</v>
      </c>
      <c r="G1076" s="174"/>
    </row>
    <row r="1077" spans="1:7" x14ac:dyDescent="0.3">
      <c r="A1077" s="559" t="s">
        <v>480</v>
      </c>
      <c r="B1077" s="559">
        <v>2014</v>
      </c>
      <c r="C1077" s="559" t="s">
        <v>303</v>
      </c>
      <c r="D1077" s="559" t="s">
        <v>0</v>
      </c>
      <c r="E1077" s="559" t="s">
        <v>96</v>
      </c>
      <c r="F1077" s="559">
        <v>685370.81899999897</v>
      </c>
      <c r="G1077" s="174"/>
    </row>
    <row r="1078" spans="1:7" x14ac:dyDescent="0.3">
      <c r="A1078" s="559" t="s">
        <v>480</v>
      </c>
      <c r="B1078" s="559">
        <v>2014</v>
      </c>
      <c r="C1078" s="559" t="s">
        <v>304</v>
      </c>
      <c r="D1078" s="559" t="s">
        <v>10</v>
      </c>
      <c r="E1078" s="559" t="s">
        <v>101</v>
      </c>
      <c r="F1078" s="559">
        <v>0</v>
      </c>
      <c r="G1078" s="174"/>
    </row>
    <row r="1079" spans="1:7" x14ac:dyDescent="0.3">
      <c r="A1079" s="559" t="s">
        <v>480</v>
      </c>
      <c r="B1079" s="559">
        <v>2014</v>
      </c>
      <c r="C1079" s="559" t="s">
        <v>386</v>
      </c>
      <c r="D1079" s="559" t="s">
        <v>0</v>
      </c>
      <c r="E1079" s="559" t="s">
        <v>96</v>
      </c>
      <c r="F1079" s="559">
        <v>31005.230999999902</v>
      </c>
      <c r="G1079" s="174"/>
    </row>
    <row r="1080" spans="1:7" x14ac:dyDescent="0.3">
      <c r="A1080" s="559" t="s">
        <v>480</v>
      </c>
      <c r="B1080" s="559">
        <v>2014</v>
      </c>
      <c r="C1080" s="559" t="s">
        <v>305</v>
      </c>
      <c r="D1080" s="559" t="s">
        <v>10</v>
      </c>
      <c r="E1080" s="559" t="s">
        <v>101</v>
      </c>
      <c r="F1080" s="559">
        <v>0</v>
      </c>
      <c r="G1080" s="174"/>
    </row>
    <row r="1081" spans="1:7" x14ac:dyDescent="0.3">
      <c r="A1081" s="559" t="s">
        <v>480</v>
      </c>
      <c r="B1081" s="559">
        <v>2014</v>
      </c>
      <c r="C1081" s="559" t="s">
        <v>306</v>
      </c>
      <c r="D1081" s="559" t="s">
        <v>11</v>
      </c>
      <c r="E1081" s="559" t="s">
        <v>96</v>
      </c>
      <c r="F1081" s="559">
        <v>7096.8389999999199</v>
      </c>
      <c r="G1081" s="174"/>
    </row>
    <row r="1082" spans="1:7" x14ac:dyDescent="0.3">
      <c r="A1082" s="559" t="s">
        <v>480</v>
      </c>
      <c r="B1082" s="559">
        <v>2014</v>
      </c>
      <c r="C1082" s="559" t="s">
        <v>307</v>
      </c>
      <c r="D1082" s="559" t="s">
        <v>40</v>
      </c>
      <c r="E1082" s="559" t="s">
        <v>96</v>
      </c>
      <c r="F1082" s="572">
        <v>763378.64000000199</v>
      </c>
      <c r="G1082" s="174"/>
    </row>
    <row r="1083" spans="1:7" x14ac:dyDescent="0.3">
      <c r="A1083" s="559" t="s">
        <v>480</v>
      </c>
      <c r="B1083" s="559">
        <v>2014</v>
      </c>
      <c r="C1083" s="559" t="s">
        <v>308</v>
      </c>
      <c r="D1083" s="559" t="s">
        <v>10</v>
      </c>
      <c r="E1083" s="559" t="s">
        <v>110</v>
      </c>
      <c r="F1083" s="572">
        <v>0</v>
      </c>
      <c r="G1083" s="174"/>
    </row>
    <row r="1084" spans="1:7" x14ac:dyDescent="0.3">
      <c r="A1084" s="559" t="s">
        <v>480</v>
      </c>
      <c r="B1084" s="559">
        <v>2014</v>
      </c>
      <c r="C1084" s="559" t="s">
        <v>308</v>
      </c>
      <c r="D1084" s="559" t="s">
        <v>10</v>
      </c>
      <c r="E1084" s="559" t="s">
        <v>96</v>
      </c>
      <c r="F1084" s="559">
        <v>1406.88536480686</v>
      </c>
      <c r="G1084" s="174"/>
    </row>
    <row r="1085" spans="1:7" x14ac:dyDescent="0.3">
      <c r="A1085" s="559" t="s">
        <v>480</v>
      </c>
      <c r="B1085" s="559">
        <v>2014</v>
      </c>
      <c r="C1085" s="559" t="s">
        <v>308</v>
      </c>
      <c r="D1085" s="559" t="s">
        <v>32</v>
      </c>
      <c r="E1085" s="559" t="s">
        <v>96</v>
      </c>
      <c r="F1085" s="559">
        <v>50447.6680000001</v>
      </c>
      <c r="G1085" s="174"/>
    </row>
    <row r="1086" spans="1:7" x14ac:dyDescent="0.3">
      <c r="A1086" s="559" t="s">
        <v>480</v>
      </c>
      <c r="B1086" s="559">
        <v>2014</v>
      </c>
      <c r="C1086" s="559" t="s">
        <v>309</v>
      </c>
      <c r="D1086" s="559" t="s">
        <v>10</v>
      </c>
      <c r="E1086" s="559" t="s">
        <v>101</v>
      </c>
      <c r="F1086" s="559">
        <v>0</v>
      </c>
      <c r="G1086" s="174"/>
    </row>
    <row r="1087" spans="1:7" x14ac:dyDescent="0.3">
      <c r="A1087" s="559" t="s">
        <v>480</v>
      </c>
      <c r="B1087" s="559">
        <v>2014</v>
      </c>
      <c r="C1087" s="559" t="s">
        <v>310</v>
      </c>
      <c r="D1087" s="559" t="s">
        <v>28</v>
      </c>
      <c r="E1087" s="559" t="s">
        <v>96</v>
      </c>
      <c r="F1087" s="559">
        <v>177682.527</v>
      </c>
      <c r="G1087" s="174"/>
    </row>
    <row r="1088" spans="1:7" x14ac:dyDescent="0.3">
      <c r="A1088" s="559" t="s">
        <v>480</v>
      </c>
      <c r="B1088" s="559">
        <v>2014</v>
      </c>
      <c r="C1088" s="559" t="s">
        <v>311</v>
      </c>
      <c r="D1088" s="559" t="s">
        <v>0</v>
      </c>
      <c r="E1088" s="559" t="s">
        <v>96</v>
      </c>
      <c r="F1088" s="559">
        <v>516494.83199999703</v>
      </c>
      <c r="G1088" s="174"/>
    </row>
    <row r="1089" spans="1:7" x14ac:dyDescent="0.3">
      <c r="A1089" s="559" t="s">
        <v>480</v>
      </c>
      <c r="B1089" s="559">
        <v>2014</v>
      </c>
      <c r="C1089" s="559" t="s">
        <v>312</v>
      </c>
      <c r="D1089" s="559" t="s">
        <v>49</v>
      </c>
      <c r="E1089" s="559" t="s">
        <v>96</v>
      </c>
      <c r="F1089" s="572">
        <v>23082.4129999998</v>
      </c>
      <c r="G1089" s="174"/>
    </row>
    <row r="1090" spans="1:7" x14ac:dyDescent="0.3">
      <c r="A1090" s="559" t="s">
        <v>480</v>
      </c>
      <c r="B1090" s="559">
        <v>2014</v>
      </c>
      <c r="C1090" s="559" t="s">
        <v>313</v>
      </c>
      <c r="D1090" s="559" t="s">
        <v>38</v>
      </c>
      <c r="E1090" s="559" t="s">
        <v>96</v>
      </c>
      <c r="F1090" s="572">
        <v>593302.33199999901</v>
      </c>
      <c r="G1090" s="174"/>
    </row>
    <row r="1091" spans="1:7" x14ac:dyDescent="0.3">
      <c r="A1091" s="559" t="s">
        <v>480</v>
      </c>
      <c r="B1091" s="559">
        <v>2014</v>
      </c>
      <c r="C1091" s="559" t="s">
        <v>314</v>
      </c>
      <c r="D1091" s="559" t="s">
        <v>32</v>
      </c>
      <c r="E1091" s="559" t="s">
        <v>96</v>
      </c>
      <c r="F1091" s="572">
        <v>5.3526904488742204</v>
      </c>
      <c r="G1091" s="174"/>
    </row>
    <row r="1092" spans="1:7" x14ac:dyDescent="0.3">
      <c r="A1092" s="559" t="s">
        <v>480</v>
      </c>
      <c r="B1092" s="559">
        <v>2014</v>
      </c>
      <c r="C1092" s="559" t="s">
        <v>314</v>
      </c>
      <c r="D1092" s="559" t="s">
        <v>42</v>
      </c>
      <c r="E1092" s="559" t="s">
        <v>96</v>
      </c>
      <c r="F1092" s="572">
        <v>343160.40799999901</v>
      </c>
      <c r="G1092" s="174"/>
    </row>
    <row r="1093" spans="1:7" x14ac:dyDescent="0.3">
      <c r="A1093" s="559" t="s">
        <v>480</v>
      </c>
      <c r="B1093" s="559">
        <v>2014</v>
      </c>
      <c r="C1093" s="559" t="s">
        <v>315</v>
      </c>
      <c r="D1093" s="559" t="s">
        <v>49</v>
      </c>
      <c r="E1093" s="559" t="s">
        <v>96</v>
      </c>
      <c r="F1093" s="572">
        <v>12527.119999999901</v>
      </c>
      <c r="G1093" s="174"/>
    </row>
    <row r="1094" spans="1:7" x14ac:dyDescent="0.3">
      <c r="A1094" s="559" t="s">
        <v>480</v>
      </c>
      <c r="B1094" s="559">
        <v>2014</v>
      </c>
      <c r="C1094" s="559" t="s">
        <v>316</v>
      </c>
      <c r="D1094" s="559" t="s">
        <v>36</v>
      </c>
      <c r="E1094" s="559" t="s">
        <v>96</v>
      </c>
      <c r="F1094" s="572">
        <v>44905.724000000097</v>
      </c>
      <c r="G1094" s="174"/>
    </row>
    <row r="1095" spans="1:7" x14ac:dyDescent="0.3">
      <c r="A1095" s="559" t="s">
        <v>480</v>
      </c>
      <c r="B1095" s="559">
        <v>2014</v>
      </c>
      <c r="C1095" s="559" t="s">
        <v>317</v>
      </c>
      <c r="D1095" s="559" t="s">
        <v>7</v>
      </c>
      <c r="E1095" s="559" t="s">
        <v>96</v>
      </c>
      <c r="F1095" s="572">
        <v>370957.63199999701</v>
      </c>
      <c r="G1095" s="174"/>
    </row>
    <row r="1096" spans="1:7" x14ac:dyDescent="0.3">
      <c r="A1096" s="559" t="s">
        <v>480</v>
      </c>
      <c r="B1096" s="559">
        <v>2014</v>
      </c>
      <c r="C1096" s="559" t="s">
        <v>317</v>
      </c>
      <c r="D1096" s="559" t="s">
        <v>10</v>
      </c>
      <c r="E1096" s="559" t="s">
        <v>96</v>
      </c>
      <c r="F1096" s="572">
        <v>7.6104469405388397E-2</v>
      </c>
      <c r="G1096" s="174"/>
    </row>
    <row r="1097" spans="1:7" x14ac:dyDescent="0.3">
      <c r="A1097" s="559" t="s">
        <v>480</v>
      </c>
      <c r="B1097" s="559">
        <v>2014</v>
      </c>
      <c r="C1097" s="559" t="s">
        <v>318</v>
      </c>
      <c r="D1097" s="559" t="s">
        <v>10</v>
      </c>
      <c r="E1097" s="559" t="s">
        <v>101</v>
      </c>
      <c r="F1097" s="572">
        <v>0</v>
      </c>
      <c r="G1097" s="174"/>
    </row>
    <row r="1098" spans="1:7" x14ac:dyDescent="0.3">
      <c r="A1098" s="559" t="s">
        <v>480</v>
      </c>
      <c r="B1098" s="559">
        <v>2014</v>
      </c>
      <c r="C1098" s="559" t="s">
        <v>319</v>
      </c>
      <c r="D1098" s="559" t="s">
        <v>10</v>
      </c>
      <c r="E1098" s="559" t="s">
        <v>101</v>
      </c>
      <c r="F1098" s="572">
        <v>0</v>
      </c>
      <c r="G1098" s="174"/>
    </row>
    <row r="1099" spans="1:7" x14ac:dyDescent="0.3">
      <c r="A1099" s="559" t="s">
        <v>480</v>
      </c>
      <c r="B1099" s="559">
        <v>2014</v>
      </c>
      <c r="C1099" s="559" t="s">
        <v>320</v>
      </c>
      <c r="D1099" s="559" t="s">
        <v>10</v>
      </c>
      <c r="E1099" s="559" t="s">
        <v>101</v>
      </c>
      <c r="F1099" s="572">
        <v>0</v>
      </c>
      <c r="G1099" s="174"/>
    </row>
    <row r="1100" spans="1:7" x14ac:dyDescent="0.3">
      <c r="A1100" s="559" t="s">
        <v>480</v>
      </c>
      <c r="B1100" s="559">
        <v>2014</v>
      </c>
      <c r="C1100" s="559" t="s">
        <v>321</v>
      </c>
      <c r="D1100" s="559" t="s">
        <v>35</v>
      </c>
      <c r="E1100" s="559" t="s">
        <v>110</v>
      </c>
      <c r="F1100" s="572">
        <v>0</v>
      </c>
      <c r="G1100" s="174"/>
    </row>
    <row r="1101" spans="1:7" x14ac:dyDescent="0.3">
      <c r="A1101" s="559" t="s">
        <v>480</v>
      </c>
      <c r="B1101" s="559">
        <v>2014</v>
      </c>
      <c r="C1101" s="559" t="s">
        <v>321</v>
      </c>
      <c r="D1101" s="559" t="s">
        <v>103</v>
      </c>
      <c r="E1101" s="559" t="s">
        <v>96</v>
      </c>
      <c r="F1101" s="572">
        <v>740.56699999999898</v>
      </c>
      <c r="G1101" s="174"/>
    </row>
    <row r="1102" spans="1:7" x14ac:dyDescent="0.3">
      <c r="A1102" s="559" t="s">
        <v>480</v>
      </c>
      <c r="B1102" s="559">
        <v>2014</v>
      </c>
      <c r="C1102" s="559" t="s">
        <v>322</v>
      </c>
      <c r="D1102" s="559" t="s">
        <v>39</v>
      </c>
      <c r="E1102" s="559" t="s">
        <v>96</v>
      </c>
      <c r="F1102" s="572">
        <v>1985186.2419999901</v>
      </c>
      <c r="G1102" s="174"/>
    </row>
    <row r="1103" spans="1:7" x14ac:dyDescent="0.3">
      <c r="A1103" s="559" t="s">
        <v>480</v>
      </c>
      <c r="B1103" s="559">
        <v>2014</v>
      </c>
      <c r="C1103" s="559" t="s">
        <v>323</v>
      </c>
      <c r="D1103" s="559" t="s">
        <v>4</v>
      </c>
      <c r="E1103" s="559" t="s">
        <v>101</v>
      </c>
      <c r="F1103" s="572">
        <v>0</v>
      </c>
      <c r="G1103" s="174"/>
    </row>
    <row r="1104" spans="1:7" x14ac:dyDescent="0.3">
      <c r="A1104" s="559" t="s">
        <v>480</v>
      </c>
      <c r="B1104" s="559">
        <v>2014</v>
      </c>
      <c r="C1104" s="559" t="s">
        <v>324</v>
      </c>
      <c r="D1104" s="559" t="s">
        <v>14</v>
      </c>
      <c r="E1104" s="559" t="s">
        <v>110</v>
      </c>
      <c r="F1104" s="572">
        <v>0</v>
      </c>
      <c r="G1104" s="174"/>
    </row>
    <row r="1105" spans="1:7" x14ac:dyDescent="0.3">
      <c r="A1105" s="559" t="s">
        <v>480</v>
      </c>
      <c r="B1105" s="559">
        <v>2014</v>
      </c>
      <c r="C1105" s="559" t="s">
        <v>325</v>
      </c>
      <c r="D1105" s="559" t="s">
        <v>52</v>
      </c>
      <c r="E1105" s="559" t="s">
        <v>96</v>
      </c>
      <c r="F1105" s="572">
        <v>8058427.5650000302</v>
      </c>
      <c r="G1105" s="174"/>
    </row>
    <row r="1106" spans="1:7" x14ac:dyDescent="0.3">
      <c r="A1106" s="559" t="s">
        <v>480</v>
      </c>
      <c r="B1106" s="559">
        <v>2014</v>
      </c>
      <c r="C1106" s="559" t="s">
        <v>326</v>
      </c>
      <c r="D1106" s="559" t="s">
        <v>0</v>
      </c>
      <c r="E1106" s="559" t="s">
        <v>96</v>
      </c>
      <c r="F1106" s="572">
        <v>26025.693813239701</v>
      </c>
      <c r="G1106" s="174"/>
    </row>
    <row r="1107" spans="1:7" x14ac:dyDescent="0.3">
      <c r="A1107" s="559" t="s">
        <v>480</v>
      </c>
      <c r="B1107" s="559">
        <v>2014</v>
      </c>
      <c r="C1107" s="559" t="s">
        <v>326</v>
      </c>
      <c r="D1107" s="559" t="s">
        <v>14</v>
      </c>
      <c r="E1107" s="559" t="s">
        <v>96</v>
      </c>
      <c r="F1107" s="572">
        <v>6994.85746602366</v>
      </c>
      <c r="G1107" s="174"/>
    </row>
    <row r="1108" spans="1:7" x14ac:dyDescent="0.3">
      <c r="A1108" s="559" t="s">
        <v>480</v>
      </c>
      <c r="B1108" s="559">
        <v>2014</v>
      </c>
      <c r="C1108" s="559" t="s">
        <v>326</v>
      </c>
      <c r="D1108" s="559" t="s">
        <v>20</v>
      </c>
      <c r="E1108" s="559" t="s">
        <v>96</v>
      </c>
      <c r="F1108" s="572">
        <v>21997.620720736399</v>
      </c>
      <c r="G1108" s="174"/>
    </row>
    <row r="1109" spans="1:7" x14ac:dyDescent="0.3">
      <c r="A1109" s="559" t="s">
        <v>480</v>
      </c>
      <c r="B1109" s="559">
        <v>2014</v>
      </c>
      <c r="C1109" s="559" t="s">
        <v>327</v>
      </c>
      <c r="D1109" s="559" t="s">
        <v>40</v>
      </c>
      <c r="E1109" s="559" t="s">
        <v>96</v>
      </c>
      <c r="F1109" s="572">
        <v>246158.66</v>
      </c>
      <c r="G1109" s="174"/>
    </row>
    <row r="1110" spans="1:7" x14ac:dyDescent="0.3">
      <c r="A1110" s="559" t="s">
        <v>480</v>
      </c>
      <c r="B1110" s="559">
        <v>2014</v>
      </c>
      <c r="C1110" s="559" t="s">
        <v>328</v>
      </c>
      <c r="D1110" s="559" t="s">
        <v>11</v>
      </c>
      <c r="E1110" s="559" t="s">
        <v>96</v>
      </c>
      <c r="F1110" s="572">
        <v>59957.568999999901</v>
      </c>
      <c r="G1110" s="174"/>
    </row>
    <row r="1111" spans="1:7" x14ac:dyDescent="0.3">
      <c r="A1111" s="559" t="s">
        <v>480</v>
      </c>
      <c r="B1111" s="559">
        <v>2014</v>
      </c>
      <c r="C1111" s="559" t="s">
        <v>329</v>
      </c>
      <c r="D1111" s="559" t="s">
        <v>31</v>
      </c>
      <c r="E1111" s="559" t="s">
        <v>96</v>
      </c>
      <c r="F1111" s="572">
        <v>25892.105999999902</v>
      </c>
      <c r="G1111" s="174"/>
    </row>
    <row r="1112" spans="1:7" x14ac:dyDescent="0.3">
      <c r="A1112" s="559" t="s">
        <v>480</v>
      </c>
      <c r="B1112" s="559">
        <v>2014</v>
      </c>
      <c r="C1112" s="559" t="s">
        <v>330</v>
      </c>
      <c r="D1112" s="559" t="s">
        <v>14</v>
      </c>
      <c r="E1112" s="559" t="s">
        <v>110</v>
      </c>
      <c r="F1112" s="572">
        <v>0</v>
      </c>
      <c r="G1112" s="174"/>
    </row>
    <row r="1113" spans="1:7" x14ac:dyDescent="0.3">
      <c r="A1113" s="559" t="s">
        <v>480</v>
      </c>
      <c r="B1113" s="559">
        <v>2014</v>
      </c>
      <c r="C1113" s="559" t="s">
        <v>330</v>
      </c>
      <c r="D1113" s="559" t="s">
        <v>14</v>
      </c>
      <c r="E1113" s="559" t="s">
        <v>96</v>
      </c>
      <c r="F1113" s="572">
        <v>905.84299999999905</v>
      </c>
      <c r="G1113" s="174"/>
    </row>
    <row r="1114" spans="1:7" x14ac:dyDescent="0.3">
      <c r="A1114" s="559" t="s">
        <v>480</v>
      </c>
      <c r="B1114" s="559">
        <v>2014</v>
      </c>
      <c r="C1114" s="559" t="s">
        <v>331</v>
      </c>
      <c r="D1114" s="559" t="s">
        <v>37</v>
      </c>
      <c r="E1114" s="559" t="s">
        <v>96</v>
      </c>
      <c r="F1114" s="572">
        <v>1441159.7890000001</v>
      </c>
      <c r="G1114" s="174"/>
    </row>
    <row r="1115" spans="1:7" x14ac:dyDescent="0.3">
      <c r="A1115" s="559" t="s">
        <v>480</v>
      </c>
      <c r="B1115" s="559">
        <v>2014</v>
      </c>
      <c r="C1115" s="559" t="s">
        <v>332</v>
      </c>
      <c r="D1115" s="559" t="s">
        <v>28</v>
      </c>
      <c r="E1115" s="559" t="s">
        <v>96</v>
      </c>
      <c r="F1115" s="572">
        <v>319955.92</v>
      </c>
      <c r="G1115" s="174"/>
    </row>
    <row r="1116" spans="1:7" x14ac:dyDescent="0.3">
      <c r="A1116" s="559" t="s">
        <v>480</v>
      </c>
      <c r="B1116" s="559">
        <v>2014</v>
      </c>
      <c r="C1116" s="559" t="s">
        <v>333</v>
      </c>
      <c r="D1116" s="559" t="s">
        <v>4</v>
      </c>
      <c r="E1116" s="559" t="s">
        <v>96</v>
      </c>
      <c r="F1116" s="572">
        <v>210.96478079937501</v>
      </c>
      <c r="G1116" s="174"/>
    </row>
    <row r="1117" spans="1:7" x14ac:dyDescent="0.3">
      <c r="A1117" s="559" t="s">
        <v>480</v>
      </c>
      <c r="B1117" s="559">
        <v>2014</v>
      </c>
      <c r="C1117" s="559" t="s">
        <v>333</v>
      </c>
      <c r="D1117" s="559" t="s">
        <v>26</v>
      </c>
      <c r="E1117" s="559" t="s">
        <v>96</v>
      </c>
      <c r="F1117" s="572">
        <v>641351.22835980298</v>
      </c>
      <c r="G1117" s="174"/>
    </row>
    <row r="1118" spans="1:7" x14ac:dyDescent="0.3">
      <c r="A1118" s="559" t="s">
        <v>480</v>
      </c>
      <c r="B1118" s="559">
        <v>2014</v>
      </c>
      <c r="C1118" s="559" t="s">
        <v>334</v>
      </c>
      <c r="D1118" s="559" t="s">
        <v>4</v>
      </c>
      <c r="E1118" s="559" t="s">
        <v>96</v>
      </c>
      <c r="F1118" s="572">
        <v>1542.5619999999899</v>
      </c>
      <c r="G1118" s="174"/>
    </row>
    <row r="1119" spans="1:7" x14ac:dyDescent="0.3">
      <c r="A1119" s="559" t="s">
        <v>480</v>
      </c>
      <c r="B1119" s="559">
        <v>2014</v>
      </c>
      <c r="C1119" s="559" t="s">
        <v>335</v>
      </c>
      <c r="D1119" s="559" t="s">
        <v>4</v>
      </c>
      <c r="E1119" s="559" t="s">
        <v>101</v>
      </c>
      <c r="F1119" s="572">
        <v>40109.686999999998</v>
      </c>
      <c r="G1119" s="174"/>
    </row>
    <row r="1120" spans="1:7" x14ac:dyDescent="0.3">
      <c r="A1120" s="559" t="s">
        <v>480</v>
      </c>
      <c r="B1120" s="559">
        <v>2014</v>
      </c>
      <c r="C1120" s="559" t="s">
        <v>336</v>
      </c>
      <c r="D1120" s="559" t="s">
        <v>28</v>
      </c>
      <c r="E1120" s="559" t="s">
        <v>96</v>
      </c>
      <c r="F1120" s="572">
        <v>621620.29599999695</v>
      </c>
      <c r="G1120" s="174"/>
    </row>
    <row r="1121" spans="1:7" x14ac:dyDescent="0.3">
      <c r="A1121" s="559" t="s">
        <v>480</v>
      </c>
      <c r="B1121" s="559">
        <v>2014</v>
      </c>
      <c r="C1121" s="559" t="s">
        <v>337</v>
      </c>
      <c r="D1121" s="559" t="s">
        <v>40</v>
      </c>
      <c r="E1121" s="559" t="s">
        <v>96</v>
      </c>
      <c r="F1121" s="572">
        <v>462482.09799999901</v>
      </c>
      <c r="G1121" s="174"/>
    </row>
    <row r="1122" spans="1:7" x14ac:dyDescent="0.3">
      <c r="A1122" s="559" t="s">
        <v>480</v>
      </c>
      <c r="B1122" s="559">
        <v>2014</v>
      </c>
      <c r="C1122" s="559" t="s">
        <v>338</v>
      </c>
      <c r="D1122" s="559" t="s">
        <v>37</v>
      </c>
      <c r="E1122" s="559" t="s">
        <v>96</v>
      </c>
      <c r="F1122" s="572">
        <v>3749058.12800002</v>
      </c>
      <c r="G1122" s="174"/>
    </row>
    <row r="1123" spans="1:7" x14ac:dyDescent="0.3">
      <c r="A1123" s="559" t="s">
        <v>480</v>
      </c>
      <c r="B1123" s="559">
        <v>2014</v>
      </c>
      <c r="C1123" s="559" t="s">
        <v>339</v>
      </c>
      <c r="D1123" s="559" t="s">
        <v>51</v>
      </c>
      <c r="E1123" s="559" t="s">
        <v>96</v>
      </c>
      <c r="F1123" s="572">
        <v>53779.993999999897</v>
      </c>
      <c r="G1123" s="174"/>
    </row>
    <row r="1124" spans="1:7" x14ac:dyDescent="0.3">
      <c r="A1124" s="559" t="s">
        <v>480</v>
      </c>
      <c r="B1124" s="559">
        <v>2014</v>
      </c>
      <c r="C1124" s="559" t="s">
        <v>340</v>
      </c>
      <c r="D1124" s="559" t="s">
        <v>680</v>
      </c>
      <c r="E1124" s="559" t="s">
        <v>101</v>
      </c>
      <c r="F1124" s="572">
        <v>0</v>
      </c>
      <c r="G1124" s="174"/>
    </row>
    <row r="1125" spans="1:7" x14ac:dyDescent="0.3">
      <c r="A1125" s="559" t="s">
        <v>480</v>
      </c>
      <c r="B1125" s="559">
        <v>2014</v>
      </c>
      <c r="C1125" s="559" t="s">
        <v>341</v>
      </c>
      <c r="D1125" s="559" t="s">
        <v>17</v>
      </c>
      <c r="E1125" s="559" t="s">
        <v>101</v>
      </c>
      <c r="F1125" s="572">
        <v>0</v>
      </c>
      <c r="G1125" s="174"/>
    </row>
    <row r="1126" spans="1:7" x14ac:dyDescent="0.3">
      <c r="A1126" s="559" t="s">
        <v>480</v>
      </c>
      <c r="B1126" s="559">
        <v>2014</v>
      </c>
      <c r="C1126" s="559" t="s">
        <v>342</v>
      </c>
      <c r="D1126" s="559" t="s">
        <v>28</v>
      </c>
      <c r="E1126" s="559" t="s">
        <v>96</v>
      </c>
      <c r="F1126" s="572">
        <v>606119.59400000097</v>
      </c>
      <c r="G1126" s="174"/>
    </row>
    <row r="1127" spans="1:7" x14ac:dyDescent="0.3">
      <c r="A1127" s="559" t="s">
        <v>480</v>
      </c>
      <c r="B1127" s="559">
        <v>2014</v>
      </c>
      <c r="C1127" s="559" t="s">
        <v>343</v>
      </c>
      <c r="D1127" s="559" t="s">
        <v>17</v>
      </c>
      <c r="E1127" s="559" t="s">
        <v>101</v>
      </c>
      <c r="F1127" s="572">
        <v>0</v>
      </c>
      <c r="G1127" s="174"/>
    </row>
    <row r="1128" spans="1:7" x14ac:dyDescent="0.3">
      <c r="A1128" s="559" t="s">
        <v>480</v>
      </c>
      <c r="B1128" s="559">
        <v>2014</v>
      </c>
      <c r="C1128" s="559" t="s">
        <v>344</v>
      </c>
      <c r="D1128" s="559" t="s">
        <v>12</v>
      </c>
      <c r="E1128" s="559" t="s">
        <v>96</v>
      </c>
      <c r="F1128" s="572">
        <v>77349.856</v>
      </c>
      <c r="G1128" s="174"/>
    </row>
    <row r="1129" spans="1:7" x14ac:dyDescent="0.3">
      <c r="A1129" s="559" t="s">
        <v>480</v>
      </c>
      <c r="B1129" s="559">
        <v>2014</v>
      </c>
      <c r="C1129" s="559" t="s">
        <v>345</v>
      </c>
      <c r="D1129" s="559" t="s">
        <v>12</v>
      </c>
      <c r="E1129" s="559" t="s">
        <v>96</v>
      </c>
      <c r="F1129" s="572">
        <v>50509.669999999802</v>
      </c>
      <c r="G1129" s="174"/>
    </row>
    <row r="1130" spans="1:7" x14ac:dyDescent="0.3">
      <c r="A1130" s="559" t="s">
        <v>480</v>
      </c>
      <c r="B1130" s="559">
        <v>2014</v>
      </c>
      <c r="C1130" s="559" t="s">
        <v>346</v>
      </c>
      <c r="D1130" s="559" t="s">
        <v>2</v>
      </c>
      <c r="E1130" s="559" t="s">
        <v>96</v>
      </c>
      <c r="F1130" s="572">
        <v>96606.491000000198</v>
      </c>
      <c r="G1130" s="174"/>
    </row>
    <row r="1131" spans="1:7" x14ac:dyDescent="0.3">
      <c r="A1131" s="559" t="s">
        <v>480</v>
      </c>
      <c r="B1131" s="559">
        <v>2014</v>
      </c>
      <c r="C1131" s="559" t="s">
        <v>347</v>
      </c>
      <c r="D1131" s="559" t="s">
        <v>68</v>
      </c>
      <c r="E1131" s="559" t="s">
        <v>96</v>
      </c>
      <c r="F1131" s="572">
        <v>230495.402</v>
      </c>
      <c r="G1131" s="174"/>
    </row>
    <row r="1132" spans="1:7" x14ac:dyDescent="0.3">
      <c r="A1132" s="559" t="s">
        <v>480</v>
      </c>
      <c r="B1132" s="559">
        <v>2014</v>
      </c>
      <c r="C1132" s="559" t="s">
        <v>348</v>
      </c>
      <c r="D1132" s="559" t="s">
        <v>37</v>
      </c>
      <c r="E1132" s="559" t="s">
        <v>96</v>
      </c>
      <c r="F1132" s="572">
        <v>1523466.76599999</v>
      </c>
      <c r="G1132" s="174"/>
    </row>
    <row r="1133" spans="1:7" x14ac:dyDescent="0.3">
      <c r="A1133" s="559" t="s">
        <v>480</v>
      </c>
      <c r="B1133" s="559">
        <v>2014</v>
      </c>
      <c r="C1133" s="559" t="s">
        <v>349</v>
      </c>
      <c r="D1133" s="559" t="s">
        <v>36</v>
      </c>
      <c r="E1133" s="559" t="s">
        <v>96</v>
      </c>
      <c r="F1133" s="572">
        <v>265216.21000000002</v>
      </c>
      <c r="G1133" s="174"/>
    </row>
    <row r="1134" spans="1:7" x14ac:dyDescent="0.3">
      <c r="A1134" s="559" t="s">
        <v>480</v>
      </c>
      <c r="B1134" s="559">
        <v>2014</v>
      </c>
      <c r="C1134" s="559" t="s">
        <v>350</v>
      </c>
      <c r="D1134" s="559" t="s">
        <v>17</v>
      </c>
      <c r="E1134" s="559" t="s">
        <v>101</v>
      </c>
      <c r="F1134" s="572">
        <v>0</v>
      </c>
      <c r="G1134" s="174"/>
    </row>
    <row r="1135" spans="1:7" x14ac:dyDescent="0.3">
      <c r="A1135" s="559" t="s">
        <v>480</v>
      </c>
      <c r="B1135" s="559">
        <v>2014</v>
      </c>
      <c r="C1135" s="559" t="s">
        <v>351</v>
      </c>
      <c r="D1135" s="559" t="s">
        <v>4</v>
      </c>
      <c r="E1135" s="559" t="s">
        <v>101</v>
      </c>
      <c r="F1135" s="572">
        <v>0</v>
      </c>
      <c r="G1135" s="174"/>
    </row>
    <row r="1136" spans="1:7" x14ac:dyDescent="0.3">
      <c r="A1136" s="559" t="s">
        <v>480</v>
      </c>
      <c r="B1136" s="559">
        <v>2014</v>
      </c>
      <c r="C1136" s="559" t="s">
        <v>352</v>
      </c>
      <c r="D1136" s="559" t="s">
        <v>4</v>
      </c>
      <c r="E1136" s="559" t="s">
        <v>101</v>
      </c>
      <c r="F1136" s="572">
        <v>0</v>
      </c>
      <c r="G1136" s="174"/>
    </row>
    <row r="1137" spans="1:7" x14ac:dyDescent="0.3">
      <c r="A1137" s="559" t="s">
        <v>480</v>
      </c>
      <c r="B1137" s="559">
        <v>2014</v>
      </c>
      <c r="C1137" s="559" t="s">
        <v>353</v>
      </c>
      <c r="D1137" s="559" t="s">
        <v>20</v>
      </c>
      <c r="E1137" s="559" t="s">
        <v>96</v>
      </c>
      <c r="F1137" s="572">
        <v>24767.226999999901</v>
      </c>
      <c r="G1137" s="174"/>
    </row>
    <row r="1138" spans="1:7" x14ac:dyDescent="0.3">
      <c r="A1138" s="559" t="s">
        <v>480</v>
      </c>
      <c r="B1138" s="559">
        <v>2014</v>
      </c>
      <c r="C1138" s="559" t="s">
        <v>354</v>
      </c>
      <c r="D1138" s="559" t="s">
        <v>14</v>
      </c>
      <c r="E1138" s="559" t="s">
        <v>101</v>
      </c>
      <c r="F1138" s="572">
        <v>0</v>
      </c>
      <c r="G1138" s="174"/>
    </row>
    <row r="1139" spans="1:7" x14ac:dyDescent="0.3">
      <c r="A1139" s="559" t="s">
        <v>480</v>
      </c>
      <c r="B1139" s="559">
        <v>2014</v>
      </c>
      <c r="C1139" s="559" t="s">
        <v>355</v>
      </c>
      <c r="D1139" s="559" t="s">
        <v>36</v>
      </c>
      <c r="E1139" s="559" t="s">
        <v>96</v>
      </c>
      <c r="F1139" s="572">
        <v>548787.57599999802</v>
      </c>
      <c r="G1139" s="174"/>
    </row>
    <row r="1140" spans="1:7" x14ac:dyDescent="0.3">
      <c r="A1140" s="559" t="s">
        <v>480</v>
      </c>
      <c r="B1140" s="559">
        <v>2014</v>
      </c>
      <c r="C1140" s="559" t="s">
        <v>356</v>
      </c>
      <c r="D1140" s="559" t="s">
        <v>28</v>
      </c>
      <c r="E1140" s="559" t="s">
        <v>96</v>
      </c>
      <c r="F1140" s="572">
        <v>56038.481000000203</v>
      </c>
      <c r="G1140" s="174"/>
    </row>
    <row r="1141" spans="1:7" x14ac:dyDescent="0.3">
      <c r="A1141" s="559" t="s">
        <v>480</v>
      </c>
      <c r="B1141" s="559">
        <v>2014</v>
      </c>
      <c r="C1141" s="559" t="s">
        <v>357</v>
      </c>
      <c r="D1141" s="559" t="s">
        <v>14</v>
      </c>
      <c r="E1141" s="559" t="s">
        <v>110</v>
      </c>
      <c r="F1141" s="572">
        <v>0</v>
      </c>
      <c r="G1141" s="174"/>
    </row>
    <row r="1142" spans="1:7" x14ac:dyDescent="0.3">
      <c r="A1142" s="559" t="s">
        <v>480</v>
      </c>
      <c r="B1142" s="559">
        <v>2014</v>
      </c>
      <c r="C1142" s="559" t="s">
        <v>357</v>
      </c>
      <c r="D1142" s="559" t="s">
        <v>14</v>
      </c>
      <c r="E1142" s="559" t="s">
        <v>96</v>
      </c>
      <c r="F1142" s="572">
        <v>635.30600000000004</v>
      </c>
      <c r="G1142" s="174"/>
    </row>
    <row r="1143" spans="1:7" x14ac:dyDescent="0.3">
      <c r="A1143" s="559" t="s">
        <v>480</v>
      </c>
      <c r="B1143" s="559">
        <v>2014</v>
      </c>
      <c r="C1143" s="559" t="s">
        <v>358</v>
      </c>
      <c r="D1143" s="559" t="s">
        <v>14</v>
      </c>
      <c r="E1143" s="559" t="s">
        <v>110</v>
      </c>
      <c r="F1143" s="572">
        <v>0</v>
      </c>
      <c r="G1143" s="174"/>
    </row>
    <row r="1144" spans="1:7" x14ac:dyDescent="0.3">
      <c r="A1144" s="559" t="s">
        <v>480</v>
      </c>
      <c r="B1144" s="559">
        <v>2014</v>
      </c>
      <c r="C1144" s="559" t="s">
        <v>358</v>
      </c>
      <c r="D1144" s="559" t="s">
        <v>14</v>
      </c>
      <c r="E1144" s="559" t="s">
        <v>96</v>
      </c>
      <c r="F1144" s="572">
        <v>628.42899999999895</v>
      </c>
      <c r="G1144" s="174"/>
    </row>
    <row r="1145" spans="1:7" x14ac:dyDescent="0.3">
      <c r="A1145" s="559" t="s">
        <v>474</v>
      </c>
      <c r="B1145" s="559">
        <v>2014</v>
      </c>
      <c r="C1145" s="559" t="s">
        <v>95</v>
      </c>
      <c r="D1145" s="559" t="s">
        <v>0</v>
      </c>
      <c r="E1145" s="559" t="s">
        <v>96</v>
      </c>
      <c r="F1145" s="559">
        <v>3252.3330000000001</v>
      </c>
      <c r="G1145" s="174"/>
    </row>
    <row r="1146" spans="1:7" x14ac:dyDescent="0.3">
      <c r="A1146" s="559" t="s">
        <v>474</v>
      </c>
      <c r="B1146" s="559">
        <v>2014</v>
      </c>
      <c r="C1146" s="559" t="s">
        <v>97</v>
      </c>
      <c r="D1146" s="559" t="s">
        <v>37</v>
      </c>
      <c r="E1146" s="559" t="s">
        <v>96</v>
      </c>
      <c r="F1146" s="559">
        <v>1211914.1639999901</v>
      </c>
      <c r="G1146" s="174"/>
    </row>
    <row r="1147" spans="1:7" x14ac:dyDescent="0.3">
      <c r="A1147" s="559" t="s">
        <v>474</v>
      </c>
      <c r="B1147" s="559">
        <v>2014</v>
      </c>
      <c r="C1147" s="559" t="s">
        <v>98</v>
      </c>
      <c r="D1147" s="559" t="s">
        <v>37</v>
      </c>
      <c r="E1147" s="559" t="s">
        <v>96</v>
      </c>
      <c r="F1147" s="559">
        <v>682507.699999996</v>
      </c>
      <c r="G1147" s="174"/>
    </row>
    <row r="1148" spans="1:7" x14ac:dyDescent="0.3">
      <c r="A1148" s="559" t="s">
        <v>474</v>
      </c>
      <c r="B1148" s="559">
        <v>2014</v>
      </c>
      <c r="C1148" s="559" t="s">
        <v>99</v>
      </c>
      <c r="D1148" s="559" t="s">
        <v>25</v>
      </c>
      <c r="E1148" s="559" t="s">
        <v>96</v>
      </c>
      <c r="F1148" s="559">
        <v>963.08500000000504</v>
      </c>
      <c r="G1148" s="174"/>
    </row>
    <row r="1149" spans="1:7" x14ac:dyDescent="0.3">
      <c r="A1149" s="559" t="s">
        <v>474</v>
      </c>
      <c r="B1149" s="559">
        <v>2014</v>
      </c>
      <c r="C1149" s="559" t="s">
        <v>100</v>
      </c>
      <c r="D1149" s="559" t="s">
        <v>17</v>
      </c>
      <c r="E1149" s="559" t="s">
        <v>101</v>
      </c>
      <c r="F1149" s="559">
        <v>413370.886999999</v>
      </c>
      <c r="G1149" s="174"/>
    </row>
    <row r="1150" spans="1:7" x14ac:dyDescent="0.3">
      <c r="A1150" s="559" t="s">
        <v>474</v>
      </c>
      <c r="B1150" s="559">
        <v>2014</v>
      </c>
      <c r="C1150" s="559" t="s">
        <v>102</v>
      </c>
      <c r="D1150" s="559" t="s">
        <v>103</v>
      </c>
      <c r="E1150" s="559" t="s">
        <v>96</v>
      </c>
      <c r="F1150" s="559">
        <v>40.904999999999902</v>
      </c>
      <c r="G1150" s="174"/>
    </row>
    <row r="1151" spans="1:7" x14ac:dyDescent="0.3">
      <c r="A1151" s="559" t="s">
        <v>474</v>
      </c>
      <c r="B1151" s="559">
        <v>2014</v>
      </c>
      <c r="C1151" s="559" t="s">
        <v>104</v>
      </c>
      <c r="D1151" s="559" t="s">
        <v>35</v>
      </c>
      <c r="E1151" s="559" t="s">
        <v>101</v>
      </c>
      <c r="F1151" s="559">
        <v>0</v>
      </c>
      <c r="G1151" s="174"/>
    </row>
    <row r="1152" spans="1:7" x14ac:dyDescent="0.3">
      <c r="A1152" s="559" t="s">
        <v>474</v>
      </c>
      <c r="B1152" s="559">
        <v>2014</v>
      </c>
      <c r="C1152" s="559" t="s">
        <v>105</v>
      </c>
      <c r="D1152" s="559" t="s">
        <v>17</v>
      </c>
      <c r="E1152" s="559" t="s">
        <v>101</v>
      </c>
      <c r="F1152" s="559">
        <v>0</v>
      </c>
      <c r="G1152" s="174"/>
    </row>
    <row r="1153" spans="1:7" x14ac:dyDescent="0.3">
      <c r="A1153" s="559" t="s">
        <v>474</v>
      </c>
      <c r="B1153" s="559">
        <v>2014</v>
      </c>
      <c r="C1153" s="559" t="s">
        <v>106</v>
      </c>
      <c r="D1153" s="559" t="s">
        <v>17</v>
      </c>
      <c r="E1153" s="559" t="s">
        <v>101</v>
      </c>
      <c r="F1153" s="559">
        <v>0</v>
      </c>
      <c r="G1153" s="174"/>
    </row>
    <row r="1154" spans="1:7" x14ac:dyDescent="0.3">
      <c r="A1154" s="559" t="s">
        <v>474</v>
      </c>
      <c r="B1154" s="559">
        <v>2014</v>
      </c>
      <c r="C1154" s="559" t="s">
        <v>545</v>
      </c>
      <c r="D1154" s="559" t="s">
        <v>9</v>
      </c>
      <c r="E1154" s="559" t="s">
        <v>96</v>
      </c>
      <c r="F1154" s="559">
        <v>529491.60100000096</v>
      </c>
      <c r="G1154" s="174"/>
    </row>
    <row r="1155" spans="1:7" x14ac:dyDescent="0.3">
      <c r="A1155" s="559" t="s">
        <v>474</v>
      </c>
      <c r="B1155" s="559">
        <v>2014</v>
      </c>
      <c r="C1155" s="559" t="s">
        <v>109</v>
      </c>
      <c r="D1155" s="559" t="s">
        <v>35</v>
      </c>
      <c r="E1155" s="559" t="s">
        <v>101</v>
      </c>
      <c r="F1155" s="559">
        <v>0</v>
      </c>
      <c r="G1155" s="174"/>
    </row>
    <row r="1156" spans="1:7" x14ac:dyDescent="0.3">
      <c r="A1156" s="559" t="s">
        <v>474</v>
      </c>
      <c r="B1156" s="559">
        <v>2014</v>
      </c>
      <c r="C1156" s="559" t="s">
        <v>111</v>
      </c>
      <c r="D1156" s="559" t="s">
        <v>6</v>
      </c>
      <c r="E1156" s="559" t="s">
        <v>96</v>
      </c>
      <c r="F1156" s="559">
        <v>49597.469000000099</v>
      </c>
      <c r="G1156" s="174"/>
    </row>
    <row r="1157" spans="1:7" x14ac:dyDescent="0.3">
      <c r="A1157" s="559" t="s">
        <v>474</v>
      </c>
      <c r="B1157" s="559">
        <v>2014</v>
      </c>
      <c r="C1157" s="559" t="s">
        <v>112</v>
      </c>
      <c r="D1157" s="559" t="s">
        <v>17</v>
      </c>
      <c r="E1157" s="559" t="s">
        <v>101</v>
      </c>
      <c r="F1157" s="559">
        <v>0</v>
      </c>
      <c r="G1157" s="174"/>
    </row>
    <row r="1158" spans="1:7" x14ac:dyDescent="0.3">
      <c r="A1158" s="559" t="s">
        <v>474</v>
      </c>
      <c r="B1158" s="559">
        <v>2014</v>
      </c>
      <c r="C1158" s="559" t="s">
        <v>113</v>
      </c>
      <c r="D1158" s="559" t="s">
        <v>41</v>
      </c>
      <c r="E1158" s="559" t="s">
        <v>96</v>
      </c>
      <c r="F1158" s="559">
        <v>2792.9940000000001</v>
      </c>
      <c r="G1158" s="174"/>
    </row>
    <row r="1159" spans="1:7" x14ac:dyDescent="0.3">
      <c r="A1159" s="559" t="s">
        <v>474</v>
      </c>
      <c r="B1159" s="559">
        <v>2014</v>
      </c>
      <c r="C1159" s="559" t="s">
        <v>114</v>
      </c>
      <c r="D1159" s="559" t="s">
        <v>14</v>
      </c>
      <c r="E1159" s="559" t="s">
        <v>101</v>
      </c>
      <c r="F1159" s="559">
        <v>0</v>
      </c>
      <c r="G1159" s="174"/>
    </row>
    <row r="1160" spans="1:7" x14ac:dyDescent="0.3">
      <c r="A1160" s="559" t="s">
        <v>474</v>
      </c>
      <c r="B1160" s="559">
        <v>2014</v>
      </c>
      <c r="C1160" s="559" t="s">
        <v>115</v>
      </c>
      <c r="D1160" s="559" t="s">
        <v>71</v>
      </c>
      <c r="E1160" s="559" t="s">
        <v>96</v>
      </c>
      <c r="F1160" s="559">
        <v>108757.497</v>
      </c>
      <c r="G1160" s="174"/>
    </row>
    <row r="1161" spans="1:7" x14ac:dyDescent="0.3">
      <c r="A1161" s="559" t="s">
        <v>474</v>
      </c>
      <c r="B1161" s="559">
        <v>2014</v>
      </c>
      <c r="C1161" s="559" t="s">
        <v>116</v>
      </c>
      <c r="D1161" s="559" t="s">
        <v>51</v>
      </c>
      <c r="E1161" s="559" t="s">
        <v>96</v>
      </c>
      <c r="F1161" s="559">
        <v>345.25144196264898</v>
      </c>
      <c r="G1161" s="174"/>
    </row>
    <row r="1162" spans="1:7" x14ac:dyDescent="0.3">
      <c r="A1162" s="559" t="s">
        <v>474</v>
      </c>
      <c r="B1162" s="559">
        <v>2014</v>
      </c>
      <c r="C1162" s="559" t="s">
        <v>116</v>
      </c>
      <c r="D1162" s="559" t="s">
        <v>30</v>
      </c>
      <c r="E1162" s="559" t="s">
        <v>96</v>
      </c>
      <c r="F1162" s="559">
        <v>38941.485558037202</v>
      </c>
      <c r="G1162" s="174"/>
    </row>
    <row r="1163" spans="1:7" x14ac:dyDescent="0.3">
      <c r="A1163" s="559" t="s">
        <v>474</v>
      </c>
      <c r="B1163" s="559">
        <v>2014</v>
      </c>
      <c r="C1163" s="559" t="s">
        <v>117</v>
      </c>
      <c r="D1163" s="559" t="s">
        <v>14</v>
      </c>
      <c r="E1163" s="559" t="s">
        <v>101</v>
      </c>
      <c r="F1163" s="559">
        <v>0</v>
      </c>
      <c r="G1163" s="174"/>
    </row>
    <row r="1164" spans="1:7" x14ac:dyDescent="0.3">
      <c r="A1164" s="559" t="s">
        <v>474</v>
      </c>
      <c r="B1164" s="559">
        <v>2014</v>
      </c>
      <c r="C1164" s="559" t="s">
        <v>118</v>
      </c>
      <c r="D1164" s="559" t="s">
        <v>13</v>
      </c>
      <c r="E1164" s="559" t="s">
        <v>96</v>
      </c>
      <c r="F1164" s="559">
        <v>359870.54800000001</v>
      </c>
      <c r="G1164" s="174"/>
    </row>
    <row r="1165" spans="1:7" x14ac:dyDescent="0.3">
      <c r="A1165" s="559" t="s">
        <v>474</v>
      </c>
      <c r="B1165" s="559">
        <v>2014</v>
      </c>
      <c r="C1165" s="559" t="s">
        <v>119</v>
      </c>
      <c r="D1165" s="559" t="s">
        <v>5</v>
      </c>
      <c r="E1165" s="559" t="s">
        <v>96</v>
      </c>
      <c r="F1165" s="559">
        <v>186181.940999999</v>
      </c>
      <c r="G1165" s="174"/>
    </row>
    <row r="1166" spans="1:7" x14ac:dyDescent="0.3">
      <c r="A1166" s="559" t="s">
        <v>474</v>
      </c>
      <c r="B1166" s="559">
        <v>2014</v>
      </c>
      <c r="C1166" s="559" t="s">
        <v>120</v>
      </c>
      <c r="D1166" s="559" t="s">
        <v>5</v>
      </c>
      <c r="E1166" s="559" t="s">
        <v>96</v>
      </c>
      <c r="F1166" s="559">
        <v>479913.92299999902</v>
      </c>
      <c r="G1166" s="174"/>
    </row>
    <row r="1167" spans="1:7" x14ac:dyDescent="0.3">
      <c r="A1167" s="559" t="s">
        <v>474</v>
      </c>
      <c r="B1167" s="559">
        <v>2014</v>
      </c>
      <c r="C1167" s="559" t="s">
        <v>121</v>
      </c>
      <c r="D1167" s="559" t="s">
        <v>0</v>
      </c>
      <c r="E1167" s="559" t="s">
        <v>96</v>
      </c>
      <c r="F1167" s="559">
        <v>30988.308999999899</v>
      </c>
      <c r="G1167" s="174"/>
    </row>
    <row r="1168" spans="1:7" x14ac:dyDescent="0.3">
      <c r="A1168" s="559" t="s">
        <v>474</v>
      </c>
      <c r="B1168" s="559">
        <v>2014</v>
      </c>
      <c r="C1168" s="559" t="s">
        <v>122</v>
      </c>
      <c r="D1168" s="559" t="s">
        <v>28</v>
      </c>
      <c r="E1168" s="559" t="s">
        <v>96</v>
      </c>
      <c r="F1168" s="559">
        <v>438678.02299999999</v>
      </c>
      <c r="G1168" s="174"/>
    </row>
    <row r="1169" spans="1:7" x14ac:dyDescent="0.3">
      <c r="A1169" s="559" t="s">
        <v>474</v>
      </c>
      <c r="B1169" s="559">
        <v>2014</v>
      </c>
      <c r="C1169" s="559" t="s">
        <v>123</v>
      </c>
      <c r="D1169" s="559" t="s">
        <v>35</v>
      </c>
      <c r="E1169" s="559" t="s">
        <v>110</v>
      </c>
      <c r="F1169" s="559">
        <v>0</v>
      </c>
      <c r="G1169" s="174"/>
    </row>
    <row r="1170" spans="1:7" x14ac:dyDescent="0.3">
      <c r="A1170" s="559" t="s">
        <v>474</v>
      </c>
      <c r="B1170" s="559">
        <v>2014</v>
      </c>
      <c r="C1170" s="559" t="s">
        <v>124</v>
      </c>
      <c r="D1170" s="559" t="s">
        <v>49</v>
      </c>
      <c r="E1170" s="559" t="s">
        <v>96</v>
      </c>
      <c r="F1170" s="559">
        <v>5324.6689999999599</v>
      </c>
      <c r="G1170" s="174"/>
    </row>
    <row r="1171" spans="1:7" x14ac:dyDescent="0.3">
      <c r="A1171" s="559" t="s">
        <v>474</v>
      </c>
      <c r="B1171" s="559">
        <v>2014</v>
      </c>
      <c r="C1171" s="559" t="s">
        <v>125</v>
      </c>
      <c r="D1171" s="559" t="s">
        <v>20</v>
      </c>
      <c r="E1171" s="559" t="s">
        <v>96</v>
      </c>
      <c r="F1171" s="559">
        <v>30436.817999999901</v>
      </c>
      <c r="G1171" s="174"/>
    </row>
    <row r="1172" spans="1:7" x14ac:dyDescent="0.3">
      <c r="A1172" s="559" t="s">
        <v>474</v>
      </c>
      <c r="B1172" s="559">
        <v>2014</v>
      </c>
      <c r="C1172" s="559" t="s">
        <v>126</v>
      </c>
      <c r="D1172" s="559" t="s">
        <v>23</v>
      </c>
      <c r="E1172" s="559" t="s">
        <v>96</v>
      </c>
      <c r="F1172" s="559">
        <v>92028.403772297999</v>
      </c>
      <c r="G1172" s="174"/>
    </row>
    <row r="1173" spans="1:7" x14ac:dyDescent="0.3">
      <c r="A1173" s="559" t="s">
        <v>474</v>
      </c>
      <c r="B1173" s="559">
        <v>2014</v>
      </c>
      <c r="C1173" s="559" t="s">
        <v>126</v>
      </c>
      <c r="D1173" s="559" t="s">
        <v>556</v>
      </c>
      <c r="E1173" s="559" t="s">
        <v>756</v>
      </c>
      <c r="F1173" s="559">
        <v>448896.58322770102</v>
      </c>
      <c r="G1173" s="174"/>
    </row>
    <row r="1174" spans="1:7" x14ac:dyDescent="0.3">
      <c r="A1174" s="559" t="s">
        <v>474</v>
      </c>
      <c r="B1174" s="559">
        <v>2014</v>
      </c>
      <c r="C1174" s="559" t="s">
        <v>127</v>
      </c>
      <c r="D1174" s="559" t="s">
        <v>28</v>
      </c>
      <c r="E1174" s="559" t="s">
        <v>96</v>
      </c>
      <c r="F1174" s="559">
        <v>114556.32899999899</v>
      </c>
      <c r="G1174" s="174"/>
    </row>
    <row r="1175" spans="1:7" x14ac:dyDescent="0.3">
      <c r="A1175" s="559" t="s">
        <v>474</v>
      </c>
      <c r="B1175" s="559">
        <v>2014</v>
      </c>
      <c r="C1175" s="559" t="s">
        <v>128</v>
      </c>
      <c r="D1175" s="559" t="s">
        <v>25</v>
      </c>
      <c r="E1175" s="559" t="s">
        <v>96</v>
      </c>
      <c r="F1175" s="559">
        <v>423256.989999999</v>
      </c>
      <c r="G1175" s="174"/>
    </row>
    <row r="1176" spans="1:7" x14ac:dyDescent="0.3">
      <c r="A1176" s="559" t="s">
        <v>474</v>
      </c>
      <c r="B1176" s="559">
        <v>2014</v>
      </c>
      <c r="C1176" s="559" t="s">
        <v>129</v>
      </c>
      <c r="D1176" s="559" t="s">
        <v>103</v>
      </c>
      <c r="E1176" s="559" t="s">
        <v>96</v>
      </c>
      <c r="F1176" s="559">
        <v>16.734999999999999</v>
      </c>
      <c r="G1176" s="174"/>
    </row>
    <row r="1177" spans="1:7" x14ac:dyDescent="0.3">
      <c r="A1177" s="559" t="s">
        <v>474</v>
      </c>
      <c r="B1177" s="559">
        <v>2014</v>
      </c>
      <c r="C1177" s="559" t="s">
        <v>130</v>
      </c>
      <c r="D1177" s="559" t="s">
        <v>35</v>
      </c>
      <c r="E1177" s="559" t="s">
        <v>101</v>
      </c>
      <c r="F1177" s="559">
        <v>0</v>
      </c>
      <c r="G1177" s="174"/>
    </row>
    <row r="1178" spans="1:7" x14ac:dyDescent="0.3">
      <c r="A1178" s="559" t="s">
        <v>474</v>
      </c>
      <c r="B1178" s="559">
        <v>2014</v>
      </c>
      <c r="C1178" s="559" t="s">
        <v>131</v>
      </c>
      <c r="D1178" s="559" t="s">
        <v>38</v>
      </c>
      <c r="E1178" s="559" t="s">
        <v>96</v>
      </c>
      <c r="F1178" s="559">
        <v>374202.087</v>
      </c>
      <c r="G1178" s="174"/>
    </row>
    <row r="1179" spans="1:7" x14ac:dyDescent="0.3">
      <c r="A1179" s="559" t="s">
        <v>474</v>
      </c>
      <c r="B1179" s="559">
        <v>2014</v>
      </c>
      <c r="C1179" s="559" t="s">
        <v>132</v>
      </c>
      <c r="D1179" s="559" t="s">
        <v>25</v>
      </c>
      <c r="E1179" s="559" t="s">
        <v>96</v>
      </c>
      <c r="F1179" s="559">
        <v>1525.182</v>
      </c>
      <c r="G1179" s="174"/>
    </row>
    <row r="1180" spans="1:7" x14ac:dyDescent="0.3">
      <c r="A1180" s="559" t="s">
        <v>474</v>
      </c>
      <c r="B1180" s="559">
        <v>2014</v>
      </c>
      <c r="C1180" s="559" t="s">
        <v>133</v>
      </c>
      <c r="D1180" s="559" t="s">
        <v>1</v>
      </c>
      <c r="E1180" s="559" t="s">
        <v>96</v>
      </c>
      <c r="F1180" s="559">
        <v>110161.848</v>
      </c>
      <c r="G1180" s="174"/>
    </row>
    <row r="1181" spans="1:7" x14ac:dyDescent="0.3">
      <c r="A1181" s="559" t="s">
        <v>474</v>
      </c>
      <c r="B1181" s="559">
        <v>2014</v>
      </c>
      <c r="C1181" s="559" t="s">
        <v>134</v>
      </c>
      <c r="D1181" s="559" t="s">
        <v>25</v>
      </c>
      <c r="E1181" s="559" t="s">
        <v>96</v>
      </c>
      <c r="F1181" s="559">
        <v>1011.298</v>
      </c>
      <c r="G1181" s="174"/>
    </row>
    <row r="1182" spans="1:7" x14ac:dyDescent="0.3">
      <c r="A1182" s="559" t="s">
        <v>474</v>
      </c>
      <c r="B1182" s="559">
        <v>2014</v>
      </c>
      <c r="C1182" s="559" t="s">
        <v>135</v>
      </c>
      <c r="D1182" s="559" t="s">
        <v>103</v>
      </c>
      <c r="E1182" s="559" t="s">
        <v>96</v>
      </c>
      <c r="F1182" s="559">
        <v>7.5239999999999796</v>
      </c>
      <c r="G1182" s="174"/>
    </row>
    <row r="1183" spans="1:7" x14ac:dyDescent="0.3">
      <c r="A1183" s="559" t="s">
        <v>474</v>
      </c>
      <c r="B1183" s="559">
        <v>2014</v>
      </c>
      <c r="C1183" s="559" t="s">
        <v>136</v>
      </c>
      <c r="D1183" s="559" t="s">
        <v>35</v>
      </c>
      <c r="E1183" s="559" t="s">
        <v>101</v>
      </c>
      <c r="F1183" s="559">
        <v>0</v>
      </c>
      <c r="G1183" s="174"/>
    </row>
    <row r="1184" spans="1:7" x14ac:dyDescent="0.3">
      <c r="A1184" s="559" t="s">
        <v>474</v>
      </c>
      <c r="B1184" s="559">
        <v>2014</v>
      </c>
      <c r="C1184" s="559" t="s">
        <v>137</v>
      </c>
      <c r="D1184" s="559" t="s">
        <v>40</v>
      </c>
      <c r="E1184" s="559" t="s">
        <v>96</v>
      </c>
      <c r="F1184" s="559">
        <v>78893.7409999995</v>
      </c>
      <c r="G1184" s="174"/>
    </row>
    <row r="1185" spans="1:7" x14ac:dyDescent="0.3">
      <c r="A1185" s="559" t="s">
        <v>474</v>
      </c>
      <c r="B1185" s="559">
        <v>2014</v>
      </c>
      <c r="C1185" s="559" t="s">
        <v>138</v>
      </c>
      <c r="D1185" s="559" t="s">
        <v>40</v>
      </c>
      <c r="E1185" s="559" t="s">
        <v>96</v>
      </c>
      <c r="F1185" s="559">
        <v>668344.23699999601</v>
      </c>
      <c r="G1185" s="174"/>
    </row>
    <row r="1186" spans="1:7" x14ac:dyDescent="0.3">
      <c r="A1186" s="559" t="s">
        <v>474</v>
      </c>
      <c r="B1186" s="559">
        <v>2014</v>
      </c>
      <c r="C1186" s="559" t="s">
        <v>139</v>
      </c>
      <c r="D1186" s="559" t="s">
        <v>28</v>
      </c>
      <c r="E1186" s="559" t="s">
        <v>96</v>
      </c>
      <c r="F1186" s="559">
        <v>300795.30200000003</v>
      </c>
      <c r="G1186" s="174"/>
    </row>
    <row r="1187" spans="1:7" x14ac:dyDescent="0.3">
      <c r="A1187" s="559" t="s">
        <v>474</v>
      </c>
      <c r="B1187" s="559">
        <v>2014</v>
      </c>
      <c r="C1187" s="559" t="s">
        <v>140</v>
      </c>
      <c r="D1187" s="559" t="s">
        <v>12</v>
      </c>
      <c r="E1187" s="559" t="s">
        <v>96</v>
      </c>
      <c r="F1187" s="559">
        <v>59179.771000000001</v>
      </c>
      <c r="G1187" s="174"/>
    </row>
    <row r="1188" spans="1:7" x14ac:dyDescent="0.3">
      <c r="A1188" s="559" t="s">
        <v>474</v>
      </c>
      <c r="B1188" s="559">
        <v>2014</v>
      </c>
      <c r="C1188" s="559" t="s">
        <v>141</v>
      </c>
      <c r="D1188" s="559" t="s">
        <v>12</v>
      </c>
      <c r="E1188" s="559" t="s">
        <v>96</v>
      </c>
      <c r="F1188" s="559">
        <v>31967.648999999899</v>
      </c>
      <c r="G1188" s="174"/>
    </row>
    <row r="1189" spans="1:7" x14ac:dyDescent="0.3">
      <c r="A1189" s="559" t="s">
        <v>474</v>
      </c>
      <c r="B1189" s="559">
        <v>2014</v>
      </c>
      <c r="C1189" s="559" t="s">
        <v>142</v>
      </c>
      <c r="D1189" s="559" t="s">
        <v>1</v>
      </c>
      <c r="E1189" s="559" t="s">
        <v>96</v>
      </c>
      <c r="F1189" s="559">
        <v>478.731330472102</v>
      </c>
      <c r="G1189" s="174"/>
    </row>
    <row r="1190" spans="1:7" x14ac:dyDescent="0.3">
      <c r="A1190" s="559" t="s">
        <v>474</v>
      </c>
      <c r="B1190" s="559">
        <v>2014</v>
      </c>
      <c r="C1190" s="559" t="s">
        <v>142</v>
      </c>
      <c r="D1190" s="559" t="s">
        <v>4</v>
      </c>
      <c r="E1190" s="559" t="s">
        <v>96</v>
      </c>
      <c r="F1190" s="559">
        <v>6.06866952789699</v>
      </c>
      <c r="G1190" s="174"/>
    </row>
    <row r="1191" spans="1:7" x14ac:dyDescent="0.3">
      <c r="A1191" s="559" t="s">
        <v>474</v>
      </c>
      <c r="B1191" s="559">
        <v>2014</v>
      </c>
      <c r="C1191" s="559" t="s">
        <v>142</v>
      </c>
      <c r="D1191" s="559" t="s">
        <v>27</v>
      </c>
      <c r="E1191" s="559" t="s">
        <v>110</v>
      </c>
      <c r="F1191" s="559">
        <v>0</v>
      </c>
      <c r="G1191" s="174"/>
    </row>
    <row r="1192" spans="1:7" x14ac:dyDescent="0.3">
      <c r="A1192" s="559" t="s">
        <v>474</v>
      </c>
      <c r="B1192" s="559">
        <v>2014</v>
      </c>
      <c r="C1192" s="559" t="s">
        <v>143</v>
      </c>
      <c r="D1192" s="559" t="s">
        <v>4</v>
      </c>
      <c r="E1192" s="559" t="s">
        <v>96</v>
      </c>
      <c r="F1192" s="559">
        <v>61.567999999999998</v>
      </c>
      <c r="G1192" s="174"/>
    </row>
    <row r="1193" spans="1:7" x14ac:dyDescent="0.3">
      <c r="A1193" s="559" t="s">
        <v>474</v>
      </c>
      <c r="B1193" s="559">
        <v>2014</v>
      </c>
      <c r="C1193" s="559" t="s">
        <v>144</v>
      </c>
      <c r="D1193" s="559" t="s">
        <v>4</v>
      </c>
      <c r="E1193" s="559" t="s">
        <v>101</v>
      </c>
      <c r="F1193" s="559">
        <v>0</v>
      </c>
      <c r="G1193" s="174"/>
    </row>
    <row r="1194" spans="1:7" x14ac:dyDescent="0.3">
      <c r="A1194" s="559" t="s">
        <v>474</v>
      </c>
      <c r="B1194" s="559">
        <v>2014</v>
      </c>
      <c r="C1194" s="559" t="s">
        <v>145</v>
      </c>
      <c r="D1194" s="559" t="s">
        <v>41</v>
      </c>
      <c r="E1194" s="559" t="s">
        <v>96</v>
      </c>
      <c r="F1194" s="559">
        <v>27118.2049999999</v>
      </c>
      <c r="G1194" s="174"/>
    </row>
    <row r="1195" spans="1:7" x14ac:dyDescent="0.3">
      <c r="A1195" s="559" t="s">
        <v>474</v>
      </c>
      <c r="B1195" s="559">
        <v>2014</v>
      </c>
      <c r="C1195" s="559" t="s">
        <v>146</v>
      </c>
      <c r="D1195" s="559" t="s">
        <v>31</v>
      </c>
      <c r="E1195" s="559" t="s">
        <v>96</v>
      </c>
      <c r="F1195" s="559">
        <v>71084.147999999797</v>
      </c>
      <c r="G1195" s="174"/>
    </row>
    <row r="1196" spans="1:7" x14ac:dyDescent="0.3">
      <c r="A1196" s="559" t="s">
        <v>474</v>
      </c>
      <c r="B1196" s="559">
        <v>2014</v>
      </c>
      <c r="C1196" s="559" t="s">
        <v>147</v>
      </c>
      <c r="D1196" s="559" t="s">
        <v>11</v>
      </c>
      <c r="E1196" s="559" t="s">
        <v>96</v>
      </c>
      <c r="F1196" s="559">
        <v>291151.81699999998</v>
      </c>
      <c r="G1196" s="174"/>
    </row>
    <row r="1197" spans="1:7" x14ac:dyDescent="0.3">
      <c r="A1197" s="559" t="s">
        <v>474</v>
      </c>
      <c r="B1197" s="559">
        <v>2014</v>
      </c>
      <c r="C1197" s="559" t="s">
        <v>148</v>
      </c>
      <c r="D1197" s="559" t="s">
        <v>73</v>
      </c>
      <c r="E1197" s="559" t="s">
        <v>96</v>
      </c>
      <c r="F1197" s="559">
        <v>116130.06299999901</v>
      </c>
      <c r="G1197" s="174"/>
    </row>
    <row r="1198" spans="1:7" x14ac:dyDescent="0.3">
      <c r="A1198" s="559" t="s">
        <v>474</v>
      </c>
      <c r="B1198" s="559">
        <v>2014</v>
      </c>
      <c r="C1198" s="559" t="s">
        <v>149</v>
      </c>
      <c r="D1198" s="559" t="s">
        <v>36</v>
      </c>
      <c r="E1198" s="559" t="s">
        <v>96</v>
      </c>
      <c r="F1198" s="559">
        <v>0</v>
      </c>
      <c r="G1198" s="174"/>
    </row>
    <row r="1199" spans="1:7" x14ac:dyDescent="0.3">
      <c r="A1199" s="559" t="s">
        <v>474</v>
      </c>
      <c r="B1199" s="559">
        <v>2014</v>
      </c>
      <c r="C1199" s="559" t="s">
        <v>150</v>
      </c>
      <c r="D1199" s="559" t="s">
        <v>1</v>
      </c>
      <c r="E1199" s="559" t="s">
        <v>96</v>
      </c>
      <c r="F1199" s="559">
        <v>167073.21626548201</v>
      </c>
      <c r="G1199" s="174"/>
    </row>
    <row r="1200" spans="1:7" x14ac:dyDescent="0.3">
      <c r="A1200" s="559" t="s">
        <v>474</v>
      </c>
      <c r="B1200" s="559">
        <v>2014</v>
      </c>
      <c r="C1200" s="559" t="s">
        <v>150</v>
      </c>
      <c r="D1200" s="559" t="s">
        <v>70</v>
      </c>
      <c r="E1200" s="559" t="s">
        <v>96</v>
      </c>
      <c r="F1200" s="559">
        <v>7954.1057345169702</v>
      </c>
      <c r="G1200" s="174"/>
    </row>
    <row r="1201" spans="1:7" x14ac:dyDescent="0.3">
      <c r="A1201" s="559" t="s">
        <v>474</v>
      </c>
      <c r="B1201" s="559">
        <v>2014</v>
      </c>
      <c r="C1201" s="559" t="s">
        <v>151</v>
      </c>
      <c r="D1201" s="559" t="s">
        <v>40</v>
      </c>
      <c r="E1201" s="559" t="s">
        <v>96</v>
      </c>
      <c r="F1201" s="559">
        <v>255844.72999999899</v>
      </c>
      <c r="G1201" s="174"/>
    </row>
    <row r="1202" spans="1:7" x14ac:dyDescent="0.3">
      <c r="A1202" s="559" t="s">
        <v>474</v>
      </c>
      <c r="B1202" s="559">
        <v>2014</v>
      </c>
      <c r="C1202" s="559" t="s">
        <v>152</v>
      </c>
      <c r="D1202" s="559" t="s">
        <v>5</v>
      </c>
      <c r="E1202" s="559" t="s">
        <v>96</v>
      </c>
      <c r="F1202" s="559">
        <v>118800.831623862</v>
      </c>
      <c r="G1202" s="174"/>
    </row>
    <row r="1203" spans="1:7" x14ac:dyDescent="0.3">
      <c r="A1203" s="559" t="s">
        <v>474</v>
      </c>
      <c r="B1203" s="559">
        <v>2014</v>
      </c>
      <c r="C1203" s="559" t="s">
        <v>152</v>
      </c>
      <c r="D1203" s="559" t="s">
        <v>24</v>
      </c>
      <c r="E1203" s="559" t="s">
        <v>756</v>
      </c>
      <c r="F1203" s="559">
        <v>856563.627376138</v>
      </c>
      <c r="G1203" s="174"/>
    </row>
    <row r="1204" spans="1:7" x14ac:dyDescent="0.3">
      <c r="A1204" s="559" t="s">
        <v>474</v>
      </c>
      <c r="B1204" s="559">
        <v>2014</v>
      </c>
      <c r="C1204" s="559" t="s">
        <v>153</v>
      </c>
      <c r="D1204" s="559" t="s">
        <v>73</v>
      </c>
      <c r="E1204" s="559" t="s">
        <v>96</v>
      </c>
      <c r="F1204" s="559">
        <v>126664.65799999901</v>
      </c>
      <c r="G1204" s="174"/>
    </row>
    <row r="1205" spans="1:7" x14ac:dyDescent="0.3">
      <c r="A1205" s="559" t="s">
        <v>474</v>
      </c>
      <c r="B1205" s="559">
        <v>2014</v>
      </c>
      <c r="C1205" s="559" t="s">
        <v>154</v>
      </c>
      <c r="D1205" s="559" t="s">
        <v>41</v>
      </c>
      <c r="E1205" s="559" t="s">
        <v>96</v>
      </c>
      <c r="F1205" s="559">
        <v>53295.260999999999</v>
      </c>
      <c r="G1205" s="174"/>
    </row>
    <row r="1206" spans="1:7" x14ac:dyDescent="0.3">
      <c r="A1206" s="559" t="s">
        <v>474</v>
      </c>
      <c r="B1206" s="559">
        <v>2014</v>
      </c>
      <c r="C1206" s="559" t="s">
        <v>155</v>
      </c>
      <c r="D1206" s="559" t="s">
        <v>28</v>
      </c>
      <c r="E1206" s="559" t="s">
        <v>96</v>
      </c>
      <c r="F1206" s="559">
        <v>52015.307999999801</v>
      </c>
      <c r="G1206" s="174"/>
    </row>
    <row r="1207" spans="1:7" x14ac:dyDescent="0.3">
      <c r="A1207" s="559" t="s">
        <v>474</v>
      </c>
      <c r="B1207" s="559">
        <v>2014</v>
      </c>
      <c r="C1207" s="559" t="s">
        <v>156</v>
      </c>
      <c r="D1207" s="559" t="s">
        <v>39</v>
      </c>
      <c r="E1207" s="559" t="s">
        <v>96</v>
      </c>
      <c r="F1207" s="559">
        <v>241121.79699999999</v>
      </c>
      <c r="G1207" s="174"/>
    </row>
    <row r="1208" spans="1:7" x14ac:dyDescent="0.3">
      <c r="A1208" s="559" t="s">
        <v>474</v>
      </c>
      <c r="B1208" s="559">
        <v>2014</v>
      </c>
      <c r="C1208" s="559" t="s">
        <v>157</v>
      </c>
      <c r="D1208" s="559" t="s">
        <v>39</v>
      </c>
      <c r="E1208" s="559" t="s">
        <v>96</v>
      </c>
      <c r="F1208" s="559">
        <v>1069653.6680000001</v>
      </c>
      <c r="G1208" s="174"/>
    </row>
    <row r="1209" spans="1:7" x14ac:dyDescent="0.3">
      <c r="A1209" s="559" t="s">
        <v>474</v>
      </c>
      <c r="B1209" s="559">
        <v>2014</v>
      </c>
      <c r="C1209" s="559" t="s">
        <v>158</v>
      </c>
      <c r="D1209" s="559" t="s">
        <v>49</v>
      </c>
      <c r="E1209" s="559" t="s">
        <v>96</v>
      </c>
      <c r="F1209" s="559">
        <v>13471.949000000101</v>
      </c>
      <c r="G1209" s="174"/>
    </row>
    <row r="1210" spans="1:7" x14ac:dyDescent="0.3">
      <c r="A1210" s="559" t="s">
        <v>474</v>
      </c>
      <c r="B1210" s="559">
        <v>2014</v>
      </c>
      <c r="C1210" s="559" t="s">
        <v>159</v>
      </c>
      <c r="D1210" s="559" t="s">
        <v>40</v>
      </c>
      <c r="E1210" s="559" t="s">
        <v>96</v>
      </c>
      <c r="F1210" s="559">
        <v>60508.531000000097</v>
      </c>
      <c r="G1210" s="174"/>
    </row>
    <row r="1211" spans="1:7" x14ac:dyDescent="0.3">
      <c r="A1211" s="559" t="s">
        <v>474</v>
      </c>
      <c r="B1211" s="559">
        <v>2014</v>
      </c>
      <c r="C1211" s="559" t="s">
        <v>160</v>
      </c>
      <c r="D1211" s="559" t="s">
        <v>40</v>
      </c>
      <c r="E1211" s="559" t="s">
        <v>96</v>
      </c>
      <c r="F1211" s="559">
        <v>56455.2749999999</v>
      </c>
      <c r="G1211" s="174"/>
    </row>
    <row r="1212" spans="1:7" x14ac:dyDescent="0.3">
      <c r="A1212" s="559" t="s">
        <v>474</v>
      </c>
      <c r="B1212" s="559">
        <v>2014</v>
      </c>
      <c r="C1212" s="559" t="s">
        <v>161</v>
      </c>
      <c r="D1212" s="559" t="s">
        <v>37</v>
      </c>
      <c r="E1212" s="559" t="s">
        <v>96</v>
      </c>
      <c r="F1212" s="559">
        <v>869065.977999995</v>
      </c>
      <c r="G1212" s="174"/>
    </row>
    <row r="1213" spans="1:7" x14ac:dyDescent="0.3">
      <c r="A1213" s="559" t="s">
        <v>474</v>
      </c>
      <c r="B1213" s="559">
        <v>2014</v>
      </c>
      <c r="C1213" s="559" t="s">
        <v>162</v>
      </c>
      <c r="D1213" s="559" t="s">
        <v>37</v>
      </c>
      <c r="E1213" s="559" t="s">
        <v>96</v>
      </c>
      <c r="F1213" s="559">
        <v>1188176.64499999</v>
      </c>
      <c r="G1213" s="174"/>
    </row>
    <row r="1214" spans="1:7" x14ac:dyDescent="0.3">
      <c r="A1214" s="559" t="s">
        <v>474</v>
      </c>
      <c r="B1214" s="559">
        <v>2014</v>
      </c>
      <c r="C1214" s="559" t="s">
        <v>163</v>
      </c>
      <c r="D1214" s="559" t="s">
        <v>28</v>
      </c>
      <c r="E1214" s="559" t="s">
        <v>96</v>
      </c>
      <c r="F1214" s="559">
        <v>429468.93099999899</v>
      </c>
      <c r="G1214" s="174"/>
    </row>
    <row r="1215" spans="1:7" x14ac:dyDescent="0.3">
      <c r="A1215" s="559" t="s">
        <v>474</v>
      </c>
      <c r="B1215" s="559">
        <v>2014</v>
      </c>
      <c r="C1215" s="559" t="s">
        <v>164</v>
      </c>
      <c r="D1215" s="559" t="s">
        <v>41</v>
      </c>
      <c r="E1215" s="559" t="s">
        <v>96</v>
      </c>
      <c r="F1215" s="559">
        <v>32205.797999999999</v>
      </c>
      <c r="G1215" s="174"/>
    </row>
    <row r="1216" spans="1:7" x14ac:dyDescent="0.3">
      <c r="A1216" s="559" t="s">
        <v>474</v>
      </c>
      <c r="B1216" s="559">
        <v>2014</v>
      </c>
      <c r="C1216" s="559" t="s">
        <v>165</v>
      </c>
      <c r="D1216" s="559" t="s">
        <v>39</v>
      </c>
      <c r="E1216" s="559" t="s">
        <v>96</v>
      </c>
      <c r="F1216" s="559">
        <v>223758.91299999901</v>
      </c>
      <c r="G1216" s="174"/>
    </row>
    <row r="1217" spans="1:7" x14ac:dyDescent="0.3">
      <c r="A1217" s="559" t="s">
        <v>474</v>
      </c>
      <c r="B1217" s="559">
        <v>2014</v>
      </c>
      <c r="C1217" s="559" t="s">
        <v>166</v>
      </c>
      <c r="D1217" s="559" t="s">
        <v>10</v>
      </c>
      <c r="E1217" s="559" t="s">
        <v>101</v>
      </c>
      <c r="F1217" s="559">
        <v>0</v>
      </c>
      <c r="G1217" s="174"/>
    </row>
    <row r="1218" spans="1:7" x14ac:dyDescent="0.3">
      <c r="A1218" s="559" t="s">
        <v>474</v>
      </c>
      <c r="B1218" s="559">
        <v>2014</v>
      </c>
      <c r="C1218" s="559" t="s">
        <v>167</v>
      </c>
      <c r="D1218" s="559" t="s">
        <v>10</v>
      </c>
      <c r="E1218" s="559" t="s">
        <v>101</v>
      </c>
      <c r="F1218" s="559">
        <v>0</v>
      </c>
      <c r="G1218" s="174"/>
    </row>
    <row r="1219" spans="1:7" x14ac:dyDescent="0.3">
      <c r="A1219" s="559" t="s">
        <v>474</v>
      </c>
      <c r="B1219" s="559">
        <v>2014</v>
      </c>
      <c r="C1219" s="559" t="s">
        <v>168</v>
      </c>
      <c r="D1219" s="559" t="s">
        <v>10</v>
      </c>
      <c r="E1219" s="559" t="s">
        <v>101</v>
      </c>
      <c r="F1219" s="559">
        <v>0</v>
      </c>
      <c r="G1219" s="174"/>
    </row>
    <row r="1220" spans="1:7" x14ac:dyDescent="0.3">
      <c r="A1220" s="559" t="s">
        <v>474</v>
      </c>
      <c r="B1220" s="559">
        <v>2014</v>
      </c>
      <c r="C1220" s="559" t="s">
        <v>169</v>
      </c>
      <c r="D1220" s="559" t="s">
        <v>10</v>
      </c>
      <c r="E1220" s="559" t="s">
        <v>101</v>
      </c>
      <c r="F1220" s="559">
        <v>0</v>
      </c>
      <c r="G1220" s="174"/>
    </row>
    <row r="1221" spans="1:7" x14ac:dyDescent="0.3">
      <c r="A1221" s="559" t="s">
        <v>474</v>
      </c>
      <c r="B1221" s="559">
        <v>2014</v>
      </c>
      <c r="C1221" s="559" t="s">
        <v>170</v>
      </c>
      <c r="D1221" s="559" t="s">
        <v>37</v>
      </c>
      <c r="E1221" s="559" t="s">
        <v>96</v>
      </c>
      <c r="F1221" s="559">
        <v>272559.13999999798</v>
      </c>
      <c r="G1221" s="174"/>
    </row>
    <row r="1222" spans="1:7" x14ac:dyDescent="0.3">
      <c r="A1222" s="559" t="s">
        <v>474</v>
      </c>
      <c r="B1222" s="559">
        <v>2014</v>
      </c>
      <c r="C1222" s="559" t="s">
        <v>171</v>
      </c>
      <c r="D1222" s="559" t="s">
        <v>25</v>
      </c>
      <c r="E1222" s="559" t="s">
        <v>96</v>
      </c>
      <c r="F1222" s="559">
        <v>93669.7239999999</v>
      </c>
      <c r="G1222" s="174"/>
    </row>
    <row r="1223" spans="1:7" x14ac:dyDescent="0.3">
      <c r="A1223" s="559" t="s">
        <v>474</v>
      </c>
      <c r="B1223" s="559">
        <v>2014</v>
      </c>
      <c r="C1223" s="559" t="s">
        <v>172</v>
      </c>
      <c r="D1223" s="559" t="s">
        <v>25</v>
      </c>
      <c r="E1223" s="559" t="s">
        <v>96</v>
      </c>
      <c r="F1223" s="559">
        <v>102494.978</v>
      </c>
      <c r="G1223" s="174"/>
    </row>
    <row r="1224" spans="1:7" x14ac:dyDescent="0.3">
      <c r="A1224" s="559" t="s">
        <v>474</v>
      </c>
      <c r="B1224" s="559">
        <v>2014</v>
      </c>
      <c r="C1224" s="559" t="s">
        <v>173</v>
      </c>
      <c r="D1224" s="559" t="s">
        <v>32</v>
      </c>
      <c r="E1224" s="559" t="s">
        <v>96</v>
      </c>
      <c r="F1224" s="559">
        <v>193263.55400000099</v>
      </c>
      <c r="G1224" s="174"/>
    </row>
    <row r="1225" spans="1:7" x14ac:dyDescent="0.3">
      <c r="A1225" s="559" t="s">
        <v>474</v>
      </c>
      <c r="B1225" s="559">
        <v>2014</v>
      </c>
      <c r="C1225" s="559" t="s">
        <v>174</v>
      </c>
      <c r="D1225" s="559" t="s">
        <v>28</v>
      </c>
      <c r="E1225" s="559" t="s">
        <v>96</v>
      </c>
      <c r="F1225" s="559">
        <v>114337.86699999899</v>
      </c>
      <c r="G1225" s="174"/>
    </row>
    <row r="1226" spans="1:7" x14ac:dyDescent="0.3">
      <c r="A1226" s="559" t="s">
        <v>474</v>
      </c>
      <c r="B1226" s="559">
        <v>2014</v>
      </c>
      <c r="C1226" s="559" t="s">
        <v>175</v>
      </c>
      <c r="D1226" s="559" t="s">
        <v>28</v>
      </c>
      <c r="E1226" s="559" t="s">
        <v>96</v>
      </c>
      <c r="F1226" s="559">
        <v>167918.81199999899</v>
      </c>
      <c r="G1226" s="174"/>
    </row>
    <row r="1227" spans="1:7" x14ac:dyDescent="0.3">
      <c r="A1227" s="559" t="s">
        <v>474</v>
      </c>
      <c r="B1227" s="559">
        <v>2014</v>
      </c>
      <c r="C1227" s="559" t="s">
        <v>176</v>
      </c>
      <c r="D1227" s="559" t="s">
        <v>51</v>
      </c>
      <c r="E1227" s="559" t="s">
        <v>96</v>
      </c>
      <c r="F1227" s="559">
        <v>48015.864999999998</v>
      </c>
      <c r="G1227" s="174"/>
    </row>
    <row r="1228" spans="1:7" x14ac:dyDescent="0.3">
      <c r="A1228" s="559" t="s">
        <v>474</v>
      </c>
      <c r="B1228" s="559">
        <v>2014</v>
      </c>
      <c r="C1228" s="559" t="s">
        <v>177</v>
      </c>
      <c r="D1228" s="559" t="s">
        <v>103</v>
      </c>
      <c r="E1228" s="559" t="s">
        <v>96</v>
      </c>
      <c r="F1228" s="559">
        <v>29.152999999999999</v>
      </c>
      <c r="G1228" s="174"/>
    </row>
    <row r="1229" spans="1:7" x14ac:dyDescent="0.3">
      <c r="A1229" s="559" t="s">
        <v>474</v>
      </c>
      <c r="B1229" s="559">
        <v>2014</v>
      </c>
      <c r="C1229" s="559" t="s">
        <v>178</v>
      </c>
      <c r="D1229" s="559" t="s">
        <v>35</v>
      </c>
      <c r="E1229" s="559" t="s">
        <v>101</v>
      </c>
      <c r="F1229" s="559">
        <v>0</v>
      </c>
      <c r="G1229" s="174"/>
    </row>
    <row r="1230" spans="1:7" x14ac:dyDescent="0.3">
      <c r="A1230" s="559" t="s">
        <v>474</v>
      </c>
      <c r="B1230" s="559">
        <v>2014</v>
      </c>
      <c r="C1230" s="559" t="s">
        <v>179</v>
      </c>
      <c r="D1230" s="559" t="s">
        <v>35</v>
      </c>
      <c r="E1230" s="559" t="s">
        <v>101</v>
      </c>
      <c r="F1230" s="559">
        <v>0</v>
      </c>
      <c r="G1230" s="174"/>
    </row>
    <row r="1231" spans="1:7" x14ac:dyDescent="0.3">
      <c r="A1231" s="559" t="s">
        <v>474</v>
      </c>
      <c r="B1231" s="559">
        <v>2014</v>
      </c>
      <c r="C1231" s="559" t="s">
        <v>180</v>
      </c>
      <c r="D1231" s="559" t="s">
        <v>35</v>
      </c>
      <c r="E1231" s="559" t="s">
        <v>101</v>
      </c>
      <c r="F1231" s="559">
        <v>0</v>
      </c>
      <c r="G1231" s="174"/>
    </row>
    <row r="1232" spans="1:7" x14ac:dyDescent="0.3">
      <c r="A1232" s="559" t="s">
        <v>474</v>
      </c>
      <c r="B1232" s="559">
        <v>2014</v>
      </c>
      <c r="C1232" s="559" t="s">
        <v>181</v>
      </c>
      <c r="D1232" s="559" t="s">
        <v>14</v>
      </c>
      <c r="E1232" s="559" t="s">
        <v>96</v>
      </c>
      <c r="F1232" s="559">
        <v>129.885999999999</v>
      </c>
      <c r="G1232" s="174"/>
    </row>
    <row r="1233" spans="1:7" x14ac:dyDescent="0.3">
      <c r="A1233" s="559" t="s">
        <v>474</v>
      </c>
      <c r="B1233" s="559">
        <v>2014</v>
      </c>
      <c r="C1233" s="559" t="s">
        <v>182</v>
      </c>
      <c r="D1233" s="559" t="s">
        <v>47</v>
      </c>
      <c r="E1233" s="559" t="s">
        <v>101</v>
      </c>
      <c r="F1233" s="559">
        <v>0</v>
      </c>
      <c r="G1233" s="174"/>
    </row>
    <row r="1234" spans="1:7" x14ac:dyDescent="0.3">
      <c r="A1234" s="559" t="s">
        <v>474</v>
      </c>
      <c r="B1234" s="559">
        <v>2014</v>
      </c>
      <c r="C1234" s="559" t="s">
        <v>183</v>
      </c>
      <c r="D1234" s="559" t="s">
        <v>47</v>
      </c>
      <c r="E1234" s="559" t="s">
        <v>101</v>
      </c>
      <c r="F1234" s="559">
        <v>0</v>
      </c>
      <c r="G1234" s="174"/>
    </row>
    <row r="1235" spans="1:7" x14ac:dyDescent="0.3">
      <c r="A1235" s="559" t="s">
        <v>474</v>
      </c>
      <c r="B1235" s="559">
        <v>2014</v>
      </c>
      <c r="C1235" s="559" t="s">
        <v>184</v>
      </c>
      <c r="D1235" s="559" t="s">
        <v>1</v>
      </c>
      <c r="E1235" s="559" t="s">
        <v>96</v>
      </c>
      <c r="F1235" s="559">
        <v>226704.553582155</v>
      </c>
      <c r="G1235" s="174"/>
    </row>
    <row r="1236" spans="1:7" x14ac:dyDescent="0.3">
      <c r="A1236" s="559" t="s">
        <v>474</v>
      </c>
      <c r="B1236" s="559">
        <v>2014</v>
      </c>
      <c r="C1236" s="559" t="s">
        <v>184</v>
      </c>
      <c r="D1236" s="559" t="s">
        <v>71</v>
      </c>
      <c r="E1236" s="559" t="s">
        <v>96</v>
      </c>
      <c r="F1236" s="559">
        <v>4251.9024002368596</v>
      </c>
      <c r="G1236" s="174"/>
    </row>
    <row r="1237" spans="1:7" x14ac:dyDescent="0.3">
      <c r="A1237" s="559" t="s">
        <v>474</v>
      </c>
      <c r="B1237" s="559">
        <v>2014</v>
      </c>
      <c r="C1237" s="559" t="s">
        <v>184</v>
      </c>
      <c r="D1237" s="559" t="s">
        <v>35</v>
      </c>
      <c r="E1237" s="559" t="s">
        <v>110</v>
      </c>
      <c r="F1237" s="559">
        <v>0</v>
      </c>
      <c r="G1237" s="174"/>
    </row>
    <row r="1238" spans="1:7" x14ac:dyDescent="0.3">
      <c r="A1238" s="559" t="s">
        <v>474</v>
      </c>
      <c r="B1238" s="559">
        <v>2014</v>
      </c>
      <c r="C1238" s="559" t="s">
        <v>185</v>
      </c>
      <c r="D1238" s="559" t="s">
        <v>35</v>
      </c>
      <c r="E1238" s="559" t="s">
        <v>101</v>
      </c>
      <c r="F1238" s="559">
        <v>0</v>
      </c>
      <c r="G1238" s="174"/>
    </row>
    <row r="1239" spans="1:7" x14ac:dyDescent="0.3">
      <c r="A1239" s="559" t="s">
        <v>474</v>
      </c>
      <c r="B1239" s="559">
        <v>2014</v>
      </c>
      <c r="C1239" s="559" t="s">
        <v>186</v>
      </c>
      <c r="D1239" s="559" t="s">
        <v>1</v>
      </c>
      <c r="E1239" s="559" t="s">
        <v>96</v>
      </c>
      <c r="F1239" s="559">
        <v>177096.19</v>
      </c>
      <c r="G1239" s="174"/>
    </row>
    <row r="1240" spans="1:7" x14ac:dyDescent="0.3">
      <c r="A1240" s="559" t="s">
        <v>474</v>
      </c>
      <c r="B1240" s="559">
        <v>2014</v>
      </c>
      <c r="C1240" s="559" t="s">
        <v>187</v>
      </c>
      <c r="D1240" s="559" t="s">
        <v>71</v>
      </c>
      <c r="E1240" s="559" t="s">
        <v>96</v>
      </c>
      <c r="F1240" s="559">
        <v>21191.093000000001</v>
      </c>
      <c r="G1240" s="174"/>
    </row>
    <row r="1241" spans="1:7" x14ac:dyDescent="0.3">
      <c r="A1241" s="559" t="s">
        <v>474</v>
      </c>
      <c r="B1241" s="559">
        <v>2014</v>
      </c>
      <c r="C1241" s="559" t="s">
        <v>188</v>
      </c>
      <c r="D1241" s="559" t="s">
        <v>69</v>
      </c>
      <c r="E1241" s="559" t="s">
        <v>96</v>
      </c>
      <c r="F1241" s="559">
        <v>198488.014366224</v>
      </c>
      <c r="G1241" s="174"/>
    </row>
    <row r="1242" spans="1:7" x14ac:dyDescent="0.3">
      <c r="A1242" s="559" t="s">
        <v>474</v>
      </c>
      <c r="B1242" s="559">
        <v>2014</v>
      </c>
      <c r="C1242" s="559" t="s">
        <v>188</v>
      </c>
      <c r="D1242" s="559" t="s">
        <v>73</v>
      </c>
      <c r="E1242" s="559" t="s">
        <v>96</v>
      </c>
      <c r="F1242" s="559">
        <v>170914.01863377501</v>
      </c>
      <c r="G1242" s="174"/>
    </row>
    <row r="1243" spans="1:7" x14ac:dyDescent="0.3">
      <c r="A1243" s="559" t="s">
        <v>474</v>
      </c>
      <c r="B1243" s="559">
        <v>2014</v>
      </c>
      <c r="C1243" s="559" t="s">
        <v>189</v>
      </c>
      <c r="D1243" s="559" t="s">
        <v>25</v>
      </c>
      <c r="E1243" s="559" t="s">
        <v>96</v>
      </c>
      <c r="F1243" s="559">
        <v>260561.63500000001</v>
      </c>
      <c r="G1243" s="174"/>
    </row>
    <row r="1244" spans="1:7" x14ac:dyDescent="0.3">
      <c r="A1244" s="559" t="s">
        <v>474</v>
      </c>
      <c r="B1244" s="559">
        <v>2014</v>
      </c>
      <c r="C1244" s="559" t="s">
        <v>190</v>
      </c>
      <c r="D1244" s="559" t="s">
        <v>25</v>
      </c>
      <c r="E1244" s="559" t="s">
        <v>96</v>
      </c>
      <c r="F1244" s="559">
        <v>1565392.2649999899</v>
      </c>
      <c r="G1244" s="174"/>
    </row>
    <row r="1245" spans="1:7" x14ac:dyDescent="0.3">
      <c r="A1245" s="559" t="s">
        <v>474</v>
      </c>
      <c r="B1245" s="559">
        <v>2014</v>
      </c>
      <c r="C1245" s="559" t="s">
        <v>191</v>
      </c>
      <c r="D1245" s="559" t="s">
        <v>12</v>
      </c>
      <c r="E1245" s="559" t="s">
        <v>96</v>
      </c>
      <c r="F1245" s="559">
        <v>107556.486</v>
      </c>
      <c r="G1245" s="174"/>
    </row>
    <row r="1246" spans="1:7" x14ac:dyDescent="0.3">
      <c r="A1246" s="559" t="s">
        <v>474</v>
      </c>
      <c r="B1246" s="559">
        <v>2014</v>
      </c>
      <c r="C1246" s="559" t="s">
        <v>192</v>
      </c>
      <c r="D1246" s="559" t="s">
        <v>22</v>
      </c>
      <c r="E1246" s="559" t="s">
        <v>756</v>
      </c>
      <c r="F1246" s="559">
        <v>39755.482000000004</v>
      </c>
      <c r="G1246" s="174"/>
    </row>
    <row r="1247" spans="1:7" x14ac:dyDescent="0.3">
      <c r="A1247" s="559" t="s">
        <v>474</v>
      </c>
      <c r="B1247" s="559">
        <v>2014</v>
      </c>
      <c r="C1247" s="559" t="s">
        <v>192</v>
      </c>
      <c r="D1247" s="559" t="s">
        <v>51</v>
      </c>
      <c r="E1247" s="559" t="s">
        <v>96</v>
      </c>
      <c r="F1247" s="559">
        <v>3.2273584193712601</v>
      </c>
      <c r="G1247" s="174"/>
    </row>
    <row r="1248" spans="1:7" x14ac:dyDescent="0.3">
      <c r="A1248" s="559" t="s">
        <v>474</v>
      </c>
      <c r="B1248" s="559">
        <v>2014</v>
      </c>
      <c r="C1248" s="559" t="s">
        <v>193</v>
      </c>
      <c r="D1248" s="559" t="s">
        <v>11</v>
      </c>
      <c r="E1248" s="559" t="s">
        <v>96</v>
      </c>
      <c r="F1248" s="559">
        <v>53457.167999999903</v>
      </c>
      <c r="G1248" s="174"/>
    </row>
    <row r="1249" spans="1:7" x14ac:dyDescent="0.3">
      <c r="A1249" s="559" t="s">
        <v>474</v>
      </c>
      <c r="B1249" s="559">
        <v>2014</v>
      </c>
      <c r="C1249" s="559" t="s">
        <v>395</v>
      </c>
      <c r="D1249" s="559" t="s">
        <v>17</v>
      </c>
      <c r="E1249" s="559" t="s">
        <v>101</v>
      </c>
      <c r="F1249" s="559">
        <v>0</v>
      </c>
      <c r="G1249" s="174"/>
    </row>
    <row r="1250" spans="1:7" x14ac:dyDescent="0.3">
      <c r="A1250" s="559" t="s">
        <v>474</v>
      </c>
      <c r="B1250" s="559">
        <v>2014</v>
      </c>
      <c r="C1250" s="559" t="s">
        <v>194</v>
      </c>
      <c r="D1250" s="559" t="s">
        <v>25</v>
      </c>
      <c r="E1250" s="559" t="s">
        <v>96</v>
      </c>
      <c r="F1250" s="559">
        <v>30634.015999999901</v>
      </c>
      <c r="G1250" s="174"/>
    </row>
    <row r="1251" spans="1:7" x14ac:dyDescent="0.3">
      <c r="A1251" s="559" t="s">
        <v>474</v>
      </c>
      <c r="B1251" s="559">
        <v>2014</v>
      </c>
      <c r="C1251" s="559" t="s">
        <v>195</v>
      </c>
      <c r="D1251" s="559" t="s">
        <v>25</v>
      </c>
      <c r="E1251" s="559" t="s">
        <v>96</v>
      </c>
      <c r="F1251" s="559">
        <v>32163.8999999999</v>
      </c>
      <c r="G1251" s="174"/>
    </row>
    <row r="1252" spans="1:7" x14ac:dyDescent="0.3">
      <c r="A1252" s="559" t="s">
        <v>474</v>
      </c>
      <c r="B1252" s="559">
        <v>2014</v>
      </c>
      <c r="C1252" s="559" t="s">
        <v>196</v>
      </c>
      <c r="D1252" s="559" t="s">
        <v>19</v>
      </c>
      <c r="E1252" s="559" t="s">
        <v>96</v>
      </c>
      <c r="F1252" s="559">
        <v>11706.155999999901</v>
      </c>
      <c r="G1252" s="174"/>
    </row>
    <row r="1253" spans="1:7" x14ac:dyDescent="0.3">
      <c r="A1253" s="559" t="s">
        <v>474</v>
      </c>
      <c r="B1253" s="559">
        <v>2014</v>
      </c>
      <c r="C1253" s="559" t="s">
        <v>197</v>
      </c>
      <c r="D1253" s="559" t="s">
        <v>3</v>
      </c>
      <c r="E1253" s="559" t="s">
        <v>756</v>
      </c>
      <c r="F1253" s="559">
        <v>216808.60400000101</v>
      </c>
      <c r="G1253" s="174"/>
    </row>
    <row r="1254" spans="1:7" x14ac:dyDescent="0.3">
      <c r="A1254" s="559" t="s">
        <v>474</v>
      </c>
      <c r="B1254" s="559">
        <v>2014</v>
      </c>
      <c r="C1254" s="559" t="s">
        <v>198</v>
      </c>
      <c r="D1254" s="559" t="s">
        <v>28</v>
      </c>
      <c r="E1254" s="559" t="s">
        <v>96</v>
      </c>
      <c r="F1254" s="559">
        <v>107492.21400000001</v>
      </c>
      <c r="G1254" s="174"/>
    </row>
    <row r="1255" spans="1:7" x14ac:dyDescent="0.3">
      <c r="A1255" s="559" t="s">
        <v>474</v>
      </c>
      <c r="B1255" s="559">
        <v>2014</v>
      </c>
      <c r="C1255" s="559" t="s">
        <v>199</v>
      </c>
      <c r="D1255" s="559" t="s">
        <v>28</v>
      </c>
      <c r="E1255" s="559" t="s">
        <v>96</v>
      </c>
      <c r="F1255" s="559">
        <v>77871.054000000004</v>
      </c>
      <c r="G1255" s="174"/>
    </row>
    <row r="1256" spans="1:7" x14ac:dyDescent="0.3">
      <c r="A1256" s="559" t="s">
        <v>474</v>
      </c>
      <c r="B1256" s="559">
        <v>2014</v>
      </c>
      <c r="C1256" s="559" t="s">
        <v>200</v>
      </c>
      <c r="D1256" s="559" t="s">
        <v>677</v>
      </c>
      <c r="E1256" s="559" t="s">
        <v>96</v>
      </c>
      <c r="F1256" s="559">
        <v>11744.0788616877</v>
      </c>
      <c r="G1256" s="174"/>
    </row>
    <row r="1257" spans="1:7" x14ac:dyDescent="0.3">
      <c r="A1257" s="559" t="s">
        <v>474</v>
      </c>
      <c r="B1257" s="559">
        <v>2014</v>
      </c>
      <c r="C1257" s="559" t="s">
        <v>200</v>
      </c>
      <c r="D1257" s="559" t="s">
        <v>34</v>
      </c>
      <c r="E1257" s="559" t="s">
        <v>96</v>
      </c>
      <c r="F1257" s="559">
        <v>451673.13309786801</v>
      </c>
      <c r="G1257" s="174"/>
    </row>
    <row r="1258" spans="1:7" x14ac:dyDescent="0.3">
      <c r="A1258" s="559" t="s">
        <v>474</v>
      </c>
      <c r="B1258" s="559">
        <v>2014</v>
      </c>
      <c r="C1258" s="559" t="s">
        <v>201</v>
      </c>
      <c r="D1258" s="559" t="s">
        <v>34</v>
      </c>
      <c r="E1258" s="559" t="s">
        <v>110</v>
      </c>
      <c r="F1258" s="559">
        <v>0</v>
      </c>
      <c r="G1258" s="174"/>
    </row>
    <row r="1259" spans="1:7" x14ac:dyDescent="0.3">
      <c r="A1259" s="559" t="s">
        <v>474</v>
      </c>
      <c r="B1259" s="559">
        <v>2014</v>
      </c>
      <c r="C1259" s="559" t="s">
        <v>202</v>
      </c>
      <c r="D1259" s="559" t="s">
        <v>33</v>
      </c>
      <c r="E1259" s="559" t="s">
        <v>101</v>
      </c>
      <c r="F1259" s="559">
        <v>0</v>
      </c>
      <c r="G1259" s="174"/>
    </row>
    <row r="1260" spans="1:7" x14ac:dyDescent="0.3">
      <c r="A1260" s="559" t="s">
        <v>474</v>
      </c>
      <c r="B1260" s="559">
        <v>2014</v>
      </c>
      <c r="C1260" s="559" t="s">
        <v>203</v>
      </c>
      <c r="D1260" s="559" t="s">
        <v>17</v>
      </c>
      <c r="E1260" s="559" t="s">
        <v>101</v>
      </c>
      <c r="F1260" s="559">
        <v>0</v>
      </c>
      <c r="G1260" s="174"/>
    </row>
    <row r="1261" spans="1:7" x14ac:dyDescent="0.3">
      <c r="A1261" s="559" t="s">
        <v>474</v>
      </c>
      <c r="B1261" s="559">
        <v>2014</v>
      </c>
      <c r="C1261" s="559" t="s">
        <v>204</v>
      </c>
      <c r="D1261" s="559" t="s">
        <v>28</v>
      </c>
      <c r="E1261" s="559" t="s">
        <v>96</v>
      </c>
      <c r="F1261" s="559">
        <v>396897.99399999902</v>
      </c>
      <c r="G1261" s="174"/>
    </row>
    <row r="1262" spans="1:7" x14ac:dyDescent="0.3">
      <c r="A1262" s="559" t="s">
        <v>474</v>
      </c>
      <c r="B1262" s="559">
        <v>2014</v>
      </c>
      <c r="C1262" s="559" t="s">
        <v>205</v>
      </c>
      <c r="D1262" s="559" t="s">
        <v>35</v>
      </c>
      <c r="E1262" s="559" t="s">
        <v>110</v>
      </c>
      <c r="F1262" s="559">
        <v>0</v>
      </c>
      <c r="G1262" s="174"/>
    </row>
    <row r="1263" spans="1:7" x14ac:dyDescent="0.3">
      <c r="A1263" s="559" t="s">
        <v>474</v>
      </c>
      <c r="B1263" s="559">
        <v>2014</v>
      </c>
      <c r="C1263" s="559" t="s">
        <v>205</v>
      </c>
      <c r="D1263" s="559" t="s">
        <v>41</v>
      </c>
      <c r="E1263" s="559" t="s">
        <v>96</v>
      </c>
      <c r="F1263" s="559">
        <v>1108.0029999999999</v>
      </c>
      <c r="G1263" s="174"/>
    </row>
    <row r="1264" spans="1:7" x14ac:dyDescent="0.3">
      <c r="A1264" s="559" t="s">
        <v>474</v>
      </c>
      <c r="B1264" s="559">
        <v>2014</v>
      </c>
      <c r="C1264" s="559" t="s">
        <v>206</v>
      </c>
      <c r="D1264" s="559" t="s">
        <v>35</v>
      </c>
      <c r="E1264" s="559" t="s">
        <v>101</v>
      </c>
      <c r="F1264" s="559">
        <v>0</v>
      </c>
      <c r="G1264" s="174"/>
    </row>
    <row r="1265" spans="1:7" x14ac:dyDescent="0.3">
      <c r="A1265" s="559" t="s">
        <v>474</v>
      </c>
      <c r="B1265" s="559">
        <v>2014</v>
      </c>
      <c r="C1265" s="559" t="s">
        <v>207</v>
      </c>
      <c r="D1265" s="559" t="s">
        <v>40</v>
      </c>
      <c r="E1265" s="559" t="s">
        <v>96</v>
      </c>
      <c r="F1265" s="559">
        <v>147169.96900000001</v>
      </c>
      <c r="G1265" s="174"/>
    </row>
    <row r="1266" spans="1:7" x14ac:dyDescent="0.3">
      <c r="A1266" s="559" t="s">
        <v>474</v>
      </c>
      <c r="B1266" s="559">
        <v>2014</v>
      </c>
      <c r="C1266" s="559" t="s">
        <v>208</v>
      </c>
      <c r="D1266" s="559" t="s">
        <v>47</v>
      </c>
      <c r="E1266" s="559" t="s">
        <v>96</v>
      </c>
      <c r="F1266" s="559">
        <v>26911.272000000001</v>
      </c>
      <c r="G1266" s="174"/>
    </row>
    <row r="1267" spans="1:7" x14ac:dyDescent="0.3">
      <c r="A1267" s="559" t="s">
        <v>474</v>
      </c>
      <c r="B1267" s="559">
        <v>2014</v>
      </c>
      <c r="C1267" s="559" t="s">
        <v>209</v>
      </c>
      <c r="D1267" s="559" t="s">
        <v>47</v>
      </c>
      <c r="E1267" s="559" t="s">
        <v>96</v>
      </c>
      <c r="F1267" s="559">
        <v>25943.211999999901</v>
      </c>
      <c r="G1267" s="174"/>
    </row>
    <row r="1268" spans="1:7" x14ac:dyDescent="0.3">
      <c r="A1268" s="559" t="s">
        <v>474</v>
      </c>
      <c r="B1268" s="559">
        <v>2014</v>
      </c>
      <c r="C1268" s="559" t="s">
        <v>210</v>
      </c>
      <c r="D1268" s="559" t="s">
        <v>28</v>
      </c>
      <c r="E1268" s="559" t="s">
        <v>96</v>
      </c>
      <c r="F1268" s="559">
        <v>231209.60799999899</v>
      </c>
      <c r="G1268" s="174"/>
    </row>
    <row r="1269" spans="1:7" x14ac:dyDescent="0.3">
      <c r="A1269" s="559" t="s">
        <v>474</v>
      </c>
      <c r="B1269" s="559">
        <v>2014</v>
      </c>
      <c r="C1269" s="559" t="s">
        <v>211</v>
      </c>
      <c r="D1269" s="559" t="s">
        <v>35</v>
      </c>
      <c r="E1269" s="559" t="s">
        <v>110</v>
      </c>
      <c r="F1269" s="559">
        <v>0</v>
      </c>
      <c r="G1269" s="174"/>
    </row>
    <row r="1270" spans="1:7" x14ac:dyDescent="0.3">
      <c r="A1270" s="559" t="s">
        <v>474</v>
      </c>
      <c r="B1270" s="559">
        <v>2014</v>
      </c>
      <c r="C1270" s="559" t="s">
        <v>212</v>
      </c>
      <c r="D1270" s="559" t="s">
        <v>14</v>
      </c>
      <c r="E1270" s="559" t="s">
        <v>101</v>
      </c>
      <c r="F1270" s="559">
        <v>0</v>
      </c>
      <c r="G1270" s="174"/>
    </row>
    <row r="1271" spans="1:7" x14ac:dyDescent="0.3">
      <c r="A1271" s="559" t="s">
        <v>474</v>
      </c>
      <c r="B1271" s="559">
        <v>2014</v>
      </c>
      <c r="C1271" s="559" t="s">
        <v>213</v>
      </c>
      <c r="D1271" s="559" t="s">
        <v>72</v>
      </c>
      <c r="E1271" s="559" t="s">
        <v>110</v>
      </c>
      <c r="F1271" s="559">
        <v>0.312999999999999</v>
      </c>
      <c r="G1271" s="174"/>
    </row>
    <row r="1272" spans="1:7" x14ac:dyDescent="0.3">
      <c r="A1272" s="559" t="s">
        <v>474</v>
      </c>
      <c r="B1272" s="559">
        <v>2014</v>
      </c>
      <c r="C1272" s="559" t="s">
        <v>213</v>
      </c>
      <c r="D1272" s="559" t="s">
        <v>103</v>
      </c>
      <c r="E1272" s="559" t="s">
        <v>96</v>
      </c>
      <c r="F1272" s="559">
        <v>45.3569999999999</v>
      </c>
      <c r="G1272" s="174"/>
    </row>
    <row r="1273" spans="1:7" x14ac:dyDescent="0.3">
      <c r="A1273" s="559" t="s">
        <v>474</v>
      </c>
      <c r="B1273" s="559">
        <v>2014</v>
      </c>
      <c r="C1273" s="559" t="s">
        <v>214</v>
      </c>
      <c r="D1273" s="559" t="s">
        <v>33</v>
      </c>
      <c r="E1273" s="559" t="s">
        <v>101</v>
      </c>
      <c r="F1273" s="559">
        <v>0</v>
      </c>
      <c r="G1273" s="174"/>
    </row>
    <row r="1274" spans="1:7" x14ac:dyDescent="0.3">
      <c r="A1274" s="559" t="s">
        <v>474</v>
      </c>
      <c r="B1274" s="559">
        <v>2014</v>
      </c>
      <c r="C1274" s="559" t="s">
        <v>215</v>
      </c>
      <c r="D1274" s="559" t="s">
        <v>35</v>
      </c>
      <c r="E1274" s="559" t="s">
        <v>101</v>
      </c>
      <c r="F1274" s="559">
        <v>0</v>
      </c>
      <c r="G1274" s="174"/>
    </row>
    <row r="1275" spans="1:7" x14ac:dyDescent="0.3">
      <c r="A1275" s="559" t="s">
        <v>474</v>
      </c>
      <c r="B1275" s="559">
        <v>2014</v>
      </c>
      <c r="C1275" s="559" t="s">
        <v>216</v>
      </c>
      <c r="D1275" s="559" t="s">
        <v>35</v>
      </c>
      <c r="E1275" s="559" t="s">
        <v>101</v>
      </c>
      <c r="F1275" s="559">
        <v>0</v>
      </c>
      <c r="G1275" s="174"/>
    </row>
    <row r="1276" spans="1:7" x14ac:dyDescent="0.3">
      <c r="A1276" s="559" t="s">
        <v>474</v>
      </c>
      <c r="B1276" s="559">
        <v>2014</v>
      </c>
      <c r="C1276" s="559" t="s">
        <v>217</v>
      </c>
      <c r="D1276" s="559" t="s">
        <v>19</v>
      </c>
      <c r="E1276" s="559" t="s">
        <v>96</v>
      </c>
      <c r="F1276" s="559">
        <v>11383.884</v>
      </c>
      <c r="G1276" s="174"/>
    </row>
    <row r="1277" spans="1:7" x14ac:dyDescent="0.3">
      <c r="A1277" s="559" t="s">
        <v>474</v>
      </c>
      <c r="B1277" s="559">
        <v>2014</v>
      </c>
      <c r="C1277" s="559" t="s">
        <v>218</v>
      </c>
      <c r="D1277" s="559" t="s">
        <v>39</v>
      </c>
      <c r="E1277" s="559" t="s">
        <v>96</v>
      </c>
      <c r="F1277" s="559">
        <v>1E-3</v>
      </c>
      <c r="G1277" s="174"/>
    </row>
    <row r="1278" spans="1:7" x14ac:dyDescent="0.3">
      <c r="A1278" s="559" t="s">
        <v>474</v>
      </c>
      <c r="B1278" s="559">
        <v>2014</v>
      </c>
      <c r="C1278" s="559" t="s">
        <v>219</v>
      </c>
      <c r="D1278" s="559" t="s">
        <v>28</v>
      </c>
      <c r="E1278" s="559" t="s">
        <v>96</v>
      </c>
      <c r="F1278" s="559">
        <v>60346.807999999903</v>
      </c>
      <c r="G1278" s="174"/>
    </row>
    <row r="1279" spans="1:7" x14ac:dyDescent="0.3">
      <c r="A1279" s="559" t="s">
        <v>474</v>
      </c>
      <c r="B1279" s="559">
        <v>2014</v>
      </c>
      <c r="C1279" s="559" t="s">
        <v>220</v>
      </c>
      <c r="D1279" s="559" t="s">
        <v>8</v>
      </c>
      <c r="E1279" s="559" t="s">
        <v>96</v>
      </c>
      <c r="F1279" s="559">
        <v>164698.25399999999</v>
      </c>
      <c r="G1279" s="174"/>
    </row>
    <row r="1280" spans="1:7" x14ac:dyDescent="0.3">
      <c r="A1280" s="559" t="s">
        <v>474</v>
      </c>
      <c r="B1280" s="559">
        <v>2014</v>
      </c>
      <c r="C1280" s="559" t="s">
        <v>221</v>
      </c>
      <c r="D1280" s="559" t="s">
        <v>33</v>
      </c>
      <c r="E1280" s="559" t="s">
        <v>101</v>
      </c>
      <c r="F1280" s="559">
        <v>0</v>
      </c>
      <c r="G1280" s="174"/>
    </row>
    <row r="1281" spans="1:7" x14ac:dyDescent="0.3">
      <c r="A1281" s="559" t="s">
        <v>474</v>
      </c>
      <c r="B1281" s="559">
        <v>2014</v>
      </c>
      <c r="C1281" s="559" t="s">
        <v>222</v>
      </c>
      <c r="D1281" s="559" t="s">
        <v>33</v>
      </c>
      <c r="E1281" s="559" t="s">
        <v>96</v>
      </c>
      <c r="F1281" s="559">
        <v>396.02599999999899</v>
      </c>
      <c r="G1281" s="174"/>
    </row>
    <row r="1282" spans="1:7" x14ac:dyDescent="0.3">
      <c r="A1282" s="559" t="s">
        <v>474</v>
      </c>
      <c r="B1282" s="559">
        <v>2014</v>
      </c>
      <c r="C1282" s="559" t="s">
        <v>223</v>
      </c>
      <c r="D1282" s="559" t="s">
        <v>33</v>
      </c>
      <c r="E1282" s="559" t="s">
        <v>101</v>
      </c>
      <c r="F1282" s="559">
        <v>0</v>
      </c>
      <c r="G1282" s="174"/>
    </row>
    <row r="1283" spans="1:7" x14ac:dyDescent="0.3">
      <c r="A1283" s="559" t="s">
        <v>474</v>
      </c>
      <c r="B1283" s="559">
        <v>2014</v>
      </c>
      <c r="C1283" s="559" t="s">
        <v>224</v>
      </c>
      <c r="D1283" s="559" t="s">
        <v>40</v>
      </c>
      <c r="E1283" s="559" t="s">
        <v>96</v>
      </c>
      <c r="F1283" s="559">
        <v>106479.825</v>
      </c>
      <c r="G1283" s="174"/>
    </row>
    <row r="1284" spans="1:7" x14ac:dyDescent="0.3">
      <c r="A1284" s="559" t="s">
        <v>474</v>
      </c>
      <c r="B1284" s="559">
        <v>2014</v>
      </c>
      <c r="C1284" s="559" t="s">
        <v>225</v>
      </c>
      <c r="D1284" s="559" t="s">
        <v>40</v>
      </c>
      <c r="E1284" s="559" t="s">
        <v>96</v>
      </c>
      <c r="F1284" s="559">
        <v>128937.101</v>
      </c>
      <c r="G1284" s="174"/>
    </row>
    <row r="1285" spans="1:7" x14ac:dyDescent="0.3">
      <c r="A1285" s="559" t="s">
        <v>474</v>
      </c>
      <c r="B1285" s="559">
        <v>2014</v>
      </c>
      <c r="C1285" s="559" t="s">
        <v>226</v>
      </c>
      <c r="D1285" s="559" t="s">
        <v>37</v>
      </c>
      <c r="E1285" s="559" t="s">
        <v>96</v>
      </c>
      <c r="F1285" s="572">
        <v>1002801.40999999</v>
      </c>
      <c r="G1285" s="174"/>
    </row>
    <row r="1286" spans="1:7" x14ac:dyDescent="0.3">
      <c r="A1286" s="559" t="s">
        <v>474</v>
      </c>
      <c r="B1286" s="559">
        <v>2014</v>
      </c>
      <c r="C1286" s="559" t="s">
        <v>227</v>
      </c>
      <c r="D1286" s="559" t="s">
        <v>48</v>
      </c>
      <c r="E1286" s="559" t="s">
        <v>96</v>
      </c>
      <c r="F1286" s="572">
        <v>418487.76299999701</v>
      </c>
      <c r="G1286" s="174"/>
    </row>
    <row r="1287" spans="1:7" x14ac:dyDescent="0.3">
      <c r="A1287" s="559" t="s">
        <v>474</v>
      </c>
      <c r="B1287" s="559">
        <v>2014</v>
      </c>
      <c r="C1287" s="559" t="s">
        <v>228</v>
      </c>
      <c r="D1287" s="559" t="s">
        <v>15</v>
      </c>
      <c r="E1287" s="559" t="s">
        <v>96</v>
      </c>
      <c r="F1287" s="559">
        <v>48227.061999999998</v>
      </c>
      <c r="G1287" s="174"/>
    </row>
    <row r="1288" spans="1:7" x14ac:dyDescent="0.3">
      <c r="A1288" s="559" t="s">
        <v>474</v>
      </c>
      <c r="B1288" s="559">
        <v>2014</v>
      </c>
      <c r="C1288" s="559" t="s">
        <v>229</v>
      </c>
      <c r="D1288" s="559" t="s">
        <v>23</v>
      </c>
      <c r="E1288" s="559" t="s">
        <v>96</v>
      </c>
      <c r="F1288" s="559">
        <v>1092452.051</v>
      </c>
      <c r="G1288" s="174"/>
    </row>
    <row r="1289" spans="1:7" x14ac:dyDescent="0.3">
      <c r="A1289" s="559" t="s">
        <v>474</v>
      </c>
      <c r="B1289" s="559">
        <v>2014</v>
      </c>
      <c r="C1289" s="559" t="s">
        <v>230</v>
      </c>
      <c r="D1289" s="559" t="s">
        <v>28</v>
      </c>
      <c r="E1289" s="559" t="s">
        <v>96</v>
      </c>
      <c r="F1289" s="559">
        <v>205479.49999999901</v>
      </c>
      <c r="G1289" s="174"/>
    </row>
    <row r="1290" spans="1:7" x14ac:dyDescent="0.3">
      <c r="A1290" s="559" t="s">
        <v>474</v>
      </c>
      <c r="B1290" s="559">
        <v>2014</v>
      </c>
      <c r="C1290" s="559" t="s">
        <v>231</v>
      </c>
      <c r="D1290" s="559" t="s">
        <v>17</v>
      </c>
      <c r="E1290" s="559" t="s">
        <v>101</v>
      </c>
      <c r="F1290" s="559">
        <v>0</v>
      </c>
      <c r="G1290" s="174"/>
    </row>
    <row r="1291" spans="1:7" x14ac:dyDescent="0.3">
      <c r="A1291" s="559" t="s">
        <v>474</v>
      </c>
      <c r="B1291" s="559">
        <v>2014</v>
      </c>
      <c r="C1291" s="559" t="s">
        <v>232</v>
      </c>
      <c r="D1291" s="559" t="s">
        <v>28</v>
      </c>
      <c r="E1291" s="559" t="s">
        <v>96</v>
      </c>
      <c r="F1291" s="559">
        <v>312249.68400000001</v>
      </c>
      <c r="G1291" s="174"/>
    </row>
    <row r="1292" spans="1:7" x14ac:dyDescent="0.3">
      <c r="A1292" s="559" t="s">
        <v>474</v>
      </c>
      <c r="B1292" s="559">
        <v>2014</v>
      </c>
      <c r="C1292" s="559" t="s">
        <v>233</v>
      </c>
      <c r="D1292" s="559" t="s">
        <v>28</v>
      </c>
      <c r="E1292" s="559" t="s">
        <v>96</v>
      </c>
      <c r="F1292" s="572">
        <v>79624.264999999898</v>
      </c>
      <c r="G1292" s="174"/>
    </row>
    <row r="1293" spans="1:7" x14ac:dyDescent="0.3">
      <c r="A1293" s="559" t="s">
        <v>474</v>
      </c>
      <c r="B1293" s="559">
        <v>2014</v>
      </c>
      <c r="C1293" s="559" t="s">
        <v>234</v>
      </c>
      <c r="D1293" s="559" t="s">
        <v>23</v>
      </c>
      <c r="E1293" s="559" t="s">
        <v>96</v>
      </c>
      <c r="F1293" s="572">
        <v>176917.57199999999</v>
      </c>
      <c r="G1293" s="174"/>
    </row>
    <row r="1294" spans="1:7" x14ac:dyDescent="0.3">
      <c r="A1294" s="559" t="s">
        <v>474</v>
      </c>
      <c r="B1294" s="559">
        <v>2014</v>
      </c>
      <c r="C1294" s="559" t="s">
        <v>235</v>
      </c>
      <c r="D1294" s="559" t="s">
        <v>28</v>
      </c>
      <c r="E1294" s="559" t="s">
        <v>96</v>
      </c>
      <c r="F1294" s="559">
        <v>35853.906999999701</v>
      </c>
      <c r="G1294" s="174"/>
    </row>
    <row r="1295" spans="1:7" x14ac:dyDescent="0.3">
      <c r="A1295" s="559" t="s">
        <v>474</v>
      </c>
      <c r="B1295" s="559">
        <v>2014</v>
      </c>
      <c r="C1295" s="559" t="s">
        <v>236</v>
      </c>
      <c r="D1295" s="559" t="s">
        <v>51</v>
      </c>
      <c r="E1295" s="559" t="s">
        <v>96</v>
      </c>
      <c r="F1295" s="559">
        <v>0</v>
      </c>
      <c r="G1295" s="174"/>
    </row>
    <row r="1296" spans="1:7" x14ac:dyDescent="0.3">
      <c r="A1296" s="559" t="s">
        <v>474</v>
      </c>
      <c r="B1296" s="559">
        <v>2014</v>
      </c>
      <c r="C1296" s="559" t="s">
        <v>237</v>
      </c>
      <c r="D1296" s="559" t="s">
        <v>18</v>
      </c>
      <c r="E1296" s="559" t="s">
        <v>101</v>
      </c>
      <c r="F1296" s="559">
        <v>1180990.32699999</v>
      </c>
      <c r="G1296" s="174"/>
    </row>
    <row r="1297" spans="1:7" x14ac:dyDescent="0.3">
      <c r="A1297" s="559" t="s">
        <v>474</v>
      </c>
      <c r="B1297" s="559">
        <v>2014</v>
      </c>
      <c r="C1297" s="559" t="s">
        <v>238</v>
      </c>
      <c r="D1297" s="559" t="s">
        <v>17</v>
      </c>
      <c r="E1297" s="559" t="s">
        <v>96</v>
      </c>
      <c r="F1297" s="559">
        <v>0</v>
      </c>
      <c r="G1297" s="174"/>
    </row>
    <row r="1298" spans="1:7" x14ac:dyDescent="0.3">
      <c r="A1298" s="559" t="s">
        <v>474</v>
      </c>
      <c r="B1298" s="559">
        <v>2014</v>
      </c>
      <c r="C1298" s="559" t="s">
        <v>239</v>
      </c>
      <c r="D1298" s="559" t="s">
        <v>21</v>
      </c>
      <c r="E1298" s="559" t="s">
        <v>101</v>
      </c>
      <c r="F1298" s="559">
        <v>707726.91899999895</v>
      </c>
      <c r="G1298" s="174"/>
    </row>
    <row r="1299" spans="1:7" x14ac:dyDescent="0.3">
      <c r="A1299" s="559" t="s">
        <v>474</v>
      </c>
      <c r="B1299" s="559">
        <v>2014</v>
      </c>
      <c r="C1299" s="559" t="s">
        <v>240</v>
      </c>
      <c r="D1299" s="559" t="s">
        <v>73</v>
      </c>
      <c r="E1299" s="559" t="s">
        <v>96</v>
      </c>
      <c r="F1299" s="572">
        <v>203746.22699999899</v>
      </c>
      <c r="G1299" s="174"/>
    </row>
    <row r="1300" spans="1:7" x14ac:dyDescent="0.3">
      <c r="A1300" s="559" t="s">
        <v>474</v>
      </c>
      <c r="B1300" s="559">
        <v>2014</v>
      </c>
      <c r="C1300" s="559" t="s">
        <v>241</v>
      </c>
      <c r="D1300" s="559" t="s">
        <v>14</v>
      </c>
      <c r="E1300" s="559" t="s">
        <v>110</v>
      </c>
      <c r="F1300" s="572">
        <v>0</v>
      </c>
      <c r="G1300" s="174"/>
    </row>
    <row r="1301" spans="1:7" x14ac:dyDescent="0.3">
      <c r="A1301" s="559" t="s">
        <v>474</v>
      </c>
      <c r="B1301" s="559">
        <v>2014</v>
      </c>
      <c r="C1301" s="559" t="s">
        <v>242</v>
      </c>
      <c r="D1301" s="559" t="s">
        <v>32</v>
      </c>
      <c r="E1301" s="559" t="s">
        <v>96</v>
      </c>
      <c r="F1301" s="572">
        <v>17427.166999999899</v>
      </c>
      <c r="G1301" s="174"/>
    </row>
    <row r="1302" spans="1:7" x14ac:dyDescent="0.3">
      <c r="A1302" s="559" t="s">
        <v>474</v>
      </c>
      <c r="B1302" s="559">
        <v>2014</v>
      </c>
      <c r="C1302" s="559" t="s">
        <v>243</v>
      </c>
      <c r="D1302" s="559" t="s">
        <v>51</v>
      </c>
      <c r="E1302" s="559" t="s">
        <v>96</v>
      </c>
      <c r="F1302" s="572">
        <v>2020.1188470407301</v>
      </c>
      <c r="G1302" s="174"/>
    </row>
    <row r="1303" spans="1:7" x14ac:dyDescent="0.3">
      <c r="A1303" s="559" t="s">
        <v>474</v>
      </c>
      <c r="B1303" s="559">
        <v>2014</v>
      </c>
      <c r="C1303" s="559" t="s">
        <v>243</v>
      </c>
      <c r="D1303" s="559" t="s">
        <v>28</v>
      </c>
      <c r="E1303" s="559" t="s">
        <v>96</v>
      </c>
      <c r="F1303" s="559">
        <v>89660.391152959099</v>
      </c>
      <c r="G1303" s="174"/>
    </row>
    <row r="1304" spans="1:7" x14ac:dyDescent="0.3">
      <c r="A1304" s="559" t="s">
        <v>474</v>
      </c>
      <c r="B1304" s="559">
        <v>2014</v>
      </c>
      <c r="C1304" s="559" t="s">
        <v>244</v>
      </c>
      <c r="D1304" s="559" t="s">
        <v>71</v>
      </c>
      <c r="E1304" s="559" t="s">
        <v>96</v>
      </c>
      <c r="F1304" s="559">
        <v>168552.56799999901</v>
      </c>
      <c r="G1304" s="174"/>
    </row>
    <row r="1305" spans="1:7" x14ac:dyDescent="0.3">
      <c r="A1305" s="559" t="s">
        <v>474</v>
      </c>
      <c r="B1305" s="559">
        <v>2014</v>
      </c>
      <c r="C1305" s="559" t="s">
        <v>245</v>
      </c>
      <c r="D1305" s="559" t="s">
        <v>35</v>
      </c>
      <c r="E1305" s="559" t="s">
        <v>101</v>
      </c>
      <c r="F1305" s="559">
        <v>0</v>
      </c>
      <c r="G1305" s="174"/>
    </row>
    <row r="1306" spans="1:7" x14ac:dyDescent="0.3">
      <c r="A1306" s="559" t="s">
        <v>474</v>
      </c>
      <c r="B1306" s="559">
        <v>2014</v>
      </c>
      <c r="C1306" s="559" t="s">
        <v>246</v>
      </c>
      <c r="D1306" s="559" t="s">
        <v>20</v>
      </c>
      <c r="E1306" s="559" t="s">
        <v>96</v>
      </c>
      <c r="F1306" s="559">
        <v>199080.992</v>
      </c>
      <c r="G1306" s="174"/>
    </row>
    <row r="1307" spans="1:7" x14ac:dyDescent="0.3">
      <c r="A1307" s="559" t="s">
        <v>474</v>
      </c>
      <c r="B1307" s="559">
        <v>2014</v>
      </c>
      <c r="C1307" s="559" t="s">
        <v>247</v>
      </c>
      <c r="D1307" s="559" t="s">
        <v>14</v>
      </c>
      <c r="E1307" s="559" t="s">
        <v>101</v>
      </c>
      <c r="F1307" s="559">
        <v>0</v>
      </c>
      <c r="G1307" s="174"/>
    </row>
    <row r="1308" spans="1:7" x14ac:dyDescent="0.3">
      <c r="A1308" s="559" t="s">
        <v>474</v>
      </c>
      <c r="B1308" s="559">
        <v>2014</v>
      </c>
      <c r="C1308" s="559" t="s">
        <v>248</v>
      </c>
      <c r="D1308" s="559" t="s">
        <v>14</v>
      </c>
      <c r="E1308" s="559" t="s">
        <v>101</v>
      </c>
      <c r="F1308" s="559">
        <v>0</v>
      </c>
      <c r="G1308" s="174"/>
    </row>
    <row r="1309" spans="1:7" x14ac:dyDescent="0.3">
      <c r="A1309" s="559" t="s">
        <v>474</v>
      </c>
      <c r="B1309" s="559">
        <v>2014</v>
      </c>
      <c r="C1309" s="559" t="s">
        <v>249</v>
      </c>
      <c r="D1309" s="559" t="s">
        <v>14</v>
      </c>
      <c r="E1309" s="559" t="s">
        <v>101</v>
      </c>
      <c r="F1309" s="559">
        <v>0</v>
      </c>
      <c r="G1309" s="174"/>
    </row>
    <row r="1310" spans="1:7" x14ac:dyDescent="0.3">
      <c r="A1310" s="559" t="s">
        <v>474</v>
      </c>
      <c r="B1310" s="559">
        <v>2014</v>
      </c>
      <c r="C1310" s="559" t="s">
        <v>250</v>
      </c>
      <c r="D1310" s="559" t="s">
        <v>17</v>
      </c>
      <c r="E1310" s="559" t="s">
        <v>101</v>
      </c>
      <c r="F1310" s="559">
        <v>69418.767999999895</v>
      </c>
      <c r="G1310" s="174"/>
    </row>
    <row r="1311" spans="1:7" x14ac:dyDescent="0.3">
      <c r="A1311" s="559" t="s">
        <v>474</v>
      </c>
      <c r="B1311" s="559">
        <v>2014</v>
      </c>
      <c r="C1311" s="559" t="s">
        <v>251</v>
      </c>
      <c r="D1311" s="559" t="s">
        <v>4</v>
      </c>
      <c r="E1311" s="559" t="s">
        <v>101</v>
      </c>
      <c r="F1311" s="559">
        <v>341015.47599999898</v>
      </c>
      <c r="G1311" s="174"/>
    </row>
    <row r="1312" spans="1:7" x14ac:dyDescent="0.3">
      <c r="A1312" s="559" t="s">
        <v>474</v>
      </c>
      <c r="B1312" s="559">
        <v>2014</v>
      </c>
      <c r="C1312" s="559" t="s">
        <v>252</v>
      </c>
      <c r="D1312" s="559" t="s">
        <v>28</v>
      </c>
      <c r="E1312" s="559" t="s">
        <v>96</v>
      </c>
      <c r="F1312" s="559">
        <v>10379.975950789099</v>
      </c>
      <c r="G1312" s="174"/>
    </row>
    <row r="1313" spans="1:7" x14ac:dyDescent="0.3">
      <c r="A1313" s="559" t="s">
        <v>474</v>
      </c>
      <c r="B1313" s="559">
        <v>2014</v>
      </c>
      <c r="C1313" s="559" t="s">
        <v>252</v>
      </c>
      <c r="D1313" s="559" t="s">
        <v>32</v>
      </c>
      <c r="E1313" s="559" t="s">
        <v>96</v>
      </c>
      <c r="F1313" s="572">
        <v>18358.386302692601</v>
      </c>
      <c r="G1313" s="174"/>
    </row>
    <row r="1314" spans="1:7" x14ac:dyDescent="0.3">
      <c r="A1314" s="559" t="s">
        <v>474</v>
      </c>
      <c r="B1314" s="559">
        <v>2014</v>
      </c>
      <c r="C1314" s="559" t="s">
        <v>253</v>
      </c>
      <c r="D1314" s="559" t="s">
        <v>32</v>
      </c>
      <c r="E1314" s="559" t="s">
        <v>96</v>
      </c>
      <c r="F1314" s="572">
        <v>23469.179</v>
      </c>
      <c r="G1314" s="174"/>
    </row>
    <row r="1315" spans="1:7" x14ac:dyDescent="0.3">
      <c r="A1315" s="559" t="s">
        <v>474</v>
      </c>
      <c r="B1315" s="559">
        <v>2014</v>
      </c>
      <c r="C1315" s="559" t="s">
        <v>254</v>
      </c>
      <c r="D1315" s="559" t="s">
        <v>28</v>
      </c>
      <c r="E1315" s="559" t="s">
        <v>96</v>
      </c>
      <c r="F1315" s="572">
        <v>57712.762000000002</v>
      </c>
      <c r="G1315" s="174"/>
    </row>
    <row r="1316" spans="1:7" x14ac:dyDescent="0.3">
      <c r="A1316" s="559" t="s">
        <v>474</v>
      </c>
      <c r="B1316" s="559">
        <v>2014</v>
      </c>
      <c r="C1316" s="559" t="s">
        <v>678</v>
      </c>
      <c r="D1316" s="559" t="s">
        <v>2</v>
      </c>
      <c r="E1316" s="559" t="s">
        <v>96</v>
      </c>
      <c r="F1316" s="572">
        <v>34667.381999999801</v>
      </c>
      <c r="G1316" s="174"/>
    </row>
    <row r="1317" spans="1:7" x14ac:dyDescent="0.3">
      <c r="A1317" s="559" t="s">
        <v>474</v>
      </c>
      <c r="B1317" s="559">
        <v>2014</v>
      </c>
      <c r="C1317" s="559" t="s">
        <v>257</v>
      </c>
      <c r="D1317" s="559" t="s">
        <v>4</v>
      </c>
      <c r="E1317" s="559" t="s">
        <v>96</v>
      </c>
      <c r="F1317" s="572">
        <v>11887.7113204951</v>
      </c>
      <c r="G1317" s="174"/>
    </row>
    <row r="1318" spans="1:7" x14ac:dyDescent="0.3">
      <c r="A1318" s="559" t="s">
        <v>474</v>
      </c>
      <c r="B1318" s="559">
        <v>2014</v>
      </c>
      <c r="C1318" s="559" t="s">
        <v>257</v>
      </c>
      <c r="D1318" s="559" t="s">
        <v>37</v>
      </c>
      <c r="E1318" s="559" t="s">
        <v>96</v>
      </c>
      <c r="F1318" s="572">
        <v>564270.03067950404</v>
      </c>
      <c r="G1318" s="174"/>
    </row>
    <row r="1319" spans="1:7" x14ac:dyDescent="0.3">
      <c r="A1319" s="559" t="s">
        <v>474</v>
      </c>
      <c r="B1319" s="559">
        <v>2014</v>
      </c>
      <c r="C1319" s="559" t="s">
        <v>258</v>
      </c>
      <c r="D1319" s="559" t="s">
        <v>41</v>
      </c>
      <c r="E1319" s="559" t="s">
        <v>96</v>
      </c>
      <c r="F1319" s="572">
        <v>1163.5430000000099</v>
      </c>
      <c r="G1319" s="174"/>
    </row>
    <row r="1320" spans="1:7" x14ac:dyDescent="0.3">
      <c r="A1320" s="559" t="s">
        <v>474</v>
      </c>
      <c r="B1320" s="559">
        <v>2014</v>
      </c>
      <c r="C1320" s="559" t="s">
        <v>259</v>
      </c>
      <c r="D1320" s="559" t="s">
        <v>36</v>
      </c>
      <c r="E1320" s="559" t="s">
        <v>96</v>
      </c>
      <c r="F1320" s="572">
        <v>61086.040999999699</v>
      </c>
      <c r="G1320" s="174"/>
    </row>
    <row r="1321" spans="1:7" x14ac:dyDescent="0.3">
      <c r="A1321" s="559" t="s">
        <v>474</v>
      </c>
      <c r="B1321" s="559">
        <v>2014</v>
      </c>
      <c r="C1321" s="559" t="s">
        <v>260</v>
      </c>
      <c r="D1321" s="559" t="s">
        <v>37</v>
      </c>
      <c r="E1321" s="559" t="s">
        <v>96</v>
      </c>
      <c r="F1321" s="572">
        <v>1120950.96299999</v>
      </c>
      <c r="G1321" s="174"/>
    </row>
    <row r="1322" spans="1:7" x14ac:dyDescent="0.3">
      <c r="A1322" s="559" t="s">
        <v>474</v>
      </c>
      <c r="B1322" s="559">
        <v>2014</v>
      </c>
      <c r="C1322" s="559" t="s">
        <v>261</v>
      </c>
      <c r="D1322" s="559" t="s">
        <v>28</v>
      </c>
      <c r="E1322" s="559" t="s">
        <v>96</v>
      </c>
      <c r="F1322" s="572">
        <v>263479.82999999903</v>
      </c>
      <c r="G1322" s="174"/>
    </row>
    <row r="1323" spans="1:7" x14ac:dyDescent="0.3">
      <c r="A1323" s="559" t="s">
        <v>474</v>
      </c>
      <c r="B1323" s="559">
        <v>2014</v>
      </c>
      <c r="C1323" s="559" t="s">
        <v>262</v>
      </c>
      <c r="D1323" s="559" t="s">
        <v>37</v>
      </c>
      <c r="E1323" s="559" t="s">
        <v>96</v>
      </c>
      <c r="F1323" s="572">
        <v>407277.855999997</v>
      </c>
      <c r="G1323" s="174"/>
    </row>
    <row r="1324" spans="1:7" x14ac:dyDescent="0.3">
      <c r="A1324" s="559" t="s">
        <v>474</v>
      </c>
      <c r="B1324" s="559">
        <v>2014</v>
      </c>
      <c r="C1324" s="559" t="s">
        <v>263</v>
      </c>
      <c r="D1324" s="559" t="s">
        <v>49</v>
      </c>
      <c r="E1324" s="559" t="s">
        <v>96</v>
      </c>
      <c r="F1324" s="572">
        <v>28.168999999999901</v>
      </c>
      <c r="G1324" s="174"/>
    </row>
    <row r="1325" spans="1:7" x14ac:dyDescent="0.3">
      <c r="A1325" s="559" t="s">
        <v>474</v>
      </c>
      <c r="B1325" s="559">
        <v>2014</v>
      </c>
      <c r="C1325" s="559" t="s">
        <v>264</v>
      </c>
      <c r="D1325" s="559" t="s">
        <v>51</v>
      </c>
      <c r="E1325" s="559" t="s">
        <v>96</v>
      </c>
      <c r="F1325" s="559">
        <v>536.656847640509</v>
      </c>
      <c r="G1325" s="174"/>
    </row>
    <row r="1326" spans="1:7" x14ac:dyDescent="0.3">
      <c r="A1326" s="559" t="s">
        <v>474</v>
      </c>
      <c r="B1326" s="559">
        <v>2014</v>
      </c>
      <c r="C1326" s="559" t="s">
        <v>264</v>
      </c>
      <c r="D1326" s="559" t="s">
        <v>37</v>
      </c>
      <c r="E1326" s="559" t="s">
        <v>96</v>
      </c>
      <c r="F1326" s="559">
        <v>2388119.4705705498</v>
      </c>
      <c r="G1326" s="174"/>
    </row>
    <row r="1327" spans="1:7" x14ac:dyDescent="0.3">
      <c r="A1327" s="559" t="s">
        <v>474</v>
      </c>
      <c r="B1327" s="559">
        <v>2014</v>
      </c>
      <c r="C1327" s="559" t="s">
        <v>265</v>
      </c>
      <c r="D1327" s="559" t="s">
        <v>37</v>
      </c>
      <c r="E1327" s="559" t="s">
        <v>96</v>
      </c>
      <c r="F1327" s="559">
        <v>1595867.3149999999</v>
      </c>
      <c r="G1327" s="174"/>
    </row>
    <row r="1328" spans="1:7" x14ac:dyDescent="0.3">
      <c r="A1328" s="559" t="s">
        <v>474</v>
      </c>
      <c r="B1328" s="559">
        <v>2014</v>
      </c>
      <c r="C1328" s="559" t="s">
        <v>266</v>
      </c>
      <c r="D1328" s="559" t="s">
        <v>40</v>
      </c>
      <c r="E1328" s="559" t="s">
        <v>96</v>
      </c>
      <c r="F1328" s="559">
        <v>64557.911999999902</v>
      </c>
      <c r="G1328" s="174"/>
    </row>
    <row r="1329" spans="1:7" x14ac:dyDescent="0.3">
      <c r="A1329" s="559" t="s">
        <v>474</v>
      </c>
      <c r="B1329" s="559">
        <v>2014</v>
      </c>
      <c r="C1329" s="559" t="s">
        <v>267</v>
      </c>
      <c r="D1329" s="559" t="s">
        <v>4</v>
      </c>
      <c r="E1329" s="559" t="s">
        <v>96</v>
      </c>
      <c r="F1329" s="559">
        <v>0</v>
      </c>
      <c r="G1329" s="174"/>
    </row>
    <row r="1330" spans="1:7" x14ac:dyDescent="0.3">
      <c r="A1330" s="559" t="s">
        <v>474</v>
      </c>
      <c r="B1330" s="559">
        <v>2014</v>
      </c>
      <c r="C1330" s="559" t="s">
        <v>268</v>
      </c>
      <c r="D1330" s="559" t="s">
        <v>4</v>
      </c>
      <c r="E1330" s="559" t="s">
        <v>101</v>
      </c>
      <c r="F1330" s="559">
        <v>0</v>
      </c>
      <c r="G1330" s="174"/>
    </row>
    <row r="1331" spans="1:7" x14ac:dyDescent="0.3">
      <c r="A1331" s="559" t="s">
        <v>474</v>
      </c>
      <c r="B1331" s="559">
        <v>2014</v>
      </c>
      <c r="C1331" s="559" t="s">
        <v>269</v>
      </c>
      <c r="D1331" s="559" t="s">
        <v>8</v>
      </c>
      <c r="E1331" s="559" t="s">
        <v>96</v>
      </c>
      <c r="F1331" s="559">
        <v>234990.30799999999</v>
      </c>
      <c r="G1331" s="174"/>
    </row>
    <row r="1332" spans="1:7" x14ac:dyDescent="0.3">
      <c r="A1332" s="559" t="s">
        <v>474</v>
      </c>
      <c r="B1332" s="559">
        <v>2014</v>
      </c>
      <c r="C1332" s="559" t="s">
        <v>270</v>
      </c>
      <c r="D1332" s="559" t="s">
        <v>36</v>
      </c>
      <c r="E1332" s="559" t="s">
        <v>96</v>
      </c>
      <c r="F1332" s="559">
        <v>0</v>
      </c>
      <c r="G1332" s="174"/>
    </row>
    <row r="1333" spans="1:7" x14ac:dyDescent="0.3">
      <c r="A1333" s="559" t="s">
        <v>474</v>
      </c>
      <c r="B1333" s="559">
        <v>2014</v>
      </c>
      <c r="C1333" s="559" t="s">
        <v>679</v>
      </c>
      <c r="D1333" s="559" t="s">
        <v>41</v>
      </c>
      <c r="E1333" s="559" t="s">
        <v>96</v>
      </c>
      <c r="F1333" s="559">
        <v>49974.819999999803</v>
      </c>
      <c r="G1333" s="174"/>
    </row>
    <row r="1334" spans="1:7" x14ac:dyDescent="0.3">
      <c r="A1334" s="559" t="s">
        <v>474</v>
      </c>
      <c r="B1334" s="559">
        <v>2014</v>
      </c>
      <c r="C1334" s="559" t="s">
        <v>273</v>
      </c>
      <c r="D1334" s="559" t="s">
        <v>37</v>
      </c>
      <c r="E1334" s="559" t="s">
        <v>96</v>
      </c>
      <c r="F1334" s="559">
        <v>868187.53299999796</v>
      </c>
      <c r="G1334" s="174"/>
    </row>
    <row r="1335" spans="1:7" x14ac:dyDescent="0.3">
      <c r="A1335" s="559" t="s">
        <v>474</v>
      </c>
      <c r="B1335" s="559">
        <v>2014</v>
      </c>
      <c r="C1335" s="559" t="s">
        <v>274</v>
      </c>
      <c r="D1335" s="559" t="s">
        <v>37</v>
      </c>
      <c r="E1335" s="559" t="s">
        <v>96</v>
      </c>
      <c r="F1335" s="559">
        <v>507532.975999997</v>
      </c>
      <c r="G1335" s="174"/>
    </row>
    <row r="1336" spans="1:7" x14ac:dyDescent="0.3">
      <c r="A1336" s="559" t="s">
        <v>474</v>
      </c>
      <c r="B1336" s="559">
        <v>2014</v>
      </c>
      <c r="C1336" s="559" t="s">
        <v>275</v>
      </c>
      <c r="D1336" s="559" t="s">
        <v>36</v>
      </c>
      <c r="E1336" s="559" t="s">
        <v>96</v>
      </c>
      <c r="F1336" s="559">
        <v>132599.43899999899</v>
      </c>
      <c r="G1336" s="174"/>
    </row>
    <row r="1337" spans="1:7" x14ac:dyDescent="0.3">
      <c r="A1337" s="559" t="s">
        <v>474</v>
      </c>
      <c r="B1337" s="559">
        <v>2014</v>
      </c>
      <c r="C1337" s="559" t="s">
        <v>276</v>
      </c>
      <c r="D1337" s="559" t="s">
        <v>36</v>
      </c>
      <c r="E1337" s="559" t="s">
        <v>96</v>
      </c>
      <c r="F1337" s="559">
        <v>258455.47300000099</v>
      </c>
      <c r="G1337" s="174"/>
    </row>
    <row r="1338" spans="1:7" x14ac:dyDescent="0.3">
      <c r="A1338" s="559" t="s">
        <v>474</v>
      </c>
      <c r="B1338" s="559">
        <v>2014</v>
      </c>
      <c r="C1338" s="559" t="s">
        <v>277</v>
      </c>
      <c r="D1338" s="559" t="s">
        <v>103</v>
      </c>
      <c r="E1338" s="559" t="s">
        <v>96</v>
      </c>
      <c r="F1338" s="559">
        <v>0</v>
      </c>
      <c r="G1338" s="174"/>
    </row>
    <row r="1339" spans="1:7" x14ac:dyDescent="0.3">
      <c r="A1339" s="559" t="s">
        <v>474</v>
      </c>
      <c r="B1339" s="559">
        <v>2014</v>
      </c>
      <c r="C1339" s="559" t="s">
        <v>278</v>
      </c>
      <c r="D1339" s="559" t="s">
        <v>35</v>
      </c>
      <c r="E1339" s="559" t="s">
        <v>101</v>
      </c>
      <c r="F1339" s="559">
        <v>0</v>
      </c>
      <c r="G1339" s="174"/>
    </row>
    <row r="1340" spans="1:7" x14ac:dyDescent="0.3">
      <c r="A1340" s="559" t="s">
        <v>474</v>
      </c>
      <c r="B1340" s="559">
        <v>2014</v>
      </c>
      <c r="C1340" s="559" t="s">
        <v>279</v>
      </c>
      <c r="D1340" s="559" t="s">
        <v>4</v>
      </c>
      <c r="E1340" s="559" t="s">
        <v>101</v>
      </c>
      <c r="F1340" s="559">
        <v>0</v>
      </c>
      <c r="G1340" s="174"/>
    </row>
    <row r="1341" spans="1:7" x14ac:dyDescent="0.3">
      <c r="A1341" s="559" t="s">
        <v>474</v>
      </c>
      <c r="B1341" s="559">
        <v>2014</v>
      </c>
      <c r="C1341" s="559" t="s">
        <v>280</v>
      </c>
      <c r="D1341" s="559" t="s">
        <v>4</v>
      </c>
      <c r="E1341" s="559" t="s">
        <v>101</v>
      </c>
      <c r="F1341" s="559">
        <v>0</v>
      </c>
      <c r="G1341" s="174"/>
    </row>
    <row r="1342" spans="1:7" x14ac:dyDescent="0.3">
      <c r="A1342" s="559" t="s">
        <v>474</v>
      </c>
      <c r="B1342" s="559">
        <v>2014</v>
      </c>
      <c r="C1342" s="559" t="s">
        <v>281</v>
      </c>
      <c r="D1342" s="559" t="s">
        <v>10</v>
      </c>
      <c r="E1342" s="559" t="s">
        <v>101</v>
      </c>
      <c r="F1342" s="559">
        <v>303326.79800000001</v>
      </c>
      <c r="G1342" s="174"/>
    </row>
    <row r="1343" spans="1:7" x14ac:dyDescent="0.3">
      <c r="A1343" s="559" t="s">
        <v>474</v>
      </c>
      <c r="B1343" s="559">
        <v>2014</v>
      </c>
      <c r="C1343" s="559" t="s">
        <v>282</v>
      </c>
      <c r="D1343" s="559" t="s">
        <v>12</v>
      </c>
      <c r="E1343" s="559" t="s">
        <v>96</v>
      </c>
      <c r="F1343" s="559">
        <v>217015.21099999899</v>
      </c>
      <c r="G1343" s="174"/>
    </row>
    <row r="1344" spans="1:7" x14ac:dyDescent="0.3">
      <c r="A1344" s="559" t="s">
        <v>474</v>
      </c>
      <c r="B1344" s="559">
        <v>2014</v>
      </c>
      <c r="C1344" s="559" t="s">
        <v>283</v>
      </c>
      <c r="D1344" s="559" t="s">
        <v>1</v>
      </c>
      <c r="E1344" s="559" t="s">
        <v>96</v>
      </c>
      <c r="F1344" s="559">
        <v>233852.07800000001</v>
      </c>
      <c r="G1344" s="174"/>
    </row>
    <row r="1345" spans="1:7" x14ac:dyDescent="0.3">
      <c r="A1345" s="559" t="s">
        <v>474</v>
      </c>
      <c r="B1345" s="559">
        <v>2014</v>
      </c>
      <c r="C1345" s="559" t="s">
        <v>284</v>
      </c>
      <c r="D1345" s="559" t="s">
        <v>28</v>
      </c>
      <c r="E1345" s="559" t="s">
        <v>96</v>
      </c>
      <c r="F1345" s="559">
        <v>139344.168999999</v>
      </c>
      <c r="G1345" s="174"/>
    </row>
    <row r="1346" spans="1:7" x14ac:dyDescent="0.3">
      <c r="A1346" s="559" t="s">
        <v>474</v>
      </c>
      <c r="B1346" s="559">
        <v>2014</v>
      </c>
      <c r="C1346" s="559" t="s">
        <v>285</v>
      </c>
      <c r="D1346" s="559" t="s">
        <v>4</v>
      </c>
      <c r="E1346" s="559" t="s">
        <v>96</v>
      </c>
      <c r="F1346" s="559">
        <v>1714.279</v>
      </c>
      <c r="G1346" s="174"/>
    </row>
    <row r="1347" spans="1:7" x14ac:dyDescent="0.3">
      <c r="A1347" s="559" t="s">
        <v>474</v>
      </c>
      <c r="B1347" s="559">
        <v>2014</v>
      </c>
      <c r="C1347" s="559" t="s">
        <v>286</v>
      </c>
      <c r="D1347" s="559" t="s">
        <v>4</v>
      </c>
      <c r="E1347" s="559" t="s">
        <v>101</v>
      </c>
      <c r="F1347" s="559">
        <v>0</v>
      </c>
      <c r="G1347" s="174"/>
    </row>
    <row r="1348" spans="1:7" x14ac:dyDescent="0.3">
      <c r="A1348" s="559" t="s">
        <v>474</v>
      </c>
      <c r="B1348" s="559">
        <v>2014</v>
      </c>
      <c r="C1348" s="559" t="s">
        <v>287</v>
      </c>
      <c r="D1348" s="559" t="s">
        <v>4</v>
      </c>
      <c r="E1348" s="559" t="s">
        <v>101</v>
      </c>
      <c r="F1348" s="559">
        <v>0</v>
      </c>
      <c r="G1348" s="174"/>
    </row>
    <row r="1349" spans="1:7" x14ac:dyDescent="0.3">
      <c r="A1349" s="559" t="s">
        <v>474</v>
      </c>
      <c r="B1349" s="559">
        <v>2014</v>
      </c>
      <c r="C1349" s="559" t="s">
        <v>288</v>
      </c>
      <c r="D1349" s="559" t="s">
        <v>4</v>
      </c>
      <c r="E1349" s="559" t="s">
        <v>101</v>
      </c>
      <c r="F1349" s="559">
        <v>0</v>
      </c>
      <c r="G1349" s="174"/>
    </row>
    <row r="1350" spans="1:7" x14ac:dyDescent="0.3">
      <c r="A1350" s="559" t="s">
        <v>474</v>
      </c>
      <c r="B1350" s="559">
        <v>2014</v>
      </c>
      <c r="C1350" s="559" t="s">
        <v>289</v>
      </c>
      <c r="D1350" s="559" t="s">
        <v>19</v>
      </c>
      <c r="E1350" s="559" t="s">
        <v>96</v>
      </c>
      <c r="F1350" s="559">
        <v>678483.19999999902</v>
      </c>
      <c r="G1350" s="174"/>
    </row>
    <row r="1351" spans="1:7" x14ac:dyDescent="0.3">
      <c r="A1351" s="559" t="s">
        <v>474</v>
      </c>
      <c r="B1351" s="559">
        <v>2014</v>
      </c>
      <c r="C1351" s="559" t="s">
        <v>290</v>
      </c>
      <c r="D1351" s="559" t="s">
        <v>35</v>
      </c>
      <c r="E1351" s="559" t="s">
        <v>101</v>
      </c>
      <c r="F1351" s="559">
        <v>0</v>
      </c>
      <c r="G1351" s="174"/>
    </row>
    <row r="1352" spans="1:7" x14ac:dyDescent="0.3">
      <c r="A1352" s="559" t="s">
        <v>474</v>
      </c>
      <c r="B1352" s="559">
        <v>2014</v>
      </c>
      <c r="C1352" s="559" t="s">
        <v>291</v>
      </c>
      <c r="D1352" s="559" t="s">
        <v>0</v>
      </c>
      <c r="E1352" s="559" t="s">
        <v>96</v>
      </c>
      <c r="F1352" s="559">
        <v>58957.196000000098</v>
      </c>
      <c r="G1352" s="174"/>
    </row>
    <row r="1353" spans="1:7" x14ac:dyDescent="0.3">
      <c r="A1353" s="559" t="s">
        <v>474</v>
      </c>
      <c r="B1353" s="559">
        <v>2014</v>
      </c>
      <c r="C1353" s="559" t="s">
        <v>292</v>
      </c>
      <c r="D1353" s="559" t="s">
        <v>37</v>
      </c>
      <c r="E1353" s="559" t="s">
        <v>96</v>
      </c>
      <c r="F1353" s="559">
        <v>597617.72699999495</v>
      </c>
      <c r="G1353" s="174"/>
    </row>
    <row r="1354" spans="1:7" x14ac:dyDescent="0.3">
      <c r="A1354" s="559" t="s">
        <v>474</v>
      </c>
      <c r="B1354" s="559">
        <v>2014</v>
      </c>
      <c r="C1354" s="559" t="s">
        <v>293</v>
      </c>
      <c r="D1354" s="559" t="s">
        <v>49</v>
      </c>
      <c r="E1354" s="559" t="s">
        <v>96</v>
      </c>
      <c r="F1354" s="559">
        <v>9163.7170000000206</v>
      </c>
      <c r="G1354" s="174"/>
    </row>
    <row r="1355" spans="1:7" x14ac:dyDescent="0.3">
      <c r="A1355" s="559" t="s">
        <v>474</v>
      </c>
      <c r="B1355" s="559">
        <v>2014</v>
      </c>
      <c r="C1355" s="559" t="s">
        <v>294</v>
      </c>
      <c r="D1355" s="559" t="s">
        <v>17</v>
      </c>
      <c r="E1355" s="559" t="s">
        <v>96</v>
      </c>
      <c r="F1355" s="572">
        <v>4355.0480000000498</v>
      </c>
      <c r="G1355" s="174"/>
    </row>
    <row r="1356" spans="1:7" x14ac:dyDescent="0.3">
      <c r="A1356" s="559" t="s">
        <v>474</v>
      </c>
      <c r="B1356" s="559">
        <v>2014</v>
      </c>
      <c r="C1356" s="559" t="s">
        <v>295</v>
      </c>
      <c r="D1356" s="559" t="s">
        <v>17</v>
      </c>
      <c r="E1356" s="559" t="s">
        <v>101</v>
      </c>
      <c r="F1356" s="572">
        <v>0</v>
      </c>
      <c r="G1356" s="174"/>
    </row>
    <row r="1357" spans="1:7" x14ac:dyDescent="0.3">
      <c r="A1357" s="559" t="s">
        <v>474</v>
      </c>
      <c r="B1357" s="559">
        <v>2014</v>
      </c>
      <c r="C1357" s="559" t="s">
        <v>296</v>
      </c>
      <c r="D1357" s="559" t="s">
        <v>37</v>
      </c>
      <c r="E1357" s="559" t="s">
        <v>96</v>
      </c>
      <c r="F1357" s="572">
        <v>841253.84599999699</v>
      </c>
      <c r="G1357" s="174"/>
    </row>
    <row r="1358" spans="1:7" x14ac:dyDescent="0.3">
      <c r="A1358" s="559" t="s">
        <v>474</v>
      </c>
      <c r="B1358" s="559">
        <v>2014</v>
      </c>
      <c r="C1358" s="559" t="s">
        <v>297</v>
      </c>
      <c r="D1358" s="559" t="s">
        <v>28</v>
      </c>
      <c r="E1358" s="559" t="s">
        <v>96</v>
      </c>
      <c r="F1358" s="572">
        <v>139538.86299999899</v>
      </c>
      <c r="G1358" s="174"/>
    </row>
    <row r="1359" spans="1:7" x14ac:dyDescent="0.3">
      <c r="A1359" s="559" t="s">
        <v>474</v>
      </c>
      <c r="B1359" s="559">
        <v>2014</v>
      </c>
      <c r="C1359" s="559" t="s">
        <v>298</v>
      </c>
      <c r="D1359" s="559" t="s">
        <v>28</v>
      </c>
      <c r="E1359" s="559" t="s">
        <v>96</v>
      </c>
      <c r="F1359" s="572">
        <v>402591.08899999998</v>
      </c>
      <c r="G1359" s="174"/>
    </row>
    <row r="1360" spans="1:7" x14ac:dyDescent="0.3">
      <c r="A1360" s="559" t="s">
        <v>474</v>
      </c>
      <c r="B1360" s="559">
        <v>2014</v>
      </c>
      <c r="C1360" s="559" t="s">
        <v>299</v>
      </c>
      <c r="D1360" s="559" t="s">
        <v>35</v>
      </c>
      <c r="E1360" s="559" t="s">
        <v>101</v>
      </c>
      <c r="F1360" s="572">
        <v>0</v>
      </c>
      <c r="G1360" s="174"/>
    </row>
    <row r="1361" spans="1:7" x14ac:dyDescent="0.3">
      <c r="A1361" s="559" t="s">
        <v>474</v>
      </c>
      <c r="B1361" s="559">
        <v>2014</v>
      </c>
      <c r="C1361" s="559" t="s">
        <v>300</v>
      </c>
      <c r="D1361" s="559" t="s">
        <v>4</v>
      </c>
      <c r="E1361" s="559" t="s">
        <v>96</v>
      </c>
      <c r="F1361" s="572">
        <v>0</v>
      </c>
      <c r="G1361" s="174"/>
    </row>
    <row r="1362" spans="1:7" x14ac:dyDescent="0.3">
      <c r="A1362" s="559" t="s">
        <v>474</v>
      </c>
      <c r="B1362" s="559">
        <v>2014</v>
      </c>
      <c r="C1362" s="559" t="s">
        <v>301</v>
      </c>
      <c r="D1362" s="559" t="s">
        <v>4</v>
      </c>
      <c r="E1362" s="559" t="s">
        <v>101</v>
      </c>
      <c r="F1362" s="572">
        <v>0</v>
      </c>
      <c r="G1362" s="174"/>
    </row>
    <row r="1363" spans="1:7" x14ac:dyDescent="0.3">
      <c r="A1363" s="559" t="s">
        <v>474</v>
      </c>
      <c r="B1363" s="559">
        <v>2014</v>
      </c>
      <c r="C1363" s="559" t="s">
        <v>302</v>
      </c>
      <c r="D1363" s="559" t="s">
        <v>4</v>
      </c>
      <c r="E1363" s="559" t="s">
        <v>101</v>
      </c>
      <c r="F1363" s="559">
        <v>0</v>
      </c>
      <c r="G1363" s="174"/>
    </row>
    <row r="1364" spans="1:7" x14ac:dyDescent="0.3">
      <c r="A1364" s="559" t="s">
        <v>474</v>
      </c>
      <c r="B1364" s="559">
        <v>2014</v>
      </c>
      <c r="C1364" s="559" t="s">
        <v>303</v>
      </c>
      <c r="D1364" s="559" t="s">
        <v>0</v>
      </c>
      <c r="E1364" s="559" t="s">
        <v>96</v>
      </c>
      <c r="F1364" s="559">
        <v>298146.07199999999</v>
      </c>
      <c r="G1364" s="174"/>
    </row>
    <row r="1365" spans="1:7" x14ac:dyDescent="0.3">
      <c r="A1365" s="559" t="s">
        <v>474</v>
      </c>
      <c r="B1365" s="559">
        <v>2014</v>
      </c>
      <c r="C1365" s="559" t="s">
        <v>304</v>
      </c>
      <c r="D1365" s="559" t="s">
        <v>10</v>
      </c>
      <c r="E1365" s="559" t="s">
        <v>101</v>
      </c>
      <c r="F1365" s="559">
        <v>0</v>
      </c>
      <c r="G1365" s="174"/>
    </row>
    <row r="1366" spans="1:7" x14ac:dyDescent="0.3">
      <c r="A1366" s="559" t="s">
        <v>474</v>
      </c>
      <c r="B1366" s="559">
        <v>2014</v>
      </c>
      <c r="C1366" s="559" t="s">
        <v>386</v>
      </c>
      <c r="D1366" s="559" t="s">
        <v>0</v>
      </c>
      <c r="E1366" s="559" t="s">
        <v>96</v>
      </c>
      <c r="F1366" s="559">
        <v>13841.300999999899</v>
      </c>
      <c r="G1366" s="174"/>
    </row>
    <row r="1367" spans="1:7" x14ac:dyDescent="0.3">
      <c r="A1367" s="559" t="s">
        <v>474</v>
      </c>
      <c r="B1367" s="559">
        <v>2014</v>
      </c>
      <c r="C1367" s="559" t="s">
        <v>305</v>
      </c>
      <c r="D1367" s="559" t="s">
        <v>10</v>
      </c>
      <c r="E1367" s="559" t="s">
        <v>101</v>
      </c>
      <c r="F1367" s="559">
        <v>0</v>
      </c>
      <c r="G1367" s="174"/>
    </row>
    <row r="1368" spans="1:7" x14ac:dyDescent="0.3">
      <c r="A1368" s="559" t="s">
        <v>474</v>
      </c>
      <c r="B1368" s="559">
        <v>2014</v>
      </c>
      <c r="C1368" s="559" t="s">
        <v>306</v>
      </c>
      <c r="D1368" s="559" t="s">
        <v>11</v>
      </c>
      <c r="E1368" s="559" t="s">
        <v>96</v>
      </c>
      <c r="F1368" s="559">
        <v>4385.98199999998</v>
      </c>
      <c r="G1368" s="174"/>
    </row>
    <row r="1369" spans="1:7" x14ac:dyDescent="0.3">
      <c r="A1369" s="559" t="s">
        <v>474</v>
      </c>
      <c r="B1369" s="559">
        <v>2014</v>
      </c>
      <c r="C1369" s="559" t="s">
        <v>307</v>
      </c>
      <c r="D1369" s="559" t="s">
        <v>40</v>
      </c>
      <c r="E1369" s="559" t="s">
        <v>96</v>
      </c>
      <c r="F1369" s="559">
        <v>353507.860999998</v>
      </c>
      <c r="G1369" s="174"/>
    </row>
    <row r="1370" spans="1:7" x14ac:dyDescent="0.3">
      <c r="A1370" s="559" t="s">
        <v>474</v>
      </c>
      <c r="B1370" s="559">
        <v>2014</v>
      </c>
      <c r="C1370" s="559" t="s">
        <v>308</v>
      </c>
      <c r="D1370" s="559" t="s">
        <v>10</v>
      </c>
      <c r="E1370" s="559" t="s">
        <v>110</v>
      </c>
      <c r="F1370" s="559">
        <v>0</v>
      </c>
      <c r="G1370" s="174"/>
    </row>
    <row r="1371" spans="1:7" x14ac:dyDescent="0.3">
      <c r="A1371" s="559" t="s">
        <v>474</v>
      </c>
      <c r="B1371" s="559">
        <v>2014</v>
      </c>
      <c r="C1371" s="559" t="s">
        <v>308</v>
      </c>
      <c r="D1371" s="559" t="s">
        <v>10</v>
      </c>
      <c r="E1371" s="559" t="s">
        <v>96</v>
      </c>
      <c r="F1371" s="559">
        <v>678.28517882689698</v>
      </c>
      <c r="G1371" s="174"/>
    </row>
    <row r="1372" spans="1:7" x14ac:dyDescent="0.3">
      <c r="A1372" s="559" t="s">
        <v>474</v>
      </c>
      <c r="B1372" s="559">
        <v>2014</v>
      </c>
      <c r="C1372" s="559" t="s">
        <v>308</v>
      </c>
      <c r="D1372" s="559" t="s">
        <v>32</v>
      </c>
      <c r="E1372" s="559" t="s">
        <v>96</v>
      </c>
      <c r="F1372" s="559">
        <v>51498.362000000103</v>
      </c>
      <c r="G1372" s="174"/>
    </row>
    <row r="1373" spans="1:7" x14ac:dyDescent="0.3">
      <c r="A1373" s="559" t="s">
        <v>474</v>
      </c>
      <c r="B1373" s="559">
        <v>2014</v>
      </c>
      <c r="C1373" s="559" t="s">
        <v>309</v>
      </c>
      <c r="D1373" s="559" t="s">
        <v>10</v>
      </c>
      <c r="E1373" s="559" t="s">
        <v>101</v>
      </c>
      <c r="F1373" s="559">
        <v>0</v>
      </c>
      <c r="G1373" s="174"/>
    </row>
    <row r="1374" spans="1:7" x14ac:dyDescent="0.3">
      <c r="A1374" s="559" t="s">
        <v>474</v>
      </c>
      <c r="B1374" s="559">
        <v>2014</v>
      </c>
      <c r="C1374" s="559" t="s">
        <v>310</v>
      </c>
      <c r="D1374" s="559" t="s">
        <v>28</v>
      </c>
      <c r="E1374" s="559" t="s">
        <v>96</v>
      </c>
      <c r="F1374" s="559">
        <v>138811.66200000001</v>
      </c>
      <c r="G1374" s="174"/>
    </row>
    <row r="1375" spans="1:7" x14ac:dyDescent="0.3">
      <c r="A1375" s="559" t="s">
        <v>474</v>
      </c>
      <c r="B1375" s="559">
        <v>2014</v>
      </c>
      <c r="C1375" s="559" t="s">
        <v>311</v>
      </c>
      <c r="D1375" s="559" t="s">
        <v>0</v>
      </c>
      <c r="E1375" s="559" t="s">
        <v>96</v>
      </c>
      <c r="F1375" s="559">
        <v>254369.47700000001</v>
      </c>
      <c r="G1375" s="174"/>
    </row>
    <row r="1376" spans="1:7" x14ac:dyDescent="0.3">
      <c r="A1376" s="559" t="s">
        <v>474</v>
      </c>
      <c r="B1376" s="559">
        <v>2014</v>
      </c>
      <c r="C1376" s="559" t="s">
        <v>312</v>
      </c>
      <c r="D1376" s="559" t="s">
        <v>49</v>
      </c>
      <c r="E1376" s="559" t="s">
        <v>96</v>
      </c>
      <c r="F1376" s="559">
        <v>14068.273999999999</v>
      </c>
      <c r="G1376" s="174"/>
    </row>
    <row r="1377" spans="1:7" x14ac:dyDescent="0.3">
      <c r="A1377" s="559" t="s">
        <v>474</v>
      </c>
      <c r="B1377" s="559">
        <v>2014</v>
      </c>
      <c r="C1377" s="559" t="s">
        <v>313</v>
      </c>
      <c r="D1377" s="559" t="s">
        <v>38</v>
      </c>
      <c r="E1377" s="559" t="s">
        <v>96</v>
      </c>
      <c r="F1377" s="559">
        <v>331048.02600000001</v>
      </c>
      <c r="G1377" s="174"/>
    </row>
    <row r="1378" spans="1:7" x14ac:dyDescent="0.3">
      <c r="A1378" s="559" t="s">
        <v>474</v>
      </c>
      <c r="B1378" s="559">
        <v>2014</v>
      </c>
      <c r="C1378" s="559" t="s">
        <v>314</v>
      </c>
      <c r="D1378" s="559" t="s">
        <v>32</v>
      </c>
      <c r="E1378" s="559" t="s">
        <v>96</v>
      </c>
      <c r="F1378" s="559">
        <v>0</v>
      </c>
      <c r="G1378" s="174"/>
    </row>
    <row r="1379" spans="1:7" x14ac:dyDescent="0.3">
      <c r="A1379" s="559" t="s">
        <v>474</v>
      </c>
      <c r="B1379" s="559">
        <v>2014</v>
      </c>
      <c r="C1379" s="559" t="s">
        <v>314</v>
      </c>
      <c r="D1379" s="559" t="s">
        <v>42</v>
      </c>
      <c r="E1379" s="559" t="s">
        <v>96</v>
      </c>
      <c r="F1379" s="559">
        <v>0</v>
      </c>
      <c r="G1379" s="174"/>
    </row>
    <row r="1380" spans="1:7" x14ac:dyDescent="0.3">
      <c r="A1380" s="559" t="s">
        <v>474</v>
      </c>
      <c r="B1380" s="559">
        <v>2014</v>
      </c>
      <c r="C1380" s="559" t="s">
        <v>315</v>
      </c>
      <c r="D1380" s="559" t="s">
        <v>49</v>
      </c>
      <c r="E1380" s="559" t="s">
        <v>96</v>
      </c>
      <c r="F1380" s="559">
        <v>1502.3820000000001</v>
      </c>
      <c r="G1380" s="174"/>
    </row>
    <row r="1381" spans="1:7" x14ac:dyDescent="0.3">
      <c r="A1381" s="559" t="s">
        <v>474</v>
      </c>
      <c r="B1381" s="559">
        <v>2014</v>
      </c>
      <c r="C1381" s="559" t="s">
        <v>316</v>
      </c>
      <c r="D1381" s="559" t="s">
        <v>36</v>
      </c>
      <c r="E1381" s="559" t="s">
        <v>96</v>
      </c>
      <c r="F1381" s="559">
        <v>41049.839</v>
      </c>
      <c r="G1381" s="174"/>
    </row>
    <row r="1382" spans="1:7" x14ac:dyDescent="0.3">
      <c r="A1382" s="559" t="s">
        <v>474</v>
      </c>
      <c r="B1382" s="559">
        <v>2014</v>
      </c>
      <c r="C1382" s="559" t="s">
        <v>317</v>
      </c>
      <c r="D1382" s="559" t="s">
        <v>7</v>
      </c>
      <c r="E1382" s="559" t="s">
        <v>96</v>
      </c>
      <c r="F1382" s="559">
        <v>0</v>
      </c>
      <c r="G1382" s="174"/>
    </row>
    <row r="1383" spans="1:7" x14ac:dyDescent="0.3">
      <c r="A1383" s="559" t="s">
        <v>474</v>
      </c>
      <c r="B1383" s="559">
        <v>2014</v>
      </c>
      <c r="C1383" s="559" t="s">
        <v>317</v>
      </c>
      <c r="D1383" s="559" t="s">
        <v>10</v>
      </c>
      <c r="E1383" s="559" t="s">
        <v>96</v>
      </c>
      <c r="F1383" s="572">
        <v>0</v>
      </c>
      <c r="G1383" s="174"/>
    </row>
    <row r="1384" spans="1:7" x14ac:dyDescent="0.3">
      <c r="A1384" s="559" t="s">
        <v>474</v>
      </c>
      <c r="B1384" s="559">
        <v>2014</v>
      </c>
      <c r="C1384" s="559" t="s">
        <v>318</v>
      </c>
      <c r="D1384" s="559" t="s">
        <v>10</v>
      </c>
      <c r="E1384" s="559" t="s">
        <v>101</v>
      </c>
      <c r="F1384" s="572">
        <v>143169.799999999</v>
      </c>
      <c r="G1384" s="174"/>
    </row>
    <row r="1385" spans="1:7" x14ac:dyDescent="0.3">
      <c r="A1385" s="559" t="s">
        <v>474</v>
      </c>
      <c r="B1385" s="559">
        <v>2014</v>
      </c>
      <c r="C1385" s="559" t="s">
        <v>319</v>
      </c>
      <c r="D1385" s="559" t="s">
        <v>10</v>
      </c>
      <c r="E1385" s="559" t="s">
        <v>101</v>
      </c>
      <c r="F1385" s="572">
        <v>217280.19799999901</v>
      </c>
      <c r="G1385" s="174"/>
    </row>
    <row r="1386" spans="1:7" x14ac:dyDescent="0.3">
      <c r="A1386" s="559" t="s">
        <v>474</v>
      </c>
      <c r="B1386" s="559">
        <v>2014</v>
      </c>
      <c r="C1386" s="559" t="s">
        <v>320</v>
      </c>
      <c r="D1386" s="559" t="s">
        <v>10</v>
      </c>
      <c r="E1386" s="559" t="s">
        <v>101</v>
      </c>
      <c r="F1386" s="572">
        <v>296898.66099999798</v>
      </c>
      <c r="G1386" s="174"/>
    </row>
    <row r="1387" spans="1:7" x14ac:dyDescent="0.3">
      <c r="A1387" s="559" t="s">
        <v>474</v>
      </c>
      <c r="B1387" s="559">
        <v>2014</v>
      </c>
      <c r="C1387" s="559" t="s">
        <v>321</v>
      </c>
      <c r="D1387" s="559" t="s">
        <v>35</v>
      </c>
      <c r="E1387" s="559" t="s">
        <v>110</v>
      </c>
      <c r="F1387" s="572">
        <v>0</v>
      </c>
      <c r="G1387" s="174"/>
    </row>
    <row r="1388" spans="1:7" x14ac:dyDescent="0.3">
      <c r="A1388" s="559" t="s">
        <v>474</v>
      </c>
      <c r="B1388" s="559">
        <v>2014</v>
      </c>
      <c r="C1388" s="559" t="s">
        <v>321</v>
      </c>
      <c r="D1388" s="559" t="s">
        <v>103</v>
      </c>
      <c r="E1388" s="559" t="s">
        <v>96</v>
      </c>
      <c r="F1388" s="572">
        <v>157.68599999999901</v>
      </c>
      <c r="G1388" s="174"/>
    </row>
    <row r="1389" spans="1:7" x14ac:dyDescent="0.3">
      <c r="A1389" s="559" t="s">
        <v>474</v>
      </c>
      <c r="B1389" s="559">
        <v>2014</v>
      </c>
      <c r="C1389" s="559" t="s">
        <v>322</v>
      </c>
      <c r="D1389" s="559" t="s">
        <v>39</v>
      </c>
      <c r="E1389" s="559" t="s">
        <v>96</v>
      </c>
      <c r="F1389" s="572">
        <v>790952.23900000402</v>
      </c>
      <c r="G1389" s="174"/>
    </row>
    <row r="1390" spans="1:7" x14ac:dyDescent="0.3">
      <c r="A1390" s="559" t="s">
        <v>474</v>
      </c>
      <c r="B1390" s="559">
        <v>2014</v>
      </c>
      <c r="C1390" s="559" t="s">
        <v>323</v>
      </c>
      <c r="D1390" s="559" t="s">
        <v>4</v>
      </c>
      <c r="E1390" s="559" t="s">
        <v>101</v>
      </c>
      <c r="F1390" s="572">
        <v>0</v>
      </c>
      <c r="G1390" s="174"/>
    </row>
    <row r="1391" spans="1:7" x14ac:dyDescent="0.3">
      <c r="A1391" s="559" t="s">
        <v>474</v>
      </c>
      <c r="B1391" s="559">
        <v>2014</v>
      </c>
      <c r="C1391" s="559" t="s">
        <v>324</v>
      </c>
      <c r="D1391" s="559" t="s">
        <v>14</v>
      </c>
      <c r="E1391" s="559" t="s">
        <v>110</v>
      </c>
      <c r="F1391" s="572">
        <v>0</v>
      </c>
      <c r="G1391" s="174"/>
    </row>
    <row r="1392" spans="1:7" x14ac:dyDescent="0.3">
      <c r="A1392" s="559" t="s">
        <v>474</v>
      </c>
      <c r="B1392" s="559">
        <v>2014</v>
      </c>
      <c r="C1392" s="559" t="s">
        <v>325</v>
      </c>
      <c r="D1392" s="559" t="s">
        <v>52</v>
      </c>
      <c r="E1392" s="559" t="s">
        <v>96</v>
      </c>
      <c r="F1392" s="572">
        <v>3370474.57500001</v>
      </c>
      <c r="G1392" s="174"/>
    </row>
    <row r="1393" spans="1:7" x14ac:dyDescent="0.3">
      <c r="A1393" s="559" t="s">
        <v>474</v>
      </c>
      <c r="B1393" s="559">
        <v>2014</v>
      </c>
      <c r="C1393" s="559" t="s">
        <v>326</v>
      </c>
      <c r="D1393" s="559" t="s">
        <v>0</v>
      </c>
      <c r="E1393" s="559" t="s">
        <v>96</v>
      </c>
      <c r="F1393" s="559">
        <v>12115.387119245899</v>
      </c>
      <c r="G1393" s="174"/>
    </row>
    <row r="1394" spans="1:7" x14ac:dyDescent="0.3">
      <c r="A1394" s="559" t="s">
        <v>474</v>
      </c>
      <c r="B1394" s="559">
        <v>2014</v>
      </c>
      <c r="C1394" s="559" t="s">
        <v>326</v>
      </c>
      <c r="D1394" s="559" t="s">
        <v>14</v>
      </c>
      <c r="E1394" s="559" t="s">
        <v>96</v>
      </c>
      <c r="F1394" s="559">
        <v>3256.2208198158701</v>
      </c>
      <c r="G1394" s="174"/>
    </row>
    <row r="1395" spans="1:7" x14ac:dyDescent="0.3">
      <c r="A1395" s="559" t="s">
        <v>474</v>
      </c>
      <c r="B1395" s="559">
        <v>2014</v>
      </c>
      <c r="C1395" s="559" t="s">
        <v>326</v>
      </c>
      <c r="D1395" s="559" t="s">
        <v>20</v>
      </c>
      <c r="E1395" s="559" t="s">
        <v>96</v>
      </c>
      <c r="F1395" s="559">
        <v>10240.253060938099</v>
      </c>
      <c r="G1395" s="174"/>
    </row>
    <row r="1396" spans="1:7" x14ac:dyDescent="0.3">
      <c r="A1396" s="559" t="s">
        <v>474</v>
      </c>
      <c r="B1396" s="559">
        <v>2014</v>
      </c>
      <c r="C1396" s="559" t="s">
        <v>327</v>
      </c>
      <c r="D1396" s="559" t="s">
        <v>40</v>
      </c>
      <c r="E1396" s="559" t="s">
        <v>96</v>
      </c>
      <c r="F1396" s="559">
        <v>115813.897999999</v>
      </c>
      <c r="G1396" s="174"/>
    </row>
    <row r="1397" spans="1:7" x14ac:dyDescent="0.3">
      <c r="A1397" s="559" t="s">
        <v>474</v>
      </c>
      <c r="B1397" s="559">
        <v>2014</v>
      </c>
      <c r="C1397" s="559" t="s">
        <v>328</v>
      </c>
      <c r="D1397" s="559" t="s">
        <v>11</v>
      </c>
      <c r="E1397" s="559" t="s">
        <v>96</v>
      </c>
      <c r="F1397" s="559">
        <v>35122.659000000102</v>
      </c>
      <c r="G1397" s="174"/>
    </row>
    <row r="1398" spans="1:7" x14ac:dyDescent="0.3">
      <c r="A1398" s="559" t="s">
        <v>474</v>
      </c>
      <c r="B1398" s="559">
        <v>2014</v>
      </c>
      <c r="C1398" s="559" t="s">
        <v>329</v>
      </c>
      <c r="D1398" s="559" t="s">
        <v>31</v>
      </c>
      <c r="E1398" s="559" t="s">
        <v>96</v>
      </c>
      <c r="F1398" s="559">
        <v>13207.842999999901</v>
      </c>
      <c r="G1398" s="174"/>
    </row>
    <row r="1399" spans="1:7" x14ac:dyDescent="0.3">
      <c r="A1399" s="559" t="s">
        <v>474</v>
      </c>
      <c r="B1399" s="559">
        <v>2014</v>
      </c>
      <c r="C1399" s="559" t="s">
        <v>330</v>
      </c>
      <c r="D1399" s="559" t="s">
        <v>14</v>
      </c>
      <c r="E1399" s="559" t="s">
        <v>110</v>
      </c>
      <c r="F1399" s="559">
        <v>0</v>
      </c>
      <c r="G1399" s="174"/>
    </row>
    <row r="1400" spans="1:7" x14ac:dyDescent="0.3">
      <c r="A1400" s="559" t="s">
        <v>474</v>
      </c>
      <c r="B1400" s="559">
        <v>2014</v>
      </c>
      <c r="C1400" s="559" t="s">
        <v>330</v>
      </c>
      <c r="D1400" s="559" t="s">
        <v>14</v>
      </c>
      <c r="E1400" s="559" t="s">
        <v>96</v>
      </c>
      <c r="F1400" s="559">
        <v>301.51</v>
      </c>
      <c r="G1400" s="174"/>
    </row>
    <row r="1401" spans="1:7" x14ac:dyDescent="0.3">
      <c r="A1401" s="559" t="s">
        <v>474</v>
      </c>
      <c r="B1401" s="559">
        <v>2014</v>
      </c>
      <c r="C1401" s="559" t="s">
        <v>331</v>
      </c>
      <c r="D1401" s="559" t="s">
        <v>37</v>
      </c>
      <c r="E1401" s="559" t="s">
        <v>96</v>
      </c>
      <c r="F1401" s="559">
        <v>293895.87299999798</v>
      </c>
      <c r="G1401" s="174"/>
    </row>
    <row r="1402" spans="1:7" x14ac:dyDescent="0.3">
      <c r="A1402" s="559" t="s">
        <v>474</v>
      </c>
      <c r="B1402" s="559">
        <v>2014</v>
      </c>
      <c r="C1402" s="559" t="s">
        <v>332</v>
      </c>
      <c r="D1402" s="559" t="s">
        <v>28</v>
      </c>
      <c r="E1402" s="559" t="s">
        <v>96</v>
      </c>
      <c r="F1402" s="559">
        <v>142342.63699999999</v>
      </c>
      <c r="G1402" s="174"/>
    </row>
    <row r="1403" spans="1:7" x14ac:dyDescent="0.3">
      <c r="A1403" s="559" t="s">
        <v>474</v>
      </c>
      <c r="B1403" s="559">
        <v>2014</v>
      </c>
      <c r="C1403" s="559" t="s">
        <v>333</v>
      </c>
      <c r="D1403" s="559" t="s">
        <v>4</v>
      </c>
      <c r="E1403" s="559" t="s">
        <v>96</v>
      </c>
      <c r="F1403" s="559">
        <v>0</v>
      </c>
      <c r="G1403" s="174"/>
    </row>
    <row r="1404" spans="1:7" x14ac:dyDescent="0.3">
      <c r="A1404" s="559" t="s">
        <v>474</v>
      </c>
      <c r="B1404" s="559">
        <v>2014</v>
      </c>
      <c r="C1404" s="559" t="s">
        <v>333</v>
      </c>
      <c r="D1404" s="559" t="s">
        <v>26</v>
      </c>
      <c r="E1404" s="559" t="s">
        <v>96</v>
      </c>
      <c r="F1404" s="559">
        <v>0</v>
      </c>
      <c r="G1404" s="174"/>
    </row>
    <row r="1405" spans="1:7" x14ac:dyDescent="0.3">
      <c r="A1405" s="559" t="s">
        <v>474</v>
      </c>
      <c r="B1405" s="559">
        <v>2014</v>
      </c>
      <c r="C1405" s="559" t="s">
        <v>334</v>
      </c>
      <c r="D1405" s="559" t="s">
        <v>4</v>
      </c>
      <c r="E1405" s="559" t="s">
        <v>96</v>
      </c>
      <c r="F1405" s="559">
        <v>0</v>
      </c>
      <c r="G1405" s="174"/>
    </row>
    <row r="1406" spans="1:7" x14ac:dyDescent="0.3">
      <c r="A1406" s="559" t="s">
        <v>474</v>
      </c>
      <c r="B1406" s="559">
        <v>2014</v>
      </c>
      <c r="C1406" s="559" t="s">
        <v>335</v>
      </c>
      <c r="D1406" s="559" t="s">
        <v>4</v>
      </c>
      <c r="E1406" s="559" t="s">
        <v>101</v>
      </c>
      <c r="F1406" s="559">
        <v>45719.726999999999</v>
      </c>
      <c r="G1406" s="174"/>
    </row>
    <row r="1407" spans="1:7" x14ac:dyDescent="0.3">
      <c r="A1407" s="559" t="s">
        <v>474</v>
      </c>
      <c r="B1407" s="559">
        <v>2014</v>
      </c>
      <c r="C1407" s="559" t="s">
        <v>336</v>
      </c>
      <c r="D1407" s="559" t="s">
        <v>28</v>
      </c>
      <c r="E1407" s="559" t="s">
        <v>96</v>
      </c>
      <c r="F1407" s="559">
        <v>347962.57</v>
      </c>
      <c r="G1407" s="174"/>
    </row>
    <row r="1408" spans="1:7" x14ac:dyDescent="0.3">
      <c r="A1408" s="559" t="s">
        <v>474</v>
      </c>
      <c r="B1408" s="559">
        <v>2014</v>
      </c>
      <c r="C1408" s="559" t="s">
        <v>337</v>
      </c>
      <c r="D1408" s="559" t="s">
        <v>40</v>
      </c>
      <c r="E1408" s="559" t="s">
        <v>96</v>
      </c>
      <c r="F1408" s="559">
        <v>217389.87100000001</v>
      </c>
      <c r="G1408" s="174"/>
    </row>
    <row r="1409" spans="1:7" x14ac:dyDescent="0.3">
      <c r="A1409" s="559" t="s">
        <v>474</v>
      </c>
      <c r="B1409" s="559">
        <v>2014</v>
      </c>
      <c r="C1409" s="559" t="s">
        <v>338</v>
      </c>
      <c r="D1409" s="559" t="s">
        <v>37</v>
      </c>
      <c r="E1409" s="559" t="s">
        <v>96</v>
      </c>
      <c r="F1409" s="559">
        <v>815482.148999998</v>
      </c>
      <c r="G1409" s="174"/>
    </row>
    <row r="1410" spans="1:7" x14ac:dyDescent="0.3">
      <c r="A1410" s="559" t="s">
        <v>474</v>
      </c>
      <c r="B1410" s="559">
        <v>2014</v>
      </c>
      <c r="C1410" s="559" t="s">
        <v>339</v>
      </c>
      <c r="D1410" s="559" t="s">
        <v>51</v>
      </c>
      <c r="E1410" s="559" t="s">
        <v>96</v>
      </c>
      <c r="F1410" s="559">
        <v>80958.650999999998</v>
      </c>
      <c r="G1410" s="174"/>
    </row>
    <row r="1411" spans="1:7" x14ac:dyDescent="0.3">
      <c r="A1411" s="559" t="s">
        <v>474</v>
      </c>
      <c r="B1411" s="559">
        <v>2014</v>
      </c>
      <c r="C1411" s="559" t="s">
        <v>340</v>
      </c>
      <c r="D1411" s="559" t="s">
        <v>680</v>
      </c>
      <c r="E1411" s="559" t="s">
        <v>101</v>
      </c>
      <c r="F1411" s="559">
        <v>0</v>
      </c>
      <c r="G1411" s="174"/>
    </row>
    <row r="1412" spans="1:7" x14ac:dyDescent="0.3">
      <c r="A1412" s="559" t="s">
        <v>474</v>
      </c>
      <c r="B1412" s="559">
        <v>2014</v>
      </c>
      <c r="C1412" s="559" t="s">
        <v>341</v>
      </c>
      <c r="D1412" s="559" t="s">
        <v>17</v>
      </c>
      <c r="E1412" s="559" t="s">
        <v>101</v>
      </c>
      <c r="F1412" s="559">
        <v>0</v>
      </c>
      <c r="G1412" s="174"/>
    </row>
    <row r="1413" spans="1:7" x14ac:dyDescent="0.3">
      <c r="A1413" s="559" t="s">
        <v>474</v>
      </c>
      <c r="B1413" s="559">
        <v>2014</v>
      </c>
      <c r="C1413" s="559" t="s">
        <v>342</v>
      </c>
      <c r="D1413" s="559" t="s">
        <v>28</v>
      </c>
      <c r="E1413" s="559" t="s">
        <v>96</v>
      </c>
      <c r="F1413" s="559">
        <v>330322.94500000001</v>
      </c>
      <c r="G1413" s="174"/>
    </row>
    <row r="1414" spans="1:7" x14ac:dyDescent="0.3">
      <c r="A1414" s="559" t="s">
        <v>474</v>
      </c>
      <c r="B1414" s="559">
        <v>2014</v>
      </c>
      <c r="C1414" s="559" t="s">
        <v>343</v>
      </c>
      <c r="D1414" s="559" t="s">
        <v>17</v>
      </c>
      <c r="E1414" s="559" t="s">
        <v>101</v>
      </c>
      <c r="F1414" s="559">
        <v>0</v>
      </c>
      <c r="G1414" s="174"/>
    </row>
    <row r="1415" spans="1:7" x14ac:dyDescent="0.3">
      <c r="A1415" s="559" t="s">
        <v>474</v>
      </c>
      <c r="B1415" s="559">
        <v>2014</v>
      </c>
      <c r="C1415" s="559" t="s">
        <v>344</v>
      </c>
      <c r="D1415" s="559" t="s">
        <v>12</v>
      </c>
      <c r="E1415" s="559" t="s">
        <v>96</v>
      </c>
      <c r="F1415" s="559">
        <v>33290.758999999904</v>
      </c>
      <c r="G1415" s="174"/>
    </row>
    <row r="1416" spans="1:7" x14ac:dyDescent="0.3">
      <c r="A1416" s="559" t="s">
        <v>474</v>
      </c>
      <c r="B1416" s="559">
        <v>2014</v>
      </c>
      <c r="C1416" s="559" t="s">
        <v>345</v>
      </c>
      <c r="D1416" s="559" t="s">
        <v>12</v>
      </c>
      <c r="E1416" s="559" t="s">
        <v>96</v>
      </c>
      <c r="F1416" s="559">
        <v>22823.100999999999</v>
      </c>
      <c r="G1416" s="174"/>
    </row>
    <row r="1417" spans="1:7" x14ac:dyDescent="0.3">
      <c r="A1417" s="559" t="s">
        <v>474</v>
      </c>
      <c r="B1417" s="559">
        <v>2014</v>
      </c>
      <c r="C1417" s="559" t="s">
        <v>346</v>
      </c>
      <c r="D1417" s="559" t="s">
        <v>2</v>
      </c>
      <c r="E1417" s="559" t="s">
        <v>96</v>
      </c>
      <c r="F1417" s="559">
        <v>46159.788</v>
      </c>
      <c r="G1417" s="174"/>
    </row>
    <row r="1418" spans="1:7" x14ac:dyDescent="0.3">
      <c r="A1418" s="559" t="s">
        <v>474</v>
      </c>
      <c r="B1418" s="559">
        <v>2014</v>
      </c>
      <c r="C1418" s="559" t="s">
        <v>347</v>
      </c>
      <c r="D1418" s="559" t="s">
        <v>68</v>
      </c>
      <c r="E1418" s="559" t="s">
        <v>96</v>
      </c>
      <c r="F1418" s="572">
        <v>107910.125999999</v>
      </c>
      <c r="G1418" s="174"/>
    </row>
    <row r="1419" spans="1:7" x14ac:dyDescent="0.3">
      <c r="A1419" s="559" t="s">
        <v>474</v>
      </c>
      <c r="B1419" s="559">
        <v>2014</v>
      </c>
      <c r="C1419" s="559" t="s">
        <v>348</v>
      </c>
      <c r="D1419" s="559" t="s">
        <v>37</v>
      </c>
      <c r="E1419" s="559" t="s">
        <v>96</v>
      </c>
      <c r="F1419" s="572">
        <v>356998.44299999799</v>
      </c>
      <c r="G1419" s="174"/>
    </row>
    <row r="1420" spans="1:7" x14ac:dyDescent="0.3">
      <c r="A1420" s="559" t="s">
        <v>474</v>
      </c>
      <c r="B1420" s="559">
        <v>2014</v>
      </c>
      <c r="C1420" s="559" t="s">
        <v>349</v>
      </c>
      <c r="D1420" s="559" t="s">
        <v>36</v>
      </c>
      <c r="E1420" s="559" t="s">
        <v>96</v>
      </c>
      <c r="F1420" s="572">
        <v>0</v>
      </c>
      <c r="G1420" s="174"/>
    </row>
    <row r="1421" spans="1:7" x14ac:dyDescent="0.3">
      <c r="A1421" s="559" t="s">
        <v>474</v>
      </c>
      <c r="B1421" s="559">
        <v>2014</v>
      </c>
      <c r="C1421" s="559" t="s">
        <v>350</v>
      </c>
      <c r="D1421" s="559" t="s">
        <v>17</v>
      </c>
      <c r="E1421" s="559" t="s">
        <v>101</v>
      </c>
      <c r="F1421" s="572">
        <v>253501.02499999799</v>
      </c>
      <c r="G1421" s="174"/>
    </row>
    <row r="1422" spans="1:7" x14ac:dyDescent="0.3">
      <c r="A1422" s="559" t="s">
        <v>474</v>
      </c>
      <c r="B1422" s="559">
        <v>2014</v>
      </c>
      <c r="C1422" s="559" t="s">
        <v>351</v>
      </c>
      <c r="D1422" s="559" t="s">
        <v>4</v>
      </c>
      <c r="E1422" s="559" t="s">
        <v>101</v>
      </c>
      <c r="F1422" s="559">
        <v>226514.17499999999</v>
      </c>
      <c r="G1422" s="174"/>
    </row>
    <row r="1423" spans="1:7" x14ac:dyDescent="0.3">
      <c r="A1423" s="559" t="s">
        <v>474</v>
      </c>
      <c r="B1423" s="559">
        <v>2014</v>
      </c>
      <c r="C1423" s="559" t="s">
        <v>352</v>
      </c>
      <c r="D1423" s="559" t="s">
        <v>4</v>
      </c>
      <c r="E1423" s="559" t="s">
        <v>101</v>
      </c>
      <c r="F1423" s="559">
        <v>1793589.8430000001</v>
      </c>
      <c r="G1423" s="174"/>
    </row>
    <row r="1424" spans="1:7" x14ac:dyDescent="0.3">
      <c r="A1424" s="559" t="s">
        <v>474</v>
      </c>
      <c r="B1424" s="559">
        <v>2014</v>
      </c>
      <c r="C1424" s="559" t="s">
        <v>353</v>
      </c>
      <c r="D1424" s="559" t="s">
        <v>20</v>
      </c>
      <c r="E1424" s="559" t="s">
        <v>96</v>
      </c>
      <c r="F1424" s="559">
        <v>13693.3209999999</v>
      </c>
      <c r="G1424" s="174"/>
    </row>
    <row r="1425" spans="1:7" x14ac:dyDescent="0.3">
      <c r="A1425" s="559" t="s">
        <v>474</v>
      </c>
      <c r="B1425" s="559">
        <v>2014</v>
      </c>
      <c r="C1425" s="559" t="s">
        <v>354</v>
      </c>
      <c r="D1425" s="559" t="s">
        <v>14</v>
      </c>
      <c r="E1425" s="559" t="s">
        <v>101</v>
      </c>
      <c r="F1425" s="559">
        <v>0</v>
      </c>
      <c r="G1425" s="174"/>
    </row>
    <row r="1426" spans="1:7" x14ac:dyDescent="0.3">
      <c r="A1426" s="559" t="s">
        <v>474</v>
      </c>
      <c r="B1426" s="559">
        <v>2014</v>
      </c>
      <c r="C1426" s="559" t="s">
        <v>355</v>
      </c>
      <c r="D1426" s="559" t="s">
        <v>36</v>
      </c>
      <c r="E1426" s="559" t="s">
        <v>96</v>
      </c>
      <c r="F1426" s="559">
        <v>0</v>
      </c>
      <c r="G1426" s="174"/>
    </row>
    <row r="1427" spans="1:7" x14ac:dyDescent="0.3">
      <c r="A1427" s="559" t="s">
        <v>474</v>
      </c>
      <c r="B1427" s="559">
        <v>2014</v>
      </c>
      <c r="C1427" s="559" t="s">
        <v>356</v>
      </c>
      <c r="D1427" s="559" t="s">
        <v>28</v>
      </c>
      <c r="E1427" s="559" t="s">
        <v>96</v>
      </c>
      <c r="F1427" s="559">
        <v>25226.174999999999</v>
      </c>
      <c r="G1427" s="174"/>
    </row>
    <row r="1428" spans="1:7" x14ac:dyDescent="0.3">
      <c r="A1428" s="559" t="s">
        <v>474</v>
      </c>
      <c r="B1428" s="559">
        <v>2014</v>
      </c>
      <c r="C1428" s="559" t="s">
        <v>357</v>
      </c>
      <c r="D1428" s="559" t="s">
        <v>14</v>
      </c>
      <c r="E1428" s="559" t="s">
        <v>110</v>
      </c>
      <c r="F1428" s="559">
        <v>0</v>
      </c>
      <c r="G1428" s="174"/>
    </row>
    <row r="1429" spans="1:7" x14ac:dyDescent="0.3">
      <c r="A1429" s="559" t="s">
        <v>474</v>
      </c>
      <c r="B1429" s="559">
        <v>2014</v>
      </c>
      <c r="C1429" s="559" t="s">
        <v>357</v>
      </c>
      <c r="D1429" s="559" t="s">
        <v>14</v>
      </c>
      <c r="E1429" s="559" t="s">
        <v>96</v>
      </c>
      <c r="F1429" s="559">
        <v>219.69499999999999</v>
      </c>
      <c r="G1429" s="174"/>
    </row>
    <row r="1430" spans="1:7" x14ac:dyDescent="0.3">
      <c r="A1430" s="559" t="s">
        <v>474</v>
      </c>
      <c r="B1430" s="559">
        <v>2014</v>
      </c>
      <c r="C1430" s="559" t="s">
        <v>358</v>
      </c>
      <c r="D1430" s="559" t="s">
        <v>14</v>
      </c>
      <c r="E1430" s="559" t="s">
        <v>110</v>
      </c>
      <c r="F1430" s="559">
        <v>0</v>
      </c>
      <c r="G1430" s="174"/>
    </row>
    <row r="1431" spans="1:7" x14ac:dyDescent="0.3">
      <c r="A1431" s="559" t="s">
        <v>474</v>
      </c>
      <c r="B1431" s="559">
        <v>2014</v>
      </c>
      <c r="C1431" s="559" t="s">
        <v>358</v>
      </c>
      <c r="D1431" s="559" t="s">
        <v>14</v>
      </c>
      <c r="E1431" s="559" t="s">
        <v>96</v>
      </c>
      <c r="F1431" s="559">
        <v>181.79400000000001</v>
      </c>
      <c r="G1431" s="174"/>
    </row>
    <row r="1432" spans="1:7" x14ac:dyDescent="0.3">
      <c r="A1432" s="559" t="s">
        <v>78</v>
      </c>
      <c r="B1432" s="559">
        <v>2014</v>
      </c>
      <c r="C1432" s="559" t="s">
        <v>95</v>
      </c>
      <c r="D1432" s="559" t="s">
        <v>0</v>
      </c>
      <c r="E1432" s="559" t="s">
        <v>96</v>
      </c>
      <c r="F1432" s="572">
        <v>0</v>
      </c>
      <c r="G1432" s="174"/>
    </row>
    <row r="1433" spans="1:7" x14ac:dyDescent="0.3">
      <c r="A1433" s="559" t="s">
        <v>78</v>
      </c>
      <c r="B1433" s="559">
        <v>2014</v>
      </c>
      <c r="C1433" s="559" t="s">
        <v>97</v>
      </c>
      <c r="D1433" s="559" t="s">
        <v>37</v>
      </c>
      <c r="E1433" s="559" t="s">
        <v>96</v>
      </c>
      <c r="F1433" s="572">
        <v>27234002.221999999</v>
      </c>
      <c r="G1433" s="174"/>
    </row>
    <row r="1434" spans="1:7" x14ac:dyDescent="0.3">
      <c r="A1434" s="559" t="s">
        <v>78</v>
      </c>
      <c r="B1434" s="559">
        <v>2014</v>
      </c>
      <c r="C1434" s="559" t="s">
        <v>98</v>
      </c>
      <c r="D1434" s="559" t="s">
        <v>37</v>
      </c>
      <c r="E1434" s="559" t="s">
        <v>96</v>
      </c>
      <c r="F1434" s="572">
        <v>17174289.151999898</v>
      </c>
      <c r="G1434" s="174"/>
    </row>
    <row r="1435" spans="1:7" x14ac:dyDescent="0.3">
      <c r="A1435" s="559" t="s">
        <v>78</v>
      </c>
      <c r="B1435" s="559">
        <v>2014</v>
      </c>
      <c r="C1435" s="559" t="s">
        <v>99</v>
      </c>
      <c r="D1435" s="559" t="s">
        <v>25</v>
      </c>
      <c r="E1435" s="559" t="s">
        <v>96</v>
      </c>
      <c r="F1435" s="572">
        <v>0</v>
      </c>
      <c r="G1435" s="174"/>
    </row>
    <row r="1436" spans="1:7" x14ac:dyDescent="0.3">
      <c r="A1436" s="559" t="s">
        <v>78</v>
      </c>
      <c r="B1436" s="559">
        <v>2014</v>
      </c>
      <c r="C1436" s="559" t="s">
        <v>100</v>
      </c>
      <c r="D1436" s="559" t="s">
        <v>17</v>
      </c>
      <c r="E1436" s="559" t="s">
        <v>101</v>
      </c>
      <c r="F1436" s="572">
        <v>0</v>
      </c>
      <c r="G1436" s="174"/>
    </row>
    <row r="1437" spans="1:7" x14ac:dyDescent="0.3">
      <c r="A1437" s="559" t="s">
        <v>78</v>
      </c>
      <c r="B1437" s="559">
        <v>2014</v>
      </c>
      <c r="C1437" s="559" t="s">
        <v>102</v>
      </c>
      <c r="D1437" s="559" t="s">
        <v>103</v>
      </c>
      <c r="E1437" s="559" t="s">
        <v>96</v>
      </c>
      <c r="F1437" s="572">
        <v>0</v>
      </c>
      <c r="G1437" s="174"/>
    </row>
    <row r="1438" spans="1:7" x14ac:dyDescent="0.3">
      <c r="A1438" s="559" t="s">
        <v>78</v>
      </c>
      <c r="B1438" s="559">
        <v>2014</v>
      </c>
      <c r="C1438" s="559" t="s">
        <v>104</v>
      </c>
      <c r="D1438" s="559" t="s">
        <v>35</v>
      </c>
      <c r="E1438" s="559" t="s">
        <v>101</v>
      </c>
      <c r="F1438" s="572">
        <v>1148280.429</v>
      </c>
      <c r="G1438" s="174"/>
    </row>
    <row r="1439" spans="1:7" x14ac:dyDescent="0.3">
      <c r="A1439" s="559" t="s">
        <v>78</v>
      </c>
      <c r="B1439" s="559">
        <v>2014</v>
      </c>
      <c r="C1439" s="559" t="s">
        <v>105</v>
      </c>
      <c r="D1439" s="559" t="s">
        <v>17</v>
      </c>
      <c r="E1439" s="559" t="s">
        <v>101</v>
      </c>
      <c r="F1439" s="572">
        <v>0</v>
      </c>
      <c r="G1439" s="174"/>
    </row>
    <row r="1440" spans="1:7" x14ac:dyDescent="0.3">
      <c r="A1440" s="559" t="s">
        <v>78</v>
      </c>
      <c r="B1440" s="559">
        <v>2014</v>
      </c>
      <c r="C1440" s="559" t="s">
        <v>106</v>
      </c>
      <c r="D1440" s="559" t="s">
        <v>17</v>
      </c>
      <c r="E1440" s="559" t="s">
        <v>101</v>
      </c>
      <c r="F1440" s="572">
        <v>0</v>
      </c>
      <c r="G1440" s="174"/>
    </row>
    <row r="1441" spans="1:7" x14ac:dyDescent="0.3">
      <c r="A1441" s="559" t="s">
        <v>78</v>
      </c>
      <c r="B1441" s="559">
        <v>2014</v>
      </c>
      <c r="C1441" s="559" t="s">
        <v>545</v>
      </c>
      <c r="D1441" s="559" t="s">
        <v>9</v>
      </c>
      <c r="E1441" s="559" t="s">
        <v>96</v>
      </c>
      <c r="F1441" s="572">
        <v>0</v>
      </c>
      <c r="G1441" s="174"/>
    </row>
    <row r="1442" spans="1:7" x14ac:dyDescent="0.3">
      <c r="A1442" s="559" t="s">
        <v>78</v>
      </c>
      <c r="B1442" s="559">
        <v>2014</v>
      </c>
      <c r="C1442" s="559" t="s">
        <v>109</v>
      </c>
      <c r="D1442" s="559" t="s">
        <v>35</v>
      </c>
      <c r="E1442" s="559" t="s">
        <v>101</v>
      </c>
      <c r="F1442" s="572">
        <v>1316240.8219999799</v>
      </c>
      <c r="G1442" s="174"/>
    </row>
    <row r="1443" spans="1:7" x14ac:dyDescent="0.3">
      <c r="A1443" s="559" t="s">
        <v>78</v>
      </c>
      <c r="B1443" s="559">
        <v>2014</v>
      </c>
      <c r="C1443" s="559" t="s">
        <v>111</v>
      </c>
      <c r="D1443" s="559" t="s">
        <v>6</v>
      </c>
      <c r="E1443" s="559" t="s">
        <v>96</v>
      </c>
      <c r="F1443" s="572">
        <v>0</v>
      </c>
      <c r="G1443" s="174"/>
    </row>
    <row r="1444" spans="1:7" x14ac:dyDescent="0.3">
      <c r="A1444" s="559" t="s">
        <v>78</v>
      </c>
      <c r="B1444" s="559">
        <v>2014</v>
      </c>
      <c r="C1444" s="559" t="s">
        <v>112</v>
      </c>
      <c r="D1444" s="559" t="s">
        <v>17</v>
      </c>
      <c r="E1444" s="559" t="s">
        <v>101</v>
      </c>
      <c r="F1444" s="572">
        <v>0</v>
      </c>
      <c r="G1444" s="174"/>
    </row>
    <row r="1445" spans="1:7" x14ac:dyDescent="0.3">
      <c r="A1445" s="559" t="s">
        <v>78</v>
      </c>
      <c r="B1445" s="559">
        <v>2014</v>
      </c>
      <c r="C1445" s="559" t="s">
        <v>113</v>
      </c>
      <c r="D1445" s="559" t="s">
        <v>41</v>
      </c>
      <c r="E1445" s="559" t="s">
        <v>96</v>
      </c>
      <c r="F1445" s="572">
        <v>0</v>
      </c>
      <c r="G1445" s="174"/>
    </row>
    <row r="1446" spans="1:7" x14ac:dyDescent="0.3">
      <c r="A1446" s="559" t="s">
        <v>78</v>
      </c>
      <c r="B1446" s="559">
        <v>2014</v>
      </c>
      <c r="C1446" s="559" t="s">
        <v>114</v>
      </c>
      <c r="D1446" s="559" t="s">
        <v>14</v>
      </c>
      <c r="E1446" s="559" t="s">
        <v>101</v>
      </c>
      <c r="F1446" s="572">
        <v>15429246.6</v>
      </c>
      <c r="G1446" s="174"/>
    </row>
    <row r="1447" spans="1:7" x14ac:dyDescent="0.3">
      <c r="A1447" s="559" t="s">
        <v>78</v>
      </c>
      <c r="B1447" s="559">
        <v>2014</v>
      </c>
      <c r="C1447" s="559" t="s">
        <v>115</v>
      </c>
      <c r="D1447" s="559" t="s">
        <v>71</v>
      </c>
      <c r="E1447" s="559" t="s">
        <v>96</v>
      </c>
      <c r="F1447" s="572">
        <v>0</v>
      </c>
      <c r="G1447" s="174"/>
    </row>
    <row r="1448" spans="1:7" x14ac:dyDescent="0.3">
      <c r="A1448" s="559" t="s">
        <v>78</v>
      </c>
      <c r="B1448" s="559">
        <v>2014</v>
      </c>
      <c r="C1448" s="559" t="s">
        <v>116</v>
      </c>
      <c r="D1448" s="559" t="s">
        <v>51</v>
      </c>
      <c r="E1448" s="559" t="s">
        <v>96</v>
      </c>
      <c r="F1448" s="572">
        <v>0</v>
      </c>
      <c r="G1448" s="174"/>
    </row>
    <row r="1449" spans="1:7" x14ac:dyDescent="0.3">
      <c r="A1449" s="559" t="s">
        <v>78</v>
      </c>
      <c r="B1449" s="559">
        <v>2014</v>
      </c>
      <c r="C1449" s="559" t="s">
        <v>116</v>
      </c>
      <c r="D1449" s="559" t="s">
        <v>30</v>
      </c>
      <c r="E1449" s="559" t="s">
        <v>96</v>
      </c>
      <c r="F1449" s="572">
        <v>0</v>
      </c>
      <c r="G1449" s="174"/>
    </row>
    <row r="1450" spans="1:7" x14ac:dyDescent="0.3">
      <c r="A1450" s="559" t="s">
        <v>78</v>
      </c>
      <c r="B1450" s="559">
        <v>2014</v>
      </c>
      <c r="C1450" s="559" t="s">
        <v>117</v>
      </c>
      <c r="D1450" s="559" t="s">
        <v>14</v>
      </c>
      <c r="E1450" s="559" t="s">
        <v>101</v>
      </c>
      <c r="F1450" s="572">
        <v>57563805.111999802</v>
      </c>
      <c r="G1450" s="174"/>
    </row>
    <row r="1451" spans="1:7" x14ac:dyDescent="0.3">
      <c r="A1451" s="559" t="s">
        <v>78</v>
      </c>
      <c r="B1451" s="559">
        <v>2014</v>
      </c>
      <c r="C1451" s="559" t="s">
        <v>118</v>
      </c>
      <c r="D1451" s="559" t="s">
        <v>13</v>
      </c>
      <c r="E1451" s="559" t="s">
        <v>96</v>
      </c>
      <c r="F1451" s="572">
        <v>0</v>
      </c>
      <c r="G1451" s="174"/>
    </row>
    <row r="1452" spans="1:7" x14ac:dyDescent="0.3">
      <c r="A1452" s="559" t="s">
        <v>78</v>
      </c>
      <c r="B1452" s="559">
        <v>2014</v>
      </c>
      <c r="C1452" s="559" t="s">
        <v>119</v>
      </c>
      <c r="D1452" s="559" t="s">
        <v>5</v>
      </c>
      <c r="E1452" s="559" t="s">
        <v>96</v>
      </c>
      <c r="F1452" s="572">
        <v>4336324.02700001</v>
      </c>
      <c r="G1452" s="174"/>
    </row>
    <row r="1453" spans="1:7" x14ac:dyDescent="0.3">
      <c r="A1453" s="559" t="s">
        <v>78</v>
      </c>
      <c r="B1453" s="559">
        <v>2014</v>
      </c>
      <c r="C1453" s="559" t="s">
        <v>120</v>
      </c>
      <c r="D1453" s="559" t="s">
        <v>5</v>
      </c>
      <c r="E1453" s="559" t="s">
        <v>96</v>
      </c>
      <c r="F1453" s="572">
        <v>11649661.110999901</v>
      </c>
      <c r="G1453" s="174"/>
    </row>
    <row r="1454" spans="1:7" x14ac:dyDescent="0.3">
      <c r="A1454" s="559" t="s">
        <v>78</v>
      </c>
      <c r="B1454" s="559">
        <v>2014</v>
      </c>
      <c r="C1454" s="559" t="s">
        <v>121</v>
      </c>
      <c r="D1454" s="559" t="s">
        <v>0</v>
      </c>
      <c r="E1454" s="559" t="s">
        <v>96</v>
      </c>
      <c r="F1454" s="572">
        <v>0</v>
      </c>
      <c r="G1454" s="174"/>
    </row>
    <row r="1455" spans="1:7" x14ac:dyDescent="0.3">
      <c r="A1455" s="559" t="s">
        <v>78</v>
      </c>
      <c r="B1455" s="559">
        <v>2014</v>
      </c>
      <c r="C1455" s="559" t="s">
        <v>122</v>
      </c>
      <c r="D1455" s="559" t="s">
        <v>28</v>
      </c>
      <c r="E1455" s="559" t="s">
        <v>96</v>
      </c>
      <c r="F1455" s="572">
        <v>20170017.908999801</v>
      </c>
      <c r="G1455" s="174"/>
    </row>
    <row r="1456" spans="1:7" x14ac:dyDescent="0.3">
      <c r="A1456" s="559" t="s">
        <v>78</v>
      </c>
      <c r="B1456" s="559">
        <v>2014</v>
      </c>
      <c r="C1456" s="559" t="s">
        <v>123</v>
      </c>
      <c r="D1456" s="559" t="s">
        <v>35</v>
      </c>
      <c r="E1456" s="559" t="s">
        <v>110</v>
      </c>
      <c r="F1456" s="572">
        <v>0</v>
      </c>
      <c r="G1456" s="174"/>
    </row>
    <row r="1457" spans="1:7" x14ac:dyDescent="0.3">
      <c r="A1457" s="559" t="s">
        <v>78</v>
      </c>
      <c r="B1457" s="559">
        <v>2014</v>
      </c>
      <c r="C1457" s="559" t="s">
        <v>124</v>
      </c>
      <c r="D1457" s="559" t="s">
        <v>49</v>
      </c>
      <c r="E1457" s="559" t="s">
        <v>96</v>
      </c>
      <c r="F1457" s="572">
        <v>291884.01500000001</v>
      </c>
      <c r="G1457" s="174"/>
    </row>
    <row r="1458" spans="1:7" x14ac:dyDescent="0.3">
      <c r="A1458" s="559" t="s">
        <v>78</v>
      </c>
      <c r="B1458" s="559">
        <v>2014</v>
      </c>
      <c r="C1458" s="559" t="s">
        <v>125</v>
      </c>
      <c r="D1458" s="559" t="s">
        <v>20</v>
      </c>
      <c r="E1458" s="559" t="s">
        <v>96</v>
      </c>
      <c r="F1458" s="572">
        <v>0</v>
      </c>
      <c r="G1458" s="174"/>
    </row>
    <row r="1459" spans="1:7" x14ac:dyDescent="0.3">
      <c r="A1459" s="559" t="s">
        <v>78</v>
      </c>
      <c r="B1459" s="559">
        <v>2014</v>
      </c>
      <c r="C1459" s="559" t="s">
        <v>126</v>
      </c>
      <c r="D1459" s="559" t="s">
        <v>23</v>
      </c>
      <c r="E1459" s="559" t="s">
        <v>96</v>
      </c>
      <c r="F1459" s="572">
        <v>2111460.6809514598</v>
      </c>
      <c r="G1459" s="174"/>
    </row>
    <row r="1460" spans="1:7" x14ac:dyDescent="0.3">
      <c r="A1460" s="559" t="s">
        <v>78</v>
      </c>
      <c r="B1460" s="559">
        <v>2014</v>
      </c>
      <c r="C1460" s="559" t="s">
        <v>126</v>
      </c>
      <c r="D1460" s="559" t="s">
        <v>556</v>
      </c>
      <c r="E1460" s="559" t="s">
        <v>756</v>
      </c>
      <c r="F1460" s="572">
        <v>10299292.897048499</v>
      </c>
      <c r="G1460" s="174"/>
    </row>
    <row r="1461" spans="1:7" x14ac:dyDescent="0.3">
      <c r="A1461" s="559" t="s">
        <v>78</v>
      </c>
      <c r="B1461" s="559">
        <v>2014</v>
      </c>
      <c r="C1461" s="559" t="s">
        <v>127</v>
      </c>
      <c r="D1461" s="559" t="s">
        <v>28</v>
      </c>
      <c r="E1461" s="559" t="s">
        <v>96</v>
      </c>
      <c r="F1461" s="572">
        <v>4982131.9100000402</v>
      </c>
      <c r="G1461" s="174"/>
    </row>
    <row r="1462" spans="1:7" x14ac:dyDescent="0.3">
      <c r="A1462" s="559" t="s">
        <v>78</v>
      </c>
      <c r="B1462" s="559">
        <v>2014</v>
      </c>
      <c r="C1462" s="559" t="s">
        <v>128</v>
      </c>
      <c r="D1462" s="559" t="s">
        <v>25</v>
      </c>
      <c r="E1462" s="559" t="s">
        <v>96</v>
      </c>
      <c r="F1462" s="572">
        <v>0</v>
      </c>
      <c r="G1462" s="174"/>
    </row>
    <row r="1463" spans="1:7" x14ac:dyDescent="0.3">
      <c r="A1463" s="559" t="s">
        <v>78</v>
      </c>
      <c r="B1463" s="559">
        <v>2014</v>
      </c>
      <c r="C1463" s="559" t="s">
        <v>129</v>
      </c>
      <c r="D1463" s="559" t="s">
        <v>103</v>
      </c>
      <c r="E1463" s="559" t="s">
        <v>96</v>
      </c>
      <c r="F1463" s="572">
        <v>312.00700000000103</v>
      </c>
      <c r="G1463" s="174"/>
    </row>
    <row r="1464" spans="1:7" x14ac:dyDescent="0.3">
      <c r="A1464" s="559" t="s">
        <v>78</v>
      </c>
      <c r="B1464" s="559">
        <v>2014</v>
      </c>
      <c r="C1464" s="559" t="s">
        <v>130</v>
      </c>
      <c r="D1464" s="559" t="s">
        <v>35</v>
      </c>
      <c r="E1464" s="559" t="s">
        <v>101</v>
      </c>
      <c r="F1464" s="572">
        <v>1728116.12099998</v>
      </c>
      <c r="G1464" s="174"/>
    </row>
    <row r="1465" spans="1:7" x14ac:dyDescent="0.3">
      <c r="A1465" s="559" t="s">
        <v>78</v>
      </c>
      <c r="B1465" s="559">
        <v>2014</v>
      </c>
      <c r="C1465" s="559" t="s">
        <v>131</v>
      </c>
      <c r="D1465" s="559" t="s">
        <v>38</v>
      </c>
      <c r="E1465" s="559" t="s">
        <v>96</v>
      </c>
      <c r="F1465" s="572">
        <v>7752061.9019999802</v>
      </c>
      <c r="G1465" s="174"/>
    </row>
    <row r="1466" spans="1:7" x14ac:dyDescent="0.3">
      <c r="A1466" s="559" t="s">
        <v>78</v>
      </c>
      <c r="B1466" s="559">
        <v>2014</v>
      </c>
      <c r="C1466" s="559" t="s">
        <v>132</v>
      </c>
      <c r="D1466" s="559" t="s">
        <v>25</v>
      </c>
      <c r="E1466" s="559" t="s">
        <v>96</v>
      </c>
      <c r="F1466" s="572">
        <v>0</v>
      </c>
      <c r="G1466" s="174"/>
    </row>
    <row r="1467" spans="1:7" x14ac:dyDescent="0.3">
      <c r="A1467" s="559" t="s">
        <v>78</v>
      </c>
      <c r="B1467" s="559">
        <v>2014</v>
      </c>
      <c r="C1467" s="559" t="s">
        <v>133</v>
      </c>
      <c r="D1467" s="559" t="s">
        <v>1</v>
      </c>
      <c r="E1467" s="559" t="s">
        <v>96</v>
      </c>
      <c r="F1467" s="572">
        <v>0</v>
      </c>
      <c r="G1467" s="174"/>
    </row>
    <row r="1468" spans="1:7" x14ac:dyDescent="0.3">
      <c r="A1468" s="559" t="s">
        <v>78</v>
      </c>
      <c r="B1468" s="559">
        <v>2014</v>
      </c>
      <c r="C1468" s="559" t="s">
        <v>134</v>
      </c>
      <c r="D1468" s="559" t="s">
        <v>25</v>
      </c>
      <c r="E1468" s="559" t="s">
        <v>96</v>
      </c>
      <c r="F1468" s="572">
        <v>0</v>
      </c>
      <c r="G1468" s="174"/>
    </row>
    <row r="1469" spans="1:7" x14ac:dyDescent="0.3">
      <c r="A1469" s="559" t="s">
        <v>78</v>
      </c>
      <c r="B1469" s="559">
        <v>2014</v>
      </c>
      <c r="C1469" s="559" t="s">
        <v>135</v>
      </c>
      <c r="D1469" s="559" t="s">
        <v>103</v>
      </c>
      <c r="E1469" s="559" t="s">
        <v>96</v>
      </c>
      <c r="F1469" s="572">
        <v>976.82699999999897</v>
      </c>
      <c r="G1469" s="174"/>
    </row>
    <row r="1470" spans="1:7" x14ac:dyDescent="0.3">
      <c r="A1470" s="559" t="s">
        <v>78</v>
      </c>
      <c r="B1470" s="559">
        <v>2014</v>
      </c>
      <c r="C1470" s="559" t="s">
        <v>136</v>
      </c>
      <c r="D1470" s="559" t="s">
        <v>35</v>
      </c>
      <c r="E1470" s="559" t="s">
        <v>101</v>
      </c>
      <c r="F1470" s="572">
        <v>2972587.1079999902</v>
      </c>
      <c r="G1470" s="174"/>
    </row>
    <row r="1471" spans="1:7" x14ac:dyDescent="0.3">
      <c r="A1471" s="559" t="s">
        <v>78</v>
      </c>
      <c r="B1471" s="559">
        <v>2014</v>
      </c>
      <c r="C1471" s="559" t="s">
        <v>137</v>
      </c>
      <c r="D1471" s="559" t="s">
        <v>40</v>
      </c>
      <c r="E1471" s="559" t="s">
        <v>96</v>
      </c>
      <c r="F1471" s="572">
        <v>4409286.4379999796</v>
      </c>
      <c r="G1471" s="174"/>
    </row>
    <row r="1472" spans="1:7" x14ac:dyDescent="0.3">
      <c r="A1472" s="559" t="s">
        <v>78</v>
      </c>
      <c r="B1472" s="559">
        <v>2014</v>
      </c>
      <c r="C1472" s="559" t="s">
        <v>138</v>
      </c>
      <c r="D1472" s="559" t="s">
        <v>40</v>
      </c>
      <c r="E1472" s="559" t="s">
        <v>96</v>
      </c>
      <c r="F1472" s="572">
        <v>34943594.932999797</v>
      </c>
      <c r="G1472" s="174"/>
    </row>
    <row r="1473" spans="1:7" x14ac:dyDescent="0.3">
      <c r="A1473" s="559" t="s">
        <v>78</v>
      </c>
      <c r="B1473" s="559">
        <v>2014</v>
      </c>
      <c r="C1473" s="559" t="s">
        <v>139</v>
      </c>
      <c r="D1473" s="559" t="s">
        <v>28</v>
      </c>
      <c r="E1473" s="559" t="s">
        <v>96</v>
      </c>
      <c r="F1473" s="572">
        <v>10679329.4939999</v>
      </c>
      <c r="G1473" s="174"/>
    </row>
    <row r="1474" spans="1:7" x14ac:dyDescent="0.3">
      <c r="A1474" s="559" t="s">
        <v>78</v>
      </c>
      <c r="B1474" s="559">
        <v>2014</v>
      </c>
      <c r="C1474" s="559" t="s">
        <v>140</v>
      </c>
      <c r="D1474" s="559" t="s">
        <v>12</v>
      </c>
      <c r="E1474" s="559" t="s">
        <v>96</v>
      </c>
      <c r="F1474" s="572">
        <v>0</v>
      </c>
      <c r="G1474" s="174"/>
    </row>
    <row r="1475" spans="1:7" x14ac:dyDescent="0.3">
      <c r="A1475" s="559" t="s">
        <v>78</v>
      </c>
      <c r="B1475" s="559">
        <v>2014</v>
      </c>
      <c r="C1475" s="559" t="s">
        <v>141</v>
      </c>
      <c r="D1475" s="559" t="s">
        <v>12</v>
      </c>
      <c r="E1475" s="559" t="s">
        <v>96</v>
      </c>
      <c r="F1475" s="572">
        <v>0</v>
      </c>
      <c r="G1475" s="174"/>
    </row>
    <row r="1476" spans="1:7" x14ac:dyDescent="0.3">
      <c r="A1476" s="559" t="s">
        <v>78</v>
      </c>
      <c r="B1476" s="559">
        <v>2014</v>
      </c>
      <c r="C1476" s="559" t="s">
        <v>142</v>
      </c>
      <c r="D1476" s="559" t="s">
        <v>1</v>
      </c>
      <c r="E1476" s="559" t="s">
        <v>96</v>
      </c>
      <c r="F1476" s="572">
        <v>0</v>
      </c>
      <c r="G1476" s="174"/>
    </row>
    <row r="1477" spans="1:7" x14ac:dyDescent="0.3">
      <c r="A1477" s="559" t="s">
        <v>78</v>
      </c>
      <c r="B1477" s="559">
        <v>2014</v>
      </c>
      <c r="C1477" s="559" t="s">
        <v>142</v>
      </c>
      <c r="D1477" s="559" t="s">
        <v>4</v>
      </c>
      <c r="E1477" s="559" t="s">
        <v>96</v>
      </c>
      <c r="F1477" s="572">
        <v>0</v>
      </c>
      <c r="G1477" s="174"/>
    </row>
    <row r="1478" spans="1:7" x14ac:dyDescent="0.3">
      <c r="A1478" s="559" t="s">
        <v>78</v>
      </c>
      <c r="B1478" s="559">
        <v>2014</v>
      </c>
      <c r="C1478" s="559" t="s">
        <v>142</v>
      </c>
      <c r="D1478" s="559" t="s">
        <v>27</v>
      </c>
      <c r="E1478" s="559" t="s">
        <v>110</v>
      </c>
      <c r="F1478" s="572">
        <v>589849.69300000102</v>
      </c>
      <c r="G1478" s="174"/>
    </row>
    <row r="1479" spans="1:7" x14ac:dyDescent="0.3">
      <c r="A1479" s="559" t="s">
        <v>78</v>
      </c>
      <c r="B1479" s="559">
        <v>2014</v>
      </c>
      <c r="C1479" s="559" t="s">
        <v>143</v>
      </c>
      <c r="D1479" s="559" t="s">
        <v>4</v>
      </c>
      <c r="E1479" s="559" t="s">
        <v>96</v>
      </c>
      <c r="F1479" s="572">
        <v>35505.555</v>
      </c>
      <c r="G1479" s="174"/>
    </row>
    <row r="1480" spans="1:7" x14ac:dyDescent="0.3">
      <c r="A1480" s="559" t="s">
        <v>78</v>
      </c>
      <c r="B1480" s="559">
        <v>2014</v>
      </c>
      <c r="C1480" s="559" t="s">
        <v>144</v>
      </c>
      <c r="D1480" s="559" t="s">
        <v>4</v>
      </c>
      <c r="E1480" s="559" t="s">
        <v>101</v>
      </c>
      <c r="F1480" s="572">
        <v>47357295.476000004</v>
      </c>
      <c r="G1480" s="174"/>
    </row>
    <row r="1481" spans="1:7" x14ac:dyDescent="0.3">
      <c r="A1481" s="559" t="s">
        <v>78</v>
      </c>
      <c r="B1481" s="559">
        <v>2014</v>
      </c>
      <c r="C1481" s="559" t="s">
        <v>145</v>
      </c>
      <c r="D1481" s="559" t="s">
        <v>41</v>
      </c>
      <c r="E1481" s="559" t="s">
        <v>96</v>
      </c>
      <c r="F1481" s="572">
        <v>0</v>
      </c>
      <c r="G1481" s="174"/>
    </row>
    <row r="1482" spans="1:7" x14ac:dyDescent="0.3">
      <c r="A1482" s="559" t="s">
        <v>78</v>
      </c>
      <c r="B1482" s="559">
        <v>2014</v>
      </c>
      <c r="C1482" s="559" t="s">
        <v>146</v>
      </c>
      <c r="D1482" s="559" t="s">
        <v>31</v>
      </c>
      <c r="E1482" s="559" t="s">
        <v>96</v>
      </c>
      <c r="F1482" s="572">
        <v>3087313.6810000101</v>
      </c>
      <c r="G1482" s="174"/>
    </row>
    <row r="1483" spans="1:7" x14ac:dyDescent="0.3">
      <c r="A1483" s="559" t="s">
        <v>78</v>
      </c>
      <c r="B1483" s="559">
        <v>2014</v>
      </c>
      <c r="C1483" s="559" t="s">
        <v>147</v>
      </c>
      <c r="D1483" s="559" t="s">
        <v>11</v>
      </c>
      <c r="E1483" s="559" t="s">
        <v>96</v>
      </c>
      <c r="F1483" s="572">
        <v>11751081.334000001</v>
      </c>
      <c r="G1483" s="174"/>
    </row>
    <row r="1484" spans="1:7" x14ac:dyDescent="0.3">
      <c r="A1484" s="559" t="s">
        <v>78</v>
      </c>
      <c r="B1484" s="559">
        <v>2014</v>
      </c>
      <c r="C1484" s="559" t="s">
        <v>148</v>
      </c>
      <c r="D1484" s="559" t="s">
        <v>73</v>
      </c>
      <c r="E1484" s="559" t="s">
        <v>96</v>
      </c>
      <c r="F1484" s="559">
        <v>0</v>
      </c>
      <c r="G1484" s="174"/>
    </row>
    <row r="1485" spans="1:7" x14ac:dyDescent="0.3">
      <c r="A1485" s="559" t="s">
        <v>78</v>
      </c>
      <c r="B1485" s="559">
        <v>2014</v>
      </c>
      <c r="C1485" s="559" t="s">
        <v>149</v>
      </c>
      <c r="D1485" s="559" t="s">
        <v>36</v>
      </c>
      <c r="E1485" s="559" t="s">
        <v>96</v>
      </c>
      <c r="F1485" s="559">
        <v>9998098.2959999796</v>
      </c>
      <c r="G1485" s="174"/>
    </row>
    <row r="1486" spans="1:7" x14ac:dyDescent="0.3">
      <c r="A1486" s="559" t="s">
        <v>78</v>
      </c>
      <c r="B1486" s="559">
        <v>2014</v>
      </c>
      <c r="C1486" s="559" t="s">
        <v>150</v>
      </c>
      <c r="D1486" s="559" t="s">
        <v>1</v>
      </c>
      <c r="E1486" s="559" t="s">
        <v>96</v>
      </c>
      <c r="F1486" s="559">
        <v>0</v>
      </c>
      <c r="G1486" s="174"/>
    </row>
    <row r="1487" spans="1:7" x14ac:dyDescent="0.3">
      <c r="A1487" s="559" t="s">
        <v>78</v>
      </c>
      <c r="B1487" s="559">
        <v>2014</v>
      </c>
      <c r="C1487" s="559" t="s">
        <v>150</v>
      </c>
      <c r="D1487" s="559" t="s">
        <v>70</v>
      </c>
      <c r="E1487" s="559" t="s">
        <v>96</v>
      </c>
      <c r="F1487" s="559">
        <v>0</v>
      </c>
      <c r="G1487" s="174"/>
    </row>
    <row r="1488" spans="1:7" x14ac:dyDescent="0.3">
      <c r="A1488" s="559" t="s">
        <v>78</v>
      </c>
      <c r="B1488" s="559">
        <v>2014</v>
      </c>
      <c r="C1488" s="559" t="s">
        <v>151</v>
      </c>
      <c r="D1488" s="559" t="s">
        <v>40</v>
      </c>
      <c r="E1488" s="559" t="s">
        <v>96</v>
      </c>
      <c r="F1488" s="559">
        <v>13324218.0779998</v>
      </c>
      <c r="G1488" s="174"/>
    </row>
    <row r="1489" spans="1:7" x14ac:dyDescent="0.3">
      <c r="A1489" s="559" t="s">
        <v>78</v>
      </c>
      <c r="B1489" s="559">
        <v>2014</v>
      </c>
      <c r="C1489" s="559" t="s">
        <v>152</v>
      </c>
      <c r="D1489" s="559" t="s">
        <v>5</v>
      </c>
      <c r="E1489" s="559" t="s">
        <v>96</v>
      </c>
      <c r="F1489" s="559">
        <v>2810405.9846550799</v>
      </c>
      <c r="G1489" s="174"/>
    </row>
    <row r="1490" spans="1:7" x14ac:dyDescent="0.3">
      <c r="A1490" s="559" t="s">
        <v>78</v>
      </c>
      <c r="B1490" s="559">
        <v>2014</v>
      </c>
      <c r="C1490" s="559" t="s">
        <v>152</v>
      </c>
      <c r="D1490" s="559" t="s">
        <v>24</v>
      </c>
      <c r="E1490" s="559" t="s">
        <v>756</v>
      </c>
      <c r="F1490" s="559">
        <v>20263254.993344899</v>
      </c>
      <c r="G1490" s="174"/>
    </row>
    <row r="1491" spans="1:7" x14ac:dyDescent="0.3">
      <c r="A1491" s="559" t="s">
        <v>78</v>
      </c>
      <c r="B1491" s="559">
        <v>2014</v>
      </c>
      <c r="C1491" s="559" t="s">
        <v>153</v>
      </c>
      <c r="D1491" s="559" t="s">
        <v>73</v>
      </c>
      <c r="E1491" s="559" t="s">
        <v>96</v>
      </c>
      <c r="F1491" s="559">
        <v>0</v>
      </c>
      <c r="G1491" s="174"/>
    </row>
    <row r="1492" spans="1:7" x14ac:dyDescent="0.3">
      <c r="A1492" s="559" t="s">
        <v>78</v>
      </c>
      <c r="B1492" s="559">
        <v>2014</v>
      </c>
      <c r="C1492" s="559" t="s">
        <v>154</v>
      </c>
      <c r="D1492" s="559" t="s">
        <v>41</v>
      </c>
      <c r="E1492" s="559" t="s">
        <v>96</v>
      </c>
      <c r="F1492" s="559">
        <v>0</v>
      </c>
      <c r="G1492" s="174"/>
    </row>
    <row r="1493" spans="1:7" x14ac:dyDescent="0.3">
      <c r="A1493" s="559" t="s">
        <v>78</v>
      </c>
      <c r="B1493" s="559">
        <v>2014</v>
      </c>
      <c r="C1493" s="559" t="s">
        <v>155</v>
      </c>
      <c r="D1493" s="559" t="s">
        <v>28</v>
      </c>
      <c r="E1493" s="559" t="s">
        <v>96</v>
      </c>
      <c r="F1493" s="559">
        <v>2348044.7209999901</v>
      </c>
      <c r="G1493" s="174"/>
    </row>
    <row r="1494" spans="1:7" x14ac:dyDescent="0.3">
      <c r="A1494" s="559" t="s">
        <v>78</v>
      </c>
      <c r="B1494" s="559">
        <v>2014</v>
      </c>
      <c r="C1494" s="559" t="s">
        <v>156</v>
      </c>
      <c r="D1494" s="559" t="s">
        <v>39</v>
      </c>
      <c r="E1494" s="559" t="s">
        <v>96</v>
      </c>
      <c r="F1494" s="559">
        <v>5616655.8029999696</v>
      </c>
      <c r="G1494" s="174"/>
    </row>
    <row r="1495" spans="1:7" x14ac:dyDescent="0.3">
      <c r="A1495" s="559" t="s">
        <v>78</v>
      </c>
      <c r="B1495" s="559">
        <v>2014</v>
      </c>
      <c r="C1495" s="559" t="s">
        <v>157</v>
      </c>
      <c r="D1495" s="559" t="s">
        <v>39</v>
      </c>
      <c r="E1495" s="559" t="s">
        <v>96</v>
      </c>
      <c r="F1495" s="559">
        <v>26696560.7169999</v>
      </c>
      <c r="G1495" s="174"/>
    </row>
    <row r="1496" spans="1:7" x14ac:dyDescent="0.3">
      <c r="A1496" s="559" t="s">
        <v>78</v>
      </c>
      <c r="B1496" s="559">
        <v>2014</v>
      </c>
      <c r="C1496" s="559" t="s">
        <v>158</v>
      </c>
      <c r="D1496" s="559" t="s">
        <v>49</v>
      </c>
      <c r="E1496" s="559" t="s">
        <v>96</v>
      </c>
      <c r="F1496" s="559">
        <v>229658.38200000001</v>
      </c>
      <c r="G1496" s="174"/>
    </row>
    <row r="1497" spans="1:7" x14ac:dyDescent="0.3">
      <c r="A1497" s="559" t="s">
        <v>78</v>
      </c>
      <c r="B1497" s="559">
        <v>2014</v>
      </c>
      <c r="C1497" s="559" t="s">
        <v>159</v>
      </c>
      <c r="D1497" s="559" t="s">
        <v>40</v>
      </c>
      <c r="E1497" s="559" t="s">
        <v>96</v>
      </c>
      <c r="F1497" s="559">
        <v>3204777.2310000099</v>
      </c>
      <c r="G1497" s="174"/>
    </row>
    <row r="1498" spans="1:7" x14ac:dyDescent="0.3">
      <c r="A1498" s="559" t="s">
        <v>78</v>
      </c>
      <c r="B1498" s="559">
        <v>2014</v>
      </c>
      <c r="C1498" s="559" t="s">
        <v>160</v>
      </c>
      <c r="D1498" s="559" t="s">
        <v>40</v>
      </c>
      <c r="E1498" s="559" t="s">
        <v>96</v>
      </c>
      <c r="F1498" s="559">
        <v>2889671.2769999998</v>
      </c>
      <c r="G1498" s="174"/>
    </row>
    <row r="1499" spans="1:7" x14ac:dyDescent="0.3">
      <c r="A1499" s="559" t="s">
        <v>78</v>
      </c>
      <c r="B1499" s="559">
        <v>2014</v>
      </c>
      <c r="C1499" s="559" t="s">
        <v>161</v>
      </c>
      <c r="D1499" s="559" t="s">
        <v>37</v>
      </c>
      <c r="E1499" s="559" t="s">
        <v>96</v>
      </c>
      <c r="F1499" s="559">
        <v>19624405.870999999</v>
      </c>
      <c r="G1499" s="174"/>
    </row>
    <row r="1500" spans="1:7" x14ac:dyDescent="0.3">
      <c r="A1500" s="559" t="s">
        <v>78</v>
      </c>
      <c r="B1500" s="559">
        <v>2014</v>
      </c>
      <c r="C1500" s="559" t="s">
        <v>162</v>
      </c>
      <c r="D1500" s="559" t="s">
        <v>37</v>
      </c>
      <c r="E1500" s="559" t="s">
        <v>96</v>
      </c>
      <c r="F1500" s="559">
        <v>26385101.664999999</v>
      </c>
      <c r="G1500" s="174"/>
    </row>
    <row r="1501" spans="1:7" x14ac:dyDescent="0.3">
      <c r="A1501" s="559" t="s">
        <v>78</v>
      </c>
      <c r="B1501" s="559">
        <v>2014</v>
      </c>
      <c r="C1501" s="559" t="s">
        <v>163</v>
      </c>
      <c r="D1501" s="559" t="s">
        <v>28</v>
      </c>
      <c r="E1501" s="559" t="s">
        <v>96</v>
      </c>
      <c r="F1501" s="559">
        <v>8499504.8460000101</v>
      </c>
      <c r="G1501" s="174"/>
    </row>
    <row r="1502" spans="1:7" x14ac:dyDescent="0.3">
      <c r="A1502" s="559" t="s">
        <v>78</v>
      </c>
      <c r="B1502" s="559">
        <v>2014</v>
      </c>
      <c r="C1502" s="559" t="s">
        <v>164</v>
      </c>
      <c r="D1502" s="559" t="s">
        <v>41</v>
      </c>
      <c r="E1502" s="559" t="s">
        <v>96</v>
      </c>
      <c r="F1502" s="559">
        <v>0</v>
      </c>
      <c r="G1502" s="174"/>
    </row>
    <row r="1503" spans="1:7" x14ac:dyDescent="0.3">
      <c r="A1503" s="559" t="s">
        <v>78</v>
      </c>
      <c r="B1503" s="559">
        <v>2014</v>
      </c>
      <c r="C1503" s="559" t="s">
        <v>165</v>
      </c>
      <c r="D1503" s="559" t="s">
        <v>39</v>
      </c>
      <c r="E1503" s="559" t="s">
        <v>96</v>
      </c>
      <c r="F1503" s="559">
        <v>5071012.5769999595</v>
      </c>
      <c r="G1503" s="174"/>
    </row>
    <row r="1504" spans="1:7" x14ac:dyDescent="0.3">
      <c r="A1504" s="559" t="s">
        <v>78</v>
      </c>
      <c r="B1504" s="559">
        <v>2014</v>
      </c>
      <c r="C1504" s="559" t="s">
        <v>166</v>
      </c>
      <c r="D1504" s="559" t="s">
        <v>10</v>
      </c>
      <c r="E1504" s="559" t="s">
        <v>101</v>
      </c>
      <c r="F1504" s="559">
        <v>0</v>
      </c>
      <c r="G1504" s="174"/>
    </row>
    <row r="1505" spans="1:7" x14ac:dyDescent="0.3">
      <c r="A1505" s="559" t="s">
        <v>78</v>
      </c>
      <c r="B1505" s="559">
        <v>2014</v>
      </c>
      <c r="C1505" s="559" t="s">
        <v>167</v>
      </c>
      <c r="D1505" s="559" t="s">
        <v>10</v>
      </c>
      <c r="E1505" s="559" t="s">
        <v>101</v>
      </c>
      <c r="F1505" s="559">
        <v>0</v>
      </c>
      <c r="G1505" s="174"/>
    </row>
    <row r="1506" spans="1:7" x14ac:dyDescent="0.3">
      <c r="A1506" s="559" t="s">
        <v>78</v>
      </c>
      <c r="B1506" s="559">
        <v>2014</v>
      </c>
      <c r="C1506" s="559" t="s">
        <v>168</v>
      </c>
      <c r="D1506" s="559" t="s">
        <v>10</v>
      </c>
      <c r="E1506" s="559" t="s">
        <v>101</v>
      </c>
      <c r="F1506" s="559">
        <v>0</v>
      </c>
      <c r="G1506" s="174"/>
    </row>
    <row r="1507" spans="1:7" x14ac:dyDescent="0.3">
      <c r="A1507" s="559" t="s">
        <v>78</v>
      </c>
      <c r="B1507" s="559">
        <v>2014</v>
      </c>
      <c r="C1507" s="559" t="s">
        <v>169</v>
      </c>
      <c r="D1507" s="559" t="s">
        <v>10</v>
      </c>
      <c r="E1507" s="559" t="s">
        <v>101</v>
      </c>
      <c r="F1507" s="559">
        <v>0</v>
      </c>
      <c r="G1507" s="174"/>
    </row>
    <row r="1508" spans="1:7" x14ac:dyDescent="0.3">
      <c r="A1508" s="559" t="s">
        <v>78</v>
      </c>
      <c r="B1508" s="559">
        <v>2014</v>
      </c>
      <c r="C1508" s="559" t="s">
        <v>170</v>
      </c>
      <c r="D1508" s="559" t="s">
        <v>37</v>
      </c>
      <c r="E1508" s="559" t="s">
        <v>96</v>
      </c>
      <c r="F1508" s="559">
        <v>3506951.3219999899</v>
      </c>
      <c r="G1508" s="174"/>
    </row>
    <row r="1509" spans="1:7" x14ac:dyDescent="0.3">
      <c r="A1509" s="559" t="s">
        <v>78</v>
      </c>
      <c r="B1509" s="559">
        <v>2014</v>
      </c>
      <c r="C1509" s="559" t="s">
        <v>171</v>
      </c>
      <c r="D1509" s="559" t="s">
        <v>25</v>
      </c>
      <c r="E1509" s="559" t="s">
        <v>96</v>
      </c>
      <c r="F1509" s="559">
        <v>0</v>
      </c>
      <c r="G1509" s="174"/>
    </row>
    <row r="1510" spans="1:7" x14ac:dyDescent="0.3">
      <c r="A1510" s="559" t="s">
        <v>78</v>
      </c>
      <c r="B1510" s="559">
        <v>2014</v>
      </c>
      <c r="C1510" s="559" t="s">
        <v>172</v>
      </c>
      <c r="D1510" s="559" t="s">
        <v>25</v>
      </c>
      <c r="E1510" s="559" t="s">
        <v>96</v>
      </c>
      <c r="F1510" s="559">
        <v>0</v>
      </c>
      <c r="G1510" s="174"/>
    </row>
    <row r="1511" spans="1:7" x14ac:dyDescent="0.3">
      <c r="A1511" s="559" t="s">
        <v>78</v>
      </c>
      <c r="B1511" s="559">
        <v>2014</v>
      </c>
      <c r="C1511" s="559" t="s">
        <v>173</v>
      </c>
      <c r="D1511" s="559" t="s">
        <v>32</v>
      </c>
      <c r="E1511" s="559" t="s">
        <v>96</v>
      </c>
      <c r="F1511" s="559">
        <v>5492997.7299999399</v>
      </c>
      <c r="G1511" s="174"/>
    </row>
    <row r="1512" spans="1:7" x14ac:dyDescent="0.3">
      <c r="A1512" s="559" t="s">
        <v>78</v>
      </c>
      <c r="B1512" s="559">
        <v>2014</v>
      </c>
      <c r="C1512" s="559" t="s">
        <v>174</v>
      </c>
      <c r="D1512" s="559" t="s">
        <v>28</v>
      </c>
      <c r="E1512" s="559" t="s">
        <v>96</v>
      </c>
      <c r="F1512" s="559">
        <v>4293216.0910000103</v>
      </c>
      <c r="G1512" s="174"/>
    </row>
    <row r="1513" spans="1:7" x14ac:dyDescent="0.3">
      <c r="A1513" s="559" t="s">
        <v>78</v>
      </c>
      <c r="B1513" s="559">
        <v>2014</v>
      </c>
      <c r="C1513" s="559" t="s">
        <v>175</v>
      </c>
      <c r="D1513" s="559" t="s">
        <v>28</v>
      </c>
      <c r="E1513" s="559" t="s">
        <v>96</v>
      </c>
      <c r="F1513" s="559">
        <v>6098741.0529999798</v>
      </c>
      <c r="G1513" s="174"/>
    </row>
    <row r="1514" spans="1:7" x14ac:dyDescent="0.3">
      <c r="A1514" s="559" t="s">
        <v>78</v>
      </c>
      <c r="B1514" s="559">
        <v>2014</v>
      </c>
      <c r="C1514" s="559" t="s">
        <v>176</v>
      </c>
      <c r="D1514" s="559" t="s">
        <v>51</v>
      </c>
      <c r="E1514" s="559" t="s">
        <v>96</v>
      </c>
      <c r="F1514" s="559">
        <v>2050491.63799999</v>
      </c>
      <c r="G1514" s="174"/>
    </row>
    <row r="1515" spans="1:7" x14ac:dyDescent="0.3">
      <c r="A1515" s="559" t="s">
        <v>78</v>
      </c>
      <c r="B1515" s="559">
        <v>2014</v>
      </c>
      <c r="C1515" s="559" t="s">
        <v>177</v>
      </c>
      <c r="D1515" s="559" t="s">
        <v>103</v>
      </c>
      <c r="E1515" s="559" t="s">
        <v>96</v>
      </c>
      <c r="F1515" s="559">
        <v>919.62099999999998</v>
      </c>
      <c r="G1515" s="174"/>
    </row>
    <row r="1516" spans="1:7" x14ac:dyDescent="0.3">
      <c r="A1516" s="559" t="s">
        <v>78</v>
      </c>
      <c r="B1516" s="559">
        <v>2014</v>
      </c>
      <c r="C1516" s="559" t="s">
        <v>178</v>
      </c>
      <c r="D1516" s="559" t="s">
        <v>35</v>
      </c>
      <c r="E1516" s="559" t="s">
        <v>101</v>
      </c>
      <c r="F1516" s="559">
        <v>0</v>
      </c>
      <c r="G1516" s="174"/>
    </row>
    <row r="1517" spans="1:7" x14ac:dyDescent="0.3">
      <c r="A1517" s="559" t="s">
        <v>78</v>
      </c>
      <c r="B1517" s="559">
        <v>2014</v>
      </c>
      <c r="C1517" s="559" t="s">
        <v>179</v>
      </c>
      <c r="D1517" s="559" t="s">
        <v>35</v>
      </c>
      <c r="E1517" s="559" t="s">
        <v>101</v>
      </c>
      <c r="F1517" s="559">
        <v>0</v>
      </c>
      <c r="G1517" s="174"/>
    </row>
    <row r="1518" spans="1:7" x14ac:dyDescent="0.3">
      <c r="A1518" s="559" t="s">
        <v>78</v>
      </c>
      <c r="B1518" s="559">
        <v>2014</v>
      </c>
      <c r="C1518" s="559" t="s">
        <v>180</v>
      </c>
      <c r="D1518" s="559" t="s">
        <v>35</v>
      </c>
      <c r="E1518" s="559" t="s">
        <v>101</v>
      </c>
      <c r="F1518" s="559">
        <v>0</v>
      </c>
      <c r="G1518" s="174"/>
    </row>
    <row r="1519" spans="1:7" x14ac:dyDescent="0.3">
      <c r="A1519" s="559" t="s">
        <v>78</v>
      </c>
      <c r="B1519" s="559">
        <v>2014</v>
      </c>
      <c r="C1519" s="559" t="s">
        <v>181</v>
      </c>
      <c r="D1519" s="559" t="s">
        <v>14</v>
      </c>
      <c r="E1519" s="559" t="s">
        <v>96</v>
      </c>
      <c r="F1519" s="559">
        <v>15800.5429999999</v>
      </c>
      <c r="G1519" s="174"/>
    </row>
    <row r="1520" spans="1:7" x14ac:dyDescent="0.3">
      <c r="A1520" s="559" t="s">
        <v>78</v>
      </c>
      <c r="B1520" s="559">
        <v>2014</v>
      </c>
      <c r="C1520" s="559" t="s">
        <v>182</v>
      </c>
      <c r="D1520" s="559" t="s">
        <v>47</v>
      </c>
      <c r="E1520" s="559" t="s">
        <v>101</v>
      </c>
      <c r="F1520" s="559">
        <v>0</v>
      </c>
      <c r="G1520" s="174"/>
    </row>
    <row r="1521" spans="1:7" x14ac:dyDescent="0.3">
      <c r="A1521" s="559" t="s">
        <v>78</v>
      </c>
      <c r="B1521" s="559">
        <v>2014</v>
      </c>
      <c r="C1521" s="559" t="s">
        <v>183</v>
      </c>
      <c r="D1521" s="559" t="s">
        <v>47</v>
      </c>
      <c r="E1521" s="559" t="s">
        <v>101</v>
      </c>
      <c r="F1521" s="559">
        <v>0</v>
      </c>
      <c r="G1521" s="174"/>
    </row>
    <row r="1522" spans="1:7" x14ac:dyDescent="0.3">
      <c r="A1522" s="559" t="s">
        <v>78</v>
      </c>
      <c r="B1522" s="559">
        <v>2014</v>
      </c>
      <c r="C1522" s="559" t="s">
        <v>184</v>
      </c>
      <c r="D1522" s="559" t="s">
        <v>1</v>
      </c>
      <c r="E1522" s="559" t="s">
        <v>96</v>
      </c>
      <c r="F1522" s="559">
        <v>0</v>
      </c>
      <c r="G1522" s="174"/>
    </row>
    <row r="1523" spans="1:7" x14ac:dyDescent="0.3">
      <c r="A1523" s="559" t="s">
        <v>78</v>
      </c>
      <c r="B1523" s="559">
        <v>2014</v>
      </c>
      <c r="C1523" s="559" t="s">
        <v>184</v>
      </c>
      <c r="D1523" s="559" t="s">
        <v>71</v>
      </c>
      <c r="E1523" s="559" t="s">
        <v>96</v>
      </c>
      <c r="F1523" s="559">
        <v>0</v>
      </c>
      <c r="G1523" s="174"/>
    </row>
    <row r="1524" spans="1:7" x14ac:dyDescent="0.3">
      <c r="A1524" s="559" t="s">
        <v>78</v>
      </c>
      <c r="B1524" s="559">
        <v>2014</v>
      </c>
      <c r="C1524" s="559" t="s">
        <v>184</v>
      </c>
      <c r="D1524" s="559" t="s">
        <v>35</v>
      </c>
      <c r="E1524" s="559" t="s">
        <v>110</v>
      </c>
      <c r="F1524" s="559">
        <v>0</v>
      </c>
      <c r="G1524" s="174"/>
    </row>
    <row r="1525" spans="1:7" x14ac:dyDescent="0.3">
      <c r="A1525" s="559" t="s">
        <v>78</v>
      </c>
      <c r="B1525" s="559">
        <v>2014</v>
      </c>
      <c r="C1525" s="559" t="s">
        <v>185</v>
      </c>
      <c r="D1525" s="559" t="s">
        <v>35</v>
      </c>
      <c r="E1525" s="559" t="s">
        <v>101</v>
      </c>
      <c r="F1525" s="559">
        <v>888892.93200000399</v>
      </c>
      <c r="G1525" s="174"/>
    </row>
    <row r="1526" spans="1:7" x14ac:dyDescent="0.3">
      <c r="A1526" s="559" t="s">
        <v>78</v>
      </c>
      <c r="B1526" s="559">
        <v>2014</v>
      </c>
      <c r="C1526" s="559" t="s">
        <v>186</v>
      </c>
      <c r="D1526" s="559" t="s">
        <v>1</v>
      </c>
      <c r="E1526" s="559" t="s">
        <v>96</v>
      </c>
      <c r="F1526" s="559">
        <v>0</v>
      </c>
      <c r="G1526" s="174"/>
    </row>
    <row r="1527" spans="1:7" x14ac:dyDescent="0.3">
      <c r="A1527" s="559" t="s">
        <v>78</v>
      </c>
      <c r="B1527" s="559">
        <v>2014</v>
      </c>
      <c r="C1527" s="559" t="s">
        <v>187</v>
      </c>
      <c r="D1527" s="559" t="s">
        <v>71</v>
      </c>
      <c r="E1527" s="559" t="s">
        <v>96</v>
      </c>
      <c r="F1527" s="559">
        <v>0</v>
      </c>
      <c r="G1527" s="174"/>
    </row>
    <row r="1528" spans="1:7" x14ac:dyDescent="0.3">
      <c r="A1528" s="559" t="s">
        <v>78</v>
      </c>
      <c r="B1528" s="559">
        <v>2014</v>
      </c>
      <c r="C1528" s="559" t="s">
        <v>188</v>
      </c>
      <c r="D1528" s="559" t="s">
        <v>69</v>
      </c>
      <c r="E1528" s="559" t="s">
        <v>96</v>
      </c>
      <c r="F1528" s="559">
        <v>0</v>
      </c>
      <c r="G1528" s="174"/>
    </row>
    <row r="1529" spans="1:7" x14ac:dyDescent="0.3">
      <c r="A1529" s="559" t="s">
        <v>78</v>
      </c>
      <c r="B1529" s="559">
        <v>2014</v>
      </c>
      <c r="C1529" s="559" t="s">
        <v>188</v>
      </c>
      <c r="D1529" s="559" t="s">
        <v>73</v>
      </c>
      <c r="E1529" s="559" t="s">
        <v>96</v>
      </c>
      <c r="F1529" s="559">
        <v>0</v>
      </c>
      <c r="G1529" s="174"/>
    </row>
    <row r="1530" spans="1:7" x14ac:dyDescent="0.3">
      <c r="A1530" s="559" t="s">
        <v>78</v>
      </c>
      <c r="B1530" s="559">
        <v>2014</v>
      </c>
      <c r="C1530" s="559" t="s">
        <v>189</v>
      </c>
      <c r="D1530" s="559" t="s">
        <v>25</v>
      </c>
      <c r="E1530" s="559" t="s">
        <v>96</v>
      </c>
      <c r="F1530" s="559">
        <v>0</v>
      </c>
      <c r="G1530" s="174"/>
    </row>
    <row r="1531" spans="1:7" x14ac:dyDescent="0.3">
      <c r="A1531" s="559" t="s">
        <v>78</v>
      </c>
      <c r="B1531" s="559">
        <v>2014</v>
      </c>
      <c r="C1531" s="559" t="s">
        <v>190</v>
      </c>
      <c r="D1531" s="559" t="s">
        <v>25</v>
      </c>
      <c r="E1531" s="559" t="s">
        <v>96</v>
      </c>
      <c r="F1531" s="559">
        <v>0</v>
      </c>
      <c r="G1531" s="174"/>
    </row>
    <row r="1532" spans="1:7" x14ac:dyDescent="0.3">
      <c r="A1532" s="559" t="s">
        <v>78</v>
      </c>
      <c r="B1532" s="559">
        <v>2014</v>
      </c>
      <c r="C1532" s="559" t="s">
        <v>191</v>
      </c>
      <c r="D1532" s="559" t="s">
        <v>12</v>
      </c>
      <c r="E1532" s="559" t="s">
        <v>96</v>
      </c>
      <c r="F1532" s="559">
        <v>0</v>
      </c>
      <c r="G1532" s="174"/>
    </row>
    <row r="1533" spans="1:7" x14ac:dyDescent="0.3">
      <c r="A1533" s="559" t="s">
        <v>78</v>
      </c>
      <c r="B1533" s="559">
        <v>2014</v>
      </c>
      <c r="C1533" s="559" t="s">
        <v>192</v>
      </c>
      <c r="D1533" s="559" t="s">
        <v>22</v>
      </c>
      <c r="E1533" s="559" t="s">
        <v>756</v>
      </c>
      <c r="F1533" s="559">
        <v>2305478.1850000098</v>
      </c>
      <c r="G1533" s="174"/>
    </row>
    <row r="1534" spans="1:7" x14ac:dyDescent="0.3">
      <c r="A1534" s="559" t="s">
        <v>78</v>
      </c>
      <c r="B1534" s="559">
        <v>2014</v>
      </c>
      <c r="C1534" s="559" t="s">
        <v>192</v>
      </c>
      <c r="D1534" s="559" t="s">
        <v>51</v>
      </c>
      <c r="E1534" s="559" t="s">
        <v>96</v>
      </c>
      <c r="F1534" s="559">
        <v>79.287244108523495</v>
      </c>
      <c r="G1534" s="174"/>
    </row>
    <row r="1535" spans="1:7" x14ac:dyDescent="0.3">
      <c r="A1535" s="559" t="s">
        <v>78</v>
      </c>
      <c r="B1535" s="559">
        <v>2014</v>
      </c>
      <c r="C1535" s="559" t="s">
        <v>193</v>
      </c>
      <c r="D1535" s="559" t="s">
        <v>11</v>
      </c>
      <c r="E1535" s="559" t="s">
        <v>96</v>
      </c>
      <c r="F1535" s="559">
        <v>2957552.27399999</v>
      </c>
      <c r="G1535" s="174"/>
    </row>
    <row r="1536" spans="1:7" x14ac:dyDescent="0.3">
      <c r="A1536" s="559" t="s">
        <v>78</v>
      </c>
      <c r="B1536" s="559">
        <v>2014</v>
      </c>
      <c r="C1536" s="559" t="s">
        <v>395</v>
      </c>
      <c r="D1536" s="559" t="s">
        <v>17</v>
      </c>
      <c r="E1536" s="559" t="s">
        <v>101</v>
      </c>
      <c r="F1536" s="559">
        <v>0</v>
      </c>
      <c r="G1536" s="174"/>
    </row>
    <row r="1537" spans="1:7" x14ac:dyDescent="0.3">
      <c r="A1537" s="559" t="s">
        <v>78</v>
      </c>
      <c r="B1537" s="559">
        <v>2014</v>
      </c>
      <c r="C1537" s="559" t="s">
        <v>194</v>
      </c>
      <c r="D1537" s="559" t="s">
        <v>25</v>
      </c>
      <c r="E1537" s="559" t="s">
        <v>96</v>
      </c>
      <c r="F1537" s="559">
        <v>0</v>
      </c>
      <c r="G1537" s="174"/>
    </row>
    <row r="1538" spans="1:7" x14ac:dyDescent="0.3">
      <c r="A1538" s="559" t="s">
        <v>78</v>
      </c>
      <c r="B1538" s="559">
        <v>2014</v>
      </c>
      <c r="C1538" s="559" t="s">
        <v>195</v>
      </c>
      <c r="D1538" s="559" t="s">
        <v>25</v>
      </c>
      <c r="E1538" s="559" t="s">
        <v>96</v>
      </c>
      <c r="F1538" s="559">
        <v>0</v>
      </c>
      <c r="G1538" s="174"/>
    </row>
    <row r="1539" spans="1:7" x14ac:dyDescent="0.3">
      <c r="A1539" s="559" t="s">
        <v>78</v>
      </c>
      <c r="B1539" s="559">
        <v>2014</v>
      </c>
      <c r="C1539" s="559" t="s">
        <v>196</v>
      </c>
      <c r="D1539" s="559" t="s">
        <v>19</v>
      </c>
      <c r="E1539" s="559" t="s">
        <v>96</v>
      </c>
      <c r="F1539" s="559">
        <v>0</v>
      </c>
      <c r="G1539" s="174"/>
    </row>
    <row r="1540" spans="1:7" x14ac:dyDescent="0.3">
      <c r="A1540" s="559" t="s">
        <v>78</v>
      </c>
      <c r="B1540" s="559">
        <v>2014</v>
      </c>
      <c r="C1540" s="559" t="s">
        <v>197</v>
      </c>
      <c r="D1540" s="559" t="s">
        <v>3</v>
      </c>
      <c r="E1540" s="559" t="s">
        <v>756</v>
      </c>
      <c r="F1540" s="559">
        <v>10943611.2899999</v>
      </c>
      <c r="G1540" s="174"/>
    </row>
    <row r="1541" spans="1:7" x14ac:dyDescent="0.3">
      <c r="A1541" s="559" t="s">
        <v>78</v>
      </c>
      <c r="B1541" s="559">
        <v>2014</v>
      </c>
      <c r="C1541" s="559" t="s">
        <v>198</v>
      </c>
      <c r="D1541" s="559" t="s">
        <v>28</v>
      </c>
      <c r="E1541" s="559" t="s">
        <v>96</v>
      </c>
      <c r="F1541" s="559">
        <v>3422958.57399998</v>
      </c>
      <c r="G1541" s="174"/>
    </row>
    <row r="1542" spans="1:7" x14ac:dyDescent="0.3">
      <c r="A1542" s="559" t="s">
        <v>78</v>
      </c>
      <c r="B1542" s="559">
        <v>2014</v>
      </c>
      <c r="C1542" s="559" t="s">
        <v>199</v>
      </c>
      <c r="D1542" s="559" t="s">
        <v>28</v>
      </c>
      <c r="E1542" s="559" t="s">
        <v>96</v>
      </c>
      <c r="F1542" s="559">
        <v>2692394.7369999699</v>
      </c>
      <c r="G1542" s="174"/>
    </row>
    <row r="1543" spans="1:7" x14ac:dyDescent="0.3">
      <c r="A1543" s="559" t="s">
        <v>78</v>
      </c>
      <c r="B1543" s="559">
        <v>2014</v>
      </c>
      <c r="C1543" s="559" t="s">
        <v>200</v>
      </c>
      <c r="D1543" s="559" t="s">
        <v>677</v>
      </c>
      <c r="E1543" s="559" t="s">
        <v>96</v>
      </c>
      <c r="F1543" s="559">
        <v>286656.59230035002</v>
      </c>
      <c r="G1543" s="174"/>
    </row>
    <row r="1544" spans="1:7" x14ac:dyDescent="0.3">
      <c r="A1544" s="559" t="s">
        <v>78</v>
      </c>
      <c r="B1544" s="559">
        <v>2014</v>
      </c>
      <c r="C1544" s="559" t="s">
        <v>200</v>
      </c>
      <c r="D1544" s="559" t="s">
        <v>34</v>
      </c>
      <c r="E1544" s="559" t="s">
        <v>96</v>
      </c>
      <c r="F1544" s="559">
        <v>11024334.4346157</v>
      </c>
      <c r="G1544" s="174"/>
    </row>
    <row r="1545" spans="1:7" x14ac:dyDescent="0.3">
      <c r="A1545" s="559" t="s">
        <v>78</v>
      </c>
      <c r="B1545" s="559">
        <v>2014</v>
      </c>
      <c r="C1545" s="559" t="s">
        <v>201</v>
      </c>
      <c r="D1545" s="559" t="s">
        <v>34</v>
      </c>
      <c r="E1545" s="559" t="s">
        <v>110</v>
      </c>
      <c r="F1545" s="559">
        <v>0</v>
      </c>
      <c r="G1545" s="174"/>
    </row>
    <row r="1546" spans="1:7" x14ac:dyDescent="0.3">
      <c r="A1546" s="559" t="s">
        <v>78</v>
      </c>
      <c r="B1546" s="559">
        <v>2014</v>
      </c>
      <c r="C1546" s="559" t="s">
        <v>202</v>
      </c>
      <c r="D1546" s="559" t="s">
        <v>33</v>
      </c>
      <c r="E1546" s="559" t="s">
        <v>101</v>
      </c>
      <c r="F1546" s="559">
        <v>0</v>
      </c>
      <c r="G1546" s="174"/>
    </row>
    <row r="1547" spans="1:7" x14ac:dyDescent="0.3">
      <c r="A1547" s="559" t="s">
        <v>78</v>
      </c>
      <c r="B1547" s="559">
        <v>2014</v>
      </c>
      <c r="C1547" s="559" t="s">
        <v>203</v>
      </c>
      <c r="D1547" s="559" t="s">
        <v>17</v>
      </c>
      <c r="E1547" s="559" t="s">
        <v>101</v>
      </c>
      <c r="F1547" s="559">
        <v>0</v>
      </c>
      <c r="G1547" s="174"/>
    </row>
    <row r="1548" spans="1:7" x14ac:dyDescent="0.3">
      <c r="A1548" s="559" t="s">
        <v>78</v>
      </c>
      <c r="B1548" s="559">
        <v>2014</v>
      </c>
      <c r="C1548" s="559" t="s">
        <v>204</v>
      </c>
      <c r="D1548" s="559" t="s">
        <v>28</v>
      </c>
      <c r="E1548" s="559" t="s">
        <v>96</v>
      </c>
      <c r="F1548" s="559">
        <v>8661750.3629999701</v>
      </c>
      <c r="G1548" s="174"/>
    </row>
    <row r="1549" spans="1:7" x14ac:dyDescent="0.3">
      <c r="A1549" s="559" t="s">
        <v>78</v>
      </c>
      <c r="B1549" s="559">
        <v>2014</v>
      </c>
      <c r="C1549" s="559" t="s">
        <v>205</v>
      </c>
      <c r="D1549" s="559" t="s">
        <v>35</v>
      </c>
      <c r="E1549" s="559" t="s">
        <v>110</v>
      </c>
      <c r="F1549" s="559">
        <v>276137.516</v>
      </c>
      <c r="G1549" s="174"/>
    </row>
    <row r="1550" spans="1:7" x14ac:dyDescent="0.3">
      <c r="A1550" s="559" t="s">
        <v>78</v>
      </c>
      <c r="B1550" s="559">
        <v>2014</v>
      </c>
      <c r="C1550" s="559" t="s">
        <v>205</v>
      </c>
      <c r="D1550" s="559" t="s">
        <v>41</v>
      </c>
      <c r="E1550" s="559" t="s">
        <v>96</v>
      </c>
      <c r="F1550" s="559">
        <v>0</v>
      </c>
      <c r="G1550" s="174"/>
    </row>
    <row r="1551" spans="1:7" x14ac:dyDescent="0.3">
      <c r="A1551" s="559" t="s">
        <v>78</v>
      </c>
      <c r="B1551" s="559">
        <v>2014</v>
      </c>
      <c r="C1551" s="559" t="s">
        <v>206</v>
      </c>
      <c r="D1551" s="559" t="s">
        <v>35</v>
      </c>
      <c r="E1551" s="559" t="s">
        <v>101</v>
      </c>
      <c r="F1551" s="559">
        <v>561457.68999999994</v>
      </c>
      <c r="G1551" s="174"/>
    </row>
    <row r="1552" spans="1:7" x14ac:dyDescent="0.3">
      <c r="A1552" s="559" t="s">
        <v>78</v>
      </c>
      <c r="B1552" s="559">
        <v>2014</v>
      </c>
      <c r="C1552" s="559" t="s">
        <v>207</v>
      </c>
      <c r="D1552" s="559" t="s">
        <v>40</v>
      </c>
      <c r="E1552" s="559" t="s">
        <v>96</v>
      </c>
      <c r="F1552" s="559">
        <v>7550343.9780000104</v>
      </c>
      <c r="G1552" s="174"/>
    </row>
    <row r="1553" spans="1:7" x14ac:dyDescent="0.3">
      <c r="A1553" s="559" t="s">
        <v>78</v>
      </c>
      <c r="B1553" s="559">
        <v>2014</v>
      </c>
      <c r="C1553" s="559" t="s">
        <v>208</v>
      </c>
      <c r="D1553" s="559" t="s">
        <v>47</v>
      </c>
      <c r="E1553" s="559" t="s">
        <v>96</v>
      </c>
      <c r="F1553" s="559">
        <v>629519.78999999899</v>
      </c>
      <c r="G1553" s="174"/>
    </row>
    <row r="1554" spans="1:7" x14ac:dyDescent="0.3">
      <c r="A1554" s="559" t="s">
        <v>78</v>
      </c>
      <c r="B1554" s="559">
        <v>2014</v>
      </c>
      <c r="C1554" s="559" t="s">
        <v>209</v>
      </c>
      <c r="D1554" s="559" t="s">
        <v>47</v>
      </c>
      <c r="E1554" s="559" t="s">
        <v>96</v>
      </c>
      <c r="F1554" s="559">
        <v>634177.96499999997</v>
      </c>
      <c r="G1554" s="174"/>
    </row>
    <row r="1555" spans="1:7" x14ac:dyDescent="0.3">
      <c r="A1555" s="559" t="s">
        <v>78</v>
      </c>
      <c r="B1555" s="559">
        <v>2014</v>
      </c>
      <c r="C1555" s="559" t="s">
        <v>210</v>
      </c>
      <c r="D1555" s="559" t="s">
        <v>28</v>
      </c>
      <c r="E1555" s="559" t="s">
        <v>96</v>
      </c>
      <c r="F1555" s="559">
        <v>10984007.8769999</v>
      </c>
      <c r="G1555" s="174"/>
    </row>
    <row r="1556" spans="1:7" x14ac:dyDescent="0.3">
      <c r="A1556" s="559" t="s">
        <v>78</v>
      </c>
      <c r="B1556" s="559">
        <v>2014</v>
      </c>
      <c r="C1556" s="559" t="s">
        <v>211</v>
      </c>
      <c r="D1556" s="559" t="s">
        <v>35</v>
      </c>
      <c r="E1556" s="559" t="s">
        <v>110</v>
      </c>
      <c r="F1556" s="559">
        <v>0</v>
      </c>
      <c r="G1556" s="174"/>
    </row>
    <row r="1557" spans="1:7" x14ac:dyDescent="0.3">
      <c r="A1557" s="559" t="s">
        <v>78</v>
      </c>
      <c r="B1557" s="559">
        <v>2014</v>
      </c>
      <c r="C1557" s="559" t="s">
        <v>212</v>
      </c>
      <c r="D1557" s="559" t="s">
        <v>14</v>
      </c>
      <c r="E1557" s="559" t="s">
        <v>101</v>
      </c>
      <c r="F1557" s="559">
        <v>79547068.185999796</v>
      </c>
      <c r="G1557" s="174"/>
    </row>
    <row r="1558" spans="1:7" x14ac:dyDescent="0.3">
      <c r="A1558" s="559" t="s">
        <v>78</v>
      </c>
      <c r="B1558" s="559">
        <v>2014</v>
      </c>
      <c r="C1558" s="559" t="s">
        <v>213</v>
      </c>
      <c r="D1558" s="559" t="s">
        <v>72</v>
      </c>
      <c r="E1558" s="559" t="s">
        <v>110</v>
      </c>
      <c r="F1558" s="559">
        <v>0</v>
      </c>
      <c r="G1558" s="174"/>
    </row>
    <row r="1559" spans="1:7" x14ac:dyDescent="0.3">
      <c r="A1559" s="559" t="s">
        <v>78</v>
      </c>
      <c r="B1559" s="559">
        <v>2014</v>
      </c>
      <c r="C1559" s="559" t="s">
        <v>213</v>
      </c>
      <c r="D1559" s="559" t="s">
        <v>103</v>
      </c>
      <c r="E1559" s="559" t="s">
        <v>96</v>
      </c>
      <c r="F1559" s="559">
        <v>1639.778</v>
      </c>
      <c r="G1559" s="174"/>
    </row>
    <row r="1560" spans="1:7" x14ac:dyDescent="0.3">
      <c r="A1560" s="559" t="s">
        <v>78</v>
      </c>
      <c r="B1560" s="559">
        <v>2014</v>
      </c>
      <c r="C1560" s="559" t="s">
        <v>214</v>
      </c>
      <c r="D1560" s="559" t="s">
        <v>33</v>
      </c>
      <c r="E1560" s="559" t="s">
        <v>101</v>
      </c>
      <c r="F1560" s="559">
        <v>0</v>
      </c>
      <c r="G1560" s="174"/>
    </row>
    <row r="1561" spans="1:7" x14ac:dyDescent="0.3">
      <c r="A1561" s="559" t="s">
        <v>78</v>
      </c>
      <c r="B1561" s="559">
        <v>2014</v>
      </c>
      <c r="C1561" s="559" t="s">
        <v>215</v>
      </c>
      <c r="D1561" s="559" t="s">
        <v>35</v>
      </c>
      <c r="E1561" s="559" t="s">
        <v>101</v>
      </c>
      <c r="F1561" s="559">
        <v>0</v>
      </c>
      <c r="G1561" s="174"/>
    </row>
    <row r="1562" spans="1:7" x14ac:dyDescent="0.3">
      <c r="A1562" s="559" t="s">
        <v>78</v>
      </c>
      <c r="B1562" s="559">
        <v>2014</v>
      </c>
      <c r="C1562" s="559" t="s">
        <v>216</v>
      </c>
      <c r="D1562" s="559" t="s">
        <v>35</v>
      </c>
      <c r="E1562" s="559" t="s">
        <v>101</v>
      </c>
      <c r="F1562" s="559">
        <v>0</v>
      </c>
      <c r="G1562" s="174"/>
    </row>
    <row r="1563" spans="1:7" x14ac:dyDescent="0.3">
      <c r="A1563" s="559" t="s">
        <v>78</v>
      </c>
      <c r="B1563" s="559">
        <v>2014</v>
      </c>
      <c r="C1563" s="559" t="s">
        <v>217</v>
      </c>
      <c r="D1563" s="559" t="s">
        <v>19</v>
      </c>
      <c r="E1563" s="559" t="s">
        <v>96</v>
      </c>
      <c r="F1563" s="559">
        <v>0</v>
      </c>
      <c r="G1563" s="174"/>
    </row>
    <row r="1564" spans="1:7" x14ac:dyDescent="0.3">
      <c r="A1564" s="559" t="s">
        <v>78</v>
      </c>
      <c r="B1564" s="559">
        <v>2014</v>
      </c>
      <c r="C1564" s="559" t="s">
        <v>218</v>
      </c>
      <c r="D1564" s="559" t="s">
        <v>39</v>
      </c>
      <c r="E1564" s="559" t="s">
        <v>96</v>
      </c>
      <c r="F1564" s="559">
        <v>0.214</v>
      </c>
      <c r="G1564" s="174"/>
    </row>
    <row r="1565" spans="1:7" x14ac:dyDescent="0.3">
      <c r="A1565" s="559" t="s">
        <v>78</v>
      </c>
      <c r="B1565" s="559">
        <v>2014</v>
      </c>
      <c r="C1565" s="559" t="s">
        <v>219</v>
      </c>
      <c r="D1565" s="559" t="s">
        <v>28</v>
      </c>
      <c r="E1565" s="559" t="s">
        <v>96</v>
      </c>
      <c r="F1565" s="559">
        <v>2540191.0460000001</v>
      </c>
      <c r="G1565" s="174"/>
    </row>
    <row r="1566" spans="1:7" x14ac:dyDescent="0.3">
      <c r="A1566" s="559" t="s">
        <v>78</v>
      </c>
      <c r="B1566" s="559">
        <v>2014</v>
      </c>
      <c r="C1566" s="559" t="s">
        <v>220</v>
      </c>
      <c r="D1566" s="559" t="s">
        <v>8</v>
      </c>
      <c r="E1566" s="559" t="s">
        <v>96</v>
      </c>
      <c r="F1566" s="559">
        <v>7514790.4380000401</v>
      </c>
      <c r="G1566" s="174"/>
    </row>
    <row r="1567" spans="1:7" x14ac:dyDescent="0.3">
      <c r="A1567" s="559" t="s">
        <v>78</v>
      </c>
      <c r="B1567" s="559">
        <v>2014</v>
      </c>
      <c r="C1567" s="559" t="s">
        <v>221</v>
      </c>
      <c r="D1567" s="559" t="s">
        <v>33</v>
      </c>
      <c r="E1567" s="559" t="s">
        <v>101</v>
      </c>
      <c r="F1567" s="559">
        <v>0</v>
      </c>
      <c r="G1567" s="174"/>
    </row>
    <row r="1568" spans="1:7" x14ac:dyDescent="0.3">
      <c r="A1568" s="559" t="s">
        <v>78</v>
      </c>
      <c r="B1568" s="559">
        <v>2014</v>
      </c>
      <c r="C1568" s="559" t="s">
        <v>222</v>
      </c>
      <c r="D1568" s="559" t="s">
        <v>33</v>
      </c>
      <c r="E1568" s="559" t="s">
        <v>96</v>
      </c>
      <c r="F1568" s="559">
        <v>37768.659999999698</v>
      </c>
      <c r="G1568" s="174"/>
    </row>
    <row r="1569" spans="1:7" x14ac:dyDescent="0.3">
      <c r="A1569" s="559" t="s">
        <v>78</v>
      </c>
      <c r="B1569" s="559">
        <v>2014</v>
      </c>
      <c r="C1569" s="559" t="s">
        <v>223</v>
      </c>
      <c r="D1569" s="559" t="s">
        <v>33</v>
      </c>
      <c r="E1569" s="559" t="s">
        <v>101</v>
      </c>
      <c r="F1569" s="559">
        <v>0</v>
      </c>
      <c r="G1569" s="174"/>
    </row>
    <row r="1570" spans="1:7" x14ac:dyDescent="0.3">
      <c r="A1570" s="559" t="s">
        <v>78</v>
      </c>
      <c r="B1570" s="559">
        <v>2014</v>
      </c>
      <c r="C1570" s="559" t="s">
        <v>224</v>
      </c>
      <c r="D1570" s="559" t="s">
        <v>40</v>
      </c>
      <c r="E1570" s="559" t="s">
        <v>96</v>
      </c>
      <c r="F1570" s="559">
        <v>5626135.2240000097</v>
      </c>
      <c r="G1570" s="174"/>
    </row>
    <row r="1571" spans="1:7" x14ac:dyDescent="0.3">
      <c r="A1571" s="559" t="s">
        <v>78</v>
      </c>
      <c r="B1571" s="559">
        <v>2014</v>
      </c>
      <c r="C1571" s="559" t="s">
        <v>225</v>
      </c>
      <c r="D1571" s="559" t="s">
        <v>40</v>
      </c>
      <c r="E1571" s="559" t="s">
        <v>96</v>
      </c>
      <c r="F1571" s="559">
        <v>6755126.1310000103</v>
      </c>
      <c r="G1571" s="174"/>
    </row>
    <row r="1572" spans="1:7" x14ac:dyDescent="0.3">
      <c r="A1572" s="559" t="s">
        <v>78</v>
      </c>
      <c r="B1572" s="559">
        <v>2014</v>
      </c>
      <c r="C1572" s="559" t="s">
        <v>226</v>
      </c>
      <c r="D1572" s="559" t="s">
        <v>37</v>
      </c>
      <c r="E1572" s="559" t="s">
        <v>96</v>
      </c>
      <c r="F1572" s="559">
        <v>21753198.329999801</v>
      </c>
      <c r="G1572" s="174"/>
    </row>
    <row r="1573" spans="1:7" x14ac:dyDescent="0.3">
      <c r="A1573" s="559" t="s">
        <v>78</v>
      </c>
      <c r="B1573" s="559">
        <v>2014</v>
      </c>
      <c r="C1573" s="559" t="s">
        <v>227</v>
      </c>
      <c r="D1573" s="559" t="s">
        <v>48</v>
      </c>
      <c r="E1573" s="559" t="s">
        <v>96</v>
      </c>
      <c r="F1573" s="559">
        <v>7850322.1380000198</v>
      </c>
      <c r="G1573" s="174"/>
    </row>
    <row r="1574" spans="1:7" x14ac:dyDescent="0.3">
      <c r="A1574" s="559" t="s">
        <v>78</v>
      </c>
      <c r="B1574" s="559">
        <v>2014</v>
      </c>
      <c r="C1574" s="559" t="s">
        <v>228</v>
      </c>
      <c r="D1574" s="559" t="s">
        <v>15</v>
      </c>
      <c r="E1574" s="559" t="s">
        <v>96</v>
      </c>
      <c r="F1574" s="559">
        <v>1752767.5259999901</v>
      </c>
      <c r="G1574" s="174"/>
    </row>
    <row r="1575" spans="1:7" x14ac:dyDescent="0.3">
      <c r="A1575" s="559" t="s">
        <v>78</v>
      </c>
      <c r="B1575" s="559">
        <v>2014</v>
      </c>
      <c r="C1575" s="559" t="s">
        <v>229</v>
      </c>
      <c r="D1575" s="559" t="s">
        <v>23</v>
      </c>
      <c r="E1575" s="559" t="s">
        <v>96</v>
      </c>
      <c r="F1575" s="559">
        <v>23977620.921999902</v>
      </c>
      <c r="G1575" s="174"/>
    </row>
    <row r="1576" spans="1:7" x14ac:dyDescent="0.3">
      <c r="A1576" s="559" t="s">
        <v>78</v>
      </c>
      <c r="B1576" s="559">
        <v>2014</v>
      </c>
      <c r="C1576" s="559" t="s">
        <v>230</v>
      </c>
      <c r="D1576" s="559" t="s">
        <v>28</v>
      </c>
      <c r="E1576" s="559" t="s">
        <v>96</v>
      </c>
      <c r="F1576" s="559">
        <v>9931280.9579999894</v>
      </c>
      <c r="G1576" s="174"/>
    </row>
    <row r="1577" spans="1:7" x14ac:dyDescent="0.3">
      <c r="A1577" s="559" t="s">
        <v>78</v>
      </c>
      <c r="B1577" s="559">
        <v>2014</v>
      </c>
      <c r="C1577" s="559" t="s">
        <v>231</v>
      </c>
      <c r="D1577" s="559" t="s">
        <v>17</v>
      </c>
      <c r="E1577" s="559" t="s">
        <v>101</v>
      </c>
      <c r="F1577" s="559">
        <v>0</v>
      </c>
      <c r="G1577" s="174"/>
    </row>
    <row r="1578" spans="1:7" x14ac:dyDescent="0.3">
      <c r="A1578" s="559" t="s">
        <v>78</v>
      </c>
      <c r="B1578" s="559">
        <v>2014</v>
      </c>
      <c r="C1578" s="559" t="s">
        <v>232</v>
      </c>
      <c r="D1578" s="559" t="s">
        <v>28</v>
      </c>
      <c r="E1578" s="559" t="s">
        <v>96</v>
      </c>
      <c r="F1578" s="559">
        <v>11484625.111999899</v>
      </c>
      <c r="G1578" s="174"/>
    </row>
    <row r="1579" spans="1:7" x14ac:dyDescent="0.3">
      <c r="A1579" s="559" t="s">
        <v>78</v>
      </c>
      <c r="B1579" s="559">
        <v>2014</v>
      </c>
      <c r="C1579" s="559" t="s">
        <v>233</v>
      </c>
      <c r="D1579" s="559" t="s">
        <v>28</v>
      </c>
      <c r="E1579" s="559" t="s">
        <v>96</v>
      </c>
      <c r="F1579" s="559">
        <v>3586169.5209999899</v>
      </c>
      <c r="G1579" s="174"/>
    </row>
    <row r="1580" spans="1:7" x14ac:dyDescent="0.3">
      <c r="A1580" s="559" t="s">
        <v>78</v>
      </c>
      <c r="B1580" s="559">
        <v>2014</v>
      </c>
      <c r="C1580" s="559" t="s">
        <v>234</v>
      </c>
      <c r="D1580" s="559" t="s">
        <v>23</v>
      </c>
      <c r="E1580" s="559" t="s">
        <v>96</v>
      </c>
      <c r="F1580" s="559">
        <v>3745328.8599999798</v>
      </c>
      <c r="G1580" s="174"/>
    </row>
    <row r="1581" spans="1:7" x14ac:dyDescent="0.3">
      <c r="A1581" s="559" t="s">
        <v>78</v>
      </c>
      <c r="B1581" s="559">
        <v>2014</v>
      </c>
      <c r="C1581" s="559" t="s">
        <v>235</v>
      </c>
      <c r="D1581" s="559" t="s">
        <v>28</v>
      </c>
      <c r="E1581" s="559" t="s">
        <v>96</v>
      </c>
      <c r="F1581" s="559">
        <v>1431194.426</v>
      </c>
      <c r="G1581" s="174"/>
    </row>
    <row r="1582" spans="1:7" x14ac:dyDescent="0.3">
      <c r="A1582" s="559" t="s">
        <v>78</v>
      </c>
      <c r="B1582" s="559">
        <v>2014</v>
      </c>
      <c r="C1582" s="559" t="s">
        <v>236</v>
      </c>
      <c r="D1582" s="559" t="s">
        <v>51</v>
      </c>
      <c r="E1582" s="559" t="s">
        <v>96</v>
      </c>
      <c r="F1582" s="559">
        <v>4869.2060000000001</v>
      </c>
      <c r="G1582" s="174"/>
    </row>
    <row r="1583" spans="1:7" x14ac:dyDescent="0.3">
      <c r="A1583" s="559" t="s">
        <v>78</v>
      </c>
      <c r="B1583" s="559">
        <v>2014</v>
      </c>
      <c r="C1583" s="559" t="s">
        <v>237</v>
      </c>
      <c r="D1583" s="559" t="s">
        <v>18</v>
      </c>
      <c r="E1583" s="559" t="s">
        <v>101</v>
      </c>
      <c r="F1583" s="559">
        <v>0</v>
      </c>
      <c r="G1583" s="174"/>
    </row>
    <row r="1584" spans="1:7" x14ac:dyDescent="0.3">
      <c r="A1584" s="559" t="s">
        <v>78</v>
      </c>
      <c r="B1584" s="559">
        <v>2014</v>
      </c>
      <c r="C1584" s="559" t="s">
        <v>238</v>
      </c>
      <c r="D1584" s="559" t="s">
        <v>17</v>
      </c>
      <c r="E1584" s="559" t="s">
        <v>96</v>
      </c>
      <c r="F1584" s="559">
        <v>946.10799999999995</v>
      </c>
      <c r="G1584" s="174"/>
    </row>
    <row r="1585" spans="1:7" x14ac:dyDescent="0.3">
      <c r="A1585" s="559" t="s">
        <v>78</v>
      </c>
      <c r="B1585" s="559">
        <v>2014</v>
      </c>
      <c r="C1585" s="559" t="s">
        <v>239</v>
      </c>
      <c r="D1585" s="559" t="s">
        <v>21</v>
      </c>
      <c r="E1585" s="559" t="s">
        <v>101</v>
      </c>
      <c r="F1585" s="559">
        <v>0</v>
      </c>
      <c r="G1585" s="174"/>
    </row>
    <row r="1586" spans="1:7" x14ac:dyDescent="0.3">
      <c r="A1586" s="559" t="s">
        <v>78</v>
      </c>
      <c r="B1586" s="559">
        <v>2014</v>
      </c>
      <c r="C1586" s="559" t="s">
        <v>240</v>
      </c>
      <c r="D1586" s="559" t="s">
        <v>73</v>
      </c>
      <c r="E1586" s="559" t="s">
        <v>96</v>
      </c>
      <c r="F1586" s="559">
        <v>0</v>
      </c>
      <c r="G1586" s="174"/>
    </row>
    <row r="1587" spans="1:7" x14ac:dyDescent="0.3">
      <c r="A1587" s="559" t="s">
        <v>78</v>
      </c>
      <c r="B1587" s="559">
        <v>2014</v>
      </c>
      <c r="C1587" s="559" t="s">
        <v>241</v>
      </c>
      <c r="D1587" s="559" t="s">
        <v>14</v>
      </c>
      <c r="E1587" s="559" t="s">
        <v>110</v>
      </c>
      <c r="F1587" s="559">
        <v>2092393.07799999</v>
      </c>
      <c r="G1587" s="174"/>
    </row>
    <row r="1588" spans="1:7" x14ac:dyDescent="0.3">
      <c r="A1588" s="559" t="s">
        <v>78</v>
      </c>
      <c r="B1588" s="559">
        <v>2014</v>
      </c>
      <c r="C1588" s="559" t="s">
        <v>242</v>
      </c>
      <c r="D1588" s="559" t="s">
        <v>32</v>
      </c>
      <c r="E1588" s="559" t="s">
        <v>96</v>
      </c>
      <c r="F1588" s="559">
        <v>638741.673000001</v>
      </c>
      <c r="G1588" s="174"/>
    </row>
    <row r="1589" spans="1:7" x14ac:dyDescent="0.3">
      <c r="A1589" s="559" t="s">
        <v>78</v>
      </c>
      <c r="B1589" s="559">
        <v>2014</v>
      </c>
      <c r="C1589" s="559" t="s">
        <v>243</v>
      </c>
      <c r="D1589" s="559" t="s">
        <v>51</v>
      </c>
      <c r="E1589" s="559" t="s">
        <v>96</v>
      </c>
      <c r="F1589" s="559">
        <v>75758.773686394998</v>
      </c>
      <c r="G1589" s="174"/>
    </row>
    <row r="1590" spans="1:7" x14ac:dyDescent="0.3">
      <c r="A1590" s="559" t="s">
        <v>78</v>
      </c>
      <c r="B1590" s="559">
        <v>2014</v>
      </c>
      <c r="C1590" s="559" t="s">
        <v>243</v>
      </c>
      <c r="D1590" s="559" t="s">
        <v>28</v>
      </c>
      <c r="E1590" s="559" t="s">
        <v>96</v>
      </c>
      <c r="F1590" s="559">
        <v>3362456.2693135999</v>
      </c>
      <c r="G1590" s="174"/>
    </row>
    <row r="1591" spans="1:7" x14ac:dyDescent="0.3">
      <c r="A1591" s="559" t="s">
        <v>78</v>
      </c>
      <c r="B1591" s="559">
        <v>2014</v>
      </c>
      <c r="C1591" s="559" t="s">
        <v>244</v>
      </c>
      <c r="D1591" s="559" t="s">
        <v>71</v>
      </c>
      <c r="E1591" s="559" t="s">
        <v>96</v>
      </c>
      <c r="F1591" s="559">
        <v>0</v>
      </c>
      <c r="G1591" s="174"/>
    </row>
    <row r="1592" spans="1:7" x14ac:dyDescent="0.3">
      <c r="A1592" s="559" t="s">
        <v>78</v>
      </c>
      <c r="B1592" s="559">
        <v>2014</v>
      </c>
      <c r="C1592" s="559" t="s">
        <v>245</v>
      </c>
      <c r="D1592" s="559" t="s">
        <v>35</v>
      </c>
      <c r="E1592" s="559" t="s">
        <v>101</v>
      </c>
      <c r="F1592" s="559">
        <v>1115007.9000000099</v>
      </c>
      <c r="G1592" s="174"/>
    </row>
    <row r="1593" spans="1:7" x14ac:dyDescent="0.3">
      <c r="A1593" s="559" t="s">
        <v>78</v>
      </c>
      <c r="B1593" s="559">
        <v>2014</v>
      </c>
      <c r="C1593" s="559" t="s">
        <v>246</v>
      </c>
      <c r="D1593" s="559" t="s">
        <v>20</v>
      </c>
      <c r="E1593" s="559" t="s">
        <v>96</v>
      </c>
      <c r="F1593" s="559">
        <v>0</v>
      </c>
      <c r="G1593" s="174"/>
    </row>
    <row r="1594" spans="1:7" x14ac:dyDescent="0.3">
      <c r="A1594" s="559" t="s">
        <v>78</v>
      </c>
      <c r="B1594" s="559">
        <v>2014</v>
      </c>
      <c r="C1594" s="559" t="s">
        <v>247</v>
      </c>
      <c r="D1594" s="559" t="s">
        <v>14</v>
      </c>
      <c r="E1594" s="559" t="s">
        <v>101</v>
      </c>
      <c r="F1594" s="559">
        <v>20190460.708999299</v>
      </c>
      <c r="G1594" s="174"/>
    </row>
    <row r="1595" spans="1:7" x14ac:dyDescent="0.3">
      <c r="A1595" s="559" t="s">
        <v>78</v>
      </c>
      <c r="B1595" s="559">
        <v>2014</v>
      </c>
      <c r="C1595" s="559" t="s">
        <v>248</v>
      </c>
      <c r="D1595" s="559" t="s">
        <v>14</v>
      </c>
      <c r="E1595" s="559" t="s">
        <v>101</v>
      </c>
      <c r="F1595" s="559">
        <v>16843914.406999301</v>
      </c>
      <c r="G1595" s="174"/>
    </row>
    <row r="1596" spans="1:7" x14ac:dyDescent="0.3">
      <c r="A1596" s="559" t="s">
        <v>78</v>
      </c>
      <c r="B1596" s="559">
        <v>2014</v>
      </c>
      <c r="C1596" s="559" t="s">
        <v>249</v>
      </c>
      <c r="D1596" s="559" t="s">
        <v>14</v>
      </c>
      <c r="E1596" s="559" t="s">
        <v>101</v>
      </c>
      <c r="F1596" s="559">
        <v>16644603.7629997</v>
      </c>
      <c r="G1596" s="174"/>
    </row>
    <row r="1597" spans="1:7" x14ac:dyDescent="0.3">
      <c r="A1597" s="559" t="s">
        <v>78</v>
      </c>
      <c r="B1597" s="559">
        <v>2014</v>
      </c>
      <c r="C1597" s="559" t="s">
        <v>250</v>
      </c>
      <c r="D1597" s="559" t="s">
        <v>17</v>
      </c>
      <c r="E1597" s="559" t="s">
        <v>101</v>
      </c>
      <c r="F1597" s="559">
        <v>0</v>
      </c>
      <c r="G1597" s="174"/>
    </row>
    <row r="1598" spans="1:7" x14ac:dyDescent="0.3">
      <c r="A1598" s="559" t="s">
        <v>78</v>
      </c>
      <c r="B1598" s="559">
        <v>2014</v>
      </c>
      <c r="C1598" s="559" t="s">
        <v>251</v>
      </c>
      <c r="D1598" s="559" t="s">
        <v>4</v>
      </c>
      <c r="E1598" s="559" t="s">
        <v>101</v>
      </c>
      <c r="F1598" s="559">
        <v>0</v>
      </c>
      <c r="G1598" s="174"/>
    </row>
    <row r="1599" spans="1:7" x14ac:dyDescent="0.3">
      <c r="A1599" s="559" t="s">
        <v>78</v>
      </c>
      <c r="B1599" s="559">
        <v>2014</v>
      </c>
      <c r="C1599" s="559" t="s">
        <v>252</v>
      </c>
      <c r="D1599" s="559" t="s">
        <v>28</v>
      </c>
      <c r="E1599" s="559" t="s">
        <v>96</v>
      </c>
      <c r="F1599" s="559">
        <v>410549.97875580401</v>
      </c>
      <c r="G1599" s="174"/>
    </row>
    <row r="1600" spans="1:7" x14ac:dyDescent="0.3">
      <c r="A1600" s="559" t="s">
        <v>78</v>
      </c>
      <c r="B1600" s="559">
        <v>2014</v>
      </c>
      <c r="C1600" s="559" t="s">
        <v>252</v>
      </c>
      <c r="D1600" s="559" t="s">
        <v>32</v>
      </c>
      <c r="E1600" s="559" t="s">
        <v>96</v>
      </c>
      <c r="F1600" s="559">
        <v>726113.17305106996</v>
      </c>
      <c r="G1600" s="174"/>
    </row>
    <row r="1601" spans="1:7" x14ac:dyDescent="0.3">
      <c r="A1601" s="559" t="s">
        <v>78</v>
      </c>
      <c r="B1601" s="559">
        <v>2014</v>
      </c>
      <c r="C1601" s="559" t="s">
        <v>253</v>
      </c>
      <c r="D1601" s="559" t="s">
        <v>32</v>
      </c>
      <c r="E1601" s="559" t="s">
        <v>96</v>
      </c>
      <c r="F1601" s="559">
        <v>482907.08900000103</v>
      </c>
      <c r="G1601" s="174"/>
    </row>
    <row r="1602" spans="1:7" x14ac:dyDescent="0.3">
      <c r="A1602" s="559" t="s">
        <v>78</v>
      </c>
      <c r="B1602" s="559">
        <v>2014</v>
      </c>
      <c r="C1602" s="559" t="s">
        <v>254</v>
      </c>
      <c r="D1602" s="559" t="s">
        <v>28</v>
      </c>
      <c r="E1602" s="559" t="s">
        <v>96</v>
      </c>
      <c r="F1602" s="559">
        <v>1767687.5630000001</v>
      </c>
      <c r="G1602" s="174"/>
    </row>
    <row r="1603" spans="1:7" x14ac:dyDescent="0.3">
      <c r="A1603" s="559" t="s">
        <v>78</v>
      </c>
      <c r="B1603" s="559">
        <v>2014</v>
      </c>
      <c r="C1603" s="559" t="s">
        <v>678</v>
      </c>
      <c r="D1603" s="559" t="s">
        <v>2</v>
      </c>
      <c r="E1603" s="559" t="s">
        <v>96</v>
      </c>
      <c r="F1603" s="559">
        <v>0</v>
      </c>
      <c r="G1603" s="174"/>
    </row>
    <row r="1604" spans="1:7" x14ac:dyDescent="0.3">
      <c r="A1604" s="559" t="s">
        <v>78</v>
      </c>
      <c r="B1604" s="559">
        <v>2014</v>
      </c>
      <c r="C1604" s="559" t="s">
        <v>257</v>
      </c>
      <c r="D1604" s="559" t="s">
        <v>4</v>
      </c>
      <c r="E1604" s="559" t="s">
        <v>96</v>
      </c>
      <c r="F1604" s="559">
        <v>268685.34596286103</v>
      </c>
      <c r="G1604" s="174"/>
    </row>
    <row r="1605" spans="1:7" x14ac:dyDescent="0.3">
      <c r="A1605" s="559" t="s">
        <v>78</v>
      </c>
      <c r="B1605" s="559">
        <v>2014</v>
      </c>
      <c r="C1605" s="559" t="s">
        <v>257</v>
      </c>
      <c r="D1605" s="559" t="s">
        <v>37</v>
      </c>
      <c r="E1605" s="559" t="s">
        <v>96</v>
      </c>
      <c r="F1605" s="559">
        <v>12753597.755037099</v>
      </c>
      <c r="G1605" s="174"/>
    </row>
    <row r="1606" spans="1:7" x14ac:dyDescent="0.3">
      <c r="A1606" s="559" t="s">
        <v>78</v>
      </c>
      <c r="B1606" s="559">
        <v>2014</v>
      </c>
      <c r="C1606" s="559" t="s">
        <v>397</v>
      </c>
      <c r="D1606" s="559" t="s">
        <v>4</v>
      </c>
      <c r="E1606" s="559" t="s">
        <v>101</v>
      </c>
      <c r="F1606" s="559">
        <v>0</v>
      </c>
      <c r="G1606" s="174"/>
    </row>
    <row r="1607" spans="1:7" x14ac:dyDescent="0.3">
      <c r="A1607" s="559" t="s">
        <v>78</v>
      </c>
      <c r="B1607" s="559">
        <v>2014</v>
      </c>
      <c r="C1607" s="559" t="s">
        <v>258</v>
      </c>
      <c r="D1607" s="559" t="s">
        <v>41</v>
      </c>
      <c r="E1607" s="559" t="s">
        <v>96</v>
      </c>
      <c r="F1607" s="559">
        <v>0</v>
      </c>
      <c r="G1607" s="174"/>
    </row>
    <row r="1608" spans="1:7" x14ac:dyDescent="0.3">
      <c r="A1608" s="559" t="s">
        <v>78</v>
      </c>
      <c r="B1608" s="559">
        <v>2014</v>
      </c>
      <c r="C1608" s="559" t="s">
        <v>259</v>
      </c>
      <c r="D1608" s="559" t="s">
        <v>36</v>
      </c>
      <c r="E1608" s="559" t="s">
        <v>96</v>
      </c>
      <c r="F1608" s="559">
        <v>2260152.3419999899</v>
      </c>
      <c r="G1608" s="174"/>
    </row>
    <row r="1609" spans="1:7" x14ac:dyDescent="0.3">
      <c r="A1609" s="559" t="s">
        <v>78</v>
      </c>
      <c r="B1609" s="559">
        <v>2014</v>
      </c>
      <c r="C1609" s="559" t="s">
        <v>260</v>
      </c>
      <c r="D1609" s="559" t="s">
        <v>37</v>
      </c>
      <c r="E1609" s="559" t="s">
        <v>96</v>
      </c>
      <c r="F1609" s="559">
        <v>24932110.109000102</v>
      </c>
      <c r="G1609" s="174"/>
    </row>
    <row r="1610" spans="1:7" x14ac:dyDescent="0.3">
      <c r="A1610" s="559" t="s">
        <v>78</v>
      </c>
      <c r="B1610" s="559">
        <v>2014</v>
      </c>
      <c r="C1610" s="559" t="s">
        <v>261</v>
      </c>
      <c r="D1610" s="559" t="s">
        <v>28</v>
      </c>
      <c r="E1610" s="559" t="s">
        <v>96</v>
      </c>
      <c r="F1610" s="559">
        <v>5581332.6649999795</v>
      </c>
      <c r="G1610" s="174"/>
    </row>
    <row r="1611" spans="1:7" x14ac:dyDescent="0.3">
      <c r="A1611" s="559" t="s">
        <v>78</v>
      </c>
      <c r="B1611" s="559">
        <v>2014</v>
      </c>
      <c r="C1611" s="559" t="s">
        <v>262</v>
      </c>
      <c r="D1611" s="559" t="s">
        <v>37</v>
      </c>
      <c r="E1611" s="559" t="s">
        <v>96</v>
      </c>
      <c r="F1611" s="559">
        <v>9304751.7830000091</v>
      </c>
      <c r="G1611" s="174"/>
    </row>
    <row r="1612" spans="1:7" x14ac:dyDescent="0.3">
      <c r="A1612" s="559" t="s">
        <v>78</v>
      </c>
      <c r="B1612" s="559">
        <v>2014</v>
      </c>
      <c r="C1612" s="559" t="s">
        <v>263</v>
      </c>
      <c r="D1612" s="559" t="s">
        <v>49</v>
      </c>
      <c r="E1612" s="559" t="s">
        <v>96</v>
      </c>
      <c r="F1612" s="559">
        <v>960.03499999999997</v>
      </c>
      <c r="G1612" s="174"/>
    </row>
    <row r="1613" spans="1:7" x14ac:dyDescent="0.3">
      <c r="A1613" s="559" t="s">
        <v>78</v>
      </c>
      <c r="B1613" s="559">
        <v>2014</v>
      </c>
      <c r="C1613" s="559" t="s">
        <v>264</v>
      </c>
      <c r="D1613" s="559" t="s">
        <v>51</v>
      </c>
      <c r="E1613" s="559" t="s">
        <v>96</v>
      </c>
      <c r="F1613" s="559">
        <v>12370.1211982972</v>
      </c>
      <c r="G1613" s="174"/>
    </row>
    <row r="1614" spans="1:7" x14ac:dyDescent="0.3">
      <c r="A1614" s="559" t="s">
        <v>78</v>
      </c>
      <c r="B1614" s="559">
        <v>2014</v>
      </c>
      <c r="C1614" s="559" t="s">
        <v>264</v>
      </c>
      <c r="D1614" s="559" t="s">
        <v>37</v>
      </c>
      <c r="E1614" s="559" t="s">
        <v>96</v>
      </c>
      <c r="F1614" s="572">
        <v>55795049.6458418</v>
      </c>
      <c r="G1614" s="174"/>
    </row>
    <row r="1615" spans="1:7" x14ac:dyDescent="0.3">
      <c r="A1615" s="559" t="s">
        <v>78</v>
      </c>
      <c r="B1615" s="559">
        <v>2014</v>
      </c>
      <c r="C1615" s="559" t="s">
        <v>265</v>
      </c>
      <c r="D1615" s="559" t="s">
        <v>37</v>
      </c>
      <c r="E1615" s="559" t="s">
        <v>96</v>
      </c>
      <c r="F1615" s="572">
        <v>38303249.4249999</v>
      </c>
      <c r="G1615" s="174"/>
    </row>
    <row r="1616" spans="1:7" x14ac:dyDescent="0.3">
      <c r="A1616" s="559" t="s">
        <v>78</v>
      </c>
      <c r="B1616" s="559">
        <v>2014</v>
      </c>
      <c r="C1616" s="559" t="s">
        <v>266</v>
      </c>
      <c r="D1616" s="559" t="s">
        <v>40</v>
      </c>
      <c r="E1616" s="559" t="s">
        <v>96</v>
      </c>
      <c r="F1616" s="572">
        <v>3298927.38900002</v>
      </c>
      <c r="G1616" s="174"/>
    </row>
    <row r="1617" spans="1:7" x14ac:dyDescent="0.3">
      <c r="A1617" s="559" t="s">
        <v>78</v>
      </c>
      <c r="B1617" s="559">
        <v>2014</v>
      </c>
      <c r="C1617" s="559" t="s">
        <v>267</v>
      </c>
      <c r="D1617" s="559" t="s">
        <v>4</v>
      </c>
      <c r="E1617" s="559" t="s">
        <v>96</v>
      </c>
      <c r="F1617" s="572">
        <v>5784.9369999999999</v>
      </c>
      <c r="G1617" s="174"/>
    </row>
    <row r="1618" spans="1:7" x14ac:dyDescent="0.3">
      <c r="A1618" s="559" t="s">
        <v>78</v>
      </c>
      <c r="B1618" s="559">
        <v>2014</v>
      </c>
      <c r="C1618" s="559" t="s">
        <v>268</v>
      </c>
      <c r="D1618" s="559" t="s">
        <v>4</v>
      </c>
      <c r="E1618" s="559" t="s">
        <v>101</v>
      </c>
      <c r="F1618" s="572">
        <v>0</v>
      </c>
      <c r="G1618" s="174"/>
    </row>
    <row r="1619" spans="1:7" x14ac:dyDescent="0.3">
      <c r="A1619" s="559" t="s">
        <v>78</v>
      </c>
      <c r="B1619" s="559">
        <v>2014</v>
      </c>
      <c r="C1619" s="559" t="s">
        <v>269</v>
      </c>
      <c r="D1619" s="559" t="s">
        <v>8</v>
      </c>
      <c r="E1619" s="559" t="s">
        <v>96</v>
      </c>
      <c r="F1619" s="572">
        <v>27486030.681999899</v>
      </c>
      <c r="G1619" s="174"/>
    </row>
    <row r="1620" spans="1:7" x14ac:dyDescent="0.3">
      <c r="A1620" s="559" t="s">
        <v>78</v>
      </c>
      <c r="B1620" s="559">
        <v>2014</v>
      </c>
      <c r="C1620" s="559" t="s">
        <v>270</v>
      </c>
      <c r="D1620" s="559" t="s">
        <v>36</v>
      </c>
      <c r="E1620" s="559" t="s">
        <v>96</v>
      </c>
      <c r="F1620" s="572">
        <v>10805296.632999999</v>
      </c>
      <c r="G1620" s="174"/>
    </row>
    <row r="1621" spans="1:7" x14ac:dyDescent="0.3">
      <c r="A1621" s="559" t="s">
        <v>78</v>
      </c>
      <c r="B1621" s="559">
        <v>2014</v>
      </c>
      <c r="C1621" s="559" t="s">
        <v>679</v>
      </c>
      <c r="D1621" s="559" t="s">
        <v>41</v>
      </c>
      <c r="E1621" s="559" t="s">
        <v>96</v>
      </c>
      <c r="F1621" s="572">
        <v>0</v>
      </c>
      <c r="G1621" s="174"/>
    </row>
    <row r="1622" spans="1:7" x14ac:dyDescent="0.3">
      <c r="A1622" s="559" t="s">
        <v>78</v>
      </c>
      <c r="B1622" s="559">
        <v>2014</v>
      </c>
      <c r="C1622" s="559" t="s">
        <v>273</v>
      </c>
      <c r="D1622" s="559" t="s">
        <v>37</v>
      </c>
      <c r="E1622" s="559" t="s">
        <v>96</v>
      </c>
      <c r="F1622" s="572">
        <v>20338607.570999999</v>
      </c>
      <c r="G1622" s="174"/>
    </row>
    <row r="1623" spans="1:7" x14ac:dyDescent="0.3">
      <c r="A1623" s="559" t="s">
        <v>78</v>
      </c>
      <c r="B1623" s="559">
        <v>2014</v>
      </c>
      <c r="C1623" s="559" t="s">
        <v>274</v>
      </c>
      <c r="D1623" s="559" t="s">
        <v>37</v>
      </c>
      <c r="E1623" s="559" t="s">
        <v>96</v>
      </c>
      <c r="F1623" s="572">
        <v>11363473.290999999</v>
      </c>
      <c r="G1623" s="174"/>
    </row>
    <row r="1624" spans="1:7" x14ac:dyDescent="0.3">
      <c r="A1624" s="559" t="s">
        <v>78</v>
      </c>
      <c r="B1624" s="559">
        <v>2014</v>
      </c>
      <c r="C1624" s="559" t="s">
        <v>275</v>
      </c>
      <c r="D1624" s="559" t="s">
        <v>36</v>
      </c>
      <c r="E1624" s="559" t="s">
        <v>96</v>
      </c>
      <c r="F1624" s="572">
        <v>4717138.8500000099</v>
      </c>
      <c r="G1624" s="174"/>
    </row>
    <row r="1625" spans="1:7" x14ac:dyDescent="0.3">
      <c r="A1625" s="559" t="s">
        <v>78</v>
      </c>
      <c r="B1625" s="559">
        <v>2014</v>
      </c>
      <c r="C1625" s="559" t="s">
        <v>276</v>
      </c>
      <c r="D1625" s="559" t="s">
        <v>36</v>
      </c>
      <c r="E1625" s="559" t="s">
        <v>96</v>
      </c>
      <c r="F1625" s="572">
        <v>8932764.3389999606</v>
      </c>
      <c r="G1625" s="174"/>
    </row>
    <row r="1626" spans="1:7" x14ac:dyDescent="0.3">
      <c r="A1626" s="559" t="s">
        <v>78</v>
      </c>
      <c r="B1626" s="559">
        <v>2014</v>
      </c>
      <c r="C1626" s="559" t="s">
        <v>277</v>
      </c>
      <c r="D1626" s="559" t="s">
        <v>103</v>
      </c>
      <c r="E1626" s="559" t="s">
        <v>96</v>
      </c>
      <c r="F1626" s="572">
        <v>21.6829999999999</v>
      </c>
      <c r="G1626" s="174"/>
    </row>
    <row r="1627" spans="1:7" x14ac:dyDescent="0.3">
      <c r="A1627" s="559" t="s">
        <v>78</v>
      </c>
      <c r="B1627" s="559">
        <v>2014</v>
      </c>
      <c r="C1627" s="559" t="s">
        <v>278</v>
      </c>
      <c r="D1627" s="559" t="s">
        <v>35</v>
      </c>
      <c r="E1627" s="559" t="s">
        <v>101</v>
      </c>
      <c r="F1627" s="572">
        <v>0</v>
      </c>
      <c r="G1627" s="174"/>
    </row>
    <row r="1628" spans="1:7" x14ac:dyDescent="0.3">
      <c r="A1628" s="559" t="s">
        <v>78</v>
      </c>
      <c r="B1628" s="559">
        <v>2014</v>
      </c>
      <c r="C1628" s="559" t="s">
        <v>279</v>
      </c>
      <c r="D1628" s="559" t="s">
        <v>4</v>
      </c>
      <c r="E1628" s="559" t="s">
        <v>101</v>
      </c>
      <c r="F1628" s="572">
        <v>7550859.5559999896</v>
      </c>
      <c r="G1628" s="174"/>
    </row>
    <row r="1629" spans="1:7" x14ac:dyDescent="0.3">
      <c r="A1629" s="559" t="s">
        <v>78</v>
      </c>
      <c r="B1629" s="559">
        <v>2014</v>
      </c>
      <c r="C1629" s="559" t="s">
        <v>280</v>
      </c>
      <c r="D1629" s="559" t="s">
        <v>4</v>
      </c>
      <c r="E1629" s="559" t="s">
        <v>101</v>
      </c>
      <c r="F1629" s="572">
        <v>22569708.173999999</v>
      </c>
      <c r="G1629" s="174"/>
    </row>
    <row r="1630" spans="1:7" x14ac:dyDescent="0.3">
      <c r="A1630" s="559" t="s">
        <v>78</v>
      </c>
      <c r="B1630" s="559">
        <v>2014</v>
      </c>
      <c r="C1630" s="559" t="s">
        <v>281</v>
      </c>
      <c r="D1630" s="559" t="s">
        <v>10</v>
      </c>
      <c r="E1630" s="559" t="s">
        <v>101</v>
      </c>
      <c r="F1630" s="559">
        <v>0</v>
      </c>
      <c r="G1630" s="174"/>
    </row>
    <row r="1631" spans="1:7" x14ac:dyDescent="0.3">
      <c r="A1631" s="559" t="s">
        <v>78</v>
      </c>
      <c r="B1631" s="559">
        <v>2014</v>
      </c>
      <c r="C1631" s="559" t="s">
        <v>282</v>
      </c>
      <c r="D1631" s="559" t="s">
        <v>12</v>
      </c>
      <c r="E1631" s="559" t="s">
        <v>96</v>
      </c>
      <c r="F1631" s="559">
        <v>0</v>
      </c>
      <c r="G1631" s="174"/>
    </row>
    <row r="1632" spans="1:7" x14ac:dyDescent="0.3">
      <c r="A1632" s="559" t="s">
        <v>78</v>
      </c>
      <c r="B1632" s="559">
        <v>2014</v>
      </c>
      <c r="C1632" s="559" t="s">
        <v>283</v>
      </c>
      <c r="D1632" s="559" t="s">
        <v>1</v>
      </c>
      <c r="E1632" s="559" t="s">
        <v>96</v>
      </c>
      <c r="F1632" s="559">
        <v>0</v>
      </c>
      <c r="G1632" s="174"/>
    </row>
    <row r="1633" spans="1:7" x14ac:dyDescent="0.3">
      <c r="A1633" s="559" t="s">
        <v>78</v>
      </c>
      <c r="B1633" s="559">
        <v>2014</v>
      </c>
      <c r="C1633" s="559" t="s">
        <v>284</v>
      </c>
      <c r="D1633" s="559" t="s">
        <v>28</v>
      </c>
      <c r="E1633" s="559" t="s">
        <v>96</v>
      </c>
      <c r="F1633" s="559">
        <v>4954999.8579999898</v>
      </c>
      <c r="G1633" s="174"/>
    </row>
    <row r="1634" spans="1:7" x14ac:dyDescent="0.3">
      <c r="A1634" s="559" t="s">
        <v>78</v>
      </c>
      <c r="B1634" s="559">
        <v>2014</v>
      </c>
      <c r="C1634" s="559" t="s">
        <v>285</v>
      </c>
      <c r="D1634" s="559" t="s">
        <v>4</v>
      </c>
      <c r="E1634" s="559" t="s">
        <v>96</v>
      </c>
      <c r="F1634" s="559">
        <v>124577.14599999999</v>
      </c>
      <c r="G1634" s="174"/>
    </row>
    <row r="1635" spans="1:7" x14ac:dyDescent="0.3">
      <c r="A1635" s="559" t="s">
        <v>78</v>
      </c>
      <c r="B1635" s="559">
        <v>2014</v>
      </c>
      <c r="C1635" s="559" t="s">
        <v>286</v>
      </c>
      <c r="D1635" s="559" t="s">
        <v>4</v>
      </c>
      <c r="E1635" s="559" t="s">
        <v>101</v>
      </c>
      <c r="F1635" s="559">
        <v>0</v>
      </c>
      <c r="G1635" s="174"/>
    </row>
    <row r="1636" spans="1:7" x14ac:dyDescent="0.3">
      <c r="A1636" s="559" t="s">
        <v>78</v>
      </c>
      <c r="B1636" s="559">
        <v>2014</v>
      </c>
      <c r="C1636" s="559" t="s">
        <v>287</v>
      </c>
      <c r="D1636" s="559" t="s">
        <v>4</v>
      </c>
      <c r="E1636" s="559" t="s">
        <v>101</v>
      </c>
      <c r="F1636" s="559">
        <v>0</v>
      </c>
      <c r="G1636" s="174"/>
    </row>
    <row r="1637" spans="1:7" x14ac:dyDescent="0.3">
      <c r="A1637" s="559" t="s">
        <v>78</v>
      </c>
      <c r="B1637" s="559">
        <v>2014</v>
      </c>
      <c r="C1637" s="559" t="s">
        <v>288</v>
      </c>
      <c r="D1637" s="559" t="s">
        <v>4</v>
      </c>
      <c r="E1637" s="559" t="s">
        <v>101</v>
      </c>
      <c r="F1637" s="559">
        <v>0</v>
      </c>
      <c r="G1637" s="174"/>
    </row>
    <row r="1638" spans="1:7" x14ac:dyDescent="0.3">
      <c r="A1638" s="559" t="s">
        <v>78</v>
      </c>
      <c r="B1638" s="559">
        <v>2014</v>
      </c>
      <c r="C1638" s="559" t="s">
        <v>289</v>
      </c>
      <c r="D1638" s="559" t="s">
        <v>19</v>
      </c>
      <c r="E1638" s="559" t="s">
        <v>96</v>
      </c>
      <c r="F1638" s="559">
        <v>0</v>
      </c>
      <c r="G1638" s="174"/>
    </row>
    <row r="1639" spans="1:7" x14ac:dyDescent="0.3">
      <c r="A1639" s="559" t="s">
        <v>78</v>
      </c>
      <c r="B1639" s="559">
        <v>2014</v>
      </c>
      <c r="C1639" s="559" t="s">
        <v>290</v>
      </c>
      <c r="D1639" s="559" t="s">
        <v>35</v>
      </c>
      <c r="E1639" s="559" t="s">
        <v>101</v>
      </c>
      <c r="F1639" s="559">
        <v>165023.49100001401</v>
      </c>
      <c r="G1639" s="174"/>
    </row>
    <row r="1640" spans="1:7" x14ac:dyDescent="0.3">
      <c r="A1640" s="559" t="s">
        <v>78</v>
      </c>
      <c r="B1640" s="559">
        <v>2014</v>
      </c>
      <c r="C1640" s="559" t="s">
        <v>291</v>
      </c>
      <c r="D1640" s="559" t="s">
        <v>0</v>
      </c>
      <c r="E1640" s="559" t="s">
        <v>96</v>
      </c>
      <c r="F1640" s="559">
        <v>0</v>
      </c>
      <c r="G1640" s="174"/>
    </row>
    <row r="1641" spans="1:7" x14ac:dyDescent="0.3">
      <c r="A1641" s="559" t="s">
        <v>78</v>
      </c>
      <c r="B1641" s="559">
        <v>2014</v>
      </c>
      <c r="C1641" s="559" t="s">
        <v>292</v>
      </c>
      <c r="D1641" s="559" t="s">
        <v>37</v>
      </c>
      <c r="E1641" s="559" t="s">
        <v>96</v>
      </c>
      <c r="F1641" s="559">
        <v>13225738.680999899</v>
      </c>
      <c r="G1641" s="174"/>
    </row>
    <row r="1642" spans="1:7" x14ac:dyDescent="0.3">
      <c r="A1642" s="559" t="s">
        <v>78</v>
      </c>
      <c r="B1642" s="559">
        <v>2014</v>
      </c>
      <c r="C1642" s="559" t="s">
        <v>293</v>
      </c>
      <c r="D1642" s="559" t="s">
        <v>49</v>
      </c>
      <c r="E1642" s="559" t="s">
        <v>96</v>
      </c>
      <c r="F1642" s="559">
        <v>141086.30600000001</v>
      </c>
      <c r="G1642" s="174"/>
    </row>
    <row r="1643" spans="1:7" x14ac:dyDescent="0.3">
      <c r="A1643" s="559" t="s">
        <v>78</v>
      </c>
      <c r="B1643" s="559">
        <v>2014</v>
      </c>
      <c r="C1643" s="559" t="s">
        <v>294</v>
      </c>
      <c r="D1643" s="559" t="s">
        <v>17</v>
      </c>
      <c r="E1643" s="559" t="s">
        <v>96</v>
      </c>
      <c r="F1643" s="559">
        <v>135192.384999998</v>
      </c>
      <c r="G1643" s="174"/>
    </row>
    <row r="1644" spans="1:7" x14ac:dyDescent="0.3">
      <c r="A1644" s="559" t="s">
        <v>78</v>
      </c>
      <c r="B1644" s="559">
        <v>2014</v>
      </c>
      <c r="C1644" s="559" t="s">
        <v>295</v>
      </c>
      <c r="D1644" s="559" t="s">
        <v>17</v>
      </c>
      <c r="E1644" s="559" t="s">
        <v>101</v>
      </c>
      <c r="F1644" s="559">
        <v>0</v>
      </c>
      <c r="G1644" s="174"/>
    </row>
    <row r="1645" spans="1:7" x14ac:dyDescent="0.3">
      <c r="A1645" s="559" t="s">
        <v>78</v>
      </c>
      <c r="B1645" s="559">
        <v>2014</v>
      </c>
      <c r="C1645" s="559" t="s">
        <v>296</v>
      </c>
      <c r="D1645" s="559" t="s">
        <v>37</v>
      </c>
      <c r="E1645" s="559" t="s">
        <v>96</v>
      </c>
      <c r="F1645" s="559">
        <v>19232041.811999999</v>
      </c>
      <c r="G1645" s="174"/>
    </row>
    <row r="1646" spans="1:7" x14ac:dyDescent="0.3">
      <c r="A1646" s="559" t="s">
        <v>78</v>
      </c>
      <c r="B1646" s="559">
        <v>2014</v>
      </c>
      <c r="C1646" s="559" t="s">
        <v>297</v>
      </c>
      <c r="D1646" s="559" t="s">
        <v>28</v>
      </c>
      <c r="E1646" s="559" t="s">
        <v>96</v>
      </c>
      <c r="F1646" s="559">
        <v>4826118.6169999801</v>
      </c>
      <c r="G1646" s="174"/>
    </row>
    <row r="1647" spans="1:7" x14ac:dyDescent="0.3">
      <c r="A1647" s="559" t="s">
        <v>78</v>
      </c>
      <c r="B1647" s="559">
        <v>2014</v>
      </c>
      <c r="C1647" s="559" t="s">
        <v>298</v>
      </c>
      <c r="D1647" s="559" t="s">
        <v>28</v>
      </c>
      <c r="E1647" s="559" t="s">
        <v>96</v>
      </c>
      <c r="F1647" s="559">
        <v>14423835.119000001</v>
      </c>
      <c r="G1647" s="174"/>
    </row>
    <row r="1648" spans="1:7" x14ac:dyDescent="0.3">
      <c r="A1648" s="559" t="s">
        <v>78</v>
      </c>
      <c r="B1648" s="559">
        <v>2014</v>
      </c>
      <c r="C1648" s="559" t="s">
        <v>299</v>
      </c>
      <c r="D1648" s="559" t="s">
        <v>35</v>
      </c>
      <c r="E1648" s="559" t="s">
        <v>101</v>
      </c>
      <c r="F1648" s="559">
        <v>0</v>
      </c>
      <c r="G1648" s="174"/>
    </row>
    <row r="1649" spans="1:7" x14ac:dyDescent="0.3">
      <c r="A1649" s="559" t="s">
        <v>78</v>
      </c>
      <c r="B1649" s="559">
        <v>2014</v>
      </c>
      <c r="C1649" s="559" t="s">
        <v>300</v>
      </c>
      <c r="D1649" s="559" t="s">
        <v>4</v>
      </c>
      <c r="E1649" s="559" t="s">
        <v>96</v>
      </c>
      <c r="F1649" s="559">
        <v>102972.23799999899</v>
      </c>
      <c r="G1649" s="174"/>
    </row>
    <row r="1650" spans="1:7" x14ac:dyDescent="0.3">
      <c r="A1650" s="559" t="s">
        <v>78</v>
      </c>
      <c r="B1650" s="559">
        <v>2014</v>
      </c>
      <c r="C1650" s="559" t="s">
        <v>301</v>
      </c>
      <c r="D1650" s="559" t="s">
        <v>4</v>
      </c>
      <c r="E1650" s="559" t="s">
        <v>101</v>
      </c>
      <c r="F1650" s="559">
        <v>0</v>
      </c>
      <c r="G1650" s="174"/>
    </row>
    <row r="1651" spans="1:7" x14ac:dyDescent="0.3">
      <c r="A1651" s="559" t="s">
        <v>78</v>
      </c>
      <c r="B1651" s="559">
        <v>2014</v>
      </c>
      <c r="C1651" s="559" t="s">
        <v>302</v>
      </c>
      <c r="D1651" s="559" t="s">
        <v>4</v>
      </c>
      <c r="E1651" s="559" t="s">
        <v>101</v>
      </c>
      <c r="F1651" s="559">
        <v>0</v>
      </c>
      <c r="G1651" s="174"/>
    </row>
    <row r="1652" spans="1:7" x14ac:dyDescent="0.3">
      <c r="A1652" s="559" t="s">
        <v>78</v>
      </c>
      <c r="B1652" s="559">
        <v>2014</v>
      </c>
      <c r="C1652" s="559" t="s">
        <v>303</v>
      </c>
      <c r="D1652" s="559" t="s">
        <v>0</v>
      </c>
      <c r="E1652" s="559" t="s">
        <v>96</v>
      </c>
      <c r="F1652" s="559">
        <v>0</v>
      </c>
      <c r="G1652" s="174"/>
    </row>
    <row r="1653" spans="1:7" x14ac:dyDescent="0.3">
      <c r="A1653" s="559" t="s">
        <v>78</v>
      </c>
      <c r="B1653" s="559">
        <v>2014</v>
      </c>
      <c r="C1653" s="559" t="s">
        <v>304</v>
      </c>
      <c r="D1653" s="559" t="s">
        <v>10</v>
      </c>
      <c r="E1653" s="559" t="s">
        <v>101</v>
      </c>
      <c r="F1653" s="559">
        <v>1221746.5930000001</v>
      </c>
      <c r="G1653" s="174"/>
    </row>
    <row r="1654" spans="1:7" x14ac:dyDescent="0.3">
      <c r="A1654" s="559" t="s">
        <v>78</v>
      </c>
      <c r="B1654" s="559">
        <v>2014</v>
      </c>
      <c r="C1654" s="559" t="s">
        <v>386</v>
      </c>
      <c r="D1654" s="559" t="s">
        <v>0</v>
      </c>
      <c r="E1654" s="559" t="s">
        <v>96</v>
      </c>
      <c r="F1654" s="559">
        <v>0</v>
      </c>
      <c r="G1654" s="174"/>
    </row>
    <row r="1655" spans="1:7" x14ac:dyDescent="0.3">
      <c r="A1655" s="559" t="s">
        <v>78</v>
      </c>
      <c r="B1655" s="559">
        <v>2014</v>
      </c>
      <c r="C1655" s="559" t="s">
        <v>305</v>
      </c>
      <c r="D1655" s="559" t="s">
        <v>10</v>
      </c>
      <c r="E1655" s="559" t="s">
        <v>101</v>
      </c>
      <c r="F1655" s="559">
        <v>12109629.0149999</v>
      </c>
      <c r="G1655" s="174"/>
    </row>
    <row r="1656" spans="1:7" x14ac:dyDescent="0.3">
      <c r="A1656" s="559" t="s">
        <v>78</v>
      </c>
      <c r="B1656" s="559">
        <v>2014</v>
      </c>
      <c r="C1656" s="559" t="s">
        <v>306</v>
      </c>
      <c r="D1656" s="559" t="s">
        <v>11</v>
      </c>
      <c r="E1656" s="559" t="s">
        <v>96</v>
      </c>
      <c r="F1656" s="559">
        <v>219944.83</v>
      </c>
      <c r="G1656" s="174"/>
    </row>
    <row r="1657" spans="1:7" x14ac:dyDescent="0.3">
      <c r="A1657" s="559" t="s">
        <v>78</v>
      </c>
      <c r="B1657" s="559">
        <v>2014</v>
      </c>
      <c r="C1657" s="559" t="s">
        <v>307</v>
      </c>
      <c r="D1657" s="559" t="s">
        <v>40</v>
      </c>
      <c r="E1657" s="559" t="s">
        <v>96</v>
      </c>
      <c r="F1657" s="559">
        <v>18581412.725000001</v>
      </c>
      <c r="G1657" s="174"/>
    </row>
    <row r="1658" spans="1:7" x14ac:dyDescent="0.3">
      <c r="A1658" s="559" t="s">
        <v>78</v>
      </c>
      <c r="B1658" s="559">
        <v>2014</v>
      </c>
      <c r="C1658" s="559" t="s">
        <v>308</v>
      </c>
      <c r="D1658" s="559" t="s">
        <v>10</v>
      </c>
      <c r="E1658" s="559" t="s">
        <v>110</v>
      </c>
      <c r="F1658" s="559">
        <v>0</v>
      </c>
      <c r="G1658" s="174"/>
    </row>
    <row r="1659" spans="1:7" x14ac:dyDescent="0.3">
      <c r="A1659" s="559" t="s">
        <v>78</v>
      </c>
      <c r="B1659" s="559">
        <v>2014</v>
      </c>
      <c r="C1659" s="559" t="s">
        <v>308</v>
      </c>
      <c r="D1659" s="559" t="s">
        <v>10</v>
      </c>
      <c r="E1659" s="559" t="s">
        <v>96</v>
      </c>
      <c r="F1659" s="559">
        <v>23125.724341917001</v>
      </c>
      <c r="G1659" s="174"/>
    </row>
    <row r="1660" spans="1:7" x14ac:dyDescent="0.3">
      <c r="A1660" s="559" t="s">
        <v>78</v>
      </c>
      <c r="B1660" s="559">
        <v>2014</v>
      </c>
      <c r="C1660" s="559" t="s">
        <v>308</v>
      </c>
      <c r="D1660" s="559" t="s">
        <v>32</v>
      </c>
      <c r="E1660" s="559" t="s">
        <v>96</v>
      </c>
      <c r="F1660" s="559">
        <v>1355325.5589999999</v>
      </c>
      <c r="G1660" s="174"/>
    </row>
    <row r="1661" spans="1:7" x14ac:dyDescent="0.3">
      <c r="A1661" s="559" t="s">
        <v>78</v>
      </c>
      <c r="B1661" s="559">
        <v>2014</v>
      </c>
      <c r="C1661" s="559" t="s">
        <v>309</v>
      </c>
      <c r="D1661" s="559" t="s">
        <v>10</v>
      </c>
      <c r="E1661" s="559" t="s">
        <v>101</v>
      </c>
      <c r="F1661" s="559">
        <v>0</v>
      </c>
      <c r="G1661" s="174"/>
    </row>
    <row r="1662" spans="1:7" x14ac:dyDescent="0.3">
      <c r="A1662" s="559" t="s">
        <v>78</v>
      </c>
      <c r="B1662" s="559">
        <v>2014</v>
      </c>
      <c r="C1662" s="559" t="s">
        <v>310</v>
      </c>
      <c r="D1662" s="559" t="s">
        <v>28</v>
      </c>
      <c r="E1662" s="559" t="s">
        <v>96</v>
      </c>
      <c r="F1662" s="559">
        <v>5368147.0500000296</v>
      </c>
      <c r="G1662" s="174"/>
    </row>
    <row r="1663" spans="1:7" x14ac:dyDescent="0.3">
      <c r="A1663" s="559" t="s">
        <v>78</v>
      </c>
      <c r="B1663" s="559">
        <v>2014</v>
      </c>
      <c r="C1663" s="559" t="s">
        <v>311</v>
      </c>
      <c r="D1663" s="559" t="s">
        <v>0</v>
      </c>
      <c r="E1663" s="559" t="s">
        <v>96</v>
      </c>
      <c r="F1663" s="559">
        <v>0</v>
      </c>
      <c r="G1663" s="174"/>
    </row>
    <row r="1664" spans="1:7" x14ac:dyDescent="0.3">
      <c r="A1664" s="559" t="s">
        <v>78</v>
      </c>
      <c r="B1664" s="559">
        <v>2014</v>
      </c>
      <c r="C1664" s="559" t="s">
        <v>312</v>
      </c>
      <c r="D1664" s="559" t="s">
        <v>49</v>
      </c>
      <c r="E1664" s="559" t="s">
        <v>96</v>
      </c>
      <c r="F1664" s="559">
        <v>251504.91799999899</v>
      </c>
      <c r="G1664" s="174"/>
    </row>
    <row r="1665" spans="1:7" x14ac:dyDescent="0.3">
      <c r="A1665" s="559" t="s">
        <v>78</v>
      </c>
      <c r="B1665" s="559">
        <v>2014</v>
      </c>
      <c r="C1665" s="559" t="s">
        <v>313</v>
      </c>
      <c r="D1665" s="559" t="s">
        <v>38</v>
      </c>
      <c r="E1665" s="559" t="s">
        <v>96</v>
      </c>
      <c r="F1665" s="559">
        <v>7106810.1790000396</v>
      </c>
      <c r="G1665" s="174"/>
    </row>
    <row r="1666" spans="1:7" x14ac:dyDescent="0.3">
      <c r="A1666" s="559" t="s">
        <v>78</v>
      </c>
      <c r="B1666" s="559">
        <v>2014</v>
      </c>
      <c r="C1666" s="559" t="s">
        <v>314</v>
      </c>
      <c r="D1666" s="559" t="s">
        <v>32</v>
      </c>
      <c r="E1666" s="559" t="s">
        <v>96</v>
      </c>
      <c r="F1666" s="559">
        <v>43.737484009751903</v>
      </c>
      <c r="G1666" s="174"/>
    </row>
    <row r="1667" spans="1:7" x14ac:dyDescent="0.3">
      <c r="A1667" s="559" t="s">
        <v>78</v>
      </c>
      <c r="B1667" s="559">
        <v>2014</v>
      </c>
      <c r="C1667" s="559" t="s">
        <v>314</v>
      </c>
      <c r="D1667" s="559" t="s">
        <v>42</v>
      </c>
      <c r="E1667" s="559" t="s">
        <v>96</v>
      </c>
      <c r="F1667" s="559">
        <v>11174838.437999999</v>
      </c>
      <c r="G1667" s="174"/>
    </row>
    <row r="1668" spans="1:7" x14ac:dyDescent="0.3">
      <c r="A1668" s="559" t="s">
        <v>78</v>
      </c>
      <c r="B1668" s="559">
        <v>2014</v>
      </c>
      <c r="C1668" s="559" t="s">
        <v>315</v>
      </c>
      <c r="D1668" s="559" t="s">
        <v>49</v>
      </c>
      <c r="E1668" s="559" t="s">
        <v>96</v>
      </c>
      <c r="F1668" s="559">
        <v>285391.09500000102</v>
      </c>
      <c r="G1668" s="174"/>
    </row>
    <row r="1669" spans="1:7" x14ac:dyDescent="0.3">
      <c r="A1669" s="559" t="s">
        <v>78</v>
      </c>
      <c r="B1669" s="559">
        <v>2014</v>
      </c>
      <c r="C1669" s="559" t="s">
        <v>316</v>
      </c>
      <c r="D1669" s="559" t="s">
        <v>36</v>
      </c>
      <c r="E1669" s="559" t="s">
        <v>96</v>
      </c>
      <c r="F1669" s="559">
        <v>1411474.70299999</v>
      </c>
      <c r="G1669" s="174"/>
    </row>
    <row r="1670" spans="1:7" x14ac:dyDescent="0.3">
      <c r="A1670" s="559" t="s">
        <v>78</v>
      </c>
      <c r="B1670" s="559">
        <v>2014</v>
      </c>
      <c r="C1670" s="559" t="s">
        <v>317</v>
      </c>
      <c r="D1670" s="559" t="s">
        <v>7</v>
      </c>
      <c r="E1670" s="559" t="s">
        <v>96</v>
      </c>
      <c r="F1670" s="572">
        <v>10473993.204999899</v>
      </c>
      <c r="G1670" s="174"/>
    </row>
    <row r="1671" spans="1:7" x14ac:dyDescent="0.3">
      <c r="A1671" s="559" t="s">
        <v>78</v>
      </c>
      <c r="B1671" s="559">
        <v>2014</v>
      </c>
      <c r="C1671" s="559" t="s">
        <v>317</v>
      </c>
      <c r="D1671" s="559" t="s">
        <v>10</v>
      </c>
      <c r="E1671" s="559" t="s">
        <v>96</v>
      </c>
      <c r="F1671" s="572">
        <v>0.93881187652187503</v>
      </c>
      <c r="G1671" s="174"/>
    </row>
    <row r="1672" spans="1:7" x14ac:dyDescent="0.3">
      <c r="A1672" s="559" t="s">
        <v>78</v>
      </c>
      <c r="B1672" s="559">
        <v>2014</v>
      </c>
      <c r="C1672" s="559" t="s">
        <v>318</v>
      </c>
      <c r="D1672" s="559" t="s">
        <v>10</v>
      </c>
      <c r="E1672" s="559" t="s">
        <v>101</v>
      </c>
      <c r="F1672" s="572">
        <v>0</v>
      </c>
      <c r="G1672" s="174"/>
    </row>
    <row r="1673" spans="1:7" x14ac:dyDescent="0.3">
      <c r="A1673" s="559" t="s">
        <v>78</v>
      </c>
      <c r="B1673" s="559">
        <v>2014</v>
      </c>
      <c r="C1673" s="559" t="s">
        <v>319</v>
      </c>
      <c r="D1673" s="559" t="s">
        <v>10</v>
      </c>
      <c r="E1673" s="559" t="s">
        <v>101</v>
      </c>
      <c r="F1673" s="572">
        <v>0</v>
      </c>
      <c r="G1673" s="174"/>
    </row>
    <row r="1674" spans="1:7" x14ac:dyDescent="0.3">
      <c r="A1674" s="559" t="s">
        <v>78</v>
      </c>
      <c r="B1674" s="559">
        <v>2014</v>
      </c>
      <c r="C1674" s="559" t="s">
        <v>320</v>
      </c>
      <c r="D1674" s="559" t="s">
        <v>10</v>
      </c>
      <c r="E1674" s="559" t="s">
        <v>101</v>
      </c>
      <c r="F1674" s="572">
        <v>0</v>
      </c>
      <c r="G1674" s="174"/>
    </row>
    <row r="1675" spans="1:7" x14ac:dyDescent="0.3">
      <c r="A1675" s="559" t="s">
        <v>78</v>
      </c>
      <c r="B1675" s="559">
        <v>2014</v>
      </c>
      <c r="C1675" s="559" t="s">
        <v>321</v>
      </c>
      <c r="D1675" s="559" t="s">
        <v>35</v>
      </c>
      <c r="E1675" s="559" t="s">
        <v>110</v>
      </c>
      <c r="F1675" s="572">
        <v>0</v>
      </c>
      <c r="G1675" s="174"/>
    </row>
    <row r="1676" spans="1:7" x14ac:dyDescent="0.3">
      <c r="A1676" s="559" t="s">
        <v>78</v>
      </c>
      <c r="B1676" s="559">
        <v>2014</v>
      </c>
      <c r="C1676" s="559" t="s">
        <v>321</v>
      </c>
      <c r="D1676" s="559" t="s">
        <v>103</v>
      </c>
      <c r="E1676" s="559" t="s">
        <v>96</v>
      </c>
      <c r="F1676" s="572">
        <v>14113.961999999899</v>
      </c>
      <c r="G1676" s="174"/>
    </row>
    <row r="1677" spans="1:7" x14ac:dyDescent="0.3">
      <c r="A1677" s="559" t="s">
        <v>78</v>
      </c>
      <c r="B1677" s="559">
        <v>2014</v>
      </c>
      <c r="C1677" s="559" t="s">
        <v>322</v>
      </c>
      <c r="D1677" s="559" t="s">
        <v>39</v>
      </c>
      <c r="E1677" s="559" t="s">
        <v>96</v>
      </c>
      <c r="F1677" s="572">
        <v>18490788.943999801</v>
      </c>
      <c r="G1677" s="174"/>
    </row>
    <row r="1678" spans="1:7" x14ac:dyDescent="0.3">
      <c r="A1678" s="559" t="s">
        <v>78</v>
      </c>
      <c r="B1678" s="559">
        <v>2014</v>
      </c>
      <c r="C1678" s="559" t="s">
        <v>323</v>
      </c>
      <c r="D1678" s="559" t="s">
        <v>4</v>
      </c>
      <c r="E1678" s="559" t="s">
        <v>101</v>
      </c>
      <c r="F1678" s="572">
        <v>0</v>
      </c>
      <c r="G1678" s="174"/>
    </row>
    <row r="1679" spans="1:7" x14ac:dyDescent="0.3">
      <c r="A1679" s="559" t="s">
        <v>78</v>
      </c>
      <c r="B1679" s="559">
        <v>2014</v>
      </c>
      <c r="C1679" s="559" t="s">
        <v>324</v>
      </c>
      <c r="D1679" s="559" t="s">
        <v>14</v>
      </c>
      <c r="E1679" s="559" t="s">
        <v>110</v>
      </c>
      <c r="F1679" s="572">
        <v>0</v>
      </c>
      <c r="G1679" s="174"/>
    </row>
    <row r="1680" spans="1:7" x14ac:dyDescent="0.3">
      <c r="A1680" s="559" t="s">
        <v>78</v>
      </c>
      <c r="B1680" s="559">
        <v>2014</v>
      </c>
      <c r="C1680" s="559" t="s">
        <v>325</v>
      </c>
      <c r="D1680" s="559" t="s">
        <v>52</v>
      </c>
      <c r="E1680" s="559" t="s">
        <v>96</v>
      </c>
      <c r="F1680" s="572">
        <v>0</v>
      </c>
      <c r="G1680" s="174"/>
    </row>
    <row r="1681" spans="1:7" x14ac:dyDescent="0.3">
      <c r="A1681" s="559" t="s">
        <v>78</v>
      </c>
      <c r="B1681" s="559">
        <v>2014</v>
      </c>
      <c r="C1681" s="559" t="s">
        <v>326</v>
      </c>
      <c r="D1681" s="559" t="s">
        <v>0</v>
      </c>
      <c r="E1681" s="559" t="s">
        <v>96</v>
      </c>
      <c r="F1681" s="572">
        <v>0</v>
      </c>
      <c r="G1681" s="174"/>
    </row>
    <row r="1682" spans="1:7" x14ac:dyDescent="0.3">
      <c r="A1682" s="559" t="s">
        <v>78</v>
      </c>
      <c r="B1682" s="559">
        <v>2014</v>
      </c>
      <c r="C1682" s="559" t="s">
        <v>326</v>
      </c>
      <c r="D1682" s="559" t="s">
        <v>14</v>
      </c>
      <c r="E1682" s="559" t="s">
        <v>96</v>
      </c>
      <c r="F1682" s="572">
        <v>0</v>
      </c>
      <c r="G1682" s="174"/>
    </row>
    <row r="1683" spans="1:7" x14ac:dyDescent="0.3">
      <c r="A1683" s="559" t="s">
        <v>78</v>
      </c>
      <c r="B1683" s="559">
        <v>2014</v>
      </c>
      <c r="C1683" s="559" t="s">
        <v>326</v>
      </c>
      <c r="D1683" s="559" t="s">
        <v>20</v>
      </c>
      <c r="E1683" s="559" t="s">
        <v>96</v>
      </c>
      <c r="F1683" s="572">
        <v>0</v>
      </c>
      <c r="G1683" s="174"/>
    </row>
    <row r="1684" spans="1:7" x14ac:dyDescent="0.3">
      <c r="A1684" s="559" t="s">
        <v>78</v>
      </c>
      <c r="B1684" s="559">
        <v>2014</v>
      </c>
      <c r="C1684" s="559" t="s">
        <v>327</v>
      </c>
      <c r="D1684" s="559" t="s">
        <v>40</v>
      </c>
      <c r="E1684" s="559" t="s">
        <v>96</v>
      </c>
      <c r="F1684" s="572">
        <v>6046408.1839999901</v>
      </c>
      <c r="G1684" s="174"/>
    </row>
    <row r="1685" spans="1:7" x14ac:dyDescent="0.3">
      <c r="A1685" s="559" t="s">
        <v>78</v>
      </c>
      <c r="B1685" s="559">
        <v>2014</v>
      </c>
      <c r="C1685" s="559" t="s">
        <v>328</v>
      </c>
      <c r="D1685" s="559" t="s">
        <v>11</v>
      </c>
      <c r="E1685" s="559" t="s">
        <v>96</v>
      </c>
      <c r="F1685" s="572">
        <v>1784741.49699999</v>
      </c>
      <c r="G1685" s="174"/>
    </row>
    <row r="1686" spans="1:7" x14ac:dyDescent="0.3">
      <c r="A1686" s="559" t="s">
        <v>78</v>
      </c>
      <c r="B1686" s="559">
        <v>2014</v>
      </c>
      <c r="C1686" s="559" t="s">
        <v>329</v>
      </c>
      <c r="D1686" s="559" t="s">
        <v>31</v>
      </c>
      <c r="E1686" s="559" t="s">
        <v>96</v>
      </c>
      <c r="F1686" s="572">
        <v>572746.75999999803</v>
      </c>
      <c r="G1686" s="174"/>
    </row>
    <row r="1687" spans="1:7" x14ac:dyDescent="0.3">
      <c r="A1687" s="559" t="s">
        <v>78</v>
      </c>
      <c r="B1687" s="559">
        <v>2014</v>
      </c>
      <c r="C1687" s="559" t="s">
        <v>330</v>
      </c>
      <c r="D1687" s="559" t="s">
        <v>14</v>
      </c>
      <c r="E1687" s="559" t="s">
        <v>110</v>
      </c>
      <c r="F1687" s="572">
        <v>0</v>
      </c>
      <c r="G1687" s="174"/>
    </row>
    <row r="1688" spans="1:7" x14ac:dyDescent="0.3">
      <c r="A1688" s="559" t="s">
        <v>78</v>
      </c>
      <c r="B1688" s="559">
        <v>2014</v>
      </c>
      <c r="C1688" s="559" t="s">
        <v>330</v>
      </c>
      <c r="D1688" s="559" t="s">
        <v>14</v>
      </c>
      <c r="E1688" s="559" t="s">
        <v>96</v>
      </c>
      <c r="F1688" s="572">
        <v>28975.17</v>
      </c>
      <c r="G1688" s="174"/>
    </row>
    <row r="1689" spans="1:7" x14ac:dyDescent="0.3">
      <c r="A1689" s="559" t="s">
        <v>78</v>
      </c>
      <c r="B1689" s="559">
        <v>2014</v>
      </c>
      <c r="C1689" s="559" t="s">
        <v>331</v>
      </c>
      <c r="D1689" s="559" t="s">
        <v>37</v>
      </c>
      <c r="E1689" s="559" t="s">
        <v>96</v>
      </c>
      <c r="F1689" s="572">
        <v>6478475.92899998</v>
      </c>
      <c r="G1689" s="174"/>
    </row>
    <row r="1690" spans="1:7" x14ac:dyDescent="0.3">
      <c r="A1690" s="559" t="s">
        <v>78</v>
      </c>
      <c r="B1690" s="559">
        <v>2014</v>
      </c>
      <c r="C1690" s="559" t="s">
        <v>332</v>
      </c>
      <c r="D1690" s="559" t="s">
        <v>28</v>
      </c>
      <c r="E1690" s="559" t="s">
        <v>96</v>
      </c>
      <c r="F1690" s="572">
        <v>22938619.892000102</v>
      </c>
      <c r="G1690" s="174"/>
    </row>
    <row r="1691" spans="1:7" x14ac:dyDescent="0.3">
      <c r="A1691" s="559" t="s">
        <v>78</v>
      </c>
      <c r="B1691" s="559">
        <v>2014</v>
      </c>
      <c r="C1691" s="559" t="s">
        <v>333</v>
      </c>
      <c r="D1691" s="559" t="s">
        <v>4</v>
      </c>
      <c r="E1691" s="559" t="s">
        <v>96</v>
      </c>
      <c r="F1691" s="572">
        <v>5450.5210259079804</v>
      </c>
      <c r="G1691" s="174"/>
    </row>
    <row r="1692" spans="1:7" x14ac:dyDescent="0.3">
      <c r="A1692" s="559" t="s">
        <v>78</v>
      </c>
      <c r="B1692" s="559">
        <v>2014</v>
      </c>
      <c r="C1692" s="559" t="s">
        <v>333</v>
      </c>
      <c r="D1692" s="559" t="s">
        <v>26</v>
      </c>
      <c r="E1692" s="559" t="s">
        <v>96</v>
      </c>
      <c r="F1692" s="572">
        <v>16585562.6369843</v>
      </c>
      <c r="G1692" s="174"/>
    </row>
    <row r="1693" spans="1:7" x14ac:dyDescent="0.3">
      <c r="A1693" s="559" t="s">
        <v>78</v>
      </c>
      <c r="B1693" s="559">
        <v>2014</v>
      </c>
      <c r="C1693" s="559" t="s">
        <v>334</v>
      </c>
      <c r="D1693" s="559" t="s">
        <v>4</v>
      </c>
      <c r="E1693" s="559" t="s">
        <v>96</v>
      </c>
      <c r="F1693" s="572">
        <v>45293.203000000001</v>
      </c>
      <c r="G1693" s="174"/>
    </row>
    <row r="1694" spans="1:7" x14ac:dyDescent="0.3">
      <c r="A1694" s="559" t="s">
        <v>78</v>
      </c>
      <c r="B1694" s="559">
        <v>2014</v>
      </c>
      <c r="C1694" s="559" t="s">
        <v>335</v>
      </c>
      <c r="D1694" s="559" t="s">
        <v>4</v>
      </c>
      <c r="E1694" s="559" t="s">
        <v>101</v>
      </c>
      <c r="F1694" s="572">
        <v>0</v>
      </c>
      <c r="G1694" s="174"/>
    </row>
    <row r="1695" spans="1:7" x14ac:dyDescent="0.3">
      <c r="A1695" s="559" t="s">
        <v>78</v>
      </c>
      <c r="B1695" s="559">
        <v>2014</v>
      </c>
      <c r="C1695" s="559" t="s">
        <v>336</v>
      </c>
      <c r="D1695" s="559" t="s">
        <v>28</v>
      </c>
      <c r="E1695" s="559" t="s">
        <v>96</v>
      </c>
      <c r="F1695" s="572">
        <v>6882602.0200000098</v>
      </c>
      <c r="G1695" s="174"/>
    </row>
    <row r="1696" spans="1:7" x14ac:dyDescent="0.3">
      <c r="A1696" s="559" t="s">
        <v>78</v>
      </c>
      <c r="B1696" s="559">
        <v>2014</v>
      </c>
      <c r="C1696" s="559" t="s">
        <v>337</v>
      </c>
      <c r="D1696" s="559" t="s">
        <v>40</v>
      </c>
      <c r="E1696" s="559" t="s">
        <v>96</v>
      </c>
      <c r="F1696" s="572">
        <v>10906631.006999999</v>
      </c>
      <c r="G1696" s="174"/>
    </row>
    <row r="1697" spans="1:7" x14ac:dyDescent="0.3">
      <c r="A1697" s="559" t="s">
        <v>78</v>
      </c>
      <c r="B1697" s="559">
        <v>2014</v>
      </c>
      <c r="C1697" s="559" t="s">
        <v>338</v>
      </c>
      <c r="D1697" s="559" t="s">
        <v>37</v>
      </c>
      <c r="E1697" s="559" t="s">
        <v>96</v>
      </c>
      <c r="F1697" s="572">
        <v>18340629.237999901</v>
      </c>
      <c r="G1697" s="174"/>
    </row>
    <row r="1698" spans="1:7" x14ac:dyDescent="0.3">
      <c r="A1698" s="559" t="s">
        <v>78</v>
      </c>
      <c r="B1698" s="559">
        <v>2014</v>
      </c>
      <c r="C1698" s="559" t="s">
        <v>339</v>
      </c>
      <c r="D1698" s="559" t="s">
        <v>51</v>
      </c>
      <c r="E1698" s="559" t="s">
        <v>96</v>
      </c>
      <c r="F1698" s="572">
        <v>1597054.02999999</v>
      </c>
      <c r="G1698" s="174"/>
    </row>
    <row r="1699" spans="1:7" x14ac:dyDescent="0.3">
      <c r="A1699" s="559" t="s">
        <v>78</v>
      </c>
      <c r="B1699" s="559">
        <v>2014</v>
      </c>
      <c r="C1699" s="559" t="s">
        <v>340</v>
      </c>
      <c r="D1699" s="559" t="s">
        <v>680</v>
      </c>
      <c r="E1699" s="559" t="s">
        <v>101</v>
      </c>
      <c r="F1699" s="572">
        <v>0</v>
      </c>
      <c r="G1699" s="174"/>
    </row>
    <row r="1700" spans="1:7" x14ac:dyDescent="0.3">
      <c r="A1700" s="559" t="s">
        <v>78</v>
      </c>
      <c r="B1700" s="559">
        <v>2014</v>
      </c>
      <c r="C1700" s="559" t="s">
        <v>341</v>
      </c>
      <c r="D1700" s="559" t="s">
        <v>17</v>
      </c>
      <c r="E1700" s="559" t="s">
        <v>101</v>
      </c>
      <c r="F1700" s="572">
        <v>0</v>
      </c>
      <c r="G1700" s="174"/>
    </row>
    <row r="1701" spans="1:7" x14ac:dyDescent="0.3">
      <c r="A1701" s="559" t="s">
        <v>78</v>
      </c>
      <c r="B1701" s="559">
        <v>2014</v>
      </c>
      <c r="C1701" s="559" t="s">
        <v>342</v>
      </c>
      <c r="D1701" s="559" t="s">
        <v>28</v>
      </c>
      <c r="E1701" s="559" t="s">
        <v>96</v>
      </c>
      <c r="F1701" s="572">
        <v>7166110.3169999896</v>
      </c>
      <c r="G1701" s="174"/>
    </row>
    <row r="1702" spans="1:7" x14ac:dyDescent="0.3">
      <c r="A1702" s="559" t="s">
        <v>78</v>
      </c>
      <c r="B1702" s="559">
        <v>2014</v>
      </c>
      <c r="C1702" s="559" t="s">
        <v>343</v>
      </c>
      <c r="D1702" s="559" t="s">
        <v>17</v>
      </c>
      <c r="E1702" s="559" t="s">
        <v>101</v>
      </c>
      <c r="F1702" s="572">
        <v>0</v>
      </c>
      <c r="G1702" s="174"/>
    </row>
    <row r="1703" spans="1:7" x14ac:dyDescent="0.3">
      <c r="A1703" s="559" t="s">
        <v>78</v>
      </c>
      <c r="B1703" s="559">
        <v>2014</v>
      </c>
      <c r="C1703" s="559" t="s">
        <v>344</v>
      </c>
      <c r="D1703" s="559" t="s">
        <v>12</v>
      </c>
      <c r="E1703" s="559" t="s">
        <v>96</v>
      </c>
      <c r="F1703" s="572">
        <v>0</v>
      </c>
      <c r="G1703" s="174"/>
    </row>
    <row r="1704" spans="1:7" x14ac:dyDescent="0.3">
      <c r="A1704" s="559" t="s">
        <v>78</v>
      </c>
      <c r="B1704" s="559">
        <v>2014</v>
      </c>
      <c r="C1704" s="559" t="s">
        <v>345</v>
      </c>
      <c r="D1704" s="559" t="s">
        <v>12</v>
      </c>
      <c r="E1704" s="559" t="s">
        <v>96</v>
      </c>
      <c r="F1704" s="572">
        <v>0</v>
      </c>
      <c r="G1704" s="174"/>
    </row>
    <row r="1705" spans="1:7" x14ac:dyDescent="0.3">
      <c r="A1705" s="559" t="s">
        <v>78</v>
      </c>
      <c r="B1705" s="559">
        <v>2014</v>
      </c>
      <c r="C1705" s="559" t="s">
        <v>346</v>
      </c>
      <c r="D1705" s="559" t="s">
        <v>2</v>
      </c>
      <c r="E1705" s="559" t="s">
        <v>96</v>
      </c>
      <c r="F1705" s="559">
        <v>0</v>
      </c>
      <c r="G1705" s="174"/>
    </row>
    <row r="1706" spans="1:7" x14ac:dyDescent="0.3">
      <c r="A1706" s="559" t="s">
        <v>78</v>
      </c>
      <c r="B1706" s="559">
        <v>2014</v>
      </c>
      <c r="C1706" s="559" t="s">
        <v>347</v>
      </c>
      <c r="D1706" s="559" t="s">
        <v>68</v>
      </c>
      <c r="E1706" s="559" t="s">
        <v>96</v>
      </c>
      <c r="F1706" s="559">
        <v>4972921.7650000099</v>
      </c>
      <c r="G1706" s="174"/>
    </row>
    <row r="1707" spans="1:7" x14ac:dyDescent="0.3">
      <c r="A1707" s="559" t="s">
        <v>78</v>
      </c>
      <c r="B1707" s="559">
        <v>2014</v>
      </c>
      <c r="C1707" s="559" t="s">
        <v>348</v>
      </c>
      <c r="D1707" s="559" t="s">
        <v>37</v>
      </c>
      <c r="E1707" s="559" t="s">
        <v>96</v>
      </c>
      <c r="F1707" s="559">
        <v>6180279.0679999897</v>
      </c>
      <c r="G1707" s="174"/>
    </row>
    <row r="1708" spans="1:7" x14ac:dyDescent="0.3">
      <c r="A1708" s="559" t="s">
        <v>78</v>
      </c>
      <c r="B1708" s="559">
        <v>2014</v>
      </c>
      <c r="C1708" s="559" t="s">
        <v>349</v>
      </c>
      <c r="D1708" s="559" t="s">
        <v>36</v>
      </c>
      <c r="E1708" s="559" t="s">
        <v>96</v>
      </c>
      <c r="F1708" s="559">
        <v>7980512.6730000302</v>
      </c>
      <c r="G1708" s="174"/>
    </row>
    <row r="1709" spans="1:7" x14ac:dyDescent="0.3">
      <c r="A1709" s="559" t="s">
        <v>78</v>
      </c>
      <c r="B1709" s="559">
        <v>2014</v>
      </c>
      <c r="C1709" s="559" t="s">
        <v>350</v>
      </c>
      <c r="D1709" s="559" t="s">
        <v>17</v>
      </c>
      <c r="E1709" s="559" t="s">
        <v>101</v>
      </c>
      <c r="F1709" s="559">
        <v>0</v>
      </c>
      <c r="G1709" s="174"/>
    </row>
    <row r="1710" spans="1:7" x14ac:dyDescent="0.3">
      <c r="A1710" s="559" t="s">
        <v>78</v>
      </c>
      <c r="B1710" s="559">
        <v>2014</v>
      </c>
      <c r="C1710" s="559" t="s">
        <v>351</v>
      </c>
      <c r="D1710" s="559" t="s">
        <v>4</v>
      </c>
      <c r="E1710" s="559" t="s">
        <v>101</v>
      </c>
      <c r="F1710" s="559">
        <v>0</v>
      </c>
      <c r="G1710" s="174"/>
    </row>
    <row r="1711" spans="1:7" x14ac:dyDescent="0.3">
      <c r="A1711" s="559" t="s">
        <v>78</v>
      </c>
      <c r="B1711" s="559">
        <v>2014</v>
      </c>
      <c r="C1711" s="559" t="s">
        <v>352</v>
      </c>
      <c r="D1711" s="559" t="s">
        <v>4</v>
      </c>
      <c r="E1711" s="559" t="s">
        <v>101</v>
      </c>
      <c r="F1711" s="559">
        <v>0</v>
      </c>
      <c r="G1711" s="174"/>
    </row>
    <row r="1712" spans="1:7" x14ac:dyDescent="0.3">
      <c r="A1712" s="559" t="s">
        <v>78</v>
      </c>
      <c r="B1712" s="559">
        <v>2014</v>
      </c>
      <c r="C1712" s="559" t="s">
        <v>353</v>
      </c>
      <c r="D1712" s="559" t="s">
        <v>20</v>
      </c>
      <c r="E1712" s="559" t="s">
        <v>96</v>
      </c>
      <c r="F1712" s="559">
        <v>0</v>
      </c>
      <c r="G1712" s="174"/>
    </row>
    <row r="1713" spans="1:7" x14ac:dyDescent="0.3">
      <c r="A1713" s="559" t="s">
        <v>78</v>
      </c>
      <c r="B1713" s="559">
        <v>2014</v>
      </c>
      <c r="C1713" s="559" t="s">
        <v>354</v>
      </c>
      <c r="D1713" s="559" t="s">
        <v>14</v>
      </c>
      <c r="E1713" s="559" t="s">
        <v>101</v>
      </c>
      <c r="F1713" s="559">
        <v>8077103.5520000402</v>
      </c>
      <c r="G1713" s="174"/>
    </row>
    <row r="1714" spans="1:7" x14ac:dyDescent="0.3">
      <c r="A1714" s="559" t="s">
        <v>78</v>
      </c>
      <c r="B1714" s="559">
        <v>2014</v>
      </c>
      <c r="C1714" s="559" t="s">
        <v>355</v>
      </c>
      <c r="D1714" s="559" t="s">
        <v>36</v>
      </c>
      <c r="E1714" s="559" t="s">
        <v>96</v>
      </c>
      <c r="F1714" s="559">
        <v>16046018.733999999</v>
      </c>
      <c r="G1714" s="174"/>
    </row>
    <row r="1715" spans="1:7" x14ac:dyDescent="0.3">
      <c r="A1715" s="559" t="s">
        <v>78</v>
      </c>
      <c r="B1715" s="559">
        <v>2014</v>
      </c>
      <c r="C1715" s="559" t="s">
        <v>356</v>
      </c>
      <c r="D1715" s="559" t="s">
        <v>28</v>
      </c>
      <c r="E1715" s="559" t="s">
        <v>96</v>
      </c>
      <c r="F1715" s="559">
        <v>942128.85500000103</v>
      </c>
      <c r="G1715" s="174"/>
    </row>
    <row r="1716" spans="1:7" x14ac:dyDescent="0.3">
      <c r="A1716" s="559" t="s">
        <v>78</v>
      </c>
      <c r="B1716" s="559">
        <v>2014</v>
      </c>
      <c r="C1716" s="559" t="s">
        <v>357</v>
      </c>
      <c r="D1716" s="559" t="s">
        <v>14</v>
      </c>
      <c r="E1716" s="559" t="s">
        <v>110</v>
      </c>
      <c r="F1716" s="559">
        <v>0</v>
      </c>
      <c r="G1716" s="174"/>
    </row>
    <row r="1717" spans="1:7" x14ac:dyDescent="0.3">
      <c r="A1717" s="559" t="s">
        <v>78</v>
      </c>
      <c r="B1717" s="559">
        <v>2014</v>
      </c>
      <c r="C1717" s="559" t="s">
        <v>357</v>
      </c>
      <c r="D1717" s="559" t="s">
        <v>14</v>
      </c>
      <c r="E1717" s="559" t="s">
        <v>96</v>
      </c>
      <c r="F1717" s="559">
        <v>21583.441999999901</v>
      </c>
      <c r="G1717" s="174"/>
    </row>
    <row r="1718" spans="1:7" x14ac:dyDescent="0.3">
      <c r="A1718" s="559" t="s">
        <v>78</v>
      </c>
      <c r="B1718" s="559">
        <v>2014</v>
      </c>
      <c r="C1718" s="559" t="s">
        <v>358</v>
      </c>
      <c r="D1718" s="559" t="s">
        <v>14</v>
      </c>
      <c r="E1718" s="559" t="s">
        <v>110</v>
      </c>
      <c r="F1718" s="559">
        <v>0</v>
      </c>
      <c r="G1718" s="174"/>
    </row>
    <row r="1719" spans="1:7" x14ac:dyDescent="0.3">
      <c r="A1719" s="559" t="s">
        <v>78</v>
      </c>
      <c r="B1719" s="559">
        <v>2014</v>
      </c>
      <c r="C1719" s="559" t="s">
        <v>358</v>
      </c>
      <c r="D1719" s="559" t="s">
        <v>14</v>
      </c>
      <c r="E1719" s="559" t="s">
        <v>96</v>
      </c>
      <c r="F1719" s="559">
        <v>17367.8119999999</v>
      </c>
      <c r="G1719" s="174"/>
    </row>
    <row r="1720" spans="1:7" x14ac:dyDescent="0.3">
      <c r="A1720" s="559" t="s">
        <v>77</v>
      </c>
      <c r="B1720" s="559">
        <v>2014</v>
      </c>
      <c r="C1720" s="559" t="s">
        <v>95</v>
      </c>
      <c r="D1720" s="559" t="s">
        <v>0</v>
      </c>
      <c r="E1720" s="559" t="s">
        <v>96</v>
      </c>
      <c r="F1720" s="559">
        <v>0</v>
      </c>
      <c r="G1720" s="174"/>
    </row>
    <row r="1721" spans="1:7" x14ac:dyDescent="0.3">
      <c r="A1721" s="559" t="s">
        <v>77</v>
      </c>
      <c r="B1721" s="559">
        <v>2014</v>
      </c>
      <c r="C1721" s="559" t="s">
        <v>97</v>
      </c>
      <c r="D1721" s="559" t="s">
        <v>37</v>
      </c>
      <c r="E1721" s="559" t="s">
        <v>96</v>
      </c>
      <c r="F1721" s="559">
        <v>7497363.5320000099</v>
      </c>
      <c r="G1721" s="174"/>
    </row>
    <row r="1722" spans="1:7" x14ac:dyDescent="0.3">
      <c r="A1722" s="559" t="s">
        <v>77</v>
      </c>
      <c r="B1722" s="559">
        <v>2014</v>
      </c>
      <c r="C1722" s="559" t="s">
        <v>98</v>
      </c>
      <c r="D1722" s="559" t="s">
        <v>37</v>
      </c>
      <c r="E1722" s="559" t="s">
        <v>96</v>
      </c>
      <c r="F1722" s="559">
        <v>4544502.63600004</v>
      </c>
      <c r="G1722" s="174"/>
    </row>
    <row r="1723" spans="1:7" x14ac:dyDescent="0.3">
      <c r="A1723" s="559" t="s">
        <v>77</v>
      </c>
      <c r="B1723" s="559">
        <v>2014</v>
      </c>
      <c r="C1723" s="559" t="s">
        <v>99</v>
      </c>
      <c r="D1723" s="559" t="s">
        <v>25</v>
      </c>
      <c r="E1723" s="559" t="s">
        <v>96</v>
      </c>
      <c r="F1723" s="559">
        <v>0</v>
      </c>
      <c r="G1723" s="174"/>
    </row>
    <row r="1724" spans="1:7" x14ac:dyDescent="0.3">
      <c r="A1724" s="559" t="s">
        <v>77</v>
      </c>
      <c r="B1724" s="559">
        <v>2014</v>
      </c>
      <c r="C1724" s="559" t="s">
        <v>100</v>
      </c>
      <c r="D1724" s="559" t="s">
        <v>17</v>
      </c>
      <c r="E1724" s="559" t="s">
        <v>101</v>
      </c>
      <c r="F1724" s="559">
        <v>0</v>
      </c>
      <c r="G1724" s="174"/>
    </row>
    <row r="1725" spans="1:7" x14ac:dyDescent="0.3">
      <c r="A1725" s="559" t="s">
        <v>77</v>
      </c>
      <c r="B1725" s="559">
        <v>2014</v>
      </c>
      <c r="C1725" s="559" t="s">
        <v>102</v>
      </c>
      <c r="D1725" s="559" t="s">
        <v>103</v>
      </c>
      <c r="E1725" s="559" t="s">
        <v>96</v>
      </c>
      <c r="F1725" s="559">
        <v>0</v>
      </c>
      <c r="G1725" s="174"/>
    </row>
    <row r="1726" spans="1:7" x14ac:dyDescent="0.3">
      <c r="A1726" s="559" t="s">
        <v>77</v>
      </c>
      <c r="B1726" s="559">
        <v>2014</v>
      </c>
      <c r="C1726" s="559" t="s">
        <v>104</v>
      </c>
      <c r="D1726" s="559" t="s">
        <v>35</v>
      </c>
      <c r="E1726" s="559" t="s">
        <v>101</v>
      </c>
      <c r="F1726" s="559">
        <v>1208351.9010000001</v>
      </c>
      <c r="G1726" s="174"/>
    </row>
    <row r="1727" spans="1:7" x14ac:dyDescent="0.3">
      <c r="A1727" s="559" t="s">
        <v>77</v>
      </c>
      <c r="B1727" s="559">
        <v>2014</v>
      </c>
      <c r="C1727" s="559" t="s">
        <v>105</v>
      </c>
      <c r="D1727" s="559" t="s">
        <v>17</v>
      </c>
      <c r="E1727" s="559" t="s">
        <v>101</v>
      </c>
      <c r="F1727" s="559">
        <v>0</v>
      </c>
      <c r="G1727" s="174"/>
    </row>
    <row r="1728" spans="1:7" x14ac:dyDescent="0.3">
      <c r="A1728" s="559" t="s">
        <v>77</v>
      </c>
      <c r="B1728" s="559">
        <v>2014</v>
      </c>
      <c r="C1728" s="559" t="s">
        <v>106</v>
      </c>
      <c r="D1728" s="559" t="s">
        <v>17</v>
      </c>
      <c r="E1728" s="559" t="s">
        <v>101</v>
      </c>
      <c r="F1728" s="559">
        <v>0</v>
      </c>
      <c r="G1728" s="174"/>
    </row>
    <row r="1729" spans="1:7" x14ac:dyDescent="0.3">
      <c r="A1729" s="559" t="s">
        <v>77</v>
      </c>
      <c r="B1729" s="559">
        <v>2014</v>
      </c>
      <c r="C1729" s="559" t="s">
        <v>545</v>
      </c>
      <c r="D1729" s="559" t="s">
        <v>9</v>
      </c>
      <c r="E1729" s="559" t="s">
        <v>96</v>
      </c>
      <c r="F1729" s="559">
        <v>0</v>
      </c>
      <c r="G1729" s="174"/>
    </row>
    <row r="1730" spans="1:7" x14ac:dyDescent="0.3">
      <c r="A1730" s="559" t="s">
        <v>77</v>
      </c>
      <c r="B1730" s="559">
        <v>2014</v>
      </c>
      <c r="C1730" s="559" t="s">
        <v>109</v>
      </c>
      <c r="D1730" s="559" t="s">
        <v>35</v>
      </c>
      <c r="E1730" s="559" t="s">
        <v>101</v>
      </c>
      <c r="F1730" s="559">
        <v>2535764.7119999998</v>
      </c>
      <c r="G1730" s="174"/>
    </row>
    <row r="1731" spans="1:7" x14ac:dyDescent="0.3">
      <c r="A1731" s="559" t="s">
        <v>77</v>
      </c>
      <c r="B1731" s="559">
        <v>2014</v>
      </c>
      <c r="C1731" s="559" t="s">
        <v>111</v>
      </c>
      <c r="D1731" s="559" t="s">
        <v>6</v>
      </c>
      <c r="E1731" s="559" t="s">
        <v>96</v>
      </c>
      <c r="F1731" s="559">
        <v>0</v>
      </c>
      <c r="G1731" s="174"/>
    </row>
    <row r="1732" spans="1:7" x14ac:dyDescent="0.3">
      <c r="A1732" s="559" t="s">
        <v>77</v>
      </c>
      <c r="B1732" s="559">
        <v>2014</v>
      </c>
      <c r="C1732" s="559" t="s">
        <v>112</v>
      </c>
      <c r="D1732" s="559" t="s">
        <v>17</v>
      </c>
      <c r="E1732" s="559" t="s">
        <v>101</v>
      </c>
      <c r="F1732" s="559">
        <v>0</v>
      </c>
      <c r="G1732" s="174"/>
    </row>
    <row r="1733" spans="1:7" x14ac:dyDescent="0.3">
      <c r="A1733" s="559" t="s">
        <v>77</v>
      </c>
      <c r="B1733" s="559">
        <v>2014</v>
      </c>
      <c r="C1733" s="559" t="s">
        <v>113</v>
      </c>
      <c r="D1733" s="559" t="s">
        <v>41</v>
      </c>
      <c r="E1733" s="559" t="s">
        <v>96</v>
      </c>
      <c r="F1733" s="559">
        <v>0</v>
      </c>
      <c r="G1733" s="174"/>
    </row>
    <row r="1734" spans="1:7" x14ac:dyDescent="0.3">
      <c r="A1734" s="559" t="s">
        <v>77</v>
      </c>
      <c r="B1734" s="559">
        <v>2014</v>
      </c>
      <c r="C1734" s="559" t="s">
        <v>114</v>
      </c>
      <c r="D1734" s="559" t="s">
        <v>14</v>
      </c>
      <c r="E1734" s="559" t="s">
        <v>101</v>
      </c>
      <c r="F1734" s="559">
        <v>17179522.000999998</v>
      </c>
      <c r="G1734" s="174"/>
    </row>
    <row r="1735" spans="1:7" x14ac:dyDescent="0.3">
      <c r="A1735" s="559" t="s">
        <v>77</v>
      </c>
      <c r="B1735" s="559">
        <v>2014</v>
      </c>
      <c r="C1735" s="559" t="s">
        <v>115</v>
      </c>
      <c r="D1735" s="559" t="s">
        <v>71</v>
      </c>
      <c r="E1735" s="559" t="s">
        <v>96</v>
      </c>
      <c r="F1735" s="559">
        <v>0</v>
      </c>
      <c r="G1735" s="174"/>
    </row>
    <row r="1736" spans="1:7" x14ac:dyDescent="0.3">
      <c r="A1736" s="559" t="s">
        <v>77</v>
      </c>
      <c r="B1736" s="559">
        <v>2014</v>
      </c>
      <c r="C1736" s="559" t="s">
        <v>116</v>
      </c>
      <c r="D1736" s="559" t="s">
        <v>51</v>
      </c>
      <c r="E1736" s="559" t="s">
        <v>96</v>
      </c>
      <c r="F1736" s="559">
        <v>0</v>
      </c>
      <c r="G1736" s="174"/>
    </row>
    <row r="1737" spans="1:7" x14ac:dyDescent="0.3">
      <c r="A1737" s="559" t="s">
        <v>77</v>
      </c>
      <c r="B1737" s="559">
        <v>2014</v>
      </c>
      <c r="C1737" s="559" t="s">
        <v>116</v>
      </c>
      <c r="D1737" s="559" t="s">
        <v>30</v>
      </c>
      <c r="E1737" s="559" t="s">
        <v>96</v>
      </c>
      <c r="F1737" s="559">
        <v>0</v>
      </c>
      <c r="G1737" s="174"/>
    </row>
    <row r="1738" spans="1:7" x14ac:dyDescent="0.3">
      <c r="A1738" s="559" t="s">
        <v>77</v>
      </c>
      <c r="B1738" s="559">
        <v>2014</v>
      </c>
      <c r="C1738" s="559" t="s">
        <v>117</v>
      </c>
      <c r="D1738" s="559" t="s">
        <v>14</v>
      </c>
      <c r="E1738" s="559" t="s">
        <v>101</v>
      </c>
      <c r="F1738" s="559">
        <v>61354530.285999902</v>
      </c>
      <c r="G1738" s="174"/>
    </row>
    <row r="1739" spans="1:7" x14ac:dyDescent="0.3">
      <c r="A1739" s="559" t="s">
        <v>77</v>
      </c>
      <c r="B1739" s="559">
        <v>2014</v>
      </c>
      <c r="C1739" s="559" t="s">
        <v>118</v>
      </c>
      <c r="D1739" s="559" t="s">
        <v>13</v>
      </c>
      <c r="E1739" s="559" t="s">
        <v>96</v>
      </c>
      <c r="F1739" s="559">
        <v>0</v>
      </c>
      <c r="G1739" s="174"/>
    </row>
    <row r="1740" spans="1:7" x14ac:dyDescent="0.3">
      <c r="A1740" s="559" t="s">
        <v>77</v>
      </c>
      <c r="B1740" s="559">
        <v>2014</v>
      </c>
      <c r="C1740" s="559" t="s">
        <v>119</v>
      </c>
      <c r="D1740" s="559" t="s">
        <v>5</v>
      </c>
      <c r="E1740" s="559" t="s">
        <v>96</v>
      </c>
      <c r="F1740" s="559">
        <v>1135360.5330000001</v>
      </c>
      <c r="G1740" s="174"/>
    </row>
    <row r="1741" spans="1:7" x14ac:dyDescent="0.3">
      <c r="A1741" s="559" t="s">
        <v>77</v>
      </c>
      <c r="B1741" s="559">
        <v>2014</v>
      </c>
      <c r="C1741" s="559" t="s">
        <v>120</v>
      </c>
      <c r="D1741" s="559" t="s">
        <v>5</v>
      </c>
      <c r="E1741" s="559" t="s">
        <v>96</v>
      </c>
      <c r="F1741" s="559">
        <v>2641657.1070000101</v>
      </c>
      <c r="G1741" s="174"/>
    </row>
    <row r="1742" spans="1:7" x14ac:dyDescent="0.3">
      <c r="A1742" s="559" t="s">
        <v>77</v>
      </c>
      <c r="B1742" s="559">
        <v>2014</v>
      </c>
      <c r="C1742" s="559" t="s">
        <v>121</v>
      </c>
      <c r="D1742" s="559" t="s">
        <v>0</v>
      </c>
      <c r="E1742" s="559" t="s">
        <v>96</v>
      </c>
      <c r="F1742" s="559">
        <v>0</v>
      </c>
      <c r="G1742" s="174"/>
    </row>
    <row r="1743" spans="1:7" x14ac:dyDescent="0.3">
      <c r="A1743" s="559" t="s">
        <v>77</v>
      </c>
      <c r="B1743" s="559">
        <v>2014</v>
      </c>
      <c r="C1743" s="559" t="s">
        <v>122</v>
      </c>
      <c r="D1743" s="559" t="s">
        <v>28</v>
      </c>
      <c r="E1743" s="559" t="s">
        <v>96</v>
      </c>
      <c r="F1743" s="559">
        <v>4994811.6460000202</v>
      </c>
      <c r="G1743" s="174"/>
    </row>
    <row r="1744" spans="1:7" x14ac:dyDescent="0.3">
      <c r="A1744" s="559" t="s">
        <v>77</v>
      </c>
      <c r="B1744" s="559">
        <v>2014</v>
      </c>
      <c r="C1744" s="559" t="s">
        <v>123</v>
      </c>
      <c r="D1744" s="559" t="s">
        <v>35</v>
      </c>
      <c r="E1744" s="559" t="s">
        <v>110</v>
      </c>
      <c r="F1744" s="559">
        <v>0</v>
      </c>
      <c r="G1744" s="174"/>
    </row>
    <row r="1745" spans="1:7" x14ac:dyDescent="0.3">
      <c r="A1745" s="559" t="s">
        <v>77</v>
      </c>
      <c r="B1745" s="559">
        <v>2014</v>
      </c>
      <c r="C1745" s="559" t="s">
        <v>124</v>
      </c>
      <c r="D1745" s="559" t="s">
        <v>49</v>
      </c>
      <c r="E1745" s="559" t="s">
        <v>96</v>
      </c>
      <c r="F1745" s="559">
        <v>66692.001000000004</v>
      </c>
      <c r="G1745" s="174"/>
    </row>
    <row r="1746" spans="1:7" x14ac:dyDescent="0.3">
      <c r="A1746" s="559" t="s">
        <v>77</v>
      </c>
      <c r="B1746" s="559">
        <v>2014</v>
      </c>
      <c r="C1746" s="559" t="s">
        <v>125</v>
      </c>
      <c r="D1746" s="559" t="s">
        <v>20</v>
      </c>
      <c r="E1746" s="559" t="s">
        <v>96</v>
      </c>
      <c r="F1746" s="559">
        <v>0</v>
      </c>
      <c r="G1746" s="174"/>
    </row>
    <row r="1747" spans="1:7" x14ac:dyDescent="0.3">
      <c r="A1747" s="559" t="s">
        <v>77</v>
      </c>
      <c r="B1747" s="559">
        <v>2014</v>
      </c>
      <c r="C1747" s="559" t="s">
        <v>126</v>
      </c>
      <c r="D1747" s="559" t="s">
        <v>23</v>
      </c>
      <c r="E1747" s="559" t="s">
        <v>96</v>
      </c>
      <c r="F1747" s="559">
        <v>538484.99368656299</v>
      </c>
      <c r="G1747" s="174"/>
    </row>
    <row r="1748" spans="1:7" x14ac:dyDescent="0.3">
      <c r="A1748" s="559" t="s">
        <v>77</v>
      </c>
      <c r="B1748" s="559">
        <v>2014</v>
      </c>
      <c r="C1748" s="559" t="s">
        <v>126</v>
      </c>
      <c r="D1748" s="559" t="s">
        <v>556</v>
      </c>
      <c r="E1748" s="559" t="s">
        <v>756</v>
      </c>
      <c r="F1748" s="559">
        <v>2626624.6493134401</v>
      </c>
      <c r="G1748" s="174"/>
    </row>
    <row r="1749" spans="1:7" x14ac:dyDescent="0.3">
      <c r="A1749" s="559" t="s">
        <v>77</v>
      </c>
      <c r="B1749" s="559">
        <v>2014</v>
      </c>
      <c r="C1749" s="559" t="s">
        <v>127</v>
      </c>
      <c r="D1749" s="559" t="s">
        <v>28</v>
      </c>
      <c r="E1749" s="559" t="s">
        <v>96</v>
      </c>
      <c r="F1749" s="559">
        <v>1264951.9280000001</v>
      </c>
      <c r="G1749" s="174"/>
    </row>
    <row r="1750" spans="1:7" x14ac:dyDescent="0.3">
      <c r="A1750" s="559" t="s">
        <v>77</v>
      </c>
      <c r="B1750" s="559">
        <v>2014</v>
      </c>
      <c r="C1750" s="559" t="s">
        <v>128</v>
      </c>
      <c r="D1750" s="559" t="s">
        <v>25</v>
      </c>
      <c r="E1750" s="559" t="s">
        <v>96</v>
      </c>
      <c r="F1750" s="559">
        <v>0</v>
      </c>
      <c r="G1750" s="174"/>
    </row>
    <row r="1751" spans="1:7" x14ac:dyDescent="0.3">
      <c r="A1751" s="559" t="s">
        <v>77</v>
      </c>
      <c r="B1751" s="559">
        <v>2014</v>
      </c>
      <c r="C1751" s="559" t="s">
        <v>129</v>
      </c>
      <c r="D1751" s="559" t="s">
        <v>103</v>
      </c>
      <c r="E1751" s="559" t="s">
        <v>96</v>
      </c>
      <c r="F1751" s="559">
        <v>0</v>
      </c>
      <c r="G1751" s="174"/>
    </row>
    <row r="1752" spans="1:7" x14ac:dyDescent="0.3">
      <c r="A1752" s="559" t="s">
        <v>77</v>
      </c>
      <c r="B1752" s="559">
        <v>2014</v>
      </c>
      <c r="C1752" s="559" t="s">
        <v>130</v>
      </c>
      <c r="D1752" s="559" t="s">
        <v>35</v>
      </c>
      <c r="E1752" s="559" t="s">
        <v>101</v>
      </c>
      <c r="F1752" s="559">
        <v>2471238.844</v>
      </c>
      <c r="G1752" s="174"/>
    </row>
    <row r="1753" spans="1:7" x14ac:dyDescent="0.3">
      <c r="A1753" s="559" t="s">
        <v>77</v>
      </c>
      <c r="B1753" s="559">
        <v>2014</v>
      </c>
      <c r="C1753" s="559" t="s">
        <v>131</v>
      </c>
      <c r="D1753" s="559" t="s">
        <v>38</v>
      </c>
      <c r="E1753" s="559" t="s">
        <v>96</v>
      </c>
      <c r="F1753" s="559">
        <v>1981487.537</v>
      </c>
      <c r="G1753" s="174"/>
    </row>
    <row r="1754" spans="1:7" x14ac:dyDescent="0.3">
      <c r="A1754" s="559" t="s">
        <v>77</v>
      </c>
      <c r="B1754" s="559">
        <v>2014</v>
      </c>
      <c r="C1754" s="559" t="s">
        <v>132</v>
      </c>
      <c r="D1754" s="559" t="s">
        <v>25</v>
      </c>
      <c r="E1754" s="559" t="s">
        <v>96</v>
      </c>
      <c r="F1754" s="559">
        <v>0</v>
      </c>
      <c r="G1754" s="174"/>
    </row>
    <row r="1755" spans="1:7" x14ac:dyDescent="0.3">
      <c r="A1755" s="559" t="s">
        <v>77</v>
      </c>
      <c r="B1755" s="559">
        <v>2014</v>
      </c>
      <c r="C1755" s="559" t="s">
        <v>133</v>
      </c>
      <c r="D1755" s="559" t="s">
        <v>1</v>
      </c>
      <c r="E1755" s="559" t="s">
        <v>96</v>
      </c>
      <c r="F1755" s="559">
        <v>0</v>
      </c>
      <c r="G1755" s="174"/>
    </row>
    <row r="1756" spans="1:7" x14ac:dyDescent="0.3">
      <c r="A1756" s="559" t="s">
        <v>77</v>
      </c>
      <c r="B1756" s="559">
        <v>2014</v>
      </c>
      <c r="C1756" s="559" t="s">
        <v>134</v>
      </c>
      <c r="D1756" s="559" t="s">
        <v>25</v>
      </c>
      <c r="E1756" s="559" t="s">
        <v>96</v>
      </c>
      <c r="F1756" s="559">
        <v>0</v>
      </c>
      <c r="G1756" s="174"/>
    </row>
    <row r="1757" spans="1:7" x14ac:dyDescent="0.3">
      <c r="A1757" s="559" t="s">
        <v>77</v>
      </c>
      <c r="B1757" s="559">
        <v>2014</v>
      </c>
      <c r="C1757" s="559" t="s">
        <v>135</v>
      </c>
      <c r="D1757" s="559" t="s">
        <v>103</v>
      </c>
      <c r="E1757" s="559" t="s">
        <v>96</v>
      </c>
      <c r="F1757" s="559">
        <v>130.45099999999999</v>
      </c>
      <c r="G1757" s="174"/>
    </row>
    <row r="1758" spans="1:7" x14ac:dyDescent="0.3">
      <c r="A1758" s="559" t="s">
        <v>77</v>
      </c>
      <c r="B1758" s="559">
        <v>2014</v>
      </c>
      <c r="C1758" s="559" t="s">
        <v>136</v>
      </c>
      <c r="D1758" s="559" t="s">
        <v>35</v>
      </c>
      <c r="E1758" s="559" t="s">
        <v>101</v>
      </c>
      <c r="F1758" s="559">
        <v>4707441.9599999897</v>
      </c>
      <c r="G1758" s="174"/>
    </row>
    <row r="1759" spans="1:7" x14ac:dyDescent="0.3">
      <c r="A1759" s="559" t="s">
        <v>77</v>
      </c>
      <c r="B1759" s="559">
        <v>2014</v>
      </c>
      <c r="C1759" s="559" t="s">
        <v>137</v>
      </c>
      <c r="D1759" s="559" t="s">
        <v>40</v>
      </c>
      <c r="E1759" s="559" t="s">
        <v>96</v>
      </c>
      <c r="F1759" s="559">
        <v>1104997.2879999899</v>
      </c>
      <c r="G1759" s="174"/>
    </row>
    <row r="1760" spans="1:7" x14ac:dyDescent="0.3">
      <c r="A1760" s="559" t="s">
        <v>77</v>
      </c>
      <c r="B1760" s="559">
        <v>2014</v>
      </c>
      <c r="C1760" s="559" t="s">
        <v>138</v>
      </c>
      <c r="D1760" s="559" t="s">
        <v>40</v>
      </c>
      <c r="E1760" s="559" t="s">
        <v>96</v>
      </c>
      <c r="F1760" s="559">
        <v>8035177.8619999997</v>
      </c>
      <c r="G1760" s="174"/>
    </row>
    <row r="1761" spans="1:7" x14ac:dyDescent="0.3">
      <c r="A1761" s="559" t="s">
        <v>77</v>
      </c>
      <c r="B1761" s="559">
        <v>2014</v>
      </c>
      <c r="C1761" s="559" t="s">
        <v>139</v>
      </c>
      <c r="D1761" s="559" t="s">
        <v>28</v>
      </c>
      <c r="E1761" s="559" t="s">
        <v>96</v>
      </c>
      <c r="F1761" s="559">
        <v>2732706.21599998</v>
      </c>
      <c r="G1761" s="174"/>
    </row>
    <row r="1762" spans="1:7" x14ac:dyDescent="0.3">
      <c r="A1762" s="559" t="s">
        <v>77</v>
      </c>
      <c r="B1762" s="559">
        <v>2014</v>
      </c>
      <c r="C1762" s="559" t="s">
        <v>140</v>
      </c>
      <c r="D1762" s="559" t="s">
        <v>12</v>
      </c>
      <c r="E1762" s="559" t="s">
        <v>96</v>
      </c>
      <c r="F1762" s="559">
        <v>0</v>
      </c>
      <c r="G1762" s="174"/>
    </row>
    <row r="1763" spans="1:7" x14ac:dyDescent="0.3">
      <c r="A1763" s="559" t="s">
        <v>77</v>
      </c>
      <c r="B1763" s="559">
        <v>2014</v>
      </c>
      <c r="C1763" s="559" t="s">
        <v>141</v>
      </c>
      <c r="D1763" s="559" t="s">
        <v>12</v>
      </c>
      <c r="E1763" s="559" t="s">
        <v>96</v>
      </c>
      <c r="F1763" s="559">
        <v>0</v>
      </c>
      <c r="G1763" s="174"/>
    </row>
    <row r="1764" spans="1:7" x14ac:dyDescent="0.3">
      <c r="A1764" s="559" t="s">
        <v>77</v>
      </c>
      <c r="B1764" s="559">
        <v>2014</v>
      </c>
      <c r="C1764" s="559" t="s">
        <v>142</v>
      </c>
      <c r="D1764" s="559" t="s">
        <v>1</v>
      </c>
      <c r="E1764" s="559" t="s">
        <v>96</v>
      </c>
      <c r="F1764" s="559">
        <v>0</v>
      </c>
      <c r="G1764" s="174"/>
    </row>
    <row r="1765" spans="1:7" x14ac:dyDescent="0.3">
      <c r="A1765" s="559" t="s">
        <v>77</v>
      </c>
      <c r="B1765" s="559">
        <v>2014</v>
      </c>
      <c r="C1765" s="559" t="s">
        <v>142</v>
      </c>
      <c r="D1765" s="559" t="s">
        <v>4</v>
      </c>
      <c r="E1765" s="559" t="s">
        <v>96</v>
      </c>
      <c r="F1765" s="559">
        <v>0</v>
      </c>
      <c r="G1765" s="174"/>
    </row>
    <row r="1766" spans="1:7" x14ac:dyDescent="0.3">
      <c r="A1766" s="559" t="s">
        <v>77</v>
      </c>
      <c r="B1766" s="559">
        <v>2014</v>
      </c>
      <c r="C1766" s="559" t="s">
        <v>142</v>
      </c>
      <c r="D1766" s="559" t="s">
        <v>27</v>
      </c>
      <c r="E1766" s="559" t="s">
        <v>110</v>
      </c>
      <c r="F1766" s="559">
        <v>625018.85100000096</v>
      </c>
      <c r="G1766" s="174"/>
    </row>
    <row r="1767" spans="1:7" x14ac:dyDescent="0.3">
      <c r="A1767" s="559" t="s">
        <v>77</v>
      </c>
      <c r="B1767" s="559">
        <v>2014</v>
      </c>
      <c r="C1767" s="559" t="s">
        <v>143</v>
      </c>
      <c r="D1767" s="559" t="s">
        <v>4</v>
      </c>
      <c r="E1767" s="559" t="s">
        <v>96</v>
      </c>
      <c r="F1767" s="559">
        <v>4677.3519999999899</v>
      </c>
      <c r="G1767" s="174"/>
    </row>
    <row r="1768" spans="1:7" x14ac:dyDescent="0.3">
      <c r="A1768" s="559" t="s">
        <v>77</v>
      </c>
      <c r="B1768" s="559">
        <v>2014</v>
      </c>
      <c r="C1768" s="559" t="s">
        <v>144</v>
      </c>
      <c r="D1768" s="559" t="s">
        <v>4</v>
      </c>
      <c r="E1768" s="559" t="s">
        <v>101</v>
      </c>
      <c r="F1768" s="559">
        <v>46357312.7669999</v>
      </c>
      <c r="G1768" s="174"/>
    </row>
    <row r="1769" spans="1:7" x14ac:dyDescent="0.3">
      <c r="A1769" s="559" t="s">
        <v>77</v>
      </c>
      <c r="B1769" s="559">
        <v>2014</v>
      </c>
      <c r="C1769" s="559" t="s">
        <v>145</v>
      </c>
      <c r="D1769" s="559" t="s">
        <v>41</v>
      </c>
      <c r="E1769" s="559" t="s">
        <v>96</v>
      </c>
      <c r="F1769" s="559">
        <v>0</v>
      </c>
      <c r="G1769" s="174"/>
    </row>
    <row r="1770" spans="1:7" x14ac:dyDescent="0.3">
      <c r="A1770" s="559" t="s">
        <v>77</v>
      </c>
      <c r="B1770" s="559">
        <v>2014</v>
      </c>
      <c r="C1770" s="559" t="s">
        <v>146</v>
      </c>
      <c r="D1770" s="559" t="s">
        <v>31</v>
      </c>
      <c r="E1770" s="559" t="s">
        <v>96</v>
      </c>
      <c r="F1770" s="559">
        <v>738009.075000001</v>
      </c>
      <c r="G1770" s="174"/>
    </row>
    <row r="1771" spans="1:7" x14ac:dyDescent="0.3">
      <c r="A1771" s="559" t="s">
        <v>77</v>
      </c>
      <c r="B1771" s="559">
        <v>2014</v>
      </c>
      <c r="C1771" s="559" t="s">
        <v>147</v>
      </c>
      <c r="D1771" s="559" t="s">
        <v>11</v>
      </c>
      <c r="E1771" s="559" t="s">
        <v>96</v>
      </c>
      <c r="F1771" s="559">
        <v>3034682.0809999998</v>
      </c>
      <c r="G1771" s="174"/>
    </row>
    <row r="1772" spans="1:7" x14ac:dyDescent="0.3">
      <c r="A1772" s="559" t="s">
        <v>77</v>
      </c>
      <c r="B1772" s="559">
        <v>2014</v>
      </c>
      <c r="C1772" s="559" t="s">
        <v>148</v>
      </c>
      <c r="D1772" s="559" t="s">
        <v>73</v>
      </c>
      <c r="E1772" s="559" t="s">
        <v>96</v>
      </c>
      <c r="F1772" s="559">
        <v>0</v>
      </c>
      <c r="G1772" s="174"/>
    </row>
    <row r="1773" spans="1:7" x14ac:dyDescent="0.3">
      <c r="A1773" s="559" t="s">
        <v>77</v>
      </c>
      <c r="B1773" s="559">
        <v>2014</v>
      </c>
      <c r="C1773" s="559" t="s">
        <v>149</v>
      </c>
      <c r="D1773" s="559" t="s">
        <v>36</v>
      </c>
      <c r="E1773" s="559" t="s">
        <v>96</v>
      </c>
      <c r="F1773" s="559">
        <v>2591324.4819999798</v>
      </c>
      <c r="G1773" s="174"/>
    </row>
    <row r="1774" spans="1:7" x14ac:dyDescent="0.3">
      <c r="A1774" s="559" t="s">
        <v>77</v>
      </c>
      <c r="B1774" s="559">
        <v>2014</v>
      </c>
      <c r="C1774" s="559" t="s">
        <v>150</v>
      </c>
      <c r="D1774" s="559" t="s">
        <v>1</v>
      </c>
      <c r="E1774" s="559" t="s">
        <v>96</v>
      </c>
      <c r="F1774" s="559">
        <v>0</v>
      </c>
      <c r="G1774" s="174"/>
    </row>
    <row r="1775" spans="1:7" x14ac:dyDescent="0.3">
      <c r="A1775" s="559" t="s">
        <v>77</v>
      </c>
      <c r="B1775" s="559">
        <v>2014</v>
      </c>
      <c r="C1775" s="559" t="s">
        <v>150</v>
      </c>
      <c r="D1775" s="559" t="s">
        <v>70</v>
      </c>
      <c r="E1775" s="559" t="s">
        <v>96</v>
      </c>
      <c r="F1775" s="559">
        <v>0</v>
      </c>
      <c r="G1775" s="174"/>
    </row>
    <row r="1776" spans="1:7" x14ac:dyDescent="0.3">
      <c r="A1776" s="559" t="s">
        <v>77</v>
      </c>
      <c r="B1776" s="559">
        <v>2014</v>
      </c>
      <c r="C1776" s="559" t="s">
        <v>151</v>
      </c>
      <c r="D1776" s="559" t="s">
        <v>40</v>
      </c>
      <c r="E1776" s="559" t="s">
        <v>96</v>
      </c>
      <c r="F1776" s="559">
        <v>3257925.1949999998</v>
      </c>
      <c r="G1776" s="174"/>
    </row>
    <row r="1777" spans="1:7" x14ac:dyDescent="0.3">
      <c r="A1777" s="559" t="s">
        <v>77</v>
      </c>
      <c r="B1777" s="559">
        <v>2014</v>
      </c>
      <c r="C1777" s="559" t="s">
        <v>152</v>
      </c>
      <c r="D1777" s="559" t="s">
        <v>5</v>
      </c>
      <c r="E1777" s="559" t="s">
        <v>96</v>
      </c>
      <c r="F1777" s="559">
        <v>704001.36023329501</v>
      </c>
      <c r="G1777" s="174"/>
    </row>
    <row r="1778" spans="1:7" x14ac:dyDescent="0.3">
      <c r="A1778" s="559" t="s">
        <v>77</v>
      </c>
      <c r="B1778" s="559">
        <v>2014</v>
      </c>
      <c r="C1778" s="559" t="s">
        <v>152</v>
      </c>
      <c r="D1778" s="559" t="s">
        <v>24</v>
      </c>
      <c r="E1778" s="559" t="s">
        <v>756</v>
      </c>
      <c r="F1778" s="559">
        <v>5075906.8817666704</v>
      </c>
      <c r="G1778" s="174"/>
    </row>
    <row r="1779" spans="1:7" x14ac:dyDescent="0.3">
      <c r="A1779" s="559" t="s">
        <v>77</v>
      </c>
      <c r="B1779" s="559">
        <v>2014</v>
      </c>
      <c r="C1779" s="559" t="s">
        <v>153</v>
      </c>
      <c r="D1779" s="559" t="s">
        <v>73</v>
      </c>
      <c r="E1779" s="559" t="s">
        <v>96</v>
      </c>
      <c r="F1779" s="559">
        <v>0</v>
      </c>
      <c r="G1779" s="174"/>
    </row>
    <row r="1780" spans="1:7" x14ac:dyDescent="0.3">
      <c r="A1780" s="559" t="s">
        <v>77</v>
      </c>
      <c r="B1780" s="559">
        <v>2014</v>
      </c>
      <c r="C1780" s="559" t="s">
        <v>154</v>
      </c>
      <c r="D1780" s="559" t="s">
        <v>41</v>
      </c>
      <c r="E1780" s="559" t="s">
        <v>96</v>
      </c>
      <c r="F1780" s="559">
        <v>0</v>
      </c>
      <c r="G1780" s="174"/>
    </row>
    <row r="1781" spans="1:7" x14ac:dyDescent="0.3">
      <c r="A1781" s="559" t="s">
        <v>77</v>
      </c>
      <c r="B1781" s="559">
        <v>2014</v>
      </c>
      <c r="C1781" s="559" t="s">
        <v>155</v>
      </c>
      <c r="D1781" s="559" t="s">
        <v>28</v>
      </c>
      <c r="E1781" s="559" t="s">
        <v>96</v>
      </c>
      <c r="F1781" s="559">
        <v>550689.77799999795</v>
      </c>
      <c r="G1781" s="174"/>
    </row>
    <row r="1782" spans="1:7" x14ac:dyDescent="0.3">
      <c r="A1782" s="559" t="s">
        <v>77</v>
      </c>
      <c r="B1782" s="559">
        <v>2014</v>
      </c>
      <c r="C1782" s="559" t="s">
        <v>156</v>
      </c>
      <c r="D1782" s="559" t="s">
        <v>39</v>
      </c>
      <c r="E1782" s="559" t="s">
        <v>96</v>
      </c>
      <c r="F1782" s="559">
        <v>1551433.0120000001</v>
      </c>
      <c r="G1782" s="174"/>
    </row>
    <row r="1783" spans="1:7" x14ac:dyDescent="0.3">
      <c r="A1783" s="559" t="s">
        <v>77</v>
      </c>
      <c r="B1783" s="559">
        <v>2014</v>
      </c>
      <c r="C1783" s="559" t="s">
        <v>157</v>
      </c>
      <c r="D1783" s="559" t="s">
        <v>39</v>
      </c>
      <c r="E1783" s="559" t="s">
        <v>96</v>
      </c>
      <c r="F1783" s="559">
        <v>5207255.9330000002</v>
      </c>
      <c r="G1783" s="174"/>
    </row>
    <row r="1784" spans="1:7" x14ac:dyDescent="0.3">
      <c r="A1784" s="559" t="s">
        <v>77</v>
      </c>
      <c r="B1784" s="559">
        <v>2014</v>
      </c>
      <c r="C1784" s="559" t="s">
        <v>158</v>
      </c>
      <c r="D1784" s="559" t="s">
        <v>49</v>
      </c>
      <c r="E1784" s="559" t="s">
        <v>96</v>
      </c>
      <c r="F1784" s="559">
        <v>51747.696000000098</v>
      </c>
      <c r="G1784" s="174"/>
    </row>
    <row r="1785" spans="1:7" x14ac:dyDescent="0.3">
      <c r="A1785" s="559" t="s">
        <v>77</v>
      </c>
      <c r="B1785" s="559">
        <v>2014</v>
      </c>
      <c r="C1785" s="559" t="s">
        <v>159</v>
      </c>
      <c r="D1785" s="559" t="s">
        <v>40</v>
      </c>
      <c r="E1785" s="559" t="s">
        <v>96</v>
      </c>
      <c r="F1785" s="559">
        <v>818216.18499999901</v>
      </c>
      <c r="G1785" s="174"/>
    </row>
    <row r="1786" spans="1:7" x14ac:dyDescent="0.3">
      <c r="A1786" s="559" t="s">
        <v>77</v>
      </c>
      <c r="B1786" s="559">
        <v>2014</v>
      </c>
      <c r="C1786" s="559" t="s">
        <v>160</v>
      </c>
      <c r="D1786" s="559" t="s">
        <v>40</v>
      </c>
      <c r="E1786" s="559" t="s">
        <v>96</v>
      </c>
      <c r="F1786" s="559">
        <v>734651.57800000196</v>
      </c>
      <c r="G1786" s="174"/>
    </row>
    <row r="1787" spans="1:7" x14ac:dyDescent="0.3">
      <c r="A1787" s="559" t="s">
        <v>77</v>
      </c>
      <c r="B1787" s="559">
        <v>2014</v>
      </c>
      <c r="C1787" s="559" t="s">
        <v>161</v>
      </c>
      <c r="D1787" s="559" t="s">
        <v>37</v>
      </c>
      <c r="E1787" s="559" t="s">
        <v>96</v>
      </c>
      <c r="F1787" s="559">
        <v>5513678.1040000096</v>
      </c>
      <c r="G1787" s="174"/>
    </row>
    <row r="1788" spans="1:7" x14ac:dyDescent="0.3">
      <c r="A1788" s="559" t="s">
        <v>77</v>
      </c>
      <c r="B1788" s="559">
        <v>2014</v>
      </c>
      <c r="C1788" s="559" t="s">
        <v>162</v>
      </c>
      <c r="D1788" s="559" t="s">
        <v>37</v>
      </c>
      <c r="E1788" s="559" t="s">
        <v>96</v>
      </c>
      <c r="F1788" s="559">
        <v>7206039.3019999899</v>
      </c>
      <c r="G1788" s="174"/>
    </row>
    <row r="1789" spans="1:7" x14ac:dyDescent="0.3">
      <c r="A1789" s="559" t="s">
        <v>77</v>
      </c>
      <c r="B1789" s="559">
        <v>2014</v>
      </c>
      <c r="C1789" s="559" t="s">
        <v>163</v>
      </c>
      <c r="D1789" s="559" t="s">
        <v>28</v>
      </c>
      <c r="E1789" s="559" t="s">
        <v>96</v>
      </c>
      <c r="F1789" s="559">
        <v>2223146.7929999898</v>
      </c>
      <c r="G1789" s="174"/>
    </row>
    <row r="1790" spans="1:7" x14ac:dyDescent="0.3">
      <c r="A1790" s="559" t="s">
        <v>77</v>
      </c>
      <c r="B1790" s="559">
        <v>2014</v>
      </c>
      <c r="C1790" s="559" t="s">
        <v>164</v>
      </c>
      <c r="D1790" s="559" t="s">
        <v>41</v>
      </c>
      <c r="E1790" s="559" t="s">
        <v>96</v>
      </c>
      <c r="F1790" s="559">
        <v>0</v>
      </c>
      <c r="G1790" s="174"/>
    </row>
    <row r="1791" spans="1:7" x14ac:dyDescent="0.3">
      <c r="A1791" s="559" t="s">
        <v>77</v>
      </c>
      <c r="B1791" s="559">
        <v>2014</v>
      </c>
      <c r="C1791" s="559" t="s">
        <v>165</v>
      </c>
      <c r="D1791" s="559" t="s">
        <v>39</v>
      </c>
      <c r="E1791" s="559" t="s">
        <v>96</v>
      </c>
      <c r="F1791" s="572">
        <v>1344186.39899999</v>
      </c>
      <c r="G1791" s="174"/>
    </row>
    <row r="1792" spans="1:7" x14ac:dyDescent="0.3">
      <c r="A1792" s="559" t="s">
        <v>77</v>
      </c>
      <c r="B1792" s="559">
        <v>2014</v>
      </c>
      <c r="C1792" s="559" t="s">
        <v>166</v>
      </c>
      <c r="D1792" s="559" t="s">
        <v>10</v>
      </c>
      <c r="E1792" s="559" t="s">
        <v>101</v>
      </c>
      <c r="F1792" s="572">
        <v>0</v>
      </c>
      <c r="G1792" s="174"/>
    </row>
    <row r="1793" spans="1:7" x14ac:dyDescent="0.3">
      <c r="A1793" s="559" t="s">
        <v>77</v>
      </c>
      <c r="B1793" s="559">
        <v>2014</v>
      </c>
      <c r="C1793" s="559" t="s">
        <v>167</v>
      </c>
      <c r="D1793" s="559" t="s">
        <v>10</v>
      </c>
      <c r="E1793" s="559" t="s">
        <v>101</v>
      </c>
      <c r="F1793" s="572">
        <v>0</v>
      </c>
      <c r="G1793" s="174"/>
    </row>
    <row r="1794" spans="1:7" x14ac:dyDescent="0.3">
      <c r="A1794" s="559" t="s">
        <v>77</v>
      </c>
      <c r="B1794" s="559">
        <v>2014</v>
      </c>
      <c r="C1794" s="559" t="s">
        <v>168</v>
      </c>
      <c r="D1794" s="559" t="s">
        <v>10</v>
      </c>
      <c r="E1794" s="559" t="s">
        <v>101</v>
      </c>
      <c r="F1794" s="572">
        <v>0</v>
      </c>
      <c r="G1794" s="174"/>
    </row>
    <row r="1795" spans="1:7" x14ac:dyDescent="0.3">
      <c r="A1795" s="559" t="s">
        <v>77</v>
      </c>
      <c r="B1795" s="559">
        <v>2014</v>
      </c>
      <c r="C1795" s="559" t="s">
        <v>169</v>
      </c>
      <c r="D1795" s="559" t="s">
        <v>10</v>
      </c>
      <c r="E1795" s="559" t="s">
        <v>101</v>
      </c>
      <c r="F1795" s="559">
        <v>0</v>
      </c>
      <c r="G1795" s="174"/>
    </row>
    <row r="1796" spans="1:7" x14ac:dyDescent="0.3">
      <c r="A1796" s="559" t="s">
        <v>77</v>
      </c>
      <c r="B1796" s="559">
        <v>2014</v>
      </c>
      <c r="C1796" s="559" t="s">
        <v>170</v>
      </c>
      <c r="D1796" s="559" t="s">
        <v>37</v>
      </c>
      <c r="E1796" s="559" t="s">
        <v>96</v>
      </c>
      <c r="F1796" s="559">
        <v>920139.13699999999</v>
      </c>
      <c r="G1796" s="174"/>
    </row>
    <row r="1797" spans="1:7" x14ac:dyDescent="0.3">
      <c r="A1797" s="559" t="s">
        <v>77</v>
      </c>
      <c r="B1797" s="559">
        <v>2014</v>
      </c>
      <c r="C1797" s="559" t="s">
        <v>171</v>
      </c>
      <c r="D1797" s="559" t="s">
        <v>25</v>
      </c>
      <c r="E1797" s="559" t="s">
        <v>96</v>
      </c>
      <c r="F1797" s="559">
        <v>0</v>
      </c>
      <c r="G1797" s="174"/>
    </row>
    <row r="1798" spans="1:7" x14ac:dyDescent="0.3">
      <c r="A1798" s="559" t="s">
        <v>77</v>
      </c>
      <c r="B1798" s="559">
        <v>2014</v>
      </c>
      <c r="C1798" s="559" t="s">
        <v>172</v>
      </c>
      <c r="D1798" s="559" t="s">
        <v>25</v>
      </c>
      <c r="E1798" s="559" t="s">
        <v>96</v>
      </c>
      <c r="F1798" s="559">
        <v>0</v>
      </c>
      <c r="G1798" s="174"/>
    </row>
    <row r="1799" spans="1:7" x14ac:dyDescent="0.3">
      <c r="A1799" s="559" t="s">
        <v>77</v>
      </c>
      <c r="B1799" s="559">
        <v>2014</v>
      </c>
      <c r="C1799" s="559" t="s">
        <v>173</v>
      </c>
      <c r="D1799" s="559" t="s">
        <v>32</v>
      </c>
      <c r="E1799" s="559" t="s">
        <v>96</v>
      </c>
      <c r="F1799" s="559">
        <v>1274299.422</v>
      </c>
      <c r="G1799" s="174"/>
    </row>
    <row r="1800" spans="1:7" x14ac:dyDescent="0.3">
      <c r="A1800" s="559" t="s">
        <v>77</v>
      </c>
      <c r="B1800" s="559">
        <v>2014</v>
      </c>
      <c r="C1800" s="559" t="s">
        <v>174</v>
      </c>
      <c r="D1800" s="559" t="s">
        <v>28</v>
      </c>
      <c r="E1800" s="559" t="s">
        <v>96</v>
      </c>
      <c r="F1800" s="559">
        <v>993930.21599999606</v>
      </c>
      <c r="G1800" s="174"/>
    </row>
    <row r="1801" spans="1:7" x14ac:dyDescent="0.3">
      <c r="A1801" s="559" t="s">
        <v>77</v>
      </c>
      <c r="B1801" s="559">
        <v>2014</v>
      </c>
      <c r="C1801" s="559" t="s">
        <v>175</v>
      </c>
      <c r="D1801" s="559" t="s">
        <v>28</v>
      </c>
      <c r="E1801" s="559" t="s">
        <v>96</v>
      </c>
      <c r="F1801" s="559">
        <v>1495139.08699999</v>
      </c>
      <c r="G1801" s="174"/>
    </row>
    <row r="1802" spans="1:7" x14ac:dyDescent="0.3">
      <c r="A1802" s="559" t="s">
        <v>77</v>
      </c>
      <c r="B1802" s="559">
        <v>2014</v>
      </c>
      <c r="C1802" s="559" t="s">
        <v>176</v>
      </c>
      <c r="D1802" s="559" t="s">
        <v>51</v>
      </c>
      <c r="E1802" s="559" t="s">
        <v>96</v>
      </c>
      <c r="F1802" s="559">
        <v>515017.41499999998</v>
      </c>
      <c r="G1802" s="174"/>
    </row>
    <row r="1803" spans="1:7" x14ac:dyDescent="0.3">
      <c r="A1803" s="559" t="s">
        <v>77</v>
      </c>
      <c r="B1803" s="559">
        <v>2014</v>
      </c>
      <c r="C1803" s="559" t="s">
        <v>177</v>
      </c>
      <c r="D1803" s="559" t="s">
        <v>103</v>
      </c>
      <c r="E1803" s="559" t="s">
        <v>96</v>
      </c>
      <c r="F1803" s="559">
        <v>70.7259999999999</v>
      </c>
      <c r="G1803" s="174"/>
    </row>
    <row r="1804" spans="1:7" x14ac:dyDescent="0.3">
      <c r="A1804" s="559" t="s">
        <v>77</v>
      </c>
      <c r="B1804" s="559">
        <v>2014</v>
      </c>
      <c r="C1804" s="559" t="s">
        <v>178</v>
      </c>
      <c r="D1804" s="559" t="s">
        <v>35</v>
      </c>
      <c r="E1804" s="559" t="s">
        <v>101</v>
      </c>
      <c r="F1804" s="559">
        <v>0</v>
      </c>
      <c r="G1804" s="174"/>
    </row>
    <row r="1805" spans="1:7" x14ac:dyDescent="0.3">
      <c r="A1805" s="559" t="s">
        <v>77</v>
      </c>
      <c r="B1805" s="559">
        <v>2014</v>
      </c>
      <c r="C1805" s="559" t="s">
        <v>179</v>
      </c>
      <c r="D1805" s="559" t="s">
        <v>35</v>
      </c>
      <c r="E1805" s="559" t="s">
        <v>101</v>
      </c>
      <c r="F1805" s="572">
        <v>0</v>
      </c>
      <c r="G1805" s="174"/>
    </row>
    <row r="1806" spans="1:7" x14ac:dyDescent="0.3">
      <c r="A1806" s="559" t="s">
        <v>77</v>
      </c>
      <c r="B1806" s="559">
        <v>2014</v>
      </c>
      <c r="C1806" s="559" t="s">
        <v>180</v>
      </c>
      <c r="D1806" s="559" t="s">
        <v>35</v>
      </c>
      <c r="E1806" s="559" t="s">
        <v>101</v>
      </c>
      <c r="F1806" s="572">
        <v>0</v>
      </c>
      <c r="G1806" s="174"/>
    </row>
    <row r="1807" spans="1:7" x14ac:dyDescent="0.3">
      <c r="A1807" s="559" t="s">
        <v>77</v>
      </c>
      <c r="B1807" s="559">
        <v>2014</v>
      </c>
      <c r="C1807" s="559" t="s">
        <v>181</v>
      </c>
      <c r="D1807" s="559" t="s">
        <v>14</v>
      </c>
      <c r="E1807" s="559" t="s">
        <v>96</v>
      </c>
      <c r="F1807" s="572">
        <v>8186.45</v>
      </c>
      <c r="G1807" s="174"/>
    </row>
    <row r="1808" spans="1:7" x14ac:dyDescent="0.3">
      <c r="A1808" s="559" t="s">
        <v>77</v>
      </c>
      <c r="B1808" s="559">
        <v>2014</v>
      </c>
      <c r="C1808" s="559" t="s">
        <v>182</v>
      </c>
      <c r="D1808" s="559" t="s">
        <v>47</v>
      </c>
      <c r="E1808" s="559" t="s">
        <v>101</v>
      </c>
      <c r="F1808" s="572">
        <v>0</v>
      </c>
      <c r="G1808" s="174"/>
    </row>
    <row r="1809" spans="1:7" x14ac:dyDescent="0.3">
      <c r="A1809" s="559" t="s">
        <v>77</v>
      </c>
      <c r="B1809" s="559">
        <v>2014</v>
      </c>
      <c r="C1809" s="559" t="s">
        <v>183</v>
      </c>
      <c r="D1809" s="559" t="s">
        <v>47</v>
      </c>
      <c r="E1809" s="559" t="s">
        <v>101</v>
      </c>
      <c r="F1809" s="572">
        <v>0</v>
      </c>
      <c r="G1809" s="174"/>
    </row>
    <row r="1810" spans="1:7" x14ac:dyDescent="0.3">
      <c r="A1810" s="559" t="s">
        <v>77</v>
      </c>
      <c r="B1810" s="559">
        <v>2014</v>
      </c>
      <c r="C1810" s="559" t="s">
        <v>184</v>
      </c>
      <c r="D1810" s="559" t="s">
        <v>1</v>
      </c>
      <c r="E1810" s="559" t="s">
        <v>96</v>
      </c>
      <c r="F1810" s="572">
        <v>0</v>
      </c>
      <c r="G1810" s="174"/>
    </row>
    <row r="1811" spans="1:7" x14ac:dyDescent="0.3">
      <c r="A1811" s="559" t="s">
        <v>77</v>
      </c>
      <c r="B1811" s="559">
        <v>2014</v>
      </c>
      <c r="C1811" s="559" t="s">
        <v>184</v>
      </c>
      <c r="D1811" s="559" t="s">
        <v>71</v>
      </c>
      <c r="E1811" s="559" t="s">
        <v>96</v>
      </c>
      <c r="F1811" s="572">
        <v>0</v>
      </c>
      <c r="G1811" s="174"/>
    </row>
    <row r="1812" spans="1:7" x14ac:dyDescent="0.3">
      <c r="A1812" s="559" t="s">
        <v>77</v>
      </c>
      <c r="B1812" s="559">
        <v>2014</v>
      </c>
      <c r="C1812" s="559" t="s">
        <v>184</v>
      </c>
      <c r="D1812" s="559" t="s">
        <v>35</v>
      </c>
      <c r="E1812" s="559" t="s">
        <v>110</v>
      </c>
      <c r="F1812" s="572">
        <v>0</v>
      </c>
      <c r="G1812" s="174"/>
    </row>
    <row r="1813" spans="1:7" x14ac:dyDescent="0.3">
      <c r="A1813" s="559" t="s">
        <v>77</v>
      </c>
      <c r="B1813" s="559">
        <v>2014</v>
      </c>
      <c r="C1813" s="559" t="s">
        <v>185</v>
      </c>
      <c r="D1813" s="559" t="s">
        <v>35</v>
      </c>
      <c r="E1813" s="559" t="s">
        <v>101</v>
      </c>
      <c r="F1813" s="572">
        <v>1668531.325</v>
      </c>
      <c r="G1813" s="174"/>
    </row>
    <row r="1814" spans="1:7" x14ac:dyDescent="0.3">
      <c r="A1814" s="559" t="s">
        <v>77</v>
      </c>
      <c r="B1814" s="559">
        <v>2014</v>
      </c>
      <c r="C1814" s="559" t="s">
        <v>186</v>
      </c>
      <c r="D1814" s="559" t="s">
        <v>1</v>
      </c>
      <c r="E1814" s="559" t="s">
        <v>96</v>
      </c>
      <c r="F1814" s="559">
        <v>0</v>
      </c>
      <c r="G1814" s="174"/>
    </row>
    <row r="1815" spans="1:7" x14ac:dyDescent="0.3">
      <c r="A1815" s="559" t="s">
        <v>77</v>
      </c>
      <c r="B1815" s="559">
        <v>2014</v>
      </c>
      <c r="C1815" s="559" t="s">
        <v>187</v>
      </c>
      <c r="D1815" s="559" t="s">
        <v>71</v>
      </c>
      <c r="E1815" s="559" t="s">
        <v>96</v>
      </c>
      <c r="F1815" s="559">
        <v>0</v>
      </c>
      <c r="G1815" s="174"/>
    </row>
    <row r="1816" spans="1:7" x14ac:dyDescent="0.3">
      <c r="A1816" s="559" t="s">
        <v>77</v>
      </c>
      <c r="B1816" s="559">
        <v>2014</v>
      </c>
      <c r="C1816" s="559" t="s">
        <v>188</v>
      </c>
      <c r="D1816" s="559" t="s">
        <v>69</v>
      </c>
      <c r="E1816" s="559" t="s">
        <v>96</v>
      </c>
      <c r="F1816" s="559">
        <v>0</v>
      </c>
      <c r="G1816" s="174"/>
    </row>
    <row r="1817" spans="1:7" x14ac:dyDescent="0.3">
      <c r="A1817" s="559" t="s">
        <v>77</v>
      </c>
      <c r="B1817" s="559">
        <v>2014</v>
      </c>
      <c r="C1817" s="559" t="s">
        <v>188</v>
      </c>
      <c r="D1817" s="559" t="s">
        <v>73</v>
      </c>
      <c r="E1817" s="559" t="s">
        <v>96</v>
      </c>
      <c r="F1817" s="559">
        <v>0</v>
      </c>
      <c r="G1817" s="174"/>
    </row>
    <row r="1818" spans="1:7" x14ac:dyDescent="0.3">
      <c r="A1818" s="559" t="s">
        <v>77</v>
      </c>
      <c r="B1818" s="559">
        <v>2014</v>
      </c>
      <c r="C1818" s="559" t="s">
        <v>189</v>
      </c>
      <c r="D1818" s="559" t="s">
        <v>25</v>
      </c>
      <c r="E1818" s="559" t="s">
        <v>96</v>
      </c>
      <c r="F1818" s="559">
        <v>0</v>
      </c>
      <c r="G1818" s="174"/>
    </row>
    <row r="1819" spans="1:7" x14ac:dyDescent="0.3">
      <c r="A1819" s="559" t="s">
        <v>77</v>
      </c>
      <c r="B1819" s="559">
        <v>2014</v>
      </c>
      <c r="C1819" s="559" t="s">
        <v>190</v>
      </c>
      <c r="D1819" s="559" t="s">
        <v>25</v>
      </c>
      <c r="E1819" s="559" t="s">
        <v>96</v>
      </c>
      <c r="F1819" s="559">
        <v>0</v>
      </c>
      <c r="G1819" s="174"/>
    </row>
    <row r="1820" spans="1:7" x14ac:dyDescent="0.3">
      <c r="A1820" s="559" t="s">
        <v>77</v>
      </c>
      <c r="B1820" s="559">
        <v>2014</v>
      </c>
      <c r="C1820" s="559" t="s">
        <v>191</v>
      </c>
      <c r="D1820" s="559" t="s">
        <v>12</v>
      </c>
      <c r="E1820" s="559" t="s">
        <v>96</v>
      </c>
      <c r="F1820" s="559">
        <v>0</v>
      </c>
      <c r="G1820" s="174"/>
    </row>
    <row r="1821" spans="1:7" x14ac:dyDescent="0.3">
      <c r="A1821" s="559" t="s">
        <v>77</v>
      </c>
      <c r="B1821" s="559">
        <v>2014</v>
      </c>
      <c r="C1821" s="559" t="s">
        <v>192</v>
      </c>
      <c r="D1821" s="559" t="s">
        <v>22</v>
      </c>
      <c r="E1821" s="559" t="s">
        <v>756</v>
      </c>
      <c r="F1821" s="559">
        <v>354731.75599999999</v>
      </c>
      <c r="G1821" s="174"/>
    </row>
    <row r="1822" spans="1:7" x14ac:dyDescent="0.3">
      <c r="A1822" s="559" t="s">
        <v>77</v>
      </c>
      <c r="B1822" s="559">
        <v>2014</v>
      </c>
      <c r="C1822" s="559" t="s">
        <v>192</v>
      </c>
      <c r="D1822" s="559" t="s">
        <v>51</v>
      </c>
      <c r="E1822" s="559" t="s">
        <v>96</v>
      </c>
      <c r="F1822" s="559">
        <v>0</v>
      </c>
      <c r="G1822" s="174"/>
    </row>
    <row r="1823" spans="1:7" x14ac:dyDescent="0.3">
      <c r="A1823" s="559" t="s">
        <v>77</v>
      </c>
      <c r="B1823" s="559">
        <v>2014</v>
      </c>
      <c r="C1823" s="559" t="s">
        <v>193</v>
      </c>
      <c r="D1823" s="559" t="s">
        <v>11</v>
      </c>
      <c r="E1823" s="559" t="s">
        <v>96</v>
      </c>
      <c r="F1823" s="559">
        <v>765634.08400000003</v>
      </c>
      <c r="G1823" s="174"/>
    </row>
    <row r="1824" spans="1:7" x14ac:dyDescent="0.3">
      <c r="A1824" s="559" t="s">
        <v>77</v>
      </c>
      <c r="B1824" s="559">
        <v>2014</v>
      </c>
      <c r="C1824" s="559" t="s">
        <v>395</v>
      </c>
      <c r="D1824" s="559" t="s">
        <v>17</v>
      </c>
      <c r="E1824" s="559" t="s">
        <v>101</v>
      </c>
      <c r="F1824" s="559">
        <v>0</v>
      </c>
      <c r="G1824" s="174"/>
    </row>
    <row r="1825" spans="1:7" x14ac:dyDescent="0.3">
      <c r="A1825" s="559" t="s">
        <v>77</v>
      </c>
      <c r="B1825" s="559">
        <v>2014</v>
      </c>
      <c r="C1825" s="559" t="s">
        <v>194</v>
      </c>
      <c r="D1825" s="559" t="s">
        <v>25</v>
      </c>
      <c r="E1825" s="559" t="s">
        <v>96</v>
      </c>
      <c r="F1825" s="559">
        <v>0</v>
      </c>
      <c r="G1825" s="174"/>
    </row>
    <row r="1826" spans="1:7" x14ac:dyDescent="0.3">
      <c r="A1826" s="559" t="s">
        <v>77</v>
      </c>
      <c r="B1826" s="559">
        <v>2014</v>
      </c>
      <c r="C1826" s="559" t="s">
        <v>195</v>
      </c>
      <c r="D1826" s="559" t="s">
        <v>25</v>
      </c>
      <c r="E1826" s="559" t="s">
        <v>96</v>
      </c>
      <c r="F1826" s="559">
        <v>0</v>
      </c>
      <c r="G1826" s="174"/>
    </row>
    <row r="1827" spans="1:7" x14ac:dyDescent="0.3">
      <c r="A1827" s="559" t="s">
        <v>77</v>
      </c>
      <c r="B1827" s="559">
        <v>2014</v>
      </c>
      <c r="C1827" s="559" t="s">
        <v>196</v>
      </c>
      <c r="D1827" s="559" t="s">
        <v>19</v>
      </c>
      <c r="E1827" s="559" t="s">
        <v>96</v>
      </c>
      <c r="F1827" s="559">
        <v>0</v>
      </c>
      <c r="G1827" s="174"/>
    </row>
    <row r="1828" spans="1:7" x14ac:dyDescent="0.3">
      <c r="A1828" s="559" t="s">
        <v>77</v>
      </c>
      <c r="B1828" s="559">
        <v>2014</v>
      </c>
      <c r="C1828" s="559" t="s">
        <v>197</v>
      </c>
      <c r="D1828" s="559" t="s">
        <v>3</v>
      </c>
      <c r="E1828" s="559" t="s">
        <v>756</v>
      </c>
      <c r="F1828" s="559">
        <v>2668473.1690000002</v>
      </c>
      <c r="G1828" s="174"/>
    </row>
    <row r="1829" spans="1:7" x14ac:dyDescent="0.3">
      <c r="A1829" s="559" t="s">
        <v>77</v>
      </c>
      <c r="B1829" s="559">
        <v>2014</v>
      </c>
      <c r="C1829" s="559" t="s">
        <v>198</v>
      </c>
      <c r="D1829" s="559" t="s">
        <v>28</v>
      </c>
      <c r="E1829" s="559" t="s">
        <v>96</v>
      </c>
      <c r="F1829" s="559">
        <v>849579.69499999797</v>
      </c>
      <c r="G1829" s="174"/>
    </row>
    <row r="1830" spans="1:7" x14ac:dyDescent="0.3">
      <c r="A1830" s="559" t="s">
        <v>77</v>
      </c>
      <c r="B1830" s="559">
        <v>2014</v>
      </c>
      <c r="C1830" s="559" t="s">
        <v>199</v>
      </c>
      <c r="D1830" s="559" t="s">
        <v>28</v>
      </c>
      <c r="E1830" s="559" t="s">
        <v>96</v>
      </c>
      <c r="F1830" s="559">
        <v>764961.79299999902</v>
      </c>
      <c r="G1830" s="174"/>
    </row>
    <row r="1831" spans="1:7" x14ac:dyDescent="0.3">
      <c r="A1831" s="559" t="s">
        <v>77</v>
      </c>
      <c r="B1831" s="559">
        <v>2014</v>
      </c>
      <c r="C1831" s="559" t="s">
        <v>200</v>
      </c>
      <c r="D1831" s="559" t="s">
        <v>677</v>
      </c>
      <c r="E1831" s="559" t="s">
        <v>96</v>
      </c>
      <c r="F1831" s="559">
        <v>70436.354574279001</v>
      </c>
      <c r="G1831" s="174"/>
    </row>
    <row r="1832" spans="1:7" x14ac:dyDescent="0.3">
      <c r="A1832" s="559" t="s">
        <v>77</v>
      </c>
      <c r="B1832" s="559">
        <v>2014</v>
      </c>
      <c r="C1832" s="559" t="s">
        <v>200</v>
      </c>
      <c r="D1832" s="559" t="s">
        <v>34</v>
      </c>
      <c r="E1832" s="559" t="s">
        <v>96</v>
      </c>
      <c r="F1832" s="559">
        <v>2708821.0075236</v>
      </c>
      <c r="G1832" s="174"/>
    </row>
    <row r="1833" spans="1:7" x14ac:dyDescent="0.3">
      <c r="A1833" s="559" t="s">
        <v>77</v>
      </c>
      <c r="B1833" s="559">
        <v>2014</v>
      </c>
      <c r="C1833" s="559" t="s">
        <v>201</v>
      </c>
      <c r="D1833" s="559" t="s">
        <v>34</v>
      </c>
      <c r="E1833" s="559" t="s">
        <v>110</v>
      </c>
      <c r="F1833" s="559">
        <v>0</v>
      </c>
      <c r="G1833" s="174"/>
    </row>
    <row r="1834" spans="1:7" x14ac:dyDescent="0.3">
      <c r="A1834" s="559" t="s">
        <v>77</v>
      </c>
      <c r="B1834" s="559">
        <v>2014</v>
      </c>
      <c r="C1834" s="559" t="s">
        <v>202</v>
      </c>
      <c r="D1834" s="559" t="s">
        <v>33</v>
      </c>
      <c r="E1834" s="559" t="s">
        <v>101</v>
      </c>
      <c r="F1834" s="559">
        <v>0</v>
      </c>
      <c r="G1834" s="174"/>
    </row>
    <row r="1835" spans="1:7" x14ac:dyDescent="0.3">
      <c r="A1835" s="559" t="s">
        <v>77</v>
      </c>
      <c r="B1835" s="559">
        <v>2014</v>
      </c>
      <c r="C1835" s="559" t="s">
        <v>203</v>
      </c>
      <c r="D1835" s="559" t="s">
        <v>17</v>
      </c>
      <c r="E1835" s="559" t="s">
        <v>101</v>
      </c>
      <c r="F1835" s="559">
        <v>0</v>
      </c>
      <c r="G1835" s="174"/>
    </row>
    <row r="1836" spans="1:7" x14ac:dyDescent="0.3">
      <c r="A1836" s="559" t="s">
        <v>77</v>
      </c>
      <c r="B1836" s="559">
        <v>2014</v>
      </c>
      <c r="C1836" s="559" t="s">
        <v>204</v>
      </c>
      <c r="D1836" s="559" t="s">
        <v>28</v>
      </c>
      <c r="E1836" s="559" t="s">
        <v>96</v>
      </c>
      <c r="F1836" s="559">
        <v>2303032.03299999</v>
      </c>
      <c r="G1836" s="174"/>
    </row>
    <row r="1837" spans="1:7" x14ac:dyDescent="0.3">
      <c r="A1837" s="559" t="s">
        <v>77</v>
      </c>
      <c r="B1837" s="559">
        <v>2014</v>
      </c>
      <c r="C1837" s="559" t="s">
        <v>205</v>
      </c>
      <c r="D1837" s="559" t="s">
        <v>35</v>
      </c>
      <c r="E1837" s="559" t="s">
        <v>110</v>
      </c>
      <c r="F1837" s="559">
        <v>247679.68799999999</v>
      </c>
      <c r="G1837" s="174"/>
    </row>
    <row r="1838" spans="1:7" x14ac:dyDescent="0.3">
      <c r="A1838" s="559" t="s">
        <v>77</v>
      </c>
      <c r="B1838" s="559">
        <v>2014</v>
      </c>
      <c r="C1838" s="559" t="s">
        <v>205</v>
      </c>
      <c r="D1838" s="559" t="s">
        <v>41</v>
      </c>
      <c r="E1838" s="559" t="s">
        <v>96</v>
      </c>
      <c r="F1838" s="559">
        <v>0</v>
      </c>
      <c r="G1838" s="174"/>
    </row>
    <row r="1839" spans="1:7" x14ac:dyDescent="0.3">
      <c r="A1839" s="559" t="s">
        <v>77</v>
      </c>
      <c r="B1839" s="559">
        <v>2014</v>
      </c>
      <c r="C1839" s="559" t="s">
        <v>206</v>
      </c>
      <c r="D1839" s="559" t="s">
        <v>35</v>
      </c>
      <c r="E1839" s="559" t="s">
        <v>101</v>
      </c>
      <c r="F1839" s="572">
        <v>585836.126999998</v>
      </c>
      <c r="G1839" s="174"/>
    </row>
    <row r="1840" spans="1:7" x14ac:dyDescent="0.3">
      <c r="A1840" s="559" t="s">
        <v>77</v>
      </c>
      <c r="B1840" s="559">
        <v>2014</v>
      </c>
      <c r="C1840" s="559" t="s">
        <v>207</v>
      </c>
      <c r="D1840" s="559" t="s">
        <v>40</v>
      </c>
      <c r="E1840" s="559" t="s">
        <v>96</v>
      </c>
      <c r="F1840" s="572">
        <v>1794374.821</v>
      </c>
      <c r="G1840" s="174"/>
    </row>
    <row r="1841" spans="1:7" x14ac:dyDescent="0.3">
      <c r="A1841" s="559" t="s">
        <v>77</v>
      </c>
      <c r="B1841" s="559">
        <v>2014</v>
      </c>
      <c r="C1841" s="559" t="s">
        <v>208</v>
      </c>
      <c r="D1841" s="559" t="s">
        <v>47</v>
      </c>
      <c r="E1841" s="559" t="s">
        <v>96</v>
      </c>
      <c r="F1841" s="572">
        <v>137521.64599999899</v>
      </c>
      <c r="G1841" s="174"/>
    </row>
    <row r="1842" spans="1:7" x14ac:dyDescent="0.3">
      <c r="A1842" s="559" t="s">
        <v>77</v>
      </c>
      <c r="B1842" s="559">
        <v>2014</v>
      </c>
      <c r="C1842" s="559" t="s">
        <v>209</v>
      </c>
      <c r="D1842" s="559" t="s">
        <v>47</v>
      </c>
      <c r="E1842" s="559" t="s">
        <v>96</v>
      </c>
      <c r="F1842" s="572">
        <v>142109.071</v>
      </c>
      <c r="G1842" s="174"/>
    </row>
    <row r="1843" spans="1:7" x14ac:dyDescent="0.3">
      <c r="A1843" s="559" t="s">
        <v>77</v>
      </c>
      <c r="B1843" s="559">
        <v>2014</v>
      </c>
      <c r="C1843" s="559" t="s">
        <v>210</v>
      </c>
      <c r="D1843" s="559" t="s">
        <v>28</v>
      </c>
      <c r="E1843" s="559" t="s">
        <v>96</v>
      </c>
      <c r="F1843" s="572">
        <v>2701231.3629999999</v>
      </c>
      <c r="G1843" s="174"/>
    </row>
    <row r="1844" spans="1:7" x14ac:dyDescent="0.3">
      <c r="A1844" s="559" t="s">
        <v>77</v>
      </c>
      <c r="B1844" s="559">
        <v>2014</v>
      </c>
      <c r="C1844" s="559" t="s">
        <v>211</v>
      </c>
      <c r="D1844" s="559" t="s">
        <v>35</v>
      </c>
      <c r="E1844" s="559" t="s">
        <v>110</v>
      </c>
      <c r="F1844" s="572">
        <v>0</v>
      </c>
      <c r="G1844" s="174"/>
    </row>
    <row r="1845" spans="1:7" x14ac:dyDescent="0.3">
      <c r="A1845" s="559" t="s">
        <v>77</v>
      </c>
      <c r="B1845" s="559">
        <v>2014</v>
      </c>
      <c r="C1845" s="559" t="s">
        <v>212</v>
      </c>
      <c r="D1845" s="559" t="s">
        <v>14</v>
      </c>
      <c r="E1845" s="559" t="s">
        <v>101</v>
      </c>
      <c r="F1845" s="572">
        <v>73542964.504999995</v>
      </c>
      <c r="G1845" s="174"/>
    </row>
    <row r="1846" spans="1:7" x14ac:dyDescent="0.3">
      <c r="A1846" s="559" t="s">
        <v>77</v>
      </c>
      <c r="B1846" s="559">
        <v>2014</v>
      </c>
      <c r="C1846" s="559" t="s">
        <v>213</v>
      </c>
      <c r="D1846" s="559" t="s">
        <v>72</v>
      </c>
      <c r="E1846" s="559" t="s">
        <v>110</v>
      </c>
      <c r="F1846" s="572">
        <v>0</v>
      </c>
      <c r="G1846" s="174"/>
    </row>
    <row r="1847" spans="1:7" x14ac:dyDescent="0.3">
      <c r="A1847" s="559" t="s">
        <v>77</v>
      </c>
      <c r="B1847" s="559">
        <v>2014</v>
      </c>
      <c r="C1847" s="559" t="s">
        <v>213</v>
      </c>
      <c r="D1847" s="559" t="s">
        <v>103</v>
      </c>
      <c r="E1847" s="559" t="s">
        <v>96</v>
      </c>
      <c r="F1847" s="572">
        <v>267.18400000000003</v>
      </c>
      <c r="G1847" s="174"/>
    </row>
    <row r="1848" spans="1:7" x14ac:dyDescent="0.3">
      <c r="A1848" s="559" t="s">
        <v>77</v>
      </c>
      <c r="B1848" s="559">
        <v>2014</v>
      </c>
      <c r="C1848" s="559" t="s">
        <v>214</v>
      </c>
      <c r="D1848" s="559" t="s">
        <v>33</v>
      </c>
      <c r="E1848" s="559" t="s">
        <v>101</v>
      </c>
      <c r="F1848" s="572">
        <v>0</v>
      </c>
      <c r="G1848" s="174"/>
    </row>
    <row r="1849" spans="1:7" x14ac:dyDescent="0.3">
      <c r="A1849" s="559" t="s">
        <v>77</v>
      </c>
      <c r="B1849" s="559">
        <v>2014</v>
      </c>
      <c r="C1849" s="559" t="s">
        <v>215</v>
      </c>
      <c r="D1849" s="559" t="s">
        <v>35</v>
      </c>
      <c r="E1849" s="559" t="s">
        <v>101</v>
      </c>
      <c r="F1849" s="572">
        <v>0</v>
      </c>
      <c r="G1849" s="174"/>
    </row>
    <row r="1850" spans="1:7" x14ac:dyDescent="0.3">
      <c r="A1850" s="559" t="s">
        <v>77</v>
      </c>
      <c r="B1850" s="559">
        <v>2014</v>
      </c>
      <c r="C1850" s="559" t="s">
        <v>216</v>
      </c>
      <c r="D1850" s="559" t="s">
        <v>35</v>
      </c>
      <c r="E1850" s="559" t="s">
        <v>101</v>
      </c>
      <c r="F1850" s="572">
        <v>0</v>
      </c>
      <c r="G1850" s="174"/>
    </row>
    <row r="1851" spans="1:7" x14ac:dyDescent="0.3">
      <c r="A1851" s="559" t="s">
        <v>77</v>
      </c>
      <c r="B1851" s="559">
        <v>2014</v>
      </c>
      <c r="C1851" s="559" t="s">
        <v>217</v>
      </c>
      <c r="D1851" s="559" t="s">
        <v>19</v>
      </c>
      <c r="E1851" s="559" t="s">
        <v>96</v>
      </c>
      <c r="F1851" s="572">
        <v>0</v>
      </c>
      <c r="G1851" s="174"/>
    </row>
    <row r="1852" spans="1:7" x14ac:dyDescent="0.3">
      <c r="A1852" s="559" t="s">
        <v>77</v>
      </c>
      <c r="B1852" s="559">
        <v>2014</v>
      </c>
      <c r="C1852" s="559" t="s">
        <v>218</v>
      </c>
      <c r="D1852" s="559" t="s">
        <v>39</v>
      </c>
      <c r="E1852" s="559" t="s">
        <v>96</v>
      </c>
      <c r="F1852" s="572">
        <v>2.3E-2</v>
      </c>
      <c r="G1852" s="174"/>
    </row>
    <row r="1853" spans="1:7" x14ac:dyDescent="0.3">
      <c r="A1853" s="559" t="s">
        <v>77</v>
      </c>
      <c r="B1853" s="559">
        <v>2014</v>
      </c>
      <c r="C1853" s="559" t="s">
        <v>219</v>
      </c>
      <c r="D1853" s="559" t="s">
        <v>28</v>
      </c>
      <c r="E1853" s="559" t="s">
        <v>96</v>
      </c>
      <c r="F1853" s="572">
        <v>576608.928000001</v>
      </c>
      <c r="G1853" s="174"/>
    </row>
    <row r="1854" spans="1:7" x14ac:dyDescent="0.3">
      <c r="A1854" s="559" t="s">
        <v>77</v>
      </c>
      <c r="B1854" s="559">
        <v>2014</v>
      </c>
      <c r="C1854" s="559" t="s">
        <v>220</v>
      </c>
      <c r="D1854" s="559" t="s">
        <v>8</v>
      </c>
      <c r="E1854" s="559" t="s">
        <v>96</v>
      </c>
      <c r="F1854" s="572">
        <v>1880270.4550000001</v>
      </c>
      <c r="G1854" s="174"/>
    </row>
    <row r="1855" spans="1:7" x14ac:dyDescent="0.3">
      <c r="A1855" s="559" t="s">
        <v>77</v>
      </c>
      <c r="B1855" s="559">
        <v>2014</v>
      </c>
      <c r="C1855" s="559" t="s">
        <v>221</v>
      </c>
      <c r="D1855" s="559" t="s">
        <v>33</v>
      </c>
      <c r="E1855" s="559" t="s">
        <v>101</v>
      </c>
      <c r="F1855" s="572">
        <v>0</v>
      </c>
      <c r="G1855" s="174"/>
    </row>
    <row r="1856" spans="1:7" x14ac:dyDescent="0.3">
      <c r="A1856" s="559" t="s">
        <v>77</v>
      </c>
      <c r="B1856" s="559">
        <v>2014</v>
      </c>
      <c r="C1856" s="559" t="s">
        <v>222</v>
      </c>
      <c r="D1856" s="559" t="s">
        <v>33</v>
      </c>
      <c r="E1856" s="559" t="s">
        <v>96</v>
      </c>
      <c r="F1856" s="572">
        <v>10818.189</v>
      </c>
      <c r="G1856" s="174"/>
    </row>
    <row r="1857" spans="1:7" x14ac:dyDescent="0.3">
      <c r="A1857" s="559" t="s">
        <v>77</v>
      </c>
      <c r="B1857" s="559">
        <v>2014</v>
      </c>
      <c r="C1857" s="559" t="s">
        <v>223</v>
      </c>
      <c r="D1857" s="559" t="s">
        <v>33</v>
      </c>
      <c r="E1857" s="559" t="s">
        <v>101</v>
      </c>
      <c r="F1857" s="572">
        <v>0</v>
      </c>
      <c r="G1857" s="174"/>
    </row>
    <row r="1858" spans="1:7" x14ac:dyDescent="0.3">
      <c r="A1858" s="559" t="s">
        <v>77</v>
      </c>
      <c r="B1858" s="559">
        <v>2014</v>
      </c>
      <c r="C1858" s="559" t="s">
        <v>224</v>
      </c>
      <c r="D1858" s="559" t="s">
        <v>40</v>
      </c>
      <c r="E1858" s="559" t="s">
        <v>96</v>
      </c>
      <c r="F1858" s="572">
        <v>1377474.86799999</v>
      </c>
      <c r="G1858" s="174"/>
    </row>
    <row r="1859" spans="1:7" x14ac:dyDescent="0.3">
      <c r="A1859" s="559" t="s">
        <v>77</v>
      </c>
      <c r="B1859" s="559">
        <v>2014</v>
      </c>
      <c r="C1859" s="559" t="s">
        <v>225</v>
      </c>
      <c r="D1859" s="559" t="s">
        <v>40</v>
      </c>
      <c r="E1859" s="559" t="s">
        <v>96</v>
      </c>
      <c r="F1859" s="572">
        <v>1684291.0689999999</v>
      </c>
      <c r="G1859" s="174"/>
    </row>
    <row r="1860" spans="1:7" x14ac:dyDescent="0.3">
      <c r="A1860" s="559" t="s">
        <v>77</v>
      </c>
      <c r="B1860" s="559">
        <v>2014</v>
      </c>
      <c r="C1860" s="559" t="s">
        <v>226</v>
      </c>
      <c r="D1860" s="559" t="s">
        <v>37</v>
      </c>
      <c r="E1860" s="559" t="s">
        <v>96</v>
      </c>
      <c r="F1860" s="572">
        <v>5734704.1339999801</v>
      </c>
      <c r="G1860" s="174"/>
    </row>
    <row r="1861" spans="1:7" x14ac:dyDescent="0.3">
      <c r="A1861" s="559" t="s">
        <v>77</v>
      </c>
      <c r="B1861" s="559">
        <v>2014</v>
      </c>
      <c r="C1861" s="559" t="s">
        <v>227</v>
      </c>
      <c r="D1861" s="559" t="s">
        <v>48</v>
      </c>
      <c r="E1861" s="559" t="s">
        <v>96</v>
      </c>
      <c r="F1861" s="572">
        <v>1995849.63799999</v>
      </c>
      <c r="G1861" s="174"/>
    </row>
    <row r="1862" spans="1:7" x14ac:dyDescent="0.3">
      <c r="A1862" s="559" t="s">
        <v>77</v>
      </c>
      <c r="B1862" s="559">
        <v>2014</v>
      </c>
      <c r="C1862" s="559" t="s">
        <v>228</v>
      </c>
      <c r="D1862" s="559" t="s">
        <v>15</v>
      </c>
      <c r="E1862" s="559" t="s">
        <v>96</v>
      </c>
      <c r="F1862" s="572">
        <v>419059.98400000099</v>
      </c>
      <c r="G1862" s="174"/>
    </row>
    <row r="1863" spans="1:7" x14ac:dyDescent="0.3">
      <c r="A1863" s="559" t="s">
        <v>77</v>
      </c>
      <c r="B1863" s="559">
        <v>2014</v>
      </c>
      <c r="C1863" s="559" t="s">
        <v>229</v>
      </c>
      <c r="D1863" s="559" t="s">
        <v>23</v>
      </c>
      <c r="E1863" s="559" t="s">
        <v>96</v>
      </c>
      <c r="F1863" s="559">
        <v>6083271.0830000201</v>
      </c>
      <c r="G1863" s="174"/>
    </row>
    <row r="1864" spans="1:7" x14ac:dyDescent="0.3">
      <c r="A1864" s="559" t="s">
        <v>77</v>
      </c>
      <c r="B1864" s="559">
        <v>2014</v>
      </c>
      <c r="C1864" s="559" t="s">
        <v>230</v>
      </c>
      <c r="D1864" s="559" t="s">
        <v>28</v>
      </c>
      <c r="E1864" s="559" t="s">
        <v>96</v>
      </c>
      <c r="F1864" s="559">
        <v>2385643.0090000099</v>
      </c>
      <c r="G1864" s="174"/>
    </row>
    <row r="1865" spans="1:7" x14ac:dyDescent="0.3">
      <c r="A1865" s="559" t="s">
        <v>77</v>
      </c>
      <c r="B1865" s="559">
        <v>2014</v>
      </c>
      <c r="C1865" s="559" t="s">
        <v>231</v>
      </c>
      <c r="D1865" s="559" t="s">
        <v>17</v>
      </c>
      <c r="E1865" s="559" t="s">
        <v>101</v>
      </c>
      <c r="F1865" s="559">
        <v>0</v>
      </c>
      <c r="G1865" s="174"/>
    </row>
    <row r="1866" spans="1:7" x14ac:dyDescent="0.3">
      <c r="A1866" s="559" t="s">
        <v>77</v>
      </c>
      <c r="B1866" s="559">
        <v>2014</v>
      </c>
      <c r="C1866" s="559" t="s">
        <v>232</v>
      </c>
      <c r="D1866" s="559" t="s">
        <v>28</v>
      </c>
      <c r="E1866" s="559" t="s">
        <v>96</v>
      </c>
      <c r="F1866" s="559">
        <v>3074192.4950000001</v>
      </c>
      <c r="G1866" s="174"/>
    </row>
    <row r="1867" spans="1:7" x14ac:dyDescent="0.3">
      <c r="A1867" s="559" t="s">
        <v>77</v>
      </c>
      <c r="B1867" s="559">
        <v>2014</v>
      </c>
      <c r="C1867" s="559" t="s">
        <v>233</v>
      </c>
      <c r="D1867" s="559" t="s">
        <v>28</v>
      </c>
      <c r="E1867" s="559" t="s">
        <v>96</v>
      </c>
      <c r="F1867" s="559">
        <v>855095.90799999796</v>
      </c>
      <c r="G1867" s="174"/>
    </row>
    <row r="1868" spans="1:7" x14ac:dyDescent="0.3">
      <c r="A1868" s="559" t="s">
        <v>77</v>
      </c>
      <c r="B1868" s="559">
        <v>2014</v>
      </c>
      <c r="C1868" s="559" t="s">
        <v>234</v>
      </c>
      <c r="D1868" s="559" t="s">
        <v>23</v>
      </c>
      <c r="E1868" s="559" t="s">
        <v>96</v>
      </c>
      <c r="F1868" s="559">
        <v>987498.13199999998</v>
      </c>
      <c r="G1868" s="174"/>
    </row>
    <row r="1869" spans="1:7" x14ac:dyDescent="0.3">
      <c r="A1869" s="559" t="s">
        <v>77</v>
      </c>
      <c r="B1869" s="559">
        <v>2014</v>
      </c>
      <c r="C1869" s="559" t="s">
        <v>235</v>
      </c>
      <c r="D1869" s="559" t="s">
        <v>28</v>
      </c>
      <c r="E1869" s="559" t="s">
        <v>96</v>
      </c>
      <c r="F1869" s="559">
        <v>362485.96</v>
      </c>
      <c r="G1869" s="174"/>
    </row>
    <row r="1870" spans="1:7" x14ac:dyDescent="0.3">
      <c r="A1870" s="559" t="s">
        <v>77</v>
      </c>
      <c r="B1870" s="559">
        <v>2014</v>
      </c>
      <c r="C1870" s="559" t="s">
        <v>236</v>
      </c>
      <c r="D1870" s="559" t="s">
        <v>51</v>
      </c>
      <c r="E1870" s="559" t="s">
        <v>96</v>
      </c>
      <c r="F1870" s="559">
        <v>1584.7849999999901</v>
      </c>
      <c r="G1870" s="174"/>
    </row>
    <row r="1871" spans="1:7" x14ac:dyDescent="0.3">
      <c r="A1871" s="559" t="s">
        <v>77</v>
      </c>
      <c r="B1871" s="559">
        <v>2014</v>
      </c>
      <c r="C1871" s="559" t="s">
        <v>237</v>
      </c>
      <c r="D1871" s="559" t="s">
        <v>18</v>
      </c>
      <c r="E1871" s="559" t="s">
        <v>101</v>
      </c>
      <c r="F1871" s="559">
        <v>0</v>
      </c>
      <c r="G1871" s="174"/>
    </row>
    <row r="1872" spans="1:7" x14ac:dyDescent="0.3">
      <c r="A1872" s="559" t="s">
        <v>77</v>
      </c>
      <c r="B1872" s="559">
        <v>2014</v>
      </c>
      <c r="C1872" s="559" t="s">
        <v>238</v>
      </c>
      <c r="D1872" s="559" t="s">
        <v>17</v>
      </c>
      <c r="E1872" s="559" t="s">
        <v>96</v>
      </c>
      <c r="F1872" s="559">
        <v>475.56900000000002</v>
      </c>
      <c r="G1872" s="174"/>
    </row>
    <row r="1873" spans="1:7" x14ac:dyDescent="0.3">
      <c r="A1873" s="559" t="s">
        <v>77</v>
      </c>
      <c r="B1873" s="559">
        <v>2014</v>
      </c>
      <c r="C1873" s="559" t="s">
        <v>239</v>
      </c>
      <c r="D1873" s="559" t="s">
        <v>21</v>
      </c>
      <c r="E1873" s="559" t="s">
        <v>101</v>
      </c>
      <c r="F1873" s="559">
        <v>0</v>
      </c>
      <c r="G1873" s="174"/>
    </row>
    <row r="1874" spans="1:7" x14ac:dyDescent="0.3">
      <c r="A1874" s="559" t="s">
        <v>77</v>
      </c>
      <c r="B1874" s="559">
        <v>2014</v>
      </c>
      <c r="C1874" s="559" t="s">
        <v>240</v>
      </c>
      <c r="D1874" s="559" t="s">
        <v>73</v>
      </c>
      <c r="E1874" s="559" t="s">
        <v>96</v>
      </c>
      <c r="F1874" s="559">
        <v>0</v>
      </c>
      <c r="G1874" s="174"/>
    </row>
    <row r="1875" spans="1:7" x14ac:dyDescent="0.3">
      <c r="A1875" s="559" t="s">
        <v>77</v>
      </c>
      <c r="B1875" s="559">
        <v>2014</v>
      </c>
      <c r="C1875" s="559" t="s">
        <v>241</v>
      </c>
      <c r="D1875" s="559" t="s">
        <v>14</v>
      </c>
      <c r="E1875" s="559" t="s">
        <v>110</v>
      </c>
      <c r="F1875" s="559">
        <v>2202034.9599999902</v>
      </c>
      <c r="G1875" s="174"/>
    </row>
    <row r="1876" spans="1:7" x14ac:dyDescent="0.3">
      <c r="A1876" s="559" t="s">
        <v>77</v>
      </c>
      <c r="B1876" s="559">
        <v>2014</v>
      </c>
      <c r="C1876" s="559" t="s">
        <v>242</v>
      </c>
      <c r="D1876" s="559" t="s">
        <v>32</v>
      </c>
      <c r="E1876" s="559" t="s">
        <v>96</v>
      </c>
      <c r="F1876" s="559">
        <v>186632.61600000001</v>
      </c>
      <c r="G1876" s="174"/>
    </row>
    <row r="1877" spans="1:7" x14ac:dyDescent="0.3">
      <c r="A1877" s="559" t="s">
        <v>77</v>
      </c>
      <c r="B1877" s="559">
        <v>2014</v>
      </c>
      <c r="C1877" s="559" t="s">
        <v>243</v>
      </c>
      <c r="D1877" s="559" t="s">
        <v>51</v>
      </c>
      <c r="E1877" s="559" t="s">
        <v>96</v>
      </c>
      <c r="F1877" s="559">
        <v>19529.471357417398</v>
      </c>
      <c r="G1877" s="174"/>
    </row>
    <row r="1878" spans="1:7" x14ac:dyDescent="0.3">
      <c r="A1878" s="559" t="s">
        <v>77</v>
      </c>
      <c r="B1878" s="559">
        <v>2014</v>
      </c>
      <c r="C1878" s="559" t="s">
        <v>243</v>
      </c>
      <c r="D1878" s="559" t="s">
        <v>28</v>
      </c>
      <c r="E1878" s="559" t="s">
        <v>96</v>
      </c>
      <c r="F1878" s="559">
        <v>866790.60664258699</v>
      </c>
      <c r="G1878" s="174"/>
    </row>
    <row r="1879" spans="1:7" x14ac:dyDescent="0.3">
      <c r="A1879" s="559" t="s">
        <v>77</v>
      </c>
      <c r="B1879" s="559">
        <v>2014</v>
      </c>
      <c r="C1879" s="559" t="s">
        <v>244</v>
      </c>
      <c r="D1879" s="559" t="s">
        <v>71</v>
      </c>
      <c r="E1879" s="559" t="s">
        <v>96</v>
      </c>
      <c r="F1879" s="559">
        <v>0</v>
      </c>
      <c r="G1879" s="174"/>
    </row>
    <row r="1880" spans="1:7" x14ac:dyDescent="0.3">
      <c r="A1880" s="559" t="s">
        <v>77</v>
      </c>
      <c r="B1880" s="559">
        <v>2014</v>
      </c>
      <c r="C1880" s="559" t="s">
        <v>245</v>
      </c>
      <c r="D1880" s="559" t="s">
        <v>35</v>
      </c>
      <c r="E1880" s="559" t="s">
        <v>101</v>
      </c>
      <c r="F1880" s="559">
        <v>1290066.2149999901</v>
      </c>
      <c r="G1880" s="174"/>
    </row>
    <row r="1881" spans="1:7" x14ac:dyDescent="0.3">
      <c r="A1881" s="559" t="s">
        <v>77</v>
      </c>
      <c r="B1881" s="559">
        <v>2014</v>
      </c>
      <c r="C1881" s="559" t="s">
        <v>246</v>
      </c>
      <c r="D1881" s="559" t="s">
        <v>20</v>
      </c>
      <c r="E1881" s="559" t="s">
        <v>96</v>
      </c>
      <c r="F1881" s="559">
        <v>0</v>
      </c>
      <c r="G1881" s="174"/>
    </row>
    <row r="1882" spans="1:7" x14ac:dyDescent="0.3">
      <c r="A1882" s="559" t="s">
        <v>77</v>
      </c>
      <c r="B1882" s="559">
        <v>2014</v>
      </c>
      <c r="C1882" s="559" t="s">
        <v>247</v>
      </c>
      <c r="D1882" s="559" t="s">
        <v>14</v>
      </c>
      <c r="E1882" s="559" t="s">
        <v>101</v>
      </c>
      <c r="F1882" s="559">
        <v>24019598.213999901</v>
      </c>
      <c r="G1882" s="174"/>
    </row>
    <row r="1883" spans="1:7" x14ac:dyDescent="0.3">
      <c r="A1883" s="559" t="s">
        <v>77</v>
      </c>
      <c r="B1883" s="559">
        <v>2014</v>
      </c>
      <c r="C1883" s="559" t="s">
        <v>248</v>
      </c>
      <c r="D1883" s="559" t="s">
        <v>14</v>
      </c>
      <c r="E1883" s="559" t="s">
        <v>101</v>
      </c>
      <c r="F1883" s="559">
        <v>20096908.213999901</v>
      </c>
      <c r="G1883" s="174"/>
    </row>
    <row r="1884" spans="1:7" x14ac:dyDescent="0.3">
      <c r="A1884" s="559" t="s">
        <v>77</v>
      </c>
      <c r="B1884" s="559">
        <v>2014</v>
      </c>
      <c r="C1884" s="559" t="s">
        <v>249</v>
      </c>
      <c r="D1884" s="559" t="s">
        <v>14</v>
      </c>
      <c r="E1884" s="559" t="s">
        <v>101</v>
      </c>
      <c r="F1884" s="559">
        <v>19777556.495000001</v>
      </c>
      <c r="G1884" s="174"/>
    </row>
    <row r="1885" spans="1:7" x14ac:dyDescent="0.3">
      <c r="A1885" s="559" t="s">
        <v>77</v>
      </c>
      <c r="B1885" s="559">
        <v>2014</v>
      </c>
      <c r="C1885" s="559" t="s">
        <v>250</v>
      </c>
      <c r="D1885" s="559" t="s">
        <v>17</v>
      </c>
      <c r="E1885" s="559" t="s">
        <v>101</v>
      </c>
      <c r="F1885" s="559">
        <v>0</v>
      </c>
      <c r="G1885" s="174"/>
    </row>
    <row r="1886" spans="1:7" x14ac:dyDescent="0.3">
      <c r="A1886" s="559" t="s">
        <v>77</v>
      </c>
      <c r="B1886" s="559">
        <v>2014</v>
      </c>
      <c r="C1886" s="559" t="s">
        <v>251</v>
      </c>
      <c r="D1886" s="559" t="s">
        <v>4</v>
      </c>
      <c r="E1886" s="559" t="s">
        <v>101</v>
      </c>
      <c r="F1886" s="559">
        <v>0</v>
      </c>
      <c r="G1886" s="174"/>
    </row>
    <row r="1887" spans="1:7" x14ac:dyDescent="0.3">
      <c r="A1887" s="559" t="s">
        <v>77</v>
      </c>
      <c r="B1887" s="559">
        <v>2014</v>
      </c>
      <c r="C1887" s="559" t="s">
        <v>252</v>
      </c>
      <c r="D1887" s="559" t="s">
        <v>28</v>
      </c>
      <c r="E1887" s="559" t="s">
        <v>96</v>
      </c>
      <c r="F1887" s="559">
        <v>114745.425615599</v>
      </c>
      <c r="G1887" s="174"/>
    </row>
    <row r="1888" spans="1:7" x14ac:dyDescent="0.3">
      <c r="A1888" s="559" t="s">
        <v>77</v>
      </c>
      <c r="B1888" s="559">
        <v>2014</v>
      </c>
      <c r="C1888" s="559" t="s">
        <v>252</v>
      </c>
      <c r="D1888" s="559" t="s">
        <v>32</v>
      </c>
      <c r="E1888" s="559" t="s">
        <v>96</v>
      </c>
      <c r="F1888" s="559">
        <v>202942.92584586801</v>
      </c>
      <c r="G1888" s="174"/>
    </row>
    <row r="1889" spans="1:7" x14ac:dyDescent="0.3">
      <c r="A1889" s="559" t="s">
        <v>77</v>
      </c>
      <c r="B1889" s="559">
        <v>2014</v>
      </c>
      <c r="C1889" s="559" t="s">
        <v>253</v>
      </c>
      <c r="D1889" s="559" t="s">
        <v>32</v>
      </c>
      <c r="E1889" s="559" t="s">
        <v>96</v>
      </c>
      <c r="F1889" s="559">
        <v>90671.374000000098</v>
      </c>
      <c r="G1889" s="174"/>
    </row>
    <row r="1890" spans="1:7" x14ac:dyDescent="0.3">
      <c r="A1890" s="559" t="s">
        <v>77</v>
      </c>
      <c r="B1890" s="559">
        <v>2014</v>
      </c>
      <c r="C1890" s="559" t="s">
        <v>254</v>
      </c>
      <c r="D1890" s="559" t="s">
        <v>28</v>
      </c>
      <c r="E1890" s="559" t="s">
        <v>96</v>
      </c>
      <c r="F1890" s="559">
        <v>427214.288999999</v>
      </c>
      <c r="G1890" s="174"/>
    </row>
    <row r="1891" spans="1:7" x14ac:dyDescent="0.3">
      <c r="A1891" s="559" t="s">
        <v>77</v>
      </c>
      <c r="B1891" s="559">
        <v>2014</v>
      </c>
      <c r="C1891" s="559" t="s">
        <v>678</v>
      </c>
      <c r="D1891" s="559" t="s">
        <v>2</v>
      </c>
      <c r="E1891" s="559" t="s">
        <v>96</v>
      </c>
      <c r="F1891" s="559">
        <v>0</v>
      </c>
      <c r="G1891" s="174"/>
    </row>
    <row r="1892" spans="1:7" x14ac:dyDescent="0.3">
      <c r="A1892" s="559" t="s">
        <v>77</v>
      </c>
      <c r="B1892" s="559">
        <v>2014</v>
      </c>
      <c r="C1892" s="559" t="s">
        <v>257</v>
      </c>
      <c r="D1892" s="559" t="s">
        <v>4</v>
      </c>
      <c r="E1892" s="559" t="s">
        <v>96</v>
      </c>
      <c r="F1892" s="559">
        <v>71511.357895460795</v>
      </c>
      <c r="G1892" s="174"/>
    </row>
    <row r="1893" spans="1:7" x14ac:dyDescent="0.3">
      <c r="A1893" s="559" t="s">
        <v>77</v>
      </c>
      <c r="B1893" s="559">
        <v>2014</v>
      </c>
      <c r="C1893" s="559" t="s">
        <v>257</v>
      </c>
      <c r="D1893" s="559" t="s">
        <v>37</v>
      </c>
      <c r="E1893" s="559" t="s">
        <v>96</v>
      </c>
      <c r="F1893" s="559">
        <v>3394405.7881045402</v>
      </c>
      <c r="G1893" s="174"/>
    </row>
    <row r="1894" spans="1:7" x14ac:dyDescent="0.3">
      <c r="A1894" s="559" t="s">
        <v>77</v>
      </c>
      <c r="B1894" s="559">
        <v>2014</v>
      </c>
      <c r="C1894" s="559" t="s">
        <v>258</v>
      </c>
      <c r="D1894" s="559" t="s">
        <v>41</v>
      </c>
      <c r="E1894" s="559" t="s">
        <v>96</v>
      </c>
      <c r="F1894" s="559">
        <v>0</v>
      </c>
      <c r="G1894" s="174"/>
    </row>
    <row r="1895" spans="1:7" x14ac:dyDescent="0.3">
      <c r="A1895" s="559" t="s">
        <v>77</v>
      </c>
      <c r="B1895" s="559">
        <v>2014</v>
      </c>
      <c r="C1895" s="559" t="s">
        <v>259</v>
      </c>
      <c r="D1895" s="559" t="s">
        <v>36</v>
      </c>
      <c r="E1895" s="559" t="s">
        <v>96</v>
      </c>
      <c r="F1895" s="559">
        <v>625988.58200000098</v>
      </c>
      <c r="G1895" s="174"/>
    </row>
    <row r="1896" spans="1:7" x14ac:dyDescent="0.3">
      <c r="A1896" s="559" t="s">
        <v>77</v>
      </c>
      <c r="B1896" s="559">
        <v>2014</v>
      </c>
      <c r="C1896" s="559" t="s">
        <v>260</v>
      </c>
      <c r="D1896" s="559" t="s">
        <v>37</v>
      </c>
      <c r="E1896" s="559" t="s">
        <v>96</v>
      </c>
      <c r="F1896" s="559">
        <v>6811376.5359999696</v>
      </c>
      <c r="G1896" s="174"/>
    </row>
    <row r="1897" spans="1:7" x14ac:dyDescent="0.3">
      <c r="A1897" s="559" t="s">
        <v>77</v>
      </c>
      <c r="B1897" s="559">
        <v>2014</v>
      </c>
      <c r="C1897" s="559" t="s">
        <v>261</v>
      </c>
      <c r="D1897" s="559" t="s">
        <v>28</v>
      </c>
      <c r="E1897" s="559" t="s">
        <v>96</v>
      </c>
      <c r="F1897" s="559">
        <v>1462448.996</v>
      </c>
      <c r="G1897" s="174"/>
    </row>
    <row r="1898" spans="1:7" x14ac:dyDescent="0.3">
      <c r="A1898" s="559" t="s">
        <v>77</v>
      </c>
      <c r="B1898" s="559">
        <v>2014</v>
      </c>
      <c r="C1898" s="559" t="s">
        <v>262</v>
      </c>
      <c r="D1898" s="559" t="s">
        <v>37</v>
      </c>
      <c r="E1898" s="559" t="s">
        <v>96</v>
      </c>
      <c r="F1898" s="559">
        <v>2430996.2679999899</v>
      </c>
      <c r="G1898" s="174"/>
    </row>
    <row r="1899" spans="1:7" x14ac:dyDescent="0.3">
      <c r="A1899" s="559" t="s">
        <v>77</v>
      </c>
      <c r="B1899" s="559">
        <v>2014</v>
      </c>
      <c r="C1899" s="559" t="s">
        <v>263</v>
      </c>
      <c r="D1899" s="559" t="s">
        <v>49</v>
      </c>
      <c r="E1899" s="559" t="s">
        <v>96</v>
      </c>
      <c r="F1899" s="559">
        <v>97.102999999999994</v>
      </c>
      <c r="G1899" s="174"/>
    </row>
    <row r="1900" spans="1:7" x14ac:dyDescent="0.3">
      <c r="A1900" s="559" t="s">
        <v>77</v>
      </c>
      <c r="B1900" s="559">
        <v>2014</v>
      </c>
      <c r="C1900" s="559" t="s">
        <v>264</v>
      </c>
      <c r="D1900" s="559" t="s">
        <v>51</v>
      </c>
      <c r="E1900" s="559" t="s">
        <v>96</v>
      </c>
      <c r="F1900" s="559">
        <v>2906.5345921828498</v>
      </c>
      <c r="G1900" s="174"/>
    </row>
    <row r="1901" spans="1:7" x14ac:dyDescent="0.3">
      <c r="A1901" s="559" t="s">
        <v>77</v>
      </c>
      <c r="B1901" s="559">
        <v>2014</v>
      </c>
      <c r="C1901" s="559" t="s">
        <v>264</v>
      </c>
      <c r="D1901" s="559" t="s">
        <v>37</v>
      </c>
      <c r="E1901" s="559" t="s">
        <v>96</v>
      </c>
      <c r="F1901" s="559">
        <v>13342504.010080099</v>
      </c>
      <c r="G1901" s="174"/>
    </row>
    <row r="1902" spans="1:7" x14ac:dyDescent="0.3">
      <c r="A1902" s="559" t="s">
        <v>77</v>
      </c>
      <c r="B1902" s="559">
        <v>2014</v>
      </c>
      <c r="C1902" s="559" t="s">
        <v>265</v>
      </c>
      <c r="D1902" s="559" t="s">
        <v>37</v>
      </c>
      <c r="E1902" s="559" t="s">
        <v>96</v>
      </c>
      <c r="F1902" s="559">
        <v>9891070.2180000097</v>
      </c>
      <c r="G1902" s="174"/>
    </row>
    <row r="1903" spans="1:7" x14ac:dyDescent="0.3">
      <c r="A1903" s="559" t="s">
        <v>77</v>
      </c>
      <c r="B1903" s="559">
        <v>2014</v>
      </c>
      <c r="C1903" s="559" t="s">
        <v>266</v>
      </c>
      <c r="D1903" s="559" t="s">
        <v>40</v>
      </c>
      <c r="E1903" s="559" t="s">
        <v>96</v>
      </c>
      <c r="F1903" s="559">
        <v>850276.22099999897</v>
      </c>
      <c r="G1903" s="174"/>
    </row>
    <row r="1904" spans="1:7" x14ac:dyDescent="0.3">
      <c r="A1904" s="559" t="s">
        <v>77</v>
      </c>
      <c r="B1904" s="559">
        <v>2014</v>
      </c>
      <c r="C1904" s="559" t="s">
        <v>267</v>
      </c>
      <c r="D1904" s="559" t="s">
        <v>4</v>
      </c>
      <c r="E1904" s="559" t="s">
        <v>96</v>
      </c>
      <c r="F1904" s="559">
        <v>1720.9489999999901</v>
      </c>
      <c r="G1904" s="174"/>
    </row>
    <row r="1905" spans="1:7" x14ac:dyDescent="0.3">
      <c r="A1905" s="559" t="s">
        <v>77</v>
      </c>
      <c r="B1905" s="559">
        <v>2014</v>
      </c>
      <c r="C1905" s="559" t="s">
        <v>268</v>
      </c>
      <c r="D1905" s="559" t="s">
        <v>4</v>
      </c>
      <c r="E1905" s="559" t="s">
        <v>101</v>
      </c>
      <c r="F1905" s="559">
        <v>0</v>
      </c>
      <c r="G1905" s="174"/>
    </row>
    <row r="1906" spans="1:7" x14ac:dyDescent="0.3">
      <c r="A1906" s="559" t="s">
        <v>77</v>
      </c>
      <c r="B1906" s="559">
        <v>2014</v>
      </c>
      <c r="C1906" s="559" t="s">
        <v>269</v>
      </c>
      <c r="D1906" s="559" t="s">
        <v>8</v>
      </c>
      <c r="E1906" s="559" t="s">
        <v>96</v>
      </c>
      <c r="F1906" s="559">
        <v>0</v>
      </c>
      <c r="G1906" s="174"/>
    </row>
    <row r="1907" spans="1:7" x14ac:dyDescent="0.3">
      <c r="A1907" s="559" t="s">
        <v>77</v>
      </c>
      <c r="B1907" s="559">
        <v>2014</v>
      </c>
      <c r="C1907" s="559" t="s">
        <v>270</v>
      </c>
      <c r="D1907" s="559" t="s">
        <v>36</v>
      </c>
      <c r="E1907" s="559" t="s">
        <v>96</v>
      </c>
      <c r="F1907" s="559">
        <v>2891462.7719999901</v>
      </c>
      <c r="G1907" s="174"/>
    </row>
    <row r="1908" spans="1:7" x14ac:dyDescent="0.3">
      <c r="A1908" s="559" t="s">
        <v>77</v>
      </c>
      <c r="B1908" s="559">
        <v>2014</v>
      </c>
      <c r="C1908" s="559" t="s">
        <v>679</v>
      </c>
      <c r="D1908" s="559" t="s">
        <v>41</v>
      </c>
      <c r="E1908" s="559" t="s">
        <v>96</v>
      </c>
      <c r="F1908" s="559">
        <v>0</v>
      </c>
      <c r="G1908" s="174"/>
    </row>
    <row r="1909" spans="1:7" x14ac:dyDescent="0.3">
      <c r="A1909" s="559" t="s">
        <v>77</v>
      </c>
      <c r="B1909" s="559">
        <v>2014</v>
      </c>
      <c r="C1909" s="559" t="s">
        <v>273</v>
      </c>
      <c r="D1909" s="559" t="s">
        <v>37</v>
      </c>
      <c r="E1909" s="559" t="s">
        <v>96</v>
      </c>
      <c r="F1909" s="559">
        <v>5737001.8759999601</v>
      </c>
      <c r="G1909" s="174"/>
    </row>
    <row r="1910" spans="1:7" x14ac:dyDescent="0.3">
      <c r="A1910" s="559" t="s">
        <v>77</v>
      </c>
      <c r="B1910" s="559">
        <v>2014</v>
      </c>
      <c r="C1910" s="559" t="s">
        <v>274</v>
      </c>
      <c r="D1910" s="559" t="s">
        <v>37</v>
      </c>
      <c r="E1910" s="559" t="s">
        <v>96</v>
      </c>
      <c r="F1910" s="559">
        <v>3030836.3889999902</v>
      </c>
      <c r="G1910" s="174"/>
    </row>
    <row r="1911" spans="1:7" x14ac:dyDescent="0.3">
      <c r="A1911" s="559" t="s">
        <v>77</v>
      </c>
      <c r="B1911" s="559">
        <v>2014</v>
      </c>
      <c r="C1911" s="559" t="s">
        <v>275</v>
      </c>
      <c r="D1911" s="559" t="s">
        <v>36</v>
      </c>
      <c r="E1911" s="559" t="s">
        <v>96</v>
      </c>
      <c r="F1911" s="559">
        <v>1299868.88899999</v>
      </c>
      <c r="G1911" s="174"/>
    </row>
    <row r="1912" spans="1:7" x14ac:dyDescent="0.3">
      <c r="A1912" s="559" t="s">
        <v>77</v>
      </c>
      <c r="B1912" s="559">
        <v>2014</v>
      </c>
      <c r="C1912" s="559" t="s">
        <v>276</v>
      </c>
      <c r="D1912" s="559" t="s">
        <v>36</v>
      </c>
      <c r="E1912" s="559" t="s">
        <v>96</v>
      </c>
      <c r="F1912" s="559">
        <v>2285995.3930000002</v>
      </c>
      <c r="G1912" s="174"/>
    </row>
    <row r="1913" spans="1:7" x14ac:dyDescent="0.3">
      <c r="A1913" s="559" t="s">
        <v>77</v>
      </c>
      <c r="B1913" s="559">
        <v>2014</v>
      </c>
      <c r="C1913" s="559" t="s">
        <v>277</v>
      </c>
      <c r="D1913" s="559" t="s">
        <v>103</v>
      </c>
      <c r="E1913" s="559" t="s">
        <v>96</v>
      </c>
      <c r="F1913" s="559">
        <v>3.8439999999999999</v>
      </c>
      <c r="G1913" s="174"/>
    </row>
    <row r="1914" spans="1:7" x14ac:dyDescent="0.3">
      <c r="A1914" s="559" t="s">
        <v>77</v>
      </c>
      <c r="B1914" s="559">
        <v>2014</v>
      </c>
      <c r="C1914" s="559" t="s">
        <v>278</v>
      </c>
      <c r="D1914" s="559" t="s">
        <v>35</v>
      </c>
      <c r="E1914" s="559" t="s">
        <v>101</v>
      </c>
      <c r="F1914" s="559">
        <v>0</v>
      </c>
      <c r="G1914" s="174"/>
    </row>
    <row r="1915" spans="1:7" x14ac:dyDescent="0.3">
      <c r="A1915" s="559" t="s">
        <v>77</v>
      </c>
      <c r="B1915" s="559">
        <v>2014</v>
      </c>
      <c r="C1915" s="559" t="s">
        <v>279</v>
      </c>
      <c r="D1915" s="559" t="s">
        <v>4</v>
      </c>
      <c r="E1915" s="559" t="s">
        <v>101</v>
      </c>
      <c r="F1915" s="559">
        <v>9501570.9329999797</v>
      </c>
      <c r="G1915" s="174"/>
    </row>
    <row r="1916" spans="1:7" x14ac:dyDescent="0.3">
      <c r="A1916" s="559" t="s">
        <v>77</v>
      </c>
      <c r="B1916" s="559">
        <v>2014</v>
      </c>
      <c r="C1916" s="559" t="s">
        <v>280</v>
      </c>
      <c r="D1916" s="559" t="s">
        <v>4</v>
      </c>
      <c r="E1916" s="559" t="s">
        <v>101</v>
      </c>
      <c r="F1916" s="559">
        <v>23010327.866999902</v>
      </c>
      <c r="G1916" s="174"/>
    </row>
    <row r="1917" spans="1:7" x14ac:dyDescent="0.3">
      <c r="A1917" s="559" t="s">
        <v>77</v>
      </c>
      <c r="B1917" s="559">
        <v>2014</v>
      </c>
      <c r="C1917" s="559" t="s">
        <v>281</v>
      </c>
      <c r="D1917" s="559" t="s">
        <v>10</v>
      </c>
      <c r="E1917" s="559" t="s">
        <v>101</v>
      </c>
      <c r="F1917" s="559">
        <v>0</v>
      </c>
      <c r="G1917" s="174"/>
    </row>
    <row r="1918" spans="1:7" x14ac:dyDescent="0.3">
      <c r="A1918" s="559" t="s">
        <v>77</v>
      </c>
      <c r="B1918" s="559">
        <v>2014</v>
      </c>
      <c r="C1918" s="559" t="s">
        <v>282</v>
      </c>
      <c r="D1918" s="559" t="s">
        <v>12</v>
      </c>
      <c r="E1918" s="559" t="s">
        <v>96</v>
      </c>
      <c r="F1918" s="559">
        <v>0</v>
      </c>
      <c r="G1918" s="174"/>
    </row>
    <row r="1919" spans="1:7" x14ac:dyDescent="0.3">
      <c r="A1919" s="559" t="s">
        <v>77</v>
      </c>
      <c r="B1919" s="559">
        <v>2014</v>
      </c>
      <c r="C1919" s="559" t="s">
        <v>283</v>
      </c>
      <c r="D1919" s="559" t="s">
        <v>1</v>
      </c>
      <c r="E1919" s="559" t="s">
        <v>96</v>
      </c>
      <c r="F1919" s="559">
        <v>0</v>
      </c>
      <c r="G1919" s="174"/>
    </row>
    <row r="1920" spans="1:7" x14ac:dyDescent="0.3">
      <c r="A1920" s="559" t="s">
        <v>77</v>
      </c>
      <c r="B1920" s="559">
        <v>2014</v>
      </c>
      <c r="C1920" s="559" t="s">
        <v>284</v>
      </c>
      <c r="D1920" s="559" t="s">
        <v>28</v>
      </c>
      <c r="E1920" s="559" t="s">
        <v>96</v>
      </c>
      <c r="F1920" s="559">
        <v>1243844.6310000001</v>
      </c>
      <c r="G1920" s="174"/>
    </row>
    <row r="1921" spans="1:7" x14ac:dyDescent="0.3">
      <c r="A1921" s="559" t="s">
        <v>77</v>
      </c>
      <c r="B1921" s="559">
        <v>2014</v>
      </c>
      <c r="C1921" s="559" t="s">
        <v>285</v>
      </c>
      <c r="D1921" s="559" t="s">
        <v>4</v>
      </c>
      <c r="E1921" s="559" t="s">
        <v>96</v>
      </c>
      <c r="F1921" s="559">
        <v>32077.2219999999</v>
      </c>
      <c r="G1921" s="174"/>
    </row>
    <row r="1922" spans="1:7" x14ac:dyDescent="0.3">
      <c r="A1922" s="559" t="s">
        <v>77</v>
      </c>
      <c r="B1922" s="559">
        <v>2014</v>
      </c>
      <c r="C1922" s="559" t="s">
        <v>286</v>
      </c>
      <c r="D1922" s="559" t="s">
        <v>4</v>
      </c>
      <c r="E1922" s="559" t="s">
        <v>101</v>
      </c>
      <c r="F1922" s="559">
        <v>0</v>
      </c>
      <c r="G1922" s="174"/>
    </row>
    <row r="1923" spans="1:7" x14ac:dyDescent="0.3">
      <c r="A1923" s="559" t="s">
        <v>77</v>
      </c>
      <c r="B1923" s="559">
        <v>2014</v>
      </c>
      <c r="C1923" s="559" t="s">
        <v>287</v>
      </c>
      <c r="D1923" s="559" t="s">
        <v>4</v>
      </c>
      <c r="E1923" s="559" t="s">
        <v>101</v>
      </c>
      <c r="F1923" s="572">
        <v>0</v>
      </c>
      <c r="G1923" s="174"/>
    </row>
    <row r="1924" spans="1:7" x14ac:dyDescent="0.3">
      <c r="A1924" s="559" t="s">
        <v>77</v>
      </c>
      <c r="B1924" s="559">
        <v>2014</v>
      </c>
      <c r="C1924" s="559" t="s">
        <v>288</v>
      </c>
      <c r="D1924" s="559" t="s">
        <v>4</v>
      </c>
      <c r="E1924" s="559" t="s">
        <v>101</v>
      </c>
      <c r="F1924" s="572">
        <v>0</v>
      </c>
      <c r="G1924" s="174"/>
    </row>
    <row r="1925" spans="1:7" x14ac:dyDescent="0.3">
      <c r="A1925" s="559" t="s">
        <v>77</v>
      </c>
      <c r="B1925" s="559">
        <v>2014</v>
      </c>
      <c r="C1925" s="559" t="s">
        <v>289</v>
      </c>
      <c r="D1925" s="559" t="s">
        <v>19</v>
      </c>
      <c r="E1925" s="559" t="s">
        <v>96</v>
      </c>
      <c r="F1925" s="572">
        <v>0</v>
      </c>
      <c r="G1925" s="174"/>
    </row>
    <row r="1926" spans="1:7" x14ac:dyDescent="0.3">
      <c r="A1926" s="559" t="s">
        <v>77</v>
      </c>
      <c r="B1926" s="559">
        <v>2014</v>
      </c>
      <c r="C1926" s="559" t="s">
        <v>290</v>
      </c>
      <c r="D1926" s="559" t="s">
        <v>35</v>
      </c>
      <c r="E1926" s="559" t="s">
        <v>101</v>
      </c>
      <c r="F1926" s="572">
        <v>388640.99300001899</v>
      </c>
      <c r="G1926" s="174"/>
    </row>
    <row r="1927" spans="1:7" x14ac:dyDescent="0.3">
      <c r="A1927" s="559" t="s">
        <v>77</v>
      </c>
      <c r="B1927" s="559">
        <v>2014</v>
      </c>
      <c r="C1927" s="559" t="s">
        <v>291</v>
      </c>
      <c r="D1927" s="559" t="s">
        <v>0</v>
      </c>
      <c r="E1927" s="559" t="s">
        <v>96</v>
      </c>
      <c r="F1927" s="572">
        <v>0</v>
      </c>
      <c r="G1927" s="174"/>
    </row>
    <row r="1928" spans="1:7" x14ac:dyDescent="0.3">
      <c r="A1928" s="559" t="s">
        <v>77</v>
      </c>
      <c r="B1928" s="559">
        <v>2014</v>
      </c>
      <c r="C1928" s="559" t="s">
        <v>292</v>
      </c>
      <c r="D1928" s="559" t="s">
        <v>37</v>
      </c>
      <c r="E1928" s="559" t="s">
        <v>96</v>
      </c>
      <c r="F1928" s="572">
        <v>3713221.5460000201</v>
      </c>
      <c r="G1928" s="174"/>
    </row>
    <row r="1929" spans="1:7" x14ac:dyDescent="0.3">
      <c r="A1929" s="559" t="s">
        <v>77</v>
      </c>
      <c r="B1929" s="559">
        <v>2014</v>
      </c>
      <c r="C1929" s="559" t="s">
        <v>293</v>
      </c>
      <c r="D1929" s="559" t="s">
        <v>49</v>
      </c>
      <c r="E1929" s="559" t="s">
        <v>96</v>
      </c>
      <c r="F1929" s="572">
        <v>37286.380999999899</v>
      </c>
      <c r="G1929" s="174"/>
    </row>
    <row r="1930" spans="1:7" x14ac:dyDescent="0.3">
      <c r="A1930" s="559" t="s">
        <v>77</v>
      </c>
      <c r="B1930" s="559">
        <v>2014</v>
      </c>
      <c r="C1930" s="559" t="s">
        <v>294</v>
      </c>
      <c r="D1930" s="559" t="s">
        <v>17</v>
      </c>
      <c r="E1930" s="559" t="s">
        <v>96</v>
      </c>
      <c r="F1930" s="572">
        <v>23804.7049999999</v>
      </c>
      <c r="G1930" s="174"/>
    </row>
    <row r="1931" spans="1:7" x14ac:dyDescent="0.3">
      <c r="A1931" s="559" t="s">
        <v>77</v>
      </c>
      <c r="B1931" s="559">
        <v>2014</v>
      </c>
      <c r="C1931" s="559" t="s">
        <v>295</v>
      </c>
      <c r="D1931" s="559" t="s">
        <v>17</v>
      </c>
      <c r="E1931" s="559" t="s">
        <v>101</v>
      </c>
      <c r="F1931" s="572">
        <v>0</v>
      </c>
      <c r="G1931" s="174"/>
    </row>
    <row r="1932" spans="1:7" x14ac:dyDescent="0.3">
      <c r="A1932" s="559" t="s">
        <v>77</v>
      </c>
      <c r="B1932" s="559">
        <v>2014</v>
      </c>
      <c r="C1932" s="559" t="s">
        <v>296</v>
      </c>
      <c r="D1932" s="559" t="s">
        <v>37</v>
      </c>
      <c r="E1932" s="559" t="s">
        <v>96</v>
      </c>
      <c r="F1932" s="572">
        <v>5305984.8199999603</v>
      </c>
      <c r="G1932" s="174"/>
    </row>
    <row r="1933" spans="1:7" x14ac:dyDescent="0.3">
      <c r="A1933" s="559" t="s">
        <v>77</v>
      </c>
      <c r="B1933" s="559">
        <v>2014</v>
      </c>
      <c r="C1933" s="559" t="s">
        <v>297</v>
      </c>
      <c r="D1933" s="559" t="s">
        <v>28</v>
      </c>
      <c r="E1933" s="559" t="s">
        <v>96</v>
      </c>
      <c r="F1933" s="572">
        <v>1311432.9709999999</v>
      </c>
      <c r="G1933" s="174"/>
    </row>
    <row r="1934" spans="1:7" x14ac:dyDescent="0.3">
      <c r="A1934" s="559" t="s">
        <v>77</v>
      </c>
      <c r="B1934" s="559">
        <v>2014</v>
      </c>
      <c r="C1934" s="559" t="s">
        <v>298</v>
      </c>
      <c r="D1934" s="559" t="s">
        <v>28</v>
      </c>
      <c r="E1934" s="559" t="s">
        <v>96</v>
      </c>
      <c r="F1934" s="572">
        <v>3880904.091</v>
      </c>
      <c r="G1934" s="174"/>
    </row>
    <row r="1935" spans="1:7" x14ac:dyDescent="0.3">
      <c r="A1935" s="559" t="s">
        <v>77</v>
      </c>
      <c r="B1935" s="559">
        <v>2014</v>
      </c>
      <c r="C1935" s="559" t="s">
        <v>299</v>
      </c>
      <c r="D1935" s="559" t="s">
        <v>35</v>
      </c>
      <c r="E1935" s="559" t="s">
        <v>101</v>
      </c>
      <c r="F1935" s="572">
        <v>0</v>
      </c>
      <c r="G1935" s="174"/>
    </row>
    <row r="1936" spans="1:7" x14ac:dyDescent="0.3">
      <c r="A1936" s="559" t="s">
        <v>77</v>
      </c>
      <c r="B1936" s="559">
        <v>2014</v>
      </c>
      <c r="C1936" s="559" t="s">
        <v>300</v>
      </c>
      <c r="D1936" s="559" t="s">
        <v>4</v>
      </c>
      <c r="E1936" s="559" t="s">
        <v>96</v>
      </c>
      <c r="F1936" s="572">
        <v>14123.777</v>
      </c>
      <c r="G1936" s="174"/>
    </row>
    <row r="1937" spans="1:7" x14ac:dyDescent="0.3">
      <c r="A1937" s="559" t="s">
        <v>77</v>
      </c>
      <c r="B1937" s="559">
        <v>2014</v>
      </c>
      <c r="C1937" s="559" t="s">
        <v>301</v>
      </c>
      <c r="D1937" s="559" t="s">
        <v>4</v>
      </c>
      <c r="E1937" s="559" t="s">
        <v>101</v>
      </c>
      <c r="F1937" s="572">
        <v>0</v>
      </c>
      <c r="G1937" s="174"/>
    </row>
    <row r="1938" spans="1:7" x14ac:dyDescent="0.3">
      <c r="A1938" s="559" t="s">
        <v>77</v>
      </c>
      <c r="B1938" s="559">
        <v>2014</v>
      </c>
      <c r="C1938" s="559" t="s">
        <v>302</v>
      </c>
      <c r="D1938" s="559" t="s">
        <v>4</v>
      </c>
      <c r="E1938" s="559" t="s">
        <v>101</v>
      </c>
      <c r="F1938" s="572">
        <v>0</v>
      </c>
      <c r="G1938" s="174"/>
    </row>
    <row r="1939" spans="1:7" x14ac:dyDescent="0.3">
      <c r="A1939" s="559" t="s">
        <v>77</v>
      </c>
      <c r="B1939" s="559">
        <v>2014</v>
      </c>
      <c r="C1939" s="559" t="s">
        <v>303</v>
      </c>
      <c r="D1939" s="559" t="s">
        <v>0</v>
      </c>
      <c r="E1939" s="559" t="s">
        <v>96</v>
      </c>
      <c r="F1939" s="559">
        <v>0</v>
      </c>
      <c r="G1939" s="174"/>
    </row>
    <row r="1940" spans="1:7" x14ac:dyDescent="0.3">
      <c r="A1940" s="559" t="s">
        <v>77</v>
      </c>
      <c r="B1940" s="559">
        <v>2014</v>
      </c>
      <c r="C1940" s="559" t="s">
        <v>304</v>
      </c>
      <c r="D1940" s="559" t="s">
        <v>10</v>
      </c>
      <c r="E1940" s="559" t="s">
        <v>101</v>
      </c>
      <c r="F1940" s="559">
        <v>1293896.0529999901</v>
      </c>
      <c r="G1940" s="174"/>
    </row>
    <row r="1941" spans="1:7" x14ac:dyDescent="0.3">
      <c r="A1941" s="559" t="s">
        <v>77</v>
      </c>
      <c r="B1941" s="559">
        <v>2014</v>
      </c>
      <c r="C1941" s="559" t="s">
        <v>386</v>
      </c>
      <c r="D1941" s="559" t="s">
        <v>0</v>
      </c>
      <c r="E1941" s="559" t="s">
        <v>96</v>
      </c>
      <c r="F1941" s="559">
        <v>0</v>
      </c>
      <c r="G1941" s="174"/>
    </row>
    <row r="1942" spans="1:7" x14ac:dyDescent="0.3">
      <c r="A1942" s="559" t="s">
        <v>77</v>
      </c>
      <c r="B1942" s="559">
        <v>2014</v>
      </c>
      <c r="C1942" s="559" t="s">
        <v>305</v>
      </c>
      <c r="D1942" s="559" t="s">
        <v>10</v>
      </c>
      <c r="E1942" s="559" t="s">
        <v>101</v>
      </c>
      <c r="F1942" s="559">
        <v>15936811.487</v>
      </c>
      <c r="G1942" s="174"/>
    </row>
    <row r="1943" spans="1:7" x14ac:dyDescent="0.3">
      <c r="A1943" s="559" t="s">
        <v>77</v>
      </c>
      <c r="B1943" s="559">
        <v>2014</v>
      </c>
      <c r="C1943" s="559" t="s">
        <v>306</v>
      </c>
      <c r="D1943" s="559" t="s">
        <v>11</v>
      </c>
      <c r="E1943" s="559" t="s">
        <v>96</v>
      </c>
      <c r="F1943" s="559">
        <v>58231.726000000002</v>
      </c>
      <c r="G1943" s="174"/>
    </row>
    <row r="1944" spans="1:7" x14ac:dyDescent="0.3">
      <c r="A1944" s="559" t="s">
        <v>77</v>
      </c>
      <c r="B1944" s="559">
        <v>2014</v>
      </c>
      <c r="C1944" s="559" t="s">
        <v>307</v>
      </c>
      <c r="D1944" s="559" t="s">
        <v>40</v>
      </c>
      <c r="E1944" s="559" t="s">
        <v>96</v>
      </c>
      <c r="F1944" s="559">
        <v>4636749.00400001</v>
      </c>
      <c r="G1944" s="174"/>
    </row>
    <row r="1945" spans="1:7" x14ac:dyDescent="0.3">
      <c r="A1945" s="559" t="s">
        <v>77</v>
      </c>
      <c r="B1945" s="559">
        <v>2014</v>
      </c>
      <c r="C1945" s="559" t="s">
        <v>308</v>
      </c>
      <c r="D1945" s="559" t="s">
        <v>10</v>
      </c>
      <c r="E1945" s="559" t="s">
        <v>110</v>
      </c>
      <c r="F1945" s="559">
        <v>64.95</v>
      </c>
      <c r="G1945" s="174"/>
    </row>
    <row r="1946" spans="1:7" x14ac:dyDescent="0.3">
      <c r="A1946" s="559" t="s">
        <v>77</v>
      </c>
      <c r="B1946" s="559">
        <v>2014</v>
      </c>
      <c r="C1946" s="559" t="s">
        <v>308</v>
      </c>
      <c r="D1946" s="559" t="s">
        <v>10</v>
      </c>
      <c r="E1946" s="559" t="s">
        <v>96</v>
      </c>
      <c r="F1946" s="559">
        <v>3861.0125107296099</v>
      </c>
      <c r="G1946" s="174"/>
    </row>
    <row r="1947" spans="1:7" x14ac:dyDescent="0.3">
      <c r="A1947" s="559" t="s">
        <v>77</v>
      </c>
      <c r="B1947" s="559">
        <v>2014</v>
      </c>
      <c r="C1947" s="559" t="s">
        <v>308</v>
      </c>
      <c r="D1947" s="559" t="s">
        <v>32</v>
      </c>
      <c r="E1947" s="559" t="s">
        <v>96</v>
      </c>
      <c r="F1947" s="559">
        <v>352258.09400000097</v>
      </c>
      <c r="G1947" s="174"/>
    </row>
    <row r="1948" spans="1:7" x14ac:dyDescent="0.3">
      <c r="A1948" s="559" t="s">
        <v>77</v>
      </c>
      <c r="B1948" s="559">
        <v>2014</v>
      </c>
      <c r="C1948" s="559" t="s">
        <v>309</v>
      </c>
      <c r="D1948" s="559" t="s">
        <v>10</v>
      </c>
      <c r="E1948" s="559" t="s">
        <v>101</v>
      </c>
      <c r="F1948" s="559">
        <v>0</v>
      </c>
      <c r="G1948" s="174"/>
    </row>
    <row r="1949" spans="1:7" x14ac:dyDescent="0.3">
      <c r="A1949" s="559" t="s">
        <v>77</v>
      </c>
      <c r="B1949" s="559">
        <v>2014</v>
      </c>
      <c r="C1949" s="559" t="s">
        <v>310</v>
      </c>
      <c r="D1949" s="559" t="s">
        <v>28</v>
      </c>
      <c r="E1949" s="559" t="s">
        <v>96</v>
      </c>
      <c r="F1949" s="559">
        <v>1427251.554</v>
      </c>
      <c r="G1949" s="174"/>
    </row>
    <row r="1950" spans="1:7" x14ac:dyDescent="0.3">
      <c r="A1950" s="559" t="s">
        <v>77</v>
      </c>
      <c r="B1950" s="559">
        <v>2014</v>
      </c>
      <c r="C1950" s="559" t="s">
        <v>311</v>
      </c>
      <c r="D1950" s="559" t="s">
        <v>0</v>
      </c>
      <c r="E1950" s="559" t="s">
        <v>96</v>
      </c>
      <c r="F1950" s="559">
        <v>0</v>
      </c>
      <c r="G1950" s="174"/>
    </row>
    <row r="1951" spans="1:7" x14ac:dyDescent="0.3">
      <c r="A1951" s="559" t="s">
        <v>77</v>
      </c>
      <c r="B1951" s="559">
        <v>2014</v>
      </c>
      <c r="C1951" s="559" t="s">
        <v>312</v>
      </c>
      <c r="D1951" s="559" t="s">
        <v>49</v>
      </c>
      <c r="E1951" s="559" t="s">
        <v>96</v>
      </c>
      <c r="F1951" s="559">
        <v>61158.786000000102</v>
      </c>
      <c r="G1951" s="174"/>
    </row>
    <row r="1952" spans="1:7" x14ac:dyDescent="0.3">
      <c r="A1952" s="559" t="s">
        <v>77</v>
      </c>
      <c r="B1952" s="559">
        <v>2014</v>
      </c>
      <c r="C1952" s="559" t="s">
        <v>313</v>
      </c>
      <c r="D1952" s="559" t="s">
        <v>38</v>
      </c>
      <c r="E1952" s="559" t="s">
        <v>96</v>
      </c>
      <c r="F1952" s="559">
        <v>1850668.9499999899</v>
      </c>
      <c r="G1952" s="174"/>
    </row>
    <row r="1953" spans="1:7" x14ac:dyDescent="0.3">
      <c r="A1953" s="559" t="s">
        <v>77</v>
      </c>
      <c r="B1953" s="559">
        <v>2014</v>
      </c>
      <c r="C1953" s="559" t="s">
        <v>314</v>
      </c>
      <c r="D1953" s="559" t="s">
        <v>32</v>
      </c>
      <c r="E1953" s="559" t="s">
        <v>96</v>
      </c>
      <c r="F1953" s="559">
        <v>0.13933192313208001</v>
      </c>
      <c r="G1953" s="174"/>
    </row>
    <row r="1954" spans="1:7" x14ac:dyDescent="0.3">
      <c r="A1954" s="559" t="s">
        <v>77</v>
      </c>
      <c r="B1954" s="559">
        <v>2014</v>
      </c>
      <c r="C1954" s="559" t="s">
        <v>314</v>
      </c>
      <c r="D1954" s="559" t="s">
        <v>42</v>
      </c>
      <c r="E1954" s="559" t="s">
        <v>96</v>
      </c>
      <c r="F1954" s="559">
        <v>459407.91599999799</v>
      </c>
      <c r="G1954" s="174"/>
    </row>
    <row r="1955" spans="1:7" x14ac:dyDescent="0.3">
      <c r="A1955" s="559" t="s">
        <v>77</v>
      </c>
      <c r="B1955" s="559">
        <v>2014</v>
      </c>
      <c r="C1955" s="559" t="s">
        <v>315</v>
      </c>
      <c r="D1955" s="559" t="s">
        <v>49</v>
      </c>
      <c r="E1955" s="559" t="s">
        <v>96</v>
      </c>
      <c r="F1955" s="559">
        <v>74959.326000000001</v>
      </c>
      <c r="G1955" s="174"/>
    </row>
    <row r="1956" spans="1:7" x14ac:dyDescent="0.3">
      <c r="A1956" s="559" t="s">
        <v>77</v>
      </c>
      <c r="B1956" s="559">
        <v>2014</v>
      </c>
      <c r="C1956" s="559" t="s">
        <v>316</v>
      </c>
      <c r="D1956" s="559" t="s">
        <v>36</v>
      </c>
      <c r="E1956" s="559" t="s">
        <v>96</v>
      </c>
      <c r="F1956" s="559">
        <v>378983.61199999898</v>
      </c>
      <c r="G1956" s="174"/>
    </row>
    <row r="1957" spans="1:7" x14ac:dyDescent="0.3">
      <c r="A1957" s="559" t="s">
        <v>77</v>
      </c>
      <c r="B1957" s="559">
        <v>2014</v>
      </c>
      <c r="C1957" s="559" t="s">
        <v>317</v>
      </c>
      <c r="D1957" s="559" t="s">
        <v>7</v>
      </c>
      <c r="E1957" s="559" t="s">
        <v>96</v>
      </c>
      <c r="F1957" s="559">
        <v>2797959.2439999902</v>
      </c>
      <c r="G1957" s="174"/>
    </row>
    <row r="1958" spans="1:7" x14ac:dyDescent="0.3">
      <c r="A1958" s="559" t="s">
        <v>77</v>
      </c>
      <c r="B1958" s="559">
        <v>2014</v>
      </c>
      <c r="C1958" s="559" t="s">
        <v>317</v>
      </c>
      <c r="D1958" s="559" t="s">
        <v>10</v>
      </c>
      <c r="E1958" s="559" t="s">
        <v>96</v>
      </c>
      <c r="F1958" s="559">
        <v>0.36273876794812399</v>
      </c>
      <c r="G1958" s="174"/>
    </row>
    <row r="1959" spans="1:7" x14ac:dyDescent="0.3">
      <c r="A1959" s="559" t="s">
        <v>77</v>
      </c>
      <c r="B1959" s="559">
        <v>2014</v>
      </c>
      <c r="C1959" s="559" t="s">
        <v>318</v>
      </c>
      <c r="D1959" s="559" t="s">
        <v>10</v>
      </c>
      <c r="E1959" s="559" t="s">
        <v>101</v>
      </c>
      <c r="F1959" s="559">
        <v>0</v>
      </c>
      <c r="G1959" s="174"/>
    </row>
    <row r="1960" spans="1:7" x14ac:dyDescent="0.3">
      <c r="A1960" s="559" t="s">
        <v>77</v>
      </c>
      <c r="B1960" s="559">
        <v>2014</v>
      </c>
      <c r="C1960" s="559" t="s">
        <v>319</v>
      </c>
      <c r="D1960" s="559" t="s">
        <v>10</v>
      </c>
      <c r="E1960" s="559" t="s">
        <v>101</v>
      </c>
      <c r="F1960" s="559">
        <v>0</v>
      </c>
      <c r="G1960" s="174"/>
    </row>
    <row r="1961" spans="1:7" x14ac:dyDescent="0.3">
      <c r="A1961" s="559" t="s">
        <v>77</v>
      </c>
      <c r="B1961" s="559">
        <v>2014</v>
      </c>
      <c r="C1961" s="559" t="s">
        <v>320</v>
      </c>
      <c r="D1961" s="559" t="s">
        <v>10</v>
      </c>
      <c r="E1961" s="559" t="s">
        <v>101</v>
      </c>
      <c r="F1961" s="559">
        <v>0</v>
      </c>
      <c r="G1961" s="174"/>
    </row>
    <row r="1962" spans="1:7" x14ac:dyDescent="0.3">
      <c r="A1962" s="559" t="s">
        <v>77</v>
      </c>
      <c r="B1962" s="559">
        <v>2014</v>
      </c>
      <c r="C1962" s="559" t="s">
        <v>321</v>
      </c>
      <c r="D1962" s="559" t="s">
        <v>35</v>
      </c>
      <c r="E1962" s="559" t="s">
        <v>110</v>
      </c>
      <c r="F1962" s="559">
        <v>0</v>
      </c>
      <c r="G1962" s="174"/>
    </row>
    <row r="1963" spans="1:7" x14ac:dyDescent="0.3">
      <c r="A1963" s="559" t="s">
        <v>77</v>
      </c>
      <c r="B1963" s="559">
        <v>2014</v>
      </c>
      <c r="C1963" s="559" t="s">
        <v>321</v>
      </c>
      <c r="D1963" s="559" t="s">
        <v>103</v>
      </c>
      <c r="E1963" s="559" t="s">
        <v>96</v>
      </c>
      <c r="F1963" s="559">
        <v>3197.0810000000001</v>
      </c>
      <c r="G1963" s="174"/>
    </row>
    <row r="1964" spans="1:7" x14ac:dyDescent="0.3">
      <c r="A1964" s="559" t="s">
        <v>77</v>
      </c>
      <c r="B1964" s="559">
        <v>2014</v>
      </c>
      <c r="C1964" s="559" t="s">
        <v>322</v>
      </c>
      <c r="D1964" s="559" t="s">
        <v>39</v>
      </c>
      <c r="E1964" s="559" t="s">
        <v>96</v>
      </c>
      <c r="F1964" s="559">
        <v>4722429.8809999898</v>
      </c>
      <c r="G1964" s="174"/>
    </row>
    <row r="1965" spans="1:7" x14ac:dyDescent="0.3">
      <c r="A1965" s="559" t="s">
        <v>77</v>
      </c>
      <c r="B1965" s="559">
        <v>2014</v>
      </c>
      <c r="C1965" s="559" t="s">
        <v>323</v>
      </c>
      <c r="D1965" s="559" t="s">
        <v>4</v>
      </c>
      <c r="E1965" s="559" t="s">
        <v>101</v>
      </c>
      <c r="F1965" s="559">
        <v>0</v>
      </c>
      <c r="G1965" s="174"/>
    </row>
    <row r="1966" spans="1:7" x14ac:dyDescent="0.3">
      <c r="A1966" s="559" t="s">
        <v>77</v>
      </c>
      <c r="B1966" s="559">
        <v>2014</v>
      </c>
      <c r="C1966" s="559" t="s">
        <v>324</v>
      </c>
      <c r="D1966" s="559" t="s">
        <v>14</v>
      </c>
      <c r="E1966" s="559" t="s">
        <v>110</v>
      </c>
      <c r="F1966" s="559">
        <v>0</v>
      </c>
      <c r="G1966" s="174"/>
    </row>
    <row r="1967" spans="1:7" x14ac:dyDescent="0.3">
      <c r="A1967" s="559" t="s">
        <v>77</v>
      </c>
      <c r="B1967" s="559">
        <v>2014</v>
      </c>
      <c r="C1967" s="559" t="s">
        <v>325</v>
      </c>
      <c r="D1967" s="559" t="s">
        <v>52</v>
      </c>
      <c r="E1967" s="559" t="s">
        <v>96</v>
      </c>
      <c r="F1967" s="559">
        <v>0</v>
      </c>
      <c r="G1967" s="174"/>
    </row>
    <row r="1968" spans="1:7" x14ac:dyDescent="0.3">
      <c r="A1968" s="559" t="s">
        <v>77</v>
      </c>
      <c r="B1968" s="559">
        <v>2014</v>
      </c>
      <c r="C1968" s="559" t="s">
        <v>326</v>
      </c>
      <c r="D1968" s="559" t="s">
        <v>0</v>
      </c>
      <c r="E1968" s="559" t="s">
        <v>96</v>
      </c>
      <c r="F1968" s="559">
        <v>0</v>
      </c>
      <c r="G1968" s="174"/>
    </row>
    <row r="1969" spans="1:7" x14ac:dyDescent="0.3">
      <c r="A1969" s="559" t="s">
        <v>77</v>
      </c>
      <c r="B1969" s="559">
        <v>2014</v>
      </c>
      <c r="C1969" s="559" t="s">
        <v>326</v>
      </c>
      <c r="D1969" s="559" t="s">
        <v>14</v>
      </c>
      <c r="E1969" s="559" t="s">
        <v>96</v>
      </c>
      <c r="F1969" s="559">
        <v>0</v>
      </c>
      <c r="G1969" s="174"/>
    </row>
    <row r="1970" spans="1:7" x14ac:dyDescent="0.3">
      <c r="A1970" s="559" t="s">
        <v>77</v>
      </c>
      <c r="B1970" s="559">
        <v>2014</v>
      </c>
      <c r="C1970" s="559" t="s">
        <v>326</v>
      </c>
      <c r="D1970" s="559" t="s">
        <v>20</v>
      </c>
      <c r="E1970" s="559" t="s">
        <v>96</v>
      </c>
      <c r="F1970" s="559">
        <v>0</v>
      </c>
      <c r="G1970" s="174"/>
    </row>
    <row r="1971" spans="1:7" x14ac:dyDescent="0.3">
      <c r="A1971" s="559" t="s">
        <v>77</v>
      </c>
      <c r="B1971" s="559">
        <v>2014</v>
      </c>
      <c r="C1971" s="559" t="s">
        <v>327</v>
      </c>
      <c r="D1971" s="559" t="s">
        <v>40</v>
      </c>
      <c r="E1971" s="559" t="s">
        <v>96</v>
      </c>
      <c r="F1971" s="559">
        <v>1511761.152</v>
      </c>
      <c r="G1971" s="174"/>
    </row>
    <row r="1972" spans="1:7" x14ac:dyDescent="0.3">
      <c r="A1972" s="559" t="s">
        <v>77</v>
      </c>
      <c r="B1972" s="559">
        <v>2014</v>
      </c>
      <c r="C1972" s="559" t="s">
        <v>328</v>
      </c>
      <c r="D1972" s="559" t="s">
        <v>11</v>
      </c>
      <c r="E1972" s="559" t="s">
        <v>96</v>
      </c>
      <c r="F1972" s="559">
        <v>476052.29399999802</v>
      </c>
      <c r="G1972" s="174"/>
    </row>
    <row r="1973" spans="1:7" x14ac:dyDescent="0.3">
      <c r="A1973" s="559" t="s">
        <v>77</v>
      </c>
      <c r="B1973" s="559">
        <v>2014</v>
      </c>
      <c r="C1973" s="559" t="s">
        <v>329</v>
      </c>
      <c r="D1973" s="559" t="s">
        <v>31</v>
      </c>
      <c r="E1973" s="559" t="s">
        <v>96</v>
      </c>
      <c r="F1973" s="559">
        <v>139878.918999999</v>
      </c>
      <c r="G1973" s="174"/>
    </row>
    <row r="1974" spans="1:7" x14ac:dyDescent="0.3">
      <c r="A1974" s="559" t="s">
        <v>77</v>
      </c>
      <c r="B1974" s="559">
        <v>2014</v>
      </c>
      <c r="C1974" s="559" t="s">
        <v>330</v>
      </c>
      <c r="D1974" s="559" t="s">
        <v>14</v>
      </c>
      <c r="E1974" s="559" t="s">
        <v>110</v>
      </c>
      <c r="F1974" s="559">
        <v>0</v>
      </c>
      <c r="G1974" s="174"/>
    </row>
    <row r="1975" spans="1:7" x14ac:dyDescent="0.3">
      <c r="A1975" s="559" t="s">
        <v>77</v>
      </c>
      <c r="B1975" s="559">
        <v>2014</v>
      </c>
      <c r="C1975" s="559" t="s">
        <v>330</v>
      </c>
      <c r="D1975" s="559" t="s">
        <v>14</v>
      </c>
      <c r="E1975" s="559" t="s">
        <v>96</v>
      </c>
      <c r="F1975" s="559">
        <v>6190.3739999999898</v>
      </c>
      <c r="G1975" s="174"/>
    </row>
    <row r="1976" spans="1:7" x14ac:dyDescent="0.3">
      <c r="A1976" s="559" t="s">
        <v>77</v>
      </c>
      <c r="B1976" s="559">
        <v>2014</v>
      </c>
      <c r="C1976" s="559" t="s">
        <v>331</v>
      </c>
      <c r="D1976" s="559" t="s">
        <v>37</v>
      </c>
      <c r="E1976" s="559" t="s">
        <v>96</v>
      </c>
      <c r="F1976" s="559">
        <v>1775965.27299999</v>
      </c>
      <c r="G1976" s="174"/>
    </row>
    <row r="1977" spans="1:7" x14ac:dyDescent="0.3">
      <c r="A1977" s="559" t="s">
        <v>77</v>
      </c>
      <c r="B1977" s="559">
        <v>2014</v>
      </c>
      <c r="C1977" s="559" t="s">
        <v>332</v>
      </c>
      <c r="D1977" s="559" t="s">
        <v>28</v>
      </c>
      <c r="E1977" s="559" t="s">
        <v>96</v>
      </c>
      <c r="F1977" s="559">
        <v>0</v>
      </c>
      <c r="G1977" s="174"/>
    </row>
    <row r="1978" spans="1:7" x14ac:dyDescent="0.3">
      <c r="A1978" s="559" t="s">
        <v>77</v>
      </c>
      <c r="B1978" s="559">
        <v>2014</v>
      </c>
      <c r="C1978" s="559" t="s">
        <v>333</v>
      </c>
      <c r="D1978" s="559" t="s">
        <v>4</v>
      </c>
      <c r="E1978" s="559" t="s">
        <v>96</v>
      </c>
      <c r="F1978" s="559">
        <v>1318.07149458504</v>
      </c>
      <c r="G1978" s="174"/>
    </row>
    <row r="1979" spans="1:7" x14ac:dyDescent="0.3">
      <c r="A1979" s="559" t="s">
        <v>77</v>
      </c>
      <c r="B1979" s="559">
        <v>2014</v>
      </c>
      <c r="C1979" s="559" t="s">
        <v>333</v>
      </c>
      <c r="D1979" s="559" t="s">
        <v>26</v>
      </c>
      <c r="E1979" s="559" t="s">
        <v>96</v>
      </c>
      <c r="F1979" s="572">
        <v>4014504.79621176</v>
      </c>
      <c r="G1979" s="174"/>
    </row>
    <row r="1980" spans="1:7" x14ac:dyDescent="0.3">
      <c r="A1980" s="559" t="s">
        <v>77</v>
      </c>
      <c r="B1980" s="559">
        <v>2014</v>
      </c>
      <c r="C1980" s="559" t="s">
        <v>334</v>
      </c>
      <c r="D1980" s="559" t="s">
        <v>4</v>
      </c>
      <c r="E1980" s="559" t="s">
        <v>96</v>
      </c>
      <c r="F1980" s="572">
        <v>11330.169</v>
      </c>
      <c r="G1980" s="174"/>
    </row>
    <row r="1981" spans="1:7" x14ac:dyDescent="0.3">
      <c r="A1981" s="559" t="s">
        <v>77</v>
      </c>
      <c r="B1981" s="559">
        <v>2014</v>
      </c>
      <c r="C1981" s="559" t="s">
        <v>335</v>
      </c>
      <c r="D1981" s="559" t="s">
        <v>4</v>
      </c>
      <c r="E1981" s="559" t="s">
        <v>101</v>
      </c>
      <c r="F1981" s="559">
        <v>74239.808999999994</v>
      </c>
      <c r="G1981" s="174"/>
    </row>
    <row r="1982" spans="1:7" x14ac:dyDescent="0.3">
      <c r="A1982" s="559" t="s">
        <v>77</v>
      </c>
      <c r="B1982" s="559">
        <v>2014</v>
      </c>
      <c r="C1982" s="559" t="s">
        <v>336</v>
      </c>
      <c r="D1982" s="559" t="s">
        <v>28</v>
      </c>
      <c r="E1982" s="559" t="s">
        <v>96</v>
      </c>
      <c r="F1982" s="559">
        <v>1617969.281</v>
      </c>
      <c r="G1982" s="174"/>
    </row>
    <row r="1983" spans="1:7" x14ac:dyDescent="0.3">
      <c r="A1983" s="559" t="s">
        <v>77</v>
      </c>
      <c r="B1983" s="559">
        <v>2014</v>
      </c>
      <c r="C1983" s="559" t="s">
        <v>337</v>
      </c>
      <c r="D1983" s="559" t="s">
        <v>40</v>
      </c>
      <c r="E1983" s="559" t="s">
        <v>96</v>
      </c>
      <c r="F1983" s="559">
        <v>2664123.1700000102</v>
      </c>
      <c r="G1983" s="174"/>
    </row>
    <row r="1984" spans="1:7" x14ac:dyDescent="0.3">
      <c r="A1984" s="559" t="s">
        <v>77</v>
      </c>
      <c r="B1984" s="559">
        <v>2014</v>
      </c>
      <c r="C1984" s="559" t="s">
        <v>338</v>
      </c>
      <c r="D1984" s="559" t="s">
        <v>37</v>
      </c>
      <c r="E1984" s="559" t="s">
        <v>96</v>
      </c>
      <c r="F1984" s="559">
        <v>4827396.7760000201</v>
      </c>
      <c r="G1984" s="174"/>
    </row>
    <row r="1985" spans="1:7" x14ac:dyDescent="0.3">
      <c r="A1985" s="559" t="s">
        <v>77</v>
      </c>
      <c r="B1985" s="559">
        <v>2014</v>
      </c>
      <c r="C1985" s="559" t="s">
        <v>339</v>
      </c>
      <c r="D1985" s="559" t="s">
        <v>51</v>
      </c>
      <c r="E1985" s="559" t="s">
        <v>96</v>
      </c>
      <c r="F1985" s="559">
        <v>391712.54499999998</v>
      </c>
      <c r="G1985" s="174"/>
    </row>
    <row r="1986" spans="1:7" x14ac:dyDescent="0.3">
      <c r="A1986" s="559" t="s">
        <v>77</v>
      </c>
      <c r="B1986" s="559">
        <v>2014</v>
      </c>
      <c r="C1986" s="559" t="s">
        <v>340</v>
      </c>
      <c r="D1986" s="559" t="s">
        <v>680</v>
      </c>
      <c r="E1986" s="559" t="s">
        <v>101</v>
      </c>
      <c r="F1986" s="572">
        <v>0</v>
      </c>
      <c r="G1986" s="174"/>
    </row>
    <row r="1987" spans="1:7" x14ac:dyDescent="0.3">
      <c r="A1987" s="559" t="s">
        <v>77</v>
      </c>
      <c r="B1987" s="559">
        <v>2014</v>
      </c>
      <c r="C1987" s="559" t="s">
        <v>341</v>
      </c>
      <c r="D1987" s="559" t="s">
        <v>17</v>
      </c>
      <c r="E1987" s="559" t="s">
        <v>101</v>
      </c>
      <c r="F1987" s="572">
        <v>0</v>
      </c>
      <c r="G1987" s="174"/>
    </row>
    <row r="1988" spans="1:7" x14ac:dyDescent="0.3">
      <c r="A1988" s="559" t="s">
        <v>77</v>
      </c>
      <c r="B1988" s="559">
        <v>2014</v>
      </c>
      <c r="C1988" s="559" t="s">
        <v>342</v>
      </c>
      <c r="D1988" s="559" t="s">
        <v>28</v>
      </c>
      <c r="E1988" s="559" t="s">
        <v>96</v>
      </c>
      <c r="F1988" s="559">
        <v>1897696.2539999899</v>
      </c>
      <c r="G1988" s="174"/>
    </row>
    <row r="1989" spans="1:7" x14ac:dyDescent="0.3">
      <c r="A1989" s="559" t="s">
        <v>77</v>
      </c>
      <c r="B1989" s="559">
        <v>2014</v>
      </c>
      <c r="C1989" s="559" t="s">
        <v>343</v>
      </c>
      <c r="D1989" s="559" t="s">
        <v>17</v>
      </c>
      <c r="E1989" s="559" t="s">
        <v>101</v>
      </c>
      <c r="F1989" s="559">
        <v>0</v>
      </c>
      <c r="G1989" s="174"/>
    </row>
    <row r="1990" spans="1:7" x14ac:dyDescent="0.3">
      <c r="A1990" s="559" t="s">
        <v>77</v>
      </c>
      <c r="B1990" s="559">
        <v>2014</v>
      </c>
      <c r="C1990" s="559" t="s">
        <v>344</v>
      </c>
      <c r="D1990" s="559" t="s">
        <v>12</v>
      </c>
      <c r="E1990" s="559" t="s">
        <v>96</v>
      </c>
      <c r="F1990" s="559">
        <v>0</v>
      </c>
      <c r="G1990" s="174"/>
    </row>
    <row r="1991" spans="1:7" x14ac:dyDescent="0.3">
      <c r="A1991" s="559" t="s">
        <v>77</v>
      </c>
      <c r="B1991" s="559">
        <v>2014</v>
      </c>
      <c r="C1991" s="559" t="s">
        <v>345</v>
      </c>
      <c r="D1991" s="559" t="s">
        <v>12</v>
      </c>
      <c r="E1991" s="559" t="s">
        <v>96</v>
      </c>
      <c r="F1991" s="559">
        <v>0</v>
      </c>
      <c r="G1991" s="174"/>
    </row>
    <row r="1992" spans="1:7" x14ac:dyDescent="0.3">
      <c r="A1992" s="559" t="s">
        <v>77</v>
      </c>
      <c r="B1992" s="559">
        <v>2014</v>
      </c>
      <c r="C1992" s="559" t="s">
        <v>346</v>
      </c>
      <c r="D1992" s="559" t="s">
        <v>2</v>
      </c>
      <c r="E1992" s="559" t="s">
        <v>96</v>
      </c>
      <c r="F1992" s="559">
        <v>0</v>
      </c>
      <c r="G1992" s="174"/>
    </row>
    <row r="1993" spans="1:7" x14ac:dyDescent="0.3">
      <c r="A1993" s="559" t="s">
        <v>77</v>
      </c>
      <c r="B1993" s="559">
        <v>2014</v>
      </c>
      <c r="C1993" s="559" t="s">
        <v>347</v>
      </c>
      <c r="D1993" s="559" t="s">
        <v>68</v>
      </c>
      <c r="E1993" s="559" t="s">
        <v>96</v>
      </c>
      <c r="F1993" s="559">
        <v>1184166.6299999901</v>
      </c>
      <c r="G1993" s="174"/>
    </row>
    <row r="1994" spans="1:7" x14ac:dyDescent="0.3">
      <c r="A1994" s="559" t="s">
        <v>77</v>
      </c>
      <c r="B1994" s="559">
        <v>2014</v>
      </c>
      <c r="C1994" s="559" t="s">
        <v>348</v>
      </c>
      <c r="D1994" s="559" t="s">
        <v>37</v>
      </c>
      <c r="E1994" s="559" t="s">
        <v>96</v>
      </c>
      <c r="F1994" s="559">
        <v>1896917.41</v>
      </c>
      <c r="G1994" s="174"/>
    </row>
    <row r="1995" spans="1:7" x14ac:dyDescent="0.3">
      <c r="A1995" s="559" t="s">
        <v>77</v>
      </c>
      <c r="B1995" s="559">
        <v>2014</v>
      </c>
      <c r="C1995" s="559" t="s">
        <v>349</v>
      </c>
      <c r="D1995" s="559" t="s">
        <v>36</v>
      </c>
      <c r="E1995" s="559" t="s">
        <v>96</v>
      </c>
      <c r="F1995" s="559">
        <v>2086485.7749999999</v>
      </c>
      <c r="G1995" s="174"/>
    </row>
    <row r="1996" spans="1:7" x14ac:dyDescent="0.3">
      <c r="A1996" s="559" t="s">
        <v>77</v>
      </c>
      <c r="B1996" s="559">
        <v>2014</v>
      </c>
      <c r="C1996" s="559" t="s">
        <v>350</v>
      </c>
      <c r="D1996" s="559" t="s">
        <v>17</v>
      </c>
      <c r="E1996" s="559" t="s">
        <v>101</v>
      </c>
      <c r="F1996" s="559">
        <v>0</v>
      </c>
      <c r="G1996" s="174"/>
    </row>
    <row r="1997" spans="1:7" x14ac:dyDescent="0.3">
      <c r="A1997" s="559" t="s">
        <v>77</v>
      </c>
      <c r="B1997" s="559">
        <v>2014</v>
      </c>
      <c r="C1997" s="559" t="s">
        <v>351</v>
      </c>
      <c r="D1997" s="559" t="s">
        <v>4</v>
      </c>
      <c r="E1997" s="559" t="s">
        <v>101</v>
      </c>
      <c r="F1997" s="559">
        <v>0</v>
      </c>
      <c r="G1997" s="174"/>
    </row>
    <row r="1998" spans="1:7" x14ac:dyDescent="0.3">
      <c r="A1998" s="559" t="s">
        <v>77</v>
      </c>
      <c r="B1998" s="559">
        <v>2014</v>
      </c>
      <c r="C1998" s="559" t="s">
        <v>352</v>
      </c>
      <c r="D1998" s="559" t="s">
        <v>4</v>
      </c>
      <c r="E1998" s="559" t="s">
        <v>101</v>
      </c>
      <c r="F1998" s="559">
        <v>0</v>
      </c>
      <c r="G1998" s="174"/>
    </row>
    <row r="1999" spans="1:7" x14ac:dyDescent="0.3">
      <c r="A1999" s="559" t="s">
        <v>77</v>
      </c>
      <c r="B1999" s="559">
        <v>2014</v>
      </c>
      <c r="C1999" s="559" t="s">
        <v>353</v>
      </c>
      <c r="D1999" s="559" t="s">
        <v>20</v>
      </c>
      <c r="E1999" s="559" t="s">
        <v>96</v>
      </c>
      <c r="F1999" s="559">
        <v>0</v>
      </c>
      <c r="G1999" s="174"/>
    </row>
    <row r="2000" spans="1:7" x14ac:dyDescent="0.3">
      <c r="A2000" s="559" t="s">
        <v>77</v>
      </c>
      <c r="B2000" s="559">
        <v>2014</v>
      </c>
      <c r="C2000" s="559" t="s">
        <v>354</v>
      </c>
      <c r="D2000" s="559" t="s">
        <v>14</v>
      </c>
      <c r="E2000" s="559" t="s">
        <v>101</v>
      </c>
      <c r="F2000" s="559">
        <v>9020195.3219999894</v>
      </c>
      <c r="G2000" s="174"/>
    </row>
    <row r="2001" spans="1:7" x14ac:dyDescent="0.3">
      <c r="A2001" s="559" t="s">
        <v>77</v>
      </c>
      <c r="B2001" s="559">
        <v>2014</v>
      </c>
      <c r="C2001" s="559" t="s">
        <v>355</v>
      </c>
      <c r="D2001" s="559" t="s">
        <v>36</v>
      </c>
      <c r="E2001" s="559" t="s">
        <v>96</v>
      </c>
      <c r="F2001" s="559">
        <v>4196506.4790000096</v>
      </c>
      <c r="G2001" s="174"/>
    </row>
    <row r="2002" spans="1:7" x14ac:dyDescent="0.3">
      <c r="A2002" s="559" t="s">
        <v>77</v>
      </c>
      <c r="B2002" s="559">
        <v>2014</v>
      </c>
      <c r="C2002" s="559" t="s">
        <v>356</v>
      </c>
      <c r="D2002" s="559" t="s">
        <v>28</v>
      </c>
      <c r="E2002" s="559" t="s">
        <v>96</v>
      </c>
      <c r="F2002" s="559">
        <v>226444.31299999901</v>
      </c>
      <c r="G2002" s="174"/>
    </row>
    <row r="2003" spans="1:7" x14ac:dyDescent="0.3">
      <c r="A2003" s="559" t="s">
        <v>77</v>
      </c>
      <c r="B2003" s="559">
        <v>2014</v>
      </c>
      <c r="C2003" s="559" t="s">
        <v>357</v>
      </c>
      <c r="D2003" s="559" t="s">
        <v>14</v>
      </c>
      <c r="E2003" s="559" t="s">
        <v>110</v>
      </c>
      <c r="F2003" s="559">
        <v>0</v>
      </c>
      <c r="G2003" s="174"/>
    </row>
    <row r="2004" spans="1:7" x14ac:dyDescent="0.3">
      <c r="A2004" s="559" t="s">
        <v>77</v>
      </c>
      <c r="B2004" s="559">
        <v>2014</v>
      </c>
      <c r="C2004" s="559" t="s">
        <v>357</v>
      </c>
      <c r="D2004" s="559" t="s">
        <v>14</v>
      </c>
      <c r="E2004" s="559" t="s">
        <v>96</v>
      </c>
      <c r="F2004" s="559">
        <v>3686.6149999999898</v>
      </c>
      <c r="G2004" s="174"/>
    </row>
    <row r="2005" spans="1:7" x14ac:dyDescent="0.3">
      <c r="A2005" s="559" t="s">
        <v>77</v>
      </c>
      <c r="B2005" s="559">
        <v>2014</v>
      </c>
      <c r="C2005" s="559" t="s">
        <v>358</v>
      </c>
      <c r="D2005" s="559" t="s">
        <v>14</v>
      </c>
      <c r="E2005" s="559" t="s">
        <v>110</v>
      </c>
      <c r="F2005" s="559">
        <v>0</v>
      </c>
      <c r="G2005" s="174"/>
    </row>
    <row r="2006" spans="1:7" x14ac:dyDescent="0.3">
      <c r="A2006" s="559" t="s">
        <v>77</v>
      </c>
      <c r="B2006" s="559">
        <v>2014</v>
      </c>
      <c r="C2006" s="559" t="s">
        <v>358</v>
      </c>
      <c r="D2006" s="559" t="s">
        <v>14</v>
      </c>
      <c r="E2006" s="559" t="s">
        <v>96</v>
      </c>
      <c r="F2006" s="559">
        <v>3215.2519999999899</v>
      </c>
      <c r="G2006" s="174"/>
    </row>
    <row r="2007" spans="1:7" x14ac:dyDescent="0.3">
      <c r="A2007" s="559" t="s">
        <v>696</v>
      </c>
      <c r="B2007" s="559">
        <v>2014</v>
      </c>
      <c r="C2007" s="559" t="s">
        <v>95</v>
      </c>
      <c r="D2007" s="559" t="s">
        <v>0</v>
      </c>
      <c r="E2007" s="559" t="s">
        <v>96</v>
      </c>
      <c r="F2007" s="559">
        <v>10516.627999999901</v>
      </c>
      <c r="G2007" s="174"/>
    </row>
    <row r="2008" spans="1:7" x14ac:dyDescent="0.3">
      <c r="A2008" s="559" t="s">
        <v>696</v>
      </c>
      <c r="B2008" s="559">
        <v>2014</v>
      </c>
      <c r="C2008" s="559" t="s">
        <v>97</v>
      </c>
      <c r="D2008" s="559" t="s">
        <v>37</v>
      </c>
      <c r="E2008" s="559" t="s">
        <v>96</v>
      </c>
      <c r="F2008" s="559">
        <v>13430707.204</v>
      </c>
      <c r="G2008" s="174"/>
    </row>
    <row r="2009" spans="1:7" x14ac:dyDescent="0.3">
      <c r="A2009" s="559" t="s">
        <v>696</v>
      </c>
      <c r="B2009" s="559">
        <v>2014</v>
      </c>
      <c r="C2009" s="559" t="s">
        <v>98</v>
      </c>
      <c r="D2009" s="559" t="s">
        <v>37</v>
      </c>
      <c r="E2009" s="559" t="s">
        <v>96</v>
      </c>
      <c r="F2009" s="559">
        <v>8612912.2029999904</v>
      </c>
      <c r="G2009" s="174"/>
    </row>
    <row r="2010" spans="1:7" x14ac:dyDescent="0.3">
      <c r="A2010" s="559" t="s">
        <v>696</v>
      </c>
      <c r="B2010" s="559">
        <v>2014</v>
      </c>
      <c r="C2010" s="559" t="s">
        <v>99</v>
      </c>
      <c r="D2010" s="559" t="s">
        <v>25</v>
      </c>
      <c r="E2010" s="559" t="s">
        <v>96</v>
      </c>
      <c r="F2010" s="559">
        <v>5069.7919999999503</v>
      </c>
      <c r="G2010" s="174"/>
    </row>
    <row r="2011" spans="1:7" x14ac:dyDescent="0.3">
      <c r="A2011" s="559" t="s">
        <v>696</v>
      </c>
      <c r="B2011" s="559">
        <v>2014</v>
      </c>
      <c r="C2011" s="559" t="s">
        <v>100</v>
      </c>
      <c r="D2011" s="559" t="s">
        <v>17</v>
      </c>
      <c r="E2011" s="559" t="s">
        <v>101</v>
      </c>
      <c r="F2011" s="559">
        <v>35100.145000000601</v>
      </c>
      <c r="G2011" s="174"/>
    </row>
    <row r="2012" spans="1:7" x14ac:dyDescent="0.3">
      <c r="A2012" s="559" t="s">
        <v>696</v>
      </c>
      <c r="B2012" s="559">
        <v>2014</v>
      </c>
      <c r="C2012" s="559" t="s">
        <v>102</v>
      </c>
      <c r="D2012" s="559" t="s">
        <v>103</v>
      </c>
      <c r="E2012" s="559" t="s">
        <v>96</v>
      </c>
      <c r="F2012" s="559">
        <v>127.45699999999999</v>
      </c>
      <c r="G2012" s="174"/>
    </row>
    <row r="2013" spans="1:7" x14ac:dyDescent="0.3">
      <c r="A2013" s="559" t="s">
        <v>696</v>
      </c>
      <c r="B2013" s="559">
        <v>2014</v>
      </c>
      <c r="C2013" s="559" t="s">
        <v>104</v>
      </c>
      <c r="D2013" s="559" t="s">
        <v>35</v>
      </c>
      <c r="E2013" s="559" t="s">
        <v>101</v>
      </c>
      <c r="F2013" s="559">
        <v>0</v>
      </c>
      <c r="G2013" s="174"/>
    </row>
    <row r="2014" spans="1:7" x14ac:dyDescent="0.3">
      <c r="A2014" s="559" t="s">
        <v>696</v>
      </c>
      <c r="B2014" s="559">
        <v>2014</v>
      </c>
      <c r="C2014" s="559" t="s">
        <v>105</v>
      </c>
      <c r="D2014" s="559" t="s">
        <v>17</v>
      </c>
      <c r="E2014" s="559" t="s">
        <v>101</v>
      </c>
      <c r="F2014" s="559">
        <v>0</v>
      </c>
      <c r="G2014" s="174"/>
    </row>
    <row r="2015" spans="1:7" x14ac:dyDescent="0.3">
      <c r="A2015" s="559" t="s">
        <v>696</v>
      </c>
      <c r="B2015" s="559">
        <v>2014</v>
      </c>
      <c r="C2015" s="559" t="s">
        <v>106</v>
      </c>
      <c r="D2015" s="559" t="s">
        <v>17</v>
      </c>
      <c r="E2015" s="559" t="s">
        <v>101</v>
      </c>
      <c r="F2015" s="559">
        <v>0</v>
      </c>
      <c r="G2015" s="174"/>
    </row>
    <row r="2016" spans="1:7" x14ac:dyDescent="0.3">
      <c r="A2016" s="559" t="s">
        <v>696</v>
      </c>
      <c r="B2016" s="559">
        <v>2014</v>
      </c>
      <c r="C2016" s="559" t="s">
        <v>545</v>
      </c>
      <c r="D2016" s="559" t="s">
        <v>9</v>
      </c>
      <c r="E2016" s="559" t="s">
        <v>96</v>
      </c>
      <c r="F2016" s="559">
        <v>1489634.561</v>
      </c>
      <c r="G2016" s="174"/>
    </row>
    <row r="2017" spans="1:7" x14ac:dyDescent="0.3">
      <c r="A2017" s="559" t="s">
        <v>696</v>
      </c>
      <c r="B2017" s="559">
        <v>2014</v>
      </c>
      <c r="C2017" s="559" t="s">
        <v>109</v>
      </c>
      <c r="D2017" s="559" t="s">
        <v>35</v>
      </c>
      <c r="E2017" s="559" t="s">
        <v>101</v>
      </c>
      <c r="F2017" s="559">
        <v>0</v>
      </c>
      <c r="G2017" s="174"/>
    </row>
    <row r="2018" spans="1:7" x14ac:dyDescent="0.3">
      <c r="A2018" s="559" t="s">
        <v>696</v>
      </c>
      <c r="B2018" s="559">
        <v>2014</v>
      </c>
      <c r="C2018" s="559" t="s">
        <v>111</v>
      </c>
      <c r="D2018" s="559" t="s">
        <v>6</v>
      </c>
      <c r="E2018" s="559" t="s">
        <v>96</v>
      </c>
      <c r="F2018" s="559">
        <v>280096.75600000098</v>
      </c>
      <c r="G2018" s="174"/>
    </row>
    <row r="2019" spans="1:7" x14ac:dyDescent="0.3">
      <c r="A2019" s="559" t="s">
        <v>696</v>
      </c>
      <c r="B2019" s="559">
        <v>2014</v>
      </c>
      <c r="C2019" s="559" t="s">
        <v>112</v>
      </c>
      <c r="D2019" s="559" t="s">
        <v>17</v>
      </c>
      <c r="E2019" s="559" t="s">
        <v>101</v>
      </c>
      <c r="F2019" s="559">
        <v>23551.147000000001</v>
      </c>
      <c r="G2019" s="174"/>
    </row>
    <row r="2020" spans="1:7" x14ac:dyDescent="0.3">
      <c r="A2020" s="559" t="s">
        <v>696</v>
      </c>
      <c r="B2020" s="559">
        <v>2014</v>
      </c>
      <c r="C2020" s="559" t="s">
        <v>113</v>
      </c>
      <c r="D2020" s="559" t="s">
        <v>41</v>
      </c>
      <c r="E2020" s="559" t="s">
        <v>96</v>
      </c>
      <c r="F2020" s="559">
        <v>11094.585999999899</v>
      </c>
      <c r="G2020" s="174"/>
    </row>
    <row r="2021" spans="1:7" x14ac:dyDescent="0.3">
      <c r="A2021" s="559" t="s">
        <v>696</v>
      </c>
      <c r="B2021" s="559">
        <v>2014</v>
      </c>
      <c r="C2021" s="559" t="s">
        <v>114</v>
      </c>
      <c r="D2021" s="559" t="s">
        <v>14</v>
      </c>
      <c r="E2021" s="559" t="s">
        <v>101</v>
      </c>
      <c r="F2021" s="559">
        <v>0</v>
      </c>
      <c r="G2021" s="174"/>
    </row>
    <row r="2022" spans="1:7" x14ac:dyDescent="0.3">
      <c r="A2022" s="559" t="s">
        <v>696</v>
      </c>
      <c r="B2022" s="559">
        <v>2014</v>
      </c>
      <c r="C2022" s="559" t="s">
        <v>115</v>
      </c>
      <c r="D2022" s="559" t="s">
        <v>71</v>
      </c>
      <c r="E2022" s="559" t="s">
        <v>96</v>
      </c>
      <c r="F2022" s="559">
        <v>542883.69500000204</v>
      </c>
      <c r="G2022" s="174"/>
    </row>
    <row r="2023" spans="1:7" x14ac:dyDescent="0.3">
      <c r="A2023" s="559" t="s">
        <v>696</v>
      </c>
      <c r="B2023" s="559">
        <v>2014</v>
      </c>
      <c r="C2023" s="559" t="s">
        <v>116</v>
      </c>
      <c r="D2023" s="559" t="s">
        <v>51</v>
      </c>
      <c r="E2023" s="559" t="s">
        <v>96</v>
      </c>
      <c r="F2023" s="559">
        <v>1672.76513536317</v>
      </c>
      <c r="G2023" s="174"/>
    </row>
    <row r="2024" spans="1:7" x14ac:dyDescent="0.3">
      <c r="A2024" s="559" t="s">
        <v>696</v>
      </c>
      <c r="B2024" s="559">
        <v>2014</v>
      </c>
      <c r="C2024" s="559" t="s">
        <v>116</v>
      </c>
      <c r="D2024" s="559" t="s">
        <v>30</v>
      </c>
      <c r="E2024" s="559" t="s">
        <v>96</v>
      </c>
      <c r="F2024" s="559">
        <v>196586.26786463801</v>
      </c>
      <c r="G2024" s="174"/>
    </row>
    <row r="2025" spans="1:7" x14ac:dyDescent="0.3">
      <c r="A2025" s="559" t="s">
        <v>696</v>
      </c>
      <c r="B2025" s="559">
        <v>2014</v>
      </c>
      <c r="C2025" s="559" t="s">
        <v>117</v>
      </c>
      <c r="D2025" s="559" t="s">
        <v>14</v>
      </c>
      <c r="E2025" s="559" t="s">
        <v>101</v>
      </c>
      <c r="F2025" s="559">
        <v>0</v>
      </c>
      <c r="G2025" s="174"/>
    </row>
    <row r="2026" spans="1:7" x14ac:dyDescent="0.3">
      <c r="A2026" s="559" t="s">
        <v>696</v>
      </c>
      <c r="B2026" s="559">
        <v>2014</v>
      </c>
      <c r="C2026" s="559" t="s">
        <v>118</v>
      </c>
      <c r="D2026" s="559" t="s">
        <v>13</v>
      </c>
      <c r="E2026" s="559" t="s">
        <v>96</v>
      </c>
      <c r="F2026" s="559">
        <v>1304721.3600000001</v>
      </c>
      <c r="G2026" s="174"/>
    </row>
    <row r="2027" spans="1:7" x14ac:dyDescent="0.3">
      <c r="A2027" s="559" t="s">
        <v>696</v>
      </c>
      <c r="B2027" s="559">
        <v>2014</v>
      </c>
      <c r="C2027" s="559" t="s">
        <v>119</v>
      </c>
      <c r="D2027" s="559" t="s">
        <v>5</v>
      </c>
      <c r="E2027" s="559" t="s">
        <v>96</v>
      </c>
      <c r="F2027" s="559">
        <v>1925584.1340000001</v>
      </c>
      <c r="G2027" s="174"/>
    </row>
    <row r="2028" spans="1:7" x14ac:dyDescent="0.3">
      <c r="A2028" s="559" t="s">
        <v>696</v>
      </c>
      <c r="B2028" s="559">
        <v>2014</v>
      </c>
      <c r="C2028" s="559" t="s">
        <v>120</v>
      </c>
      <c r="D2028" s="559" t="s">
        <v>5</v>
      </c>
      <c r="E2028" s="559" t="s">
        <v>96</v>
      </c>
      <c r="F2028" s="559">
        <v>4918437.2879999904</v>
      </c>
      <c r="G2028" s="174"/>
    </row>
    <row r="2029" spans="1:7" x14ac:dyDescent="0.3">
      <c r="A2029" s="559" t="s">
        <v>696</v>
      </c>
      <c r="B2029" s="559">
        <v>2014</v>
      </c>
      <c r="C2029" s="559" t="s">
        <v>121</v>
      </c>
      <c r="D2029" s="559" t="s">
        <v>0</v>
      </c>
      <c r="E2029" s="559" t="s">
        <v>96</v>
      </c>
      <c r="F2029" s="559">
        <v>75681.411999999502</v>
      </c>
      <c r="G2029" s="174"/>
    </row>
    <row r="2030" spans="1:7" x14ac:dyDescent="0.3">
      <c r="A2030" s="559" t="s">
        <v>696</v>
      </c>
      <c r="B2030" s="559">
        <v>2014</v>
      </c>
      <c r="C2030" s="559" t="s">
        <v>122</v>
      </c>
      <c r="D2030" s="559" t="s">
        <v>28</v>
      </c>
      <c r="E2030" s="559" t="s">
        <v>96</v>
      </c>
      <c r="F2030" s="559">
        <v>1444106.9790000001</v>
      </c>
      <c r="G2030" s="174"/>
    </row>
    <row r="2031" spans="1:7" x14ac:dyDescent="0.3">
      <c r="A2031" s="559" t="s">
        <v>696</v>
      </c>
      <c r="B2031" s="559">
        <v>2014</v>
      </c>
      <c r="C2031" s="559" t="s">
        <v>123</v>
      </c>
      <c r="D2031" s="559" t="s">
        <v>35</v>
      </c>
      <c r="E2031" s="559" t="s">
        <v>110</v>
      </c>
      <c r="F2031" s="559">
        <v>0</v>
      </c>
      <c r="G2031" s="174"/>
    </row>
    <row r="2032" spans="1:7" x14ac:dyDescent="0.3">
      <c r="A2032" s="559" t="s">
        <v>696</v>
      </c>
      <c r="B2032" s="559">
        <v>2014</v>
      </c>
      <c r="C2032" s="559" t="s">
        <v>124</v>
      </c>
      <c r="D2032" s="559" t="s">
        <v>49</v>
      </c>
      <c r="E2032" s="559" t="s">
        <v>96</v>
      </c>
      <c r="F2032" s="559">
        <v>17681.154999999799</v>
      </c>
      <c r="G2032" s="174"/>
    </row>
    <row r="2033" spans="1:7" x14ac:dyDescent="0.3">
      <c r="A2033" s="559" t="s">
        <v>696</v>
      </c>
      <c r="B2033" s="559">
        <v>2014</v>
      </c>
      <c r="C2033" s="559" t="s">
        <v>125</v>
      </c>
      <c r="D2033" s="559" t="s">
        <v>20</v>
      </c>
      <c r="E2033" s="559" t="s">
        <v>96</v>
      </c>
      <c r="F2033" s="559">
        <v>48971.765999999297</v>
      </c>
      <c r="G2033" s="174"/>
    </row>
    <row r="2034" spans="1:7" x14ac:dyDescent="0.3">
      <c r="A2034" s="559" t="s">
        <v>696</v>
      </c>
      <c r="B2034" s="559">
        <v>2014</v>
      </c>
      <c r="C2034" s="559" t="s">
        <v>126</v>
      </c>
      <c r="D2034" s="559" t="s">
        <v>23</v>
      </c>
      <c r="E2034" s="559" t="s">
        <v>96</v>
      </c>
      <c r="F2034" s="559">
        <v>933424.75241939898</v>
      </c>
      <c r="G2034" s="174"/>
    </row>
    <row r="2035" spans="1:7" x14ac:dyDescent="0.3">
      <c r="A2035" s="559" t="s">
        <v>696</v>
      </c>
      <c r="B2035" s="559">
        <v>2014</v>
      </c>
      <c r="C2035" s="559" t="s">
        <v>126</v>
      </c>
      <c r="D2035" s="559" t="s">
        <v>556</v>
      </c>
      <c r="E2035" s="559" t="s">
        <v>96</v>
      </c>
      <c r="F2035" s="559">
        <v>4553063.6725806203</v>
      </c>
      <c r="G2035" s="174"/>
    </row>
    <row r="2036" spans="1:7" x14ac:dyDescent="0.3">
      <c r="A2036" s="559" t="s">
        <v>696</v>
      </c>
      <c r="B2036" s="559">
        <v>2014</v>
      </c>
      <c r="C2036" s="559" t="s">
        <v>127</v>
      </c>
      <c r="D2036" s="559" t="s">
        <v>28</v>
      </c>
      <c r="E2036" s="559" t="s">
        <v>96</v>
      </c>
      <c r="F2036" s="559">
        <v>384641.52700000198</v>
      </c>
      <c r="G2036" s="174"/>
    </row>
    <row r="2037" spans="1:7" x14ac:dyDescent="0.3">
      <c r="A2037" s="559" t="s">
        <v>696</v>
      </c>
      <c r="B2037" s="559">
        <v>2014</v>
      </c>
      <c r="C2037" s="559" t="s">
        <v>128</v>
      </c>
      <c r="D2037" s="559" t="s">
        <v>25</v>
      </c>
      <c r="E2037" s="559" t="s">
        <v>96</v>
      </c>
      <c r="F2037" s="559">
        <v>1346033.923</v>
      </c>
      <c r="G2037" s="174"/>
    </row>
    <row r="2038" spans="1:7" x14ac:dyDescent="0.3">
      <c r="A2038" s="559" t="s">
        <v>696</v>
      </c>
      <c r="B2038" s="559">
        <v>2014</v>
      </c>
      <c r="C2038" s="559" t="s">
        <v>129</v>
      </c>
      <c r="D2038" s="559" t="s">
        <v>103</v>
      </c>
      <c r="E2038" s="559" t="s">
        <v>96</v>
      </c>
      <c r="F2038" s="559">
        <v>592.905000000021</v>
      </c>
      <c r="G2038" s="174"/>
    </row>
    <row r="2039" spans="1:7" x14ac:dyDescent="0.3">
      <c r="A2039" s="559" t="s">
        <v>696</v>
      </c>
      <c r="B2039" s="559">
        <v>2014</v>
      </c>
      <c r="C2039" s="559" t="s">
        <v>130</v>
      </c>
      <c r="D2039" s="559" t="s">
        <v>35</v>
      </c>
      <c r="E2039" s="559" t="s">
        <v>101</v>
      </c>
      <c r="F2039" s="559">
        <v>0</v>
      </c>
      <c r="G2039" s="174"/>
    </row>
    <row r="2040" spans="1:7" x14ac:dyDescent="0.3">
      <c r="A2040" s="559" t="s">
        <v>696</v>
      </c>
      <c r="B2040" s="559">
        <v>2014</v>
      </c>
      <c r="C2040" s="559" t="s">
        <v>131</v>
      </c>
      <c r="D2040" s="559" t="s">
        <v>38</v>
      </c>
      <c r="E2040" s="559" t="s">
        <v>96</v>
      </c>
      <c r="F2040" s="559">
        <v>971823.19199999503</v>
      </c>
      <c r="G2040" s="174"/>
    </row>
    <row r="2041" spans="1:7" x14ac:dyDescent="0.3">
      <c r="A2041" s="559" t="s">
        <v>696</v>
      </c>
      <c r="B2041" s="559">
        <v>2014</v>
      </c>
      <c r="C2041" s="559" t="s">
        <v>132</v>
      </c>
      <c r="D2041" s="559" t="s">
        <v>25</v>
      </c>
      <c r="E2041" s="559" t="s">
        <v>96</v>
      </c>
      <c r="F2041" s="559">
        <v>7081.0219999999999</v>
      </c>
      <c r="G2041" s="174"/>
    </row>
    <row r="2042" spans="1:7" x14ac:dyDescent="0.3">
      <c r="A2042" s="559" t="s">
        <v>696</v>
      </c>
      <c r="B2042" s="559">
        <v>2014</v>
      </c>
      <c r="C2042" s="559" t="s">
        <v>133</v>
      </c>
      <c r="D2042" s="559" t="s">
        <v>1</v>
      </c>
      <c r="E2042" s="559" t="s">
        <v>96</v>
      </c>
      <c r="F2042" s="559">
        <v>553162.769000003</v>
      </c>
      <c r="G2042" s="174"/>
    </row>
    <row r="2043" spans="1:7" x14ac:dyDescent="0.3">
      <c r="A2043" s="559" t="s">
        <v>696</v>
      </c>
      <c r="B2043" s="559">
        <v>2014</v>
      </c>
      <c r="C2043" s="559" t="s">
        <v>134</v>
      </c>
      <c r="D2043" s="559" t="s">
        <v>25</v>
      </c>
      <c r="E2043" s="559" t="s">
        <v>96</v>
      </c>
      <c r="F2043" s="559">
        <v>4390.8160000000498</v>
      </c>
      <c r="G2043" s="174"/>
    </row>
    <row r="2044" spans="1:7" x14ac:dyDescent="0.3">
      <c r="A2044" s="559" t="s">
        <v>696</v>
      </c>
      <c r="B2044" s="559">
        <v>2014</v>
      </c>
      <c r="C2044" s="559" t="s">
        <v>135</v>
      </c>
      <c r="D2044" s="559" t="s">
        <v>103</v>
      </c>
      <c r="E2044" s="559" t="s">
        <v>96</v>
      </c>
      <c r="F2044" s="559">
        <v>11.890999999999901</v>
      </c>
      <c r="G2044" s="174"/>
    </row>
    <row r="2045" spans="1:7" x14ac:dyDescent="0.3">
      <c r="A2045" s="559" t="s">
        <v>696</v>
      </c>
      <c r="B2045" s="559">
        <v>2014</v>
      </c>
      <c r="C2045" s="559" t="s">
        <v>136</v>
      </c>
      <c r="D2045" s="559" t="s">
        <v>35</v>
      </c>
      <c r="E2045" s="559" t="s">
        <v>101</v>
      </c>
      <c r="F2045" s="559">
        <v>0</v>
      </c>
      <c r="G2045" s="174"/>
    </row>
    <row r="2046" spans="1:7" x14ac:dyDescent="0.3">
      <c r="A2046" s="559" t="s">
        <v>696</v>
      </c>
      <c r="B2046" s="559">
        <v>2014</v>
      </c>
      <c r="C2046" s="559" t="s">
        <v>137</v>
      </c>
      <c r="D2046" s="559" t="s">
        <v>40</v>
      </c>
      <c r="E2046" s="559" t="s">
        <v>96</v>
      </c>
      <c r="F2046" s="559">
        <v>234847.546999999</v>
      </c>
      <c r="G2046" s="174"/>
    </row>
    <row r="2047" spans="1:7" x14ac:dyDescent="0.3">
      <c r="A2047" s="559" t="s">
        <v>696</v>
      </c>
      <c r="B2047" s="559">
        <v>2014</v>
      </c>
      <c r="C2047" s="559" t="s">
        <v>138</v>
      </c>
      <c r="D2047" s="559" t="s">
        <v>40</v>
      </c>
      <c r="E2047" s="559" t="s">
        <v>96</v>
      </c>
      <c r="F2047" s="559">
        <v>2174448.3160000001</v>
      </c>
      <c r="G2047" s="174"/>
    </row>
    <row r="2048" spans="1:7" x14ac:dyDescent="0.3">
      <c r="A2048" s="559" t="s">
        <v>696</v>
      </c>
      <c r="B2048" s="559">
        <v>2014</v>
      </c>
      <c r="C2048" s="559" t="s">
        <v>139</v>
      </c>
      <c r="D2048" s="559" t="s">
        <v>28</v>
      </c>
      <c r="E2048" s="559" t="s">
        <v>96</v>
      </c>
      <c r="F2048" s="559">
        <v>850608.4</v>
      </c>
      <c r="G2048" s="174"/>
    </row>
    <row r="2049" spans="1:7" x14ac:dyDescent="0.3">
      <c r="A2049" s="559" t="s">
        <v>696</v>
      </c>
      <c r="B2049" s="559">
        <v>2014</v>
      </c>
      <c r="C2049" s="559" t="s">
        <v>140</v>
      </c>
      <c r="D2049" s="559" t="s">
        <v>12</v>
      </c>
      <c r="E2049" s="559" t="s">
        <v>96</v>
      </c>
      <c r="F2049" s="559">
        <v>246061.45600000201</v>
      </c>
      <c r="G2049" s="174"/>
    </row>
    <row r="2050" spans="1:7" x14ac:dyDescent="0.3">
      <c r="A2050" s="559" t="s">
        <v>696</v>
      </c>
      <c r="B2050" s="559">
        <v>2014</v>
      </c>
      <c r="C2050" s="559" t="s">
        <v>141</v>
      </c>
      <c r="D2050" s="559" t="s">
        <v>12</v>
      </c>
      <c r="E2050" s="559" t="s">
        <v>96</v>
      </c>
      <c r="F2050" s="559">
        <v>131430.00999999899</v>
      </c>
      <c r="G2050" s="174"/>
    </row>
    <row r="2051" spans="1:7" x14ac:dyDescent="0.3">
      <c r="A2051" s="559" t="s">
        <v>696</v>
      </c>
      <c r="B2051" s="559">
        <v>2014</v>
      </c>
      <c r="C2051" s="559" t="s">
        <v>142</v>
      </c>
      <c r="D2051" s="559" t="s">
        <v>1</v>
      </c>
      <c r="E2051" s="559" t="s">
        <v>96</v>
      </c>
      <c r="F2051" s="559">
        <v>27999.553697735799</v>
      </c>
      <c r="G2051" s="174"/>
    </row>
    <row r="2052" spans="1:7" x14ac:dyDescent="0.3">
      <c r="A2052" s="559" t="s">
        <v>696</v>
      </c>
      <c r="B2052" s="559">
        <v>2014</v>
      </c>
      <c r="C2052" s="559" t="s">
        <v>142</v>
      </c>
      <c r="D2052" s="559" t="s">
        <v>4</v>
      </c>
      <c r="E2052" s="559" t="s">
        <v>96</v>
      </c>
      <c r="F2052" s="559">
        <v>311.17530226423401</v>
      </c>
      <c r="G2052" s="174"/>
    </row>
    <row r="2053" spans="1:7" x14ac:dyDescent="0.3">
      <c r="A2053" s="559" t="s">
        <v>696</v>
      </c>
      <c r="B2053" s="559">
        <v>2014</v>
      </c>
      <c r="C2053" s="559" t="s">
        <v>142</v>
      </c>
      <c r="D2053" s="559" t="s">
        <v>27</v>
      </c>
      <c r="E2053" s="559" t="s">
        <v>110</v>
      </c>
      <c r="F2053" s="559">
        <v>0</v>
      </c>
      <c r="G2053" s="174"/>
    </row>
    <row r="2054" spans="1:7" x14ac:dyDescent="0.3">
      <c r="A2054" s="559" t="s">
        <v>696</v>
      </c>
      <c r="B2054" s="559">
        <v>2014</v>
      </c>
      <c r="C2054" s="559" t="s">
        <v>143</v>
      </c>
      <c r="D2054" s="559" t="s">
        <v>4</v>
      </c>
      <c r="E2054" s="559" t="s">
        <v>96</v>
      </c>
      <c r="F2054" s="559">
        <v>284.56499999999897</v>
      </c>
      <c r="G2054" s="174"/>
    </row>
    <row r="2055" spans="1:7" x14ac:dyDescent="0.3">
      <c r="A2055" s="559" t="s">
        <v>696</v>
      </c>
      <c r="B2055" s="559">
        <v>2014</v>
      </c>
      <c r="C2055" s="559" t="s">
        <v>144</v>
      </c>
      <c r="D2055" s="559" t="s">
        <v>4</v>
      </c>
      <c r="E2055" s="559" t="s">
        <v>101</v>
      </c>
      <c r="F2055" s="559">
        <v>0</v>
      </c>
      <c r="G2055" s="174"/>
    </row>
    <row r="2056" spans="1:7" x14ac:dyDescent="0.3">
      <c r="A2056" s="559" t="s">
        <v>696</v>
      </c>
      <c r="B2056" s="559">
        <v>2014</v>
      </c>
      <c r="C2056" s="559" t="s">
        <v>145</v>
      </c>
      <c r="D2056" s="559" t="s">
        <v>41</v>
      </c>
      <c r="E2056" s="559" t="s">
        <v>96</v>
      </c>
      <c r="F2056" s="559">
        <v>61581.737999999998</v>
      </c>
      <c r="G2056" s="174"/>
    </row>
    <row r="2057" spans="1:7" x14ac:dyDescent="0.3">
      <c r="A2057" s="559" t="s">
        <v>696</v>
      </c>
      <c r="B2057" s="559">
        <v>2014</v>
      </c>
      <c r="C2057" s="559" t="s">
        <v>146</v>
      </c>
      <c r="D2057" s="559" t="s">
        <v>31</v>
      </c>
      <c r="E2057" s="559" t="s">
        <v>96</v>
      </c>
      <c r="F2057" s="559">
        <v>228473.322999998</v>
      </c>
      <c r="G2057" s="174"/>
    </row>
    <row r="2058" spans="1:7" x14ac:dyDescent="0.3">
      <c r="A2058" s="559" t="s">
        <v>696</v>
      </c>
      <c r="B2058" s="559">
        <v>2014</v>
      </c>
      <c r="C2058" s="559" t="s">
        <v>147</v>
      </c>
      <c r="D2058" s="559" t="s">
        <v>11</v>
      </c>
      <c r="E2058" s="559" t="s">
        <v>96</v>
      </c>
      <c r="F2058" s="559">
        <v>946172.70499999705</v>
      </c>
      <c r="G2058" s="174"/>
    </row>
    <row r="2059" spans="1:7" x14ac:dyDescent="0.3">
      <c r="A2059" s="559" t="s">
        <v>696</v>
      </c>
      <c r="B2059" s="559">
        <v>2014</v>
      </c>
      <c r="C2059" s="559" t="s">
        <v>148</v>
      </c>
      <c r="D2059" s="559" t="s">
        <v>73</v>
      </c>
      <c r="E2059" s="559" t="s">
        <v>96</v>
      </c>
      <c r="F2059" s="559">
        <v>648072.25900000206</v>
      </c>
      <c r="G2059" s="174"/>
    </row>
    <row r="2060" spans="1:7" x14ac:dyDescent="0.3">
      <c r="A2060" s="559" t="s">
        <v>696</v>
      </c>
      <c r="B2060" s="559">
        <v>2014</v>
      </c>
      <c r="C2060" s="559" t="s">
        <v>149</v>
      </c>
      <c r="D2060" s="559" t="s">
        <v>36</v>
      </c>
      <c r="E2060" s="559" t="s">
        <v>96</v>
      </c>
      <c r="F2060" s="559">
        <v>631709.61300000898</v>
      </c>
      <c r="G2060" s="174"/>
    </row>
    <row r="2061" spans="1:7" x14ac:dyDescent="0.3">
      <c r="A2061" s="559" t="s">
        <v>696</v>
      </c>
      <c r="B2061" s="559">
        <v>2014</v>
      </c>
      <c r="C2061" s="559" t="s">
        <v>150</v>
      </c>
      <c r="D2061" s="559" t="s">
        <v>1</v>
      </c>
      <c r="E2061" s="559" t="s">
        <v>96</v>
      </c>
      <c r="F2061" s="559">
        <v>670229.10117682896</v>
      </c>
      <c r="G2061" s="174"/>
    </row>
    <row r="2062" spans="1:7" x14ac:dyDescent="0.3">
      <c r="A2062" s="559" t="s">
        <v>696</v>
      </c>
      <c r="B2062" s="559">
        <v>2014</v>
      </c>
      <c r="C2062" s="559" t="s">
        <v>150</v>
      </c>
      <c r="D2062" s="559" t="s">
        <v>70</v>
      </c>
      <c r="E2062" s="559" t="s">
        <v>96</v>
      </c>
      <c r="F2062" s="559">
        <v>31000.9698231619</v>
      </c>
      <c r="G2062" s="174"/>
    </row>
    <row r="2063" spans="1:7" x14ac:dyDescent="0.3">
      <c r="A2063" s="559" t="s">
        <v>696</v>
      </c>
      <c r="B2063" s="559">
        <v>2014</v>
      </c>
      <c r="C2063" s="559" t="s">
        <v>151</v>
      </c>
      <c r="D2063" s="559" t="s">
        <v>40</v>
      </c>
      <c r="E2063" s="559" t="s">
        <v>96</v>
      </c>
      <c r="F2063" s="559">
        <v>757013.79899999802</v>
      </c>
      <c r="G2063" s="174"/>
    </row>
    <row r="2064" spans="1:7" x14ac:dyDescent="0.3">
      <c r="A2064" s="559" t="s">
        <v>696</v>
      </c>
      <c r="B2064" s="559">
        <v>2014</v>
      </c>
      <c r="C2064" s="559" t="s">
        <v>152</v>
      </c>
      <c r="D2064" s="559" t="s">
        <v>5</v>
      </c>
      <c r="E2064" s="559" t="s">
        <v>96</v>
      </c>
      <c r="F2064" s="559">
        <v>1455329.59843693</v>
      </c>
      <c r="G2064" s="174"/>
    </row>
    <row r="2065" spans="1:7" x14ac:dyDescent="0.3">
      <c r="A2065" s="559" t="s">
        <v>696</v>
      </c>
      <c r="B2065" s="559">
        <v>2014</v>
      </c>
      <c r="C2065" s="559" t="s">
        <v>152</v>
      </c>
      <c r="D2065" s="559" t="s">
        <v>24</v>
      </c>
      <c r="E2065" s="559" t="s">
        <v>96</v>
      </c>
      <c r="F2065" s="559">
        <v>10493044.390563</v>
      </c>
      <c r="G2065" s="174"/>
    </row>
    <row r="2066" spans="1:7" x14ac:dyDescent="0.3">
      <c r="A2066" s="559" t="s">
        <v>696</v>
      </c>
      <c r="B2066" s="559">
        <v>2014</v>
      </c>
      <c r="C2066" s="559" t="s">
        <v>393</v>
      </c>
      <c r="D2066" s="559" t="s">
        <v>24</v>
      </c>
      <c r="E2066" s="559" t="s">
        <v>101</v>
      </c>
      <c r="F2066" s="559">
        <v>0</v>
      </c>
      <c r="G2066" s="174"/>
    </row>
    <row r="2067" spans="1:7" x14ac:dyDescent="0.3">
      <c r="A2067" s="559" t="s">
        <v>696</v>
      </c>
      <c r="B2067" s="559">
        <v>2014</v>
      </c>
      <c r="C2067" s="559" t="s">
        <v>153</v>
      </c>
      <c r="D2067" s="559" t="s">
        <v>73</v>
      </c>
      <c r="E2067" s="559" t="s">
        <v>96</v>
      </c>
      <c r="F2067" s="559">
        <v>463132.72</v>
      </c>
      <c r="G2067" s="174"/>
    </row>
    <row r="2068" spans="1:7" x14ac:dyDescent="0.3">
      <c r="A2068" s="559" t="s">
        <v>696</v>
      </c>
      <c r="B2068" s="559">
        <v>2014</v>
      </c>
      <c r="C2068" s="559" t="s">
        <v>154</v>
      </c>
      <c r="D2068" s="559" t="s">
        <v>41</v>
      </c>
      <c r="E2068" s="559" t="s">
        <v>96</v>
      </c>
      <c r="F2068" s="559">
        <v>180623.18799999799</v>
      </c>
      <c r="G2068" s="174"/>
    </row>
    <row r="2069" spans="1:7" x14ac:dyDescent="0.3">
      <c r="A2069" s="559" t="s">
        <v>696</v>
      </c>
      <c r="B2069" s="559">
        <v>2014</v>
      </c>
      <c r="C2069" s="559" t="s">
        <v>155</v>
      </c>
      <c r="D2069" s="559" t="s">
        <v>28</v>
      </c>
      <c r="E2069" s="559" t="s">
        <v>96</v>
      </c>
      <c r="F2069" s="559">
        <v>107687.60499999901</v>
      </c>
      <c r="G2069" s="174"/>
    </row>
    <row r="2070" spans="1:7" x14ac:dyDescent="0.3">
      <c r="A2070" s="559" t="s">
        <v>696</v>
      </c>
      <c r="B2070" s="559">
        <v>2014</v>
      </c>
      <c r="C2070" s="559" t="s">
        <v>156</v>
      </c>
      <c r="D2070" s="559" t="s">
        <v>39</v>
      </c>
      <c r="E2070" s="559" t="s">
        <v>96</v>
      </c>
      <c r="F2070" s="559">
        <v>541081.78699999803</v>
      </c>
      <c r="G2070" s="174"/>
    </row>
    <row r="2071" spans="1:7" x14ac:dyDescent="0.3">
      <c r="A2071" s="559" t="s">
        <v>696</v>
      </c>
      <c r="B2071" s="559">
        <v>2014</v>
      </c>
      <c r="C2071" s="559" t="s">
        <v>157</v>
      </c>
      <c r="D2071" s="559" t="s">
        <v>39</v>
      </c>
      <c r="E2071" s="559" t="s">
        <v>96</v>
      </c>
      <c r="F2071" s="559">
        <v>2610761.2349999901</v>
      </c>
      <c r="G2071" s="174"/>
    </row>
    <row r="2072" spans="1:7" x14ac:dyDescent="0.3">
      <c r="A2072" s="559" t="s">
        <v>696</v>
      </c>
      <c r="B2072" s="559">
        <v>2014</v>
      </c>
      <c r="C2072" s="559" t="s">
        <v>158</v>
      </c>
      <c r="D2072" s="559" t="s">
        <v>49</v>
      </c>
      <c r="E2072" s="559" t="s">
        <v>96</v>
      </c>
      <c r="F2072" s="559">
        <v>19469.7959999999</v>
      </c>
      <c r="G2072" s="174"/>
    </row>
    <row r="2073" spans="1:7" x14ac:dyDescent="0.3">
      <c r="A2073" s="559" t="s">
        <v>696</v>
      </c>
      <c r="B2073" s="559">
        <v>2014</v>
      </c>
      <c r="C2073" s="559" t="s">
        <v>159</v>
      </c>
      <c r="D2073" s="559" t="s">
        <v>40</v>
      </c>
      <c r="E2073" s="559" t="s">
        <v>96</v>
      </c>
      <c r="F2073" s="559">
        <v>179909.47199999899</v>
      </c>
      <c r="G2073" s="174"/>
    </row>
    <row r="2074" spans="1:7" x14ac:dyDescent="0.3">
      <c r="A2074" s="559" t="s">
        <v>696</v>
      </c>
      <c r="B2074" s="559">
        <v>2014</v>
      </c>
      <c r="C2074" s="559" t="s">
        <v>160</v>
      </c>
      <c r="D2074" s="559" t="s">
        <v>40</v>
      </c>
      <c r="E2074" s="559" t="s">
        <v>96</v>
      </c>
      <c r="F2074" s="559">
        <v>171440.50099999999</v>
      </c>
      <c r="G2074" s="174"/>
    </row>
    <row r="2075" spans="1:7" x14ac:dyDescent="0.3">
      <c r="A2075" s="559" t="s">
        <v>696</v>
      </c>
      <c r="B2075" s="559">
        <v>2014</v>
      </c>
      <c r="C2075" s="559" t="s">
        <v>161</v>
      </c>
      <c r="D2075" s="559" t="s">
        <v>37</v>
      </c>
      <c r="E2075" s="559" t="s">
        <v>96</v>
      </c>
      <c r="F2075" s="559">
        <v>10037639.175000001</v>
      </c>
      <c r="G2075" s="174"/>
    </row>
    <row r="2076" spans="1:7" x14ac:dyDescent="0.3">
      <c r="A2076" s="559" t="s">
        <v>696</v>
      </c>
      <c r="B2076" s="559">
        <v>2014</v>
      </c>
      <c r="C2076" s="559" t="s">
        <v>162</v>
      </c>
      <c r="D2076" s="559" t="s">
        <v>37</v>
      </c>
      <c r="E2076" s="559" t="s">
        <v>96</v>
      </c>
      <c r="F2076" s="559">
        <v>12723742.0629999</v>
      </c>
      <c r="G2076" s="174"/>
    </row>
    <row r="2077" spans="1:7" x14ac:dyDescent="0.3">
      <c r="A2077" s="559" t="s">
        <v>696</v>
      </c>
      <c r="B2077" s="559">
        <v>2014</v>
      </c>
      <c r="C2077" s="559" t="s">
        <v>163</v>
      </c>
      <c r="D2077" s="559" t="s">
        <v>28</v>
      </c>
      <c r="E2077" s="559" t="s">
        <v>96</v>
      </c>
      <c r="F2077" s="559">
        <v>1013833.884</v>
      </c>
      <c r="G2077" s="174"/>
    </row>
    <row r="2078" spans="1:7" x14ac:dyDescent="0.3">
      <c r="A2078" s="559" t="s">
        <v>696</v>
      </c>
      <c r="B2078" s="559">
        <v>2014</v>
      </c>
      <c r="C2078" s="559" t="s">
        <v>164</v>
      </c>
      <c r="D2078" s="559" t="s">
        <v>41</v>
      </c>
      <c r="E2078" s="559" t="s">
        <v>96</v>
      </c>
      <c r="F2078" s="559">
        <v>144466.54</v>
      </c>
      <c r="G2078" s="174"/>
    </row>
    <row r="2079" spans="1:7" x14ac:dyDescent="0.3">
      <c r="A2079" s="559" t="s">
        <v>696</v>
      </c>
      <c r="B2079" s="559">
        <v>2014</v>
      </c>
      <c r="C2079" s="559" t="s">
        <v>165</v>
      </c>
      <c r="D2079" s="559" t="s">
        <v>39</v>
      </c>
      <c r="E2079" s="559" t="s">
        <v>96</v>
      </c>
      <c r="F2079" s="559">
        <v>709390.10999999603</v>
      </c>
      <c r="G2079" s="174"/>
    </row>
    <row r="2080" spans="1:7" x14ac:dyDescent="0.3">
      <c r="A2080" s="559" t="s">
        <v>696</v>
      </c>
      <c r="B2080" s="559">
        <v>2014</v>
      </c>
      <c r="C2080" s="559" t="s">
        <v>166</v>
      </c>
      <c r="D2080" s="559" t="s">
        <v>10</v>
      </c>
      <c r="E2080" s="559" t="s">
        <v>101</v>
      </c>
      <c r="F2080" s="559">
        <v>0</v>
      </c>
      <c r="G2080" s="174"/>
    </row>
    <row r="2081" spans="1:7" x14ac:dyDescent="0.3">
      <c r="A2081" s="559" t="s">
        <v>696</v>
      </c>
      <c r="B2081" s="559">
        <v>2014</v>
      </c>
      <c r="C2081" s="559" t="s">
        <v>167</v>
      </c>
      <c r="D2081" s="559" t="s">
        <v>10</v>
      </c>
      <c r="E2081" s="559" t="s">
        <v>101</v>
      </c>
      <c r="F2081" s="559">
        <v>0</v>
      </c>
      <c r="G2081" s="174"/>
    </row>
    <row r="2082" spans="1:7" x14ac:dyDescent="0.3">
      <c r="A2082" s="559" t="s">
        <v>696</v>
      </c>
      <c r="B2082" s="559">
        <v>2014</v>
      </c>
      <c r="C2082" s="559" t="s">
        <v>168</v>
      </c>
      <c r="D2082" s="559" t="s">
        <v>10</v>
      </c>
      <c r="E2082" s="559" t="s">
        <v>101</v>
      </c>
      <c r="F2082" s="559">
        <v>0</v>
      </c>
      <c r="G2082" s="174"/>
    </row>
    <row r="2083" spans="1:7" x14ac:dyDescent="0.3">
      <c r="A2083" s="559" t="s">
        <v>696</v>
      </c>
      <c r="B2083" s="559">
        <v>2014</v>
      </c>
      <c r="C2083" s="559" t="s">
        <v>169</v>
      </c>
      <c r="D2083" s="559" t="s">
        <v>10</v>
      </c>
      <c r="E2083" s="559" t="s">
        <v>101</v>
      </c>
      <c r="F2083" s="559">
        <v>0</v>
      </c>
      <c r="G2083" s="174"/>
    </row>
    <row r="2084" spans="1:7" x14ac:dyDescent="0.3">
      <c r="A2084" s="559" t="s">
        <v>696</v>
      </c>
      <c r="B2084" s="559">
        <v>2014</v>
      </c>
      <c r="C2084" s="559" t="s">
        <v>170</v>
      </c>
      <c r="D2084" s="559" t="s">
        <v>37</v>
      </c>
      <c r="E2084" s="559" t="s">
        <v>96</v>
      </c>
      <c r="F2084" s="559">
        <v>1087106.03699999</v>
      </c>
      <c r="G2084" s="174"/>
    </row>
    <row r="2085" spans="1:7" x14ac:dyDescent="0.3">
      <c r="A2085" s="559" t="s">
        <v>696</v>
      </c>
      <c r="B2085" s="559">
        <v>2014</v>
      </c>
      <c r="C2085" s="559" t="s">
        <v>171</v>
      </c>
      <c r="D2085" s="559" t="s">
        <v>25</v>
      </c>
      <c r="E2085" s="559" t="s">
        <v>96</v>
      </c>
      <c r="F2085" s="559">
        <v>225992.39799999699</v>
      </c>
      <c r="G2085" s="174"/>
    </row>
    <row r="2086" spans="1:7" x14ac:dyDescent="0.3">
      <c r="A2086" s="559" t="s">
        <v>696</v>
      </c>
      <c r="B2086" s="559">
        <v>2014</v>
      </c>
      <c r="C2086" s="559" t="s">
        <v>172</v>
      </c>
      <c r="D2086" s="559" t="s">
        <v>25</v>
      </c>
      <c r="E2086" s="559" t="s">
        <v>96</v>
      </c>
      <c r="F2086" s="559">
        <v>314326.64299999998</v>
      </c>
      <c r="G2086" s="174"/>
    </row>
    <row r="2087" spans="1:7" x14ac:dyDescent="0.3">
      <c r="A2087" s="559" t="s">
        <v>696</v>
      </c>
      <c r="B2087" s="559">
        <v>2014</v>
      </c>
      <c r="C2087" s="559" t="s">
        <v>173</v>
      </c>
      <c r="D2087" s="559" t="s">
        <v>32</v>
      </c>
      <c r="E2087" s="559" t="s">
        <v>96</v>
      </c>
      <c r="F2087" s="559">
        <v>571962.31999999995</v>
      </c>
      <c r="G2087" s="174"/>
    </row>
    <row r="2088" spans="1:7" x14ac:dyDescent="0.3">
      <c r="A2088" s="559" t="s">
        <v>696</v>
      </c>
      <c r="B2088" s="559">
        <v>2014</v>
      </c>
      <c r="C2088" s="559" t="s">
        <v>174</v>
      </c>
      <c r="D2088" s="559" t="s">
        <v>28</v>
      </c>
      <c r="E2088" s="559" t="s">
        <v>96</v>
      </c>
      <c r="F2088" s="559">
        <v>633114.16899999895</v>
      </c>
      <c r="G2088" s="174"/>
    </row>
    <row r="2089" spans="1:7" x14ac:dyDescent="0.3">
      <c r="A2089" s="559" t="s">
        <v>696</v>
      </c>
      <c r="B2089" s="559">
        <v>2014</v>
      </c>
      <c r="C2089" s="559" t="s">
        <v>175</v>
      </c>
      <c r="D2089" s="559" t="s">
        <v>28</v>
      </c>
      <c r="E2089" s="559" t="s">
        <v>96</v>
      </c>
      <c r="F2089" s="559">
        <v>655058.50599999295</v>
      </c>
      <c r="G2089" s="174"/>
    </row>
    <row r="2090" spans="1:7" x14ac:dyDescent="0.3">
      <c r="A2090" s="559" t="s">
        <v>696</v>
      </c>
      <c r="B2090" s="559">
        <v>2014</v>
      </c>
      <c r="C2090" s="559" t="s">
        <v>176</v>
      </c>
      <c r="D2090" s="559" t="s">
        <v>51</v>
      </c>
      <c r="E2090" s="559" t="s">
        <v>96</v>
      </c>
      <c r="F2090" s="559">
        <v>240669.22099999999</v>
      </c>
      <c r="G2090" s="174"/>
    </row>
    <row r="2091" spans="1:7" x14ac:dyDescent="0.3">
      <c r="A2091" s="559" t="s">
        <v>696</v>
      </c>
      <c r="B2091" s="559">
        <v>2014</v>
      </c>
      <c r="C2091" s="559" t="s">
        <v>177</v>
      </c>
      <c r="D2091" s="559" t="s">
        <v>103</v>
      </c>
      <c r="E2091" s="559" t="s">
        <v>96</v>
      </c>
      <c r="F2091" s="559">
        <v>354.90600000000001</v>
      </c>
      <c r="G2091" s="174"/>
    </row>
    <row r="2092" spans="1:7" x14ac:dyDescent="0.3">
      <c r="A2092" s="559" t="s">
        <v>696</v>
      </c>
      <c r="B2092" s="559">
        <v>2014</v>
      </c>
      <c r="C2092" s="559" t="s">
        <v>178</v>
      </c>
      <c r="D2092" s="559" t="s">
        <v>35</v>
      </c>
      <c r="E2092" s="559" t="s">
        <v>101</v>
      </c>
      <c r="F2092" s="559">
        <v>0</v>
      </c>
      <c r="G2092" s="174"/>
    </row>
    <row r="2093" spans="1:7" x14ac:dyDescent="0.3">
      <c r="A2093" s="559" t="s">
        <v>696</v>
      </c>
      <c r="B2093" s="559">
        <v>2014</v>
      </c>
      <c r="C2093" s="559" t="s">
        <v>179</v>
      </c>
      <c r="D2093" s="559" t="s">
        <v>35</v>
      </c>
      <c r="E2093" s="559" t="s">
        <v>101</v>
      </c>
      <c r="F2093" s="559">
        <v>0</v>
      </c>
      <c r="G2093" s="174"/>
    </row>
    <row r="2094" spans="1:7" x14ac:dyDescent="0.3">
      <c r="A2094" s="559" t="s">
        <v>696</v>
      </c>
      <c r="B2094" s="559">
        <v>2014</v>
      </c>
      <c r="C2094" s="559" t="s">
        <v>180</v>
      </c>
      <c r="D2094" s="559" t="s">
        <v>35</v>
      </c>
      <c r="E2094" s="559" t="s">
        <v>101</v>
      </c>
      <c r="F2094" s="559">
        <v>0</v>
      </c>
      <c r="G2094" s="174"/>
    </row>
    <row r="2095" spans="1:7" x14ac:dyDescent="0.3">
      <c r="A2095" s="559" t="s">
        <v>696</v>
      </c>
      <c r="B2095" s="559">
        <v>2014</v>
      </c>
      <c r="C2095" s="559" t="s">
        <v>181</v>
      </c>
      <c r="D2095" s="559" t="s">
        <v>14</v>
      </c>
      <c r="E2095" s="559" t="s">
        <v>96</v>
      </c>
      <c r="F2095" s="559">
        <v>1351.8409999999999</v>
      </c>
      <c r="G2095" s="174"/>
    </row>
    <row r="2096" spans="1:7" x14ac:dyDescent="0.3">
      <c r="A2096" s="559" t="s">
        <v>696</v>
      </c>
      <c r="B2096" s="559">
        <v>2014</v>
      </c>
      <c r="C2096" s="559" t="s">
        <v>182</v>
      </c>
      <c r="D2096" s="559" t="s">
        <v>47</v>
      </c>
      <c r="E2096" s="559" t="s">
        <v>101</v>
      </c>
      <c r="F2096" s="559">
        <v>0</v>
      </c>
      <c r="G2096" s="174"/>
    </row>
    <row r="2097" spans="1:7" x14ac:dyDescent="0.3">
      <c r="A2097" s="559" t="s">
        <v>696</v>
      </c>
      <c r="B2097" s="559">
        <v>2014</v>
      </c>
      <c r="C2097" s="559" t="s">
        <v>183</v>
      </c>
      <c r="D2097" s="559" t="s">
        <v>47</v>
      </c>
      <c r="E2097" s="559" t="s">
        <v>101</v>
      </c>
      <c r="F2097" s="559">
        <v>0</v>
      </c>
      <c r="G2097" s="174"/>
    </row>
    <row r="2098" spans="1:7" x14ac:dyDescent="0.3">
      <c r="A2098" s="559" t="s">
        <v>696</v>
      </c>
      <c r="B2098" s="559">
        <v>2014</v>
      </c>
      <c r="C2098" s="559" t="s">
        <v>184</v>
      </c>
      <c r="D2098" s="559" t="s">
        <v>1</v>
      </c>
      <c r="E2098" s="559" t="s">
        <v>96</v>
      </c>
      <c r="F2098" s="559">
        <v>849811.39367493696</v>
      </c>
      <c r="G2098" s="174"/>
    </row>
    <row r="2099" spans="1:7" x14ac:dyDescent="0.3">
      <c r="A2099" s="559" t="s">
        <v>696</v>
      </c>
      <c r="B2099" s="559">
        <v>2014</v>
      </c>
      <c r="C2099" s="559" t="s">
        <v>184</v>
      </c>
      <c r="D2099" s="559" t="s">
        <v>71</v>
      </c>
      <c r="E2099" s="559" t="s">
        <v>96</v>
      </c>
      <c r="F2099" s="559">
        <v>110565.218812587</v>
      </c>
      <c r="G2099" s="174"/>
    </row>
    <row r="2100" spans="1:7" x14ac:dyDescent="0.3">
      <c r="A2100" s="559" t="s">
        <v>696</v>
      </c>
      <c r="B2100" s="559">
        <v>2014</v>
      </c>
      <c r="C2100" s="559" t="s">
        <v>184</v>
      </c>
      <c r="D2100" s="559" t="s">
        <v>35</v>
      </c>
      <c r="E2100" s="559" t="s">
        <v>110</v>
      </c>
      <c r="F2100" s="559">
        <v>0</v>
      </c>
      <c r="G2100" s="174"/>
    </row>
    <row r="2101" spans="1:7" x14ac:dyDescent="0.3">
      <c r="A2101" s="559" t="s">
        <v>696</v>
      </c>
      <c r="B2101" s="559">
        <v>2014</v>
      </c>
      <c r="C2101" s="559" t="s">
        <v>185</v>
      </c>
      <c r="D2101" s="559" t="s">
        <v>35</v>
      </c>
      <c r="E2101" s="559" t="s">
        <v>101</v>
      </c>
      <c r="F2101" s="559">
        <v>1555.6069999998899</v>
      </c>
      <c r="G2101" s="174"/>
    </row>
    <row r="2102" spans="1:7" x14ac:dyDescent="0.3">
      <c r="A2102" s="559" t="s">
        <v>696</v>
      </c>
      <c r="B2102" s="559">
        <v>2014</v>
      </c>
      <c r="C2102" s="559" t="s">
        <v>186</v>
      </c>
      <c r="D2102" s="559" t="s">
        <v>1</v>
      </c>
      <c r="E2102" s="559" t="s">
        <v>96</v>
      </c>
      <c r="F2102" s="559">
        <v>548570.59699999902</v>
      </c>
      <c r="G2102" s="174"/>
    </row>
    <row r="2103" spans="1:7" x14ac:dyDescent="0.3">
      <c r="A2103" s="559" t="s">
        <v>696</v>
      </c>
      <c r="B2103" s="559">
        <v>2014</v>
      </c>
      <c r="C2103" s="559" t="s">
        <v>187</v>
      </c>
      <c r="D2103" s="559" t="s">
        <v>71</v>
      </c>
      <c r="E2103" s="559" t="s">
        <v>96</v>
      </c>
      <c r="F2103" s="559">
        <v>18203.262999999901</v>
      </c>
      <c r="G2103" s="174"/>
    </row>
    <row r="2104" spans="1:7" x14ac:dyDescent="0.3">
      <c r="A2104" s="559" t="s">
        <v>696</v>
      </c>
      <c r="B2104" s="559">
        <v>2014</v>
      </c>
      <c r="C2104" s="559" t="s">
        <v>188</v>
      </c>
      <c r="D2104" s="559" t="s">
        <v>69</v>
      </c>
      <c r="E2104" s="559" t="s">
        <v>96</v>
      </c>
      <c r="F2104" s="559">
        <v>676455.216401843</v>
      </c>
      <c r="G2104" s="174"/>
    </row>
    <row r="2105" spans="1:7" x14ac:dyDescent="0.3">
      <c r="A2105" s="559" t="s">
        <v>696</v>
      </c>
      <c r="B2105" s="559">
        <v>2014</v>
      </c>
      <c r="C2105" s="559" t="s">
        <v>188</v>
      </c>
      <c r="D2105" s="559" t="s">
        <v>73</v>
      </c>
      <c r="E2105" s="559" t="s">
        <v>96</v>
      </c>
      <c r="F2105" s="559">
        <v>564439.36959816201</v>
      </c>
      <c r="G2105" s="174"/>
    </row>
    <row r="2106" spans="1:7" x14ac:dyDescent="0.3">
      <c r="A2106" s="559" t="s">
        <v>696</v>
      </c>
      <c r="B2106" s="559">
        <v>2014</v>
      </c>
      <c r="C2106" s="559" t="s">
        <v>189</v>
      </c>
      <c r="D2106" s="559" t="s">
        <v>25</v>
      </c>
      <c r="E2106" s="559" t="s">
        <v>96</v>
      </c>
      <c r="F2106" s="559">
        <v>975119.45400000201</v>
      </c>
      <c r="G2106" s="174"/>
    </row>
    <row r="2107" spans="1:7" x14ac:dyDescent="0.3">
      <c r="A2107" s="559" t="s">
        <v>696</v>
      </c>
      <c r="B2107" s="559">
        <v>2014</v>
      </c>
      <c r="C2107" s="559" t="s">
        <v>190</v>
      </c>
      <c r="D2107" s="559" t="s">
        <v>25</v>
      </c>
      <c r="E2107" s="559" t="s">
        <v>96</v>
      </c>
      <c r="F2107" s="559">
        <v>5486612.0669999998</v>
      </c>
      <c r="G2107" s="174"/>
    </row>
    <row r="2108" spans="1:7" x14ac:dyDescent="0.3">
      <c r="A2108" s="559" t="s">
        <v>696</v>
      </c>
      <c r="B2108" s="559">
        <v>2014</v>
      </c>
      <c r="C2108" s="559" t="s">
        <v>191</v>
      </c>
      <c r="D2108" s="559" t="s">
        <v>12</v>
      </c>
      <c r="E2108" s="559" t="s">
        <v>96</v>
      </c>
      <c r="F2108" s="559">
        <v>351068.41800000001</v>
      </c>
      <c r="G2108" s="174"/>
    </row>
    <row r="2109" spans="1:7" x14ac:dyDescent="0.3">
      <c r="A2109" s="559" t="s">
        <v>696</v>
      </c>
      <c r="B2109" s="559">
        <v>2014</v>
      </c>
      <c r="C2109" s="559" t="s">
        <v>192</v>
      </c>
      <c r="D2109" s="559" t="s">
        <v>22</v>
      </c>
      <c r="E2109" s="559" t="s">
        <v>96</v>
      </c>
      <c r="F2109" s="559">
        <v>2749645.5169999902</v>
      </c>
      <c r="G2109" s="174"/>
    </row>
    <row r="2110" spans="1:7" x14ac:dyDescent="0.3">
      <c r="A2110" s="559" t="s">
        <v>696</v>
      </c>
      <c r="B2110" s="559">
        <v>2014</v>
      </c>
      <c r="C2110" s="559" t="s">
        <v>192</v>
      </c>
      <c r="D2110" s="559" t="s">
        <v>51</v>
      </c>
      <c r="E2110" s="559" t="s">
        <v>96</v>
      </c>
      <c r="F2110" s="559">
        <v>17.677432589471699</v>
      </c>
      <c r="G2110" s="174"/>
    </row>
    <row r="2111" spans="1:7" x14ac:dyDescent="0.3">
      <c r="A2111" s="559" t="s">
        <v>696</v>
      </c>
      <c r="B2111" s="559">
        <v>2014</v>
      </c>
      <c r="C2111" s="559" t="s">
        <v>193</v>
      </c>
      <c r="D2111" s="559" t="s">
        <v>11</v>
      </c>
      <c r="E2111" s="559" t="s">
        <v>96</v>
      </c>
      <c r="F2111" s="559">
        <v>55185.652999999998</v>
      </c>
      <c r="G2111" s="174"/>
    </row>
    <row r="2112" spans="1:7" x14ac:dyDescent="0.3">
      <c r="A2112" s="559" t="s">
        <v>696</v>
      </c>
      <c r="B2112" s="559">
        <v>2014</v>
      </c>
      <c r="C2112" s="559" t="s">
        <v>394</v>
      </c>
      <c r="D2112" s="559" t="s">
        <v>33</v>
      </c>
      <c r="E2112" s="559" t="s">
        <v>101</v>
      </c>
      <c r="F2112" s="559">
        <v>0</v>
      </c>
      <c r="G2112" s="174"/>
    </row>
    <row r="2113" spans="1:7" x14ac:dyDescent="0.3">
      <c r="A2113" s="559" t="s">
        <v>696</v>
      </c>
      <c r="B2113" s="559">
        <v>2014</v>
      </c>
      <c r="C2113" s="559" t="s">
        <v>395</v>
      </c>
      <c r="D2113" s="559" t="s">
        <v>17</v>
      </c>
      <c r="E2113" s="559" t="s">
        <v>101</v>
      </c>
      <c r="F2113" s="559">
        <v>0</v>
      </c>
      <c r="G2113" s="174"/>
    </row>
    <row r="2114" spans="1:7" x14ac:dyDescent="0.3">
      <c r="A2114" s="559" t="s">
        <v>696</v>
      </c>
      <c r="B2114" s="559">
        <v>2014</v>
      </c>
      <c r="C2114" s="559" t="s">
        <v>194</v>
      </c>
      <c r="D2114" s="559" t="s">
        <v>25</v>
      </c>
      <c r="E2114" s="559" t="s">
        <v>96</v>
      </c>
      <c r="F2114" s="559">
        <v>178536.004000001</v>
      </c>
      <c r="G2114" s="174"/>
    </row>
    <row r="2115" spans="1:7" x14ac:dyDescent="0.3">
      <c r="A2115" s="559" t="s">
        <v>696</v>
      </c>
      <c r="B2115" s="559">
        <v>2014</v>
      </c>
      <c r="C2115" s="559" t="s">
        <v>195</v>
      </c>
      <c r="D2115" s="559" t="s">
        <v>25</v>
      </c>
      <c r="E2115" s="559" t="s">
        <v>96</v>
      </c>
      <c r="F2115" s="559">
        <v>186887.160999999</v>
      </c>
      <c r="G2115" s="174"/>
    </row>
    <row r="2116" spans="1:7" x14ac:dyDescent="0.3">
      <c r="A2116" s="559" t="s">
        <v>696</v>
      </c>
      <c r="B2116" s="559">
        <v>2014</v>
      </c>
      <c r="C2116" s="559" t="s">
        <v>196</v>
      </c>
      <c r="D2116" s="559" t="s">
        <v>19</v>
      </c>
      <c r="E2116" s="559" t="s">
        <v>96</v>
      </c>
      <c r="F2116" s="559">
        <v>48248.495999999497</v>
      </c>
      <c r="G2116" s="174"/>
    </row>
    <row r="2117" spans="1:7" x14ac:dyDescent="0.3">
      <c r="A2117" s="559" t="s">
        <v>696</v>
      </c>
      <c r="B2117" s="559">
        <v>2014</v>
      </c>
      <c r="C2117" s="559" t="s">
        <v>197</v>
      </c>
      <c r="D2117" s="559" t="s">
        <v>3</v>
      </c>
      <c r="E2117" s="559" t="s">
        <v>96</v>
      </c>
      <c r="F2117" s="559">
        <v>2465431.3919999902</v>
      </c>
      <c r="G2117" s="174"/>
    </row>
    <row r="2118" spans="1:7" x14ac:dyDescent="0.3">
      <c r="A2118" s="559" t="s">
        <v>696</v>
      </c>
      <c r="B2118" s="559">
        <v>2014</v>
      </c>
      <c r="C2118" s="559" t="s">
        <v>396</v>
      </c>
      <c r="D2118" s="559" t="s">
        <v>3</v>
      </c>
      <c r="E2118" s="559" t="s">
        <v>101</v>
      </c>
      <c r="F2118" s="559">
        <v>0</v>
      </c>
      <c r="G2118" s="174"/>
    </row>
    <row r="2119" spans="1:7" x14ac:dyDescent="0.3">
      <c r="A2119" s="559" t="s">
        <v>696</v>
      </c>
      <c r="B2119" s="559">
        <v>2014</v>
      </c>
      <c r="C2119" s="559" t="s">
        <v>198</v>
      </c>
      <c r="D2119" s="559" t="s">
        <v>28</v>
      </c>
      <c r="E2119" s="559" t="s">
        <v>96</v>
      </c>
      <c r="F2119" s="559">
        <v>283666.070000001</v>
      </c>
      <c r="G2119" s="174"/>
    </row>
    <row r="2120" spans="1:7" x14ac:dyDescent="0.3">
      <c r="A2120" s="559" t="s">
        <v>696</v>
      </c>
      <c r="B2120" s="559">
        <v>2014</v>
      </c>
      <c r="C2120" s="559" t="s">
        <v>199</v>
      </c>
      <c r="D2120" s="559" t="s">
        <v>28</v>
      </c>
      <c r="E2120" s="559" t="s">
        <v>96</v>
      </c>
      <c r="F2120" s="559">
        <v>154221.78899999699</v>
      </c>
      <c r="G2120" s="174"/>
    </row>
    <row r="2121" spans="1:7" x14ac:dyDescent="0.3">
      <c r="A2121" s="559" t="s">
        <v>696</v>
      </c>
      <c r="B2121" s="559">
        <v>2014</v>
      </c>
      <c r="C2121" s="559" t="s">
        <v>200</v>
      </c>
      <c r="D2121" s="559" t="s">
        <v>677</v>
      </c>
      <c r="E2121" s="559" t="s">
        <v>96</v>
      </c>
      <c r="F2121" s="559">
        <v>49167.2826276622</v>
      </c>
      <c r="G2121" s="174"/>
    </row>
    <row r="2122" spans="1:7" x14ac:dyDescent="0.3">
      <c r="A2122" s="559" t="s">
        <v>696</v>
      </c>
      <c r="B2122" s="559">
        <v>2014</v>
      </c>
      <c r="C2122" s="559" t="s">
        <v>200</v>
      </c>
      <c r="D2122" s="559" t="s">
        <v>34</v>
      </c>
      <c r="E2122" s="559" t="s">
        <v>96</v>
      </c>
      <c r="F2122" s="559">
        <v>1890848.1563723299</v>
      </c>
      <c r="G2122" s="174"/>
    </row>
    <row r="2123" spans="1:7" x14ac:dyDescent="0.3">
      <c r="A2123" s="559" t="s">
        <v>696</v>
      </c>
      <c r="B2123" s="559">
        <v>2014</v>
      </c>
      <c r="C2123" s="559" t="s">
        <v>201</v>
      </c>
      <c r="D2123" s="559" t="s">
        <v>34</v>
      </c>
      <c r="E2123" s="559" t="s">
        <v>110</v>
      </c>
      <c r="F2123" s="559">
        <v>0</v>
      </c>
      <c r="G2123" s="174"/>
    </row>
    <row r="2124" spans="1:7" x14ac:dyDescent="0.3">
      <c r="A2124" s="559" t="s">
        <v>696</v>
      </c>
      <c r="B2124" s="559">
        <v>2014</v>
      </c>
      <c r="C2124" s="559" t="s">
        <v>202</v>
      </c>
      <c r="D2124" s="559" t="s">
        <v>33</v>
      </c>
      <c r="E2124" s="559" t="s">
        <v>101</v>
      </c>
      <c r="F2124" s="559">
        <v>0</v>
      </c>
      <c r="G2124" s="174"/>
    </row>
    <row r="2125" spans="1:7" x14ac:dyDescent="0.3">
      <c r="A2125" s="559" t="s">
        <v>696</v>
      </c>
      <c r="B2125" s="559">
        <v>2014</v>
      </c>
      <c r="C2125" s="559" t="s">
        <v>203</v>
      </c>
      <c r="D2125" s="559" t="s">
        <v>17</v>
      </c>
      <c r="E2125" s="559" t="s">
        <v>101</v>
      </c>
      <c r="F2125" s="559">
        <v>0</v>
      </c>
      <c r="G2125" s="174"/>
    </row>
    <row r="2126" spans="1:7" x14ac:dyDescent="0.3">
      <c r="A2126" s="559" t="s">
        <v>696</v>
      </c>
      <c r="B2126" s="559">
        <v>2014</v>
      </c>
      <c r="C2126" s="559" t="s">
        <v>204</v>
      </c>
      <c r="D2126" s="559" t="s">
        <v>28</v>
      </c>
      <c r="E2126" s="559" t="s">
        <v>96</v>
      </c>
      <c r="F2126" s="559">
        <v>1146017.4210000001</v>
      </c>
      <c r="G2126" s="174"/>
    </row>
    <row r="2127" spans="1:7" x14ac:dyDescent="0.3">
      <c r="A2127" s="559" t="s">
        <v>696</v>
      </c>
      <c r="B2127" s="559">
        <v>2014</v>
      </c>
      <c r="C2127" s="559" t="s">
        <v>205</v>
      </c>
      <c r="D2127" s="559" t="s">
        <v>35</v>
      </c>
      <c r="E2127" s="559" t="s">
        <v>110</v>
      </c>
      <c r="F2127" s="559">
        <v>0</v>
      </c>
      <c r="G2127" s="174"/>
    </row>
    <row r="2128" spans="1:7" x14ac:dyDescent="0.3">
      <c r="A2128" s="559" t="s">
        <v>696</v>
      </c>
      <c r="B2128" s="559">
        <v>2014</v>
      </c>
      <c r="C2128" s="559" t="s">
        <v>205</v>
      </c>
      <c r="D2128" s="559" t="s">
        <v>41</v>
      </c>
      <c r="E2128" s="559" t="s">
        <v>96</v>
      </c>
      <c r="F2128" s="559">
        <v>8603.3790000000099</v>
      </c>
      <c r="G2128" s="174"/>
    </row>
    <row r="2129" spans="1:7" x14ac:dyDescent="0.3">
      <c r="A2129" s="559" t="s">
        <v>696</v>
      </c>
      <c r="B2129" s="559">
        <v>2014</v>
      </c>
      <c r="C2129" s="559" t="s">
        <v>206</v>
      </c>
      <c r="D2129" s="559" t="s">
        <v>35</v>
      </c>
      <c r="E2129" s="559" t="s">
        <v>101</v>
      </c>
      <c r="F2129" s="559">
        <v>0</v>
      </c>
      <c r="G2129" s="174"/>
    </row>
    <row r="2130" spans="1:7" x14ac:dyDescent="0.3">
      <c r="A2130" s="559" t="s">
        <v>696</v>
      </c>
      <c r="B2130" s="559">
        <v>2014</v>
      </c>
      <c r="C2130" s="559" t="s">
        <v>207</v>
      </c>
      <c r="D2130" s="559" t="s">
        <v>40</v>
      </c>
      <c r="E2130" s="559" t="s">
        <v>96</v>
      </c>
      <c r="F2130" s="559">
        <v>466076.866999997</v>
      </c>
      <c r="G2130" s="174"/>
    </row>
    <row r="2131" spans="1:7" x14ac:dyDescent="0.3">
      <c r="A2131" s="559" t="s">
        <v>696</v>
      </c>
      <c r="B2131" s="559">
        <v>2014</v>
      </c>
      <c r="C2131" s="559" t="s">
        <v>208</v>
      </c>
      <c r="D2131" s="559" t="s">
        <v>47</v>
      </c>
      <c r="E2131" s="559" t="s">
        <v>96</v>
      </c>
      <c r="F2131" s="559">
        <v>127641.37300000001</v>
      </c>
      <c r="G2131" s="174"/>
    </row>
    <row r="2132" spans="1:7" x14ac:dyDescent="0.3">
      <c r="A2132" s="559" t="s">
        <v>696</v>
      </c>
      <c r="B2132" s="559">
        <v>2014</v>
      </c>
      <c r="C2132" s="559" t="s">
        <v>209</v>
      </c>
      <c r="D2132" s="559" t="s">
        <v>47</v>
      </c>
      <c r="E2132" s="559" t="s">
        <v>96</v>
      </c>
      <c r="F2132" s="559">
        <v>125580.56200000099</v>
      </c>
      <c r="G2132" s="174"/>
    </row>
    <row r="2133" spans="1:7" x14ac:dyDescent="0.3">
      <c r="A2133" s="559" t="s">
        <v>696</v>
      </c>
      <c r="B2133" s="559">
        <v>2014</v>
      </c>
      <c r="C2133" s="559" t="s">
        <v>210</v>
      </c>
      <c r="D2133" s="559" t="s">
        <v>28</v>
      </c>
      <c r="E2133" s="559" t="s">
        <v>96</v>
      </c>
      <c r="F2133" s="559">
        <v>785892.59900000296</v>
      </c>
      <c r="G2133" s="174"/>
    </row>
    <row r="2134" spans="1:7" x14ac:dyDescent="0.3">
      <c r="A2134" s="559" t="s">
        <v>696</v>
      </c>
      <c r="B2134" s="559">
        <v>2014</v>
      </c>
      <c r="C2134" s="559" t="s">
        <v>211</v>
      </c>
      <c r="D2134" s="559" t="s">
        <v>35</v>
      </c>
      <c r="E2134" s="559" t="s">
        <v>110</v>
      </c>
      <c r="F2134" s="559">
        <v>0</v>
      </c>
      <c r="G2134" s="174"/>
    </row>
    <row r="2135" spans="1:7" x14ac:dyDescent="0.3">
      <c r="A2135" s="559" t="s">
        <v>696</v>
      </c>
      <c r="B2135" s="559">
        <v>2014</v>
      </c>
      <c r="C2135" s="559" t="s">
        <v>212</v>
      </c>
      <c r="D2135" s="559" t="s">
        <v>14</v>
      </c>
      <c r="E2135" s="559" t="s">
        <v>101</v>
      </c>
      <c r="F2135" s="559">
        <v>0</v>
      </c>
      <c r="G2135" s="174"/>
    </row>
    <row r="2136" spans="1:7" x14ac:dyDescent="0.3">
      <c r="A2136" s="559" t="s">
        <v>696</v>
      </c>
      <c r="B2136" s="559">
        <v>2014</v>
      </c>
      <c r="C2136" s="559" t="s">
        <v>213</v>
      </c>
      <c r="D2136" s="559" t="s">
        <v>72</v>
      </c>
      <c r="E2136" s="559" t="s">
        <v>110</v>
      </c>
      <c r="F2136" s="559">
        <v>0</v>
      </c>
      <c r="G2136" s="174"/>
    </row>
    <row r="2137" spans="1:7" x14ac:dyDescent="0.3">
      <c r="A2137" s="559" t="s">
        <v>696</v>
      </c>
      <c r="B2137" s="559">
        <v>2014</v>
      </c>
      <c r="C2137" s="559" t="s">
        <v>213</v>
      </c>
      <c r="D2137" s="559" t="s">
        <v>103</v>
      </c>
      <c r="E2137" s="559" t="s">
        <v>96</v>
      </c>
      <c r="F2137" s="559">
        <v>46.084000000000003</v>
      </c>
      <c r="G2137" s="174"/>
    </row>
    <row r="2138" spans="1:7" x14ac:dyDescent="0.3">
      <c r="A2138" s="559" t="s">
        <v>696</v>
      </c>
      <c r="B2138" s="559">
        <v>2014</v>
      </c>
      <c r="C2138" s="559" t="s">
        <v>214</v>
      </c>
      <c r="D2138" s="559" t="s">
        <v>33</v>
      </c>
      <c r="E2138" s="559" t="s">
        <v>101</v>
      </c>
      <c r="F2138" s="559">
        <v>0</v>
      </c>
      <c r="G2138" s="174"/>
    </row>
    <row r="2139" spans="1:7" x14ac:dyDescent="0.3">
      <c r="A2139" s="559" t="s">
        <v>696</v>
      </c>
      <c r="B2139" s="559">
        <v>2014</v>
      </c>
      <c r="C2139" s="559" t="s">
        <v>215</v>
      </c>
      <c r="D2139" s="559" t="s">
        <v>35</v>
      </c>
      <c r="E2139" s="559" t="s">
        <v>101</v>
      </c>
      <c r="F2139" s="559">
        <v>0</v>
      </c>
      <c r="G2139" s="174"/>
    </row>
    <row r="2140" spans="1:7" x14ac:dyDescent="0.3">
      <c r="A2140" s="559" t="s">
        <v>696</v>
      </c>
      <c r="B2140" s="559">
        <v>2014</v>
      </c>
      <c r="C2140" s="559" t="s">
        <v>216</v>
      </c>
      <c r="D2140" s="559" t="s">
        <v>35</v>
      </c>
      <c r="E2140" s="559" t="s">
        <v>101</v>
      </c>
      <c r="F2140" s="559">
        <v>0</v>
      </c>
      <c r="G2140" s="174"/>
    </row>
    <row r="2141" spans="1:7" x14ac:dyDescent="0.3">
      <c r="A2141" s="559" t="s">
        <v>696</v>
      </c>
      <c r="B2141" s="559">
        <v>2014</v>
      </c>
      <c r="C2141" s="559" t="s">
        <v>217</v>
      </c>
      <c r="D2141" s="559" t="s">
        <v>19</v>
      </c>
      <c r="E2141" s="559" t="s">
        <v>96</v>
      </c>
      <c r="F2141" s="559">
        <v>48067.388999999603</v>
      </c>
      <c r="G2141" s="174"/>
    </row>
    <row r="2142" spans="1:7" x14ac:dyDescent="0.3">
      <c r="A2142" s="559" t="s">
        <v>696</v>
      </c>
      <c r="B2142" s="559">
        <v>2014</v>
      </c>
      <c r="C2142" s="559" t="s">
        <v>218</v>
      </c>
      <c r="D2142" s="559" t="s">
        <v>39</v>
      </c>
      <c r="E2142" s="559" t="s">
        <v>96</v>
      </c>
      <c r="F2142" s="559">
        <v>2.7E-2</v>
      </c>
      <c r="G2142" s="174"/>
    </row>
    <row r="2143" spans="1:7" x14ac:dyDescent="0.3">
      <c r="A2143" s="559" t="s">
        <v>696</v>
      </c>
      <c r="B2143" s="559">
        <v>2014</v>
      </c>
      <c r="C2143" s="559" t="s">
        <v>219</v>
      </c>
      <c r="D2143" s="559" t="s">
        <v>28</v>
      </c>
      <c r="E2143" s="559" t="s">
        <v>96</v>
      </c>
      <c r="F2143" s="559">
        <v>256871.424999999</v>
      </c>
      <c r="G2143" s="174"/>
    </row>
    <row r="2144" spans="1:7" x14ac:dyDescent="0.3">
      <c r="A2144" s="559" t="s">
        <v>696</v>
      </c>
      <c r="B2144" s="559">
        <v>2014</v>
      </c>
      <c r="C2144" s="559" t="s">
        <v>220</v>
      </c>
      <c r="D2144" s="559" t="s">
        <v>8</v>
      </c>
      <c r="E2144" s="559" t="s">
        <v>96</v>
      </c>
      <c r="F2144" s="559">
        <v>563701.56100000103</v>
      </c>
      <c r="G2144" s="174"/>
    </row>
    <row r="2145" spans="1:7" x14ac:dyDescent="0.3">
      <c r="A2145" s="559" t="s">
        <v>696</v>
      </c>
      <c r="B2145" s="559">
        <v>2014</v>
      </c>
      <c r="C2145" s="559" t="s">
        <v>221</v>
      </c>
      <c r="D2145" s="559" t="s">
        <v>33</v>
      </c>
      <c r="E2145" s="559" t="s">
        <v>101</v>
      </c>
      <c r="F2145" s="559">
        <v>0</v>
      </c>
      <c r="G2145" s="174"/>
    </row>
    <row r="2146" spans="1:7" x14ac:dyDescent="0.3">
      <c r="A2146" s="559" t="s">
        <v>696</v>
      </c>
      <c r="B2146" s="559">
        <v>2014</v>
      </c>
      <c r="C2146" s="559" t="s">
        <v>222</v>
      </c>
      <c r="D2146" s="559" t="s">
        <v>33</v>
      </c>
      <c r="E2146" s="559" t="s">
        <v>96</v>
      </c>
      <c r="F2146" s="559">
        <v>4622.1099999999497</v>
      </c>
      <c r="G2146" s="174"/>
    </row>
    <row r="2147" spans="1:7" x14ac:dyDescent="0.3">
      <c r="A2147" s="559" t="s">
        <v>696</v>
      </c>
      <c r="B2147" s="559">
        <v>2014</v>
      </c>
      <c r="C2147" s="559" t="s">
        <v>223</v>
      </c>
      <c r="D2147" s="559" t="s">
        <v>33</v>
      </c>
      <c r="E2147" s="559" t="s">
        <v>101</v>
      </c>
      <c r="F2147" s="559">
        <v>0</v>
      </c>
      <c r="G2147" s="174"/>
    </row>
    <row r="2148" spans="1:7" x14ac:dyDescent="0.3">
      <c r="A2148" s="559" t="s">
        <v>696</v>
      </c>
      <c r="B2148" s="559">
        <v>2014</v>
      </c>
      <c r="C2148" s="559" t="s">
        <v>224</v>
      </c>
      <c r="D2148" s="559" t="s">
        <v>40</v>
      </c>
      <c r="E2148" s="559" t="s">
        <v>96</v>
      </c>
      <c r="F2148" s="559">
        <v>358718.09600000299</v>
      </c>
      <c r="G2148" s="174"/>
    </row>
    <row r="2149" spans="1:7" x14ac:dyDescent="0.3">
      <c r="A2149" s="559" t="s">
        <v>696</v>
      </c>
      <c r="B2149" s="559">
        <v>2014</v>
      </c>
      <c r="C2149" s="559" t="s">
        <v>225</v>
      </c>
      <c r="D2149" s="559" t="s">
        <v>40</v>
      </c>
      <c r="E2149" s="559" t="s">
        <v>96</v>
      </c>
      <c r="F2149" s="559">
        <v>386544.81100000098</v>
      </c>
      <c r="G2149" s="174"/>
    </row>
    <row r="2150" spans="1:7" x14ac:dyDescent="0.3">
      <c r="A2150" s="559" t="s">
        <v>696</v>
      </c>
      <c r="B2150" s="559">
        <v>2014</v>
      </c>
      <c r="C2150" s="559" t="s">
        <v>226</v>
      </c>
      <c r="D2150" s="559" t="s">
        <v>37</v>
      </c>
      <c r="E2150" s="559" t="s">
        <v>96</v>
      </c>
      <c r="F2150" s="559">
        <v>9816503.93799996</v>
      </c>
      <c r="G2150" s="174"/>
    </row>
    <row r="2151" spans="1:7" x14ac:dyDescent="0.3">
      <c r="A2151" s="559" t="s">
        <v>696</v>
      </c>
      <c r="B2151" s="559">
        <v>2014</v>
      </c>
      <c r="C2151" s="559" t="s">
        <v>227</v>
      </c>
      <c r="D2151" s="559" t="s">
        <v>48</v>
      </c>
      <c r="E2151" s="559" t="s">
        <v>96</v>
      </c>
      <c r="F2151" s="559">
        <v>1033128.01099999</v>
      </c>
      <c r="G2151" s="174"/>
    </row>
    <row r="2152" spans="1:7" x14ac:dyDescent="0.3">
      <c r="A2152" s="559" t="s">
        <v>696</v>
      </c>
      <c r="B2152" s="559">
        <v>2014</v>
      </c>
      <c r="C2152" s="559" t="s">
        <v>228</v>
      </c>
      <c r="D2152" s="559" t="s">
        <v>15</v>
      </c>
      <c r="E2152" s="559" t="s">
        <v>96</v>
      </c>
      <c r="F2152" s="559">
        <v>248253.984999999</v>
      </c>
      <c r="G2152" s="174"/>
    </row>
    <row r="2153" spans="1:7" x14ac:dyDescent="0.3">
      <c r="A2153" s="559" t="s">
        <v>696</v>
      </c>
      <c r="B2153" s="559">
        <v>2014</v>
      </c>
      <c r="C2153" s="559" t="s">
        <v>229</v>
      </c>
      <c r="D2153" s="559" t="s">
        <v>23</v>
      </c>
      <c r="E2153" s="559" t="s">
        <v>96</v>
      </c>
      <c r="F2153" s="559">
        <v>11033534.914000001</v>
      </c>
      <c r="G2153" s="174"/>
    </row>
    <row r="2154" spans="1:7" x14ac:dyDescent="0.3">
      <c r="A2154" s="559" t="s">
        <v>696</v>
      </c>
      <c r="B2154" s="559">
        <v>2014</v>
      </c>
      <c r="C2154" s="559" t="s">
        <v>230</v>
      </c>
      <c r="D2154" s="559" t="s">
        <v>28</v>
      </c>
      <c r="E2154" s="559" t="s">
        <v>96</v>
      </c>
      <c r="F2154" s="559">
        <v>670497.79599999404</v>
      </c>
      <c r="G2154" s="174"/>
    </row>
    <row r="2155" spans="1:7" x14ac:dyDescent="0.3">
      <c r="A2155" s="559" t="s">
        <v>696</v>
      </c>
      <c r="B2155" s="559">
        <v>2014</v>
      </c>
      <c r="C2155" s="559" t="s">
        <v>231</v>
      </c>
      <c r="D2155" s="559" t="s">
        <v>17</v>
      </c>
      <c r="E2155" s="559" t="s">
        <v>101</v>
      </c>
      <c r="F2155" s="559">
        <v>144447.80199999799</v>
      </c>
      <c r="G2155" s="174"/>
    </row>
    <row r="2156" spans="1:7" x14ac:dyDescent="0.3">
      <c r="A2156" s="559" t="s">
        <v>696</v>
      </c>
      <c r="B2156" s="559">
        <v>2014</v>
      </c>
      <c r="C2156" s="559" t="s">
        <v>232</v>
      </c>
      <c r="D2156" s="559" t="s">
        <v>28</v>
      </c>
      <c r="E2156" s="559" t="s">
        <v>96</v>
      </c>
      <c r="F2156" s="559">
        <v>691284.72700000904</v>
      </c>
      <c r="G2156" s="174"/>
    </row>
    <row r="2157" spans="1:7" x14ac:dyDescent="0.3">
      <c r="A2157" s="559" t="s">
        <v>696</v>
      </c>
      <c r="B2157" s="559">
        <v>2014</v>
      </c>
      <c r="C2157" s="559" t="s">
        <v>233</v>
      </c>
      <c r="D2157" s="559" t="s">
        <v>28</v>
      </c>
      <c r="E2157" s="559" t="s">
        <v>96</v>
      </c>
      <c r="F2157" s="559">
        <v>309093.57899999799</v>
      </c>
      <c r="G2157" s="174"/>
    </row>
    <row r="2158" spans="1:7" x14ac:dyDescent="0.3">
      <c r="A2158" s="559" t="s">
        <v>696</v>
      </c>
      <c r="B2158" s="559">
        <v>2014</v>
      </c>
      <c r="C2158" s="559" t="s">
        <v>234</v>
      </c>
      <c r="D2158" s="559" t="s">
        <v>23</v>
      </c>
      <c r="E2158" s="559" t="s">
        <v>96</v>
      </c>
      <c r="F2158" s="559">
        <v>1720708.8019999999</v>
      </c>
      <c r="G2158" s="174"/>
    </row>
    <row r="2159" spans="1:7" x14ac:dyDescent="0.3">
      <c r="A2159" s="559" t="s">
        <v>696</v>
      </c>
      <c r="B2159" s="559">
        <v>2014</v>
      </c>
      <c r="C2159" s="559" t="s">
        <v>235</v>
      </c>
      <c r="D2159" s="559" t="s">
        <v>28</v>
      </c>
      <c r="E2159" s="559" t="s">
        <v>96</v>
      </c>
      <c r="F2159" s="559">
        <v>111474.700000001</v>
      </c>
      <c r="G2159" s="174"/>
    </row>
    <row r="2160" spans="1:7" x14ac:dyDescent="0.3">
      <c r="A2160" s="559" t="s">
        <v>696</v>
      </c>
      <c r="B2160" s="559">
        <v>2014</v>
      </c>
      <c r="C2160" s="559" t="s">
        <v>236</v>
      </c>
      <c r="D2160" s="559" t="s">
        <v>51</v>
      </c>
      <c r="E2160" s="559" t="s">
        <v>96</v>
      </c>
      <c r="F2160" s="559">
        <v>170.42500000000001</v>
      </c>
      <c r="G2160" s="174"/>
    </row>
    <row r="2161" spans="1:7" x14ac:dyDescent="0.3">
      <c r="A2161" s="559" t="s">
        <v>696</v>
      </c>
      <c r="B2161" s="559">
        <v>2014</v>
      </c>
      <c r="C2161" s="559" t="s">
        <v>237</v>
      </c>
      <c r="D2161" s="559" t="s">
        <v>18</v>
      </c>
      <c r="E2161" s="559" t="s">
        <v>101</v>
      </c>
      <c r="F2161" s="559">
        <v>0</v>
      </c>
      <c r="G2161" s="174"/>
    </row>
    <row r="2162" spans="1:7" x14ac:dyDescent="0.3">
      <c r="A2162" s="559" t="s">
        <v>696</v>
      </c>
      <c r="B2162" s="559">
        <v>2014</v>
      </c>
      <c r="C2162" s="559" t="s">
        <v>238</v>
      </c>
      <c r="D2162" s="559" t="s">
        <v>17</v>
      </c>
      <c r="E2162" s="559" t="s">
        <v>96</v>
      </c>
      <c r="F2162" s="559">
        <v>4.1059999999999901</v>
      </c>
      <c r="G2162" s="174"/>
    </row>
    <row r="2163" spans="1:7" x14ac:dyDescent="0.3">
      <c r="A2163" s="559" t="s">
        <v>696</v>
      </c>
      <c r="B2163" s="559">
        <v>2014</v>
      </c>
      <c r="C2163" s="559" t="s">
        <v>239</v>
      </c>
      <c r="D2163" s="559" t="s">
        <v>21</v>
      </c>
      <c r="E2163" s="559" t="s">
        <v>101</v>
      </c>
      <c r="F2163" s="559">
        <v>0</v>
      </c>
      <c r="G2163" s="174"/>
    </row>
    <row r="2164" spans="1:7" x14ac:dyDescent="0.3">
      <c r="A2164" s="559" t="s">
        <v>696</v>
      </c>
      <c r="B2164" s="559">
        <v>2014</v>
      </c>
      <c r="C2164" s="559" t="s">
        <v>240</v>
      </c>
      <c r="D2164" s="559" t="s">
        <v>73</v>
      </c>
      <c r="E2164" s="559" t="s">
        <v>96</v>
      </c>
      <c r="F2164" s="559">
        <v>797112.22599999502</v>
      </c>
      <c r="G2164" s="174"/>
    </row>
    <row r="2165" spans="1:7" x14ac:dyDescent="0.3">
      <c r="A2165" s="559" t="s">
        <v>696</v>
      </c>
      <c r="B2165" s="559">
        <v>2014</v>
      </c>
      <c r="C2165" s="559" t="s">
        <v>241</v>
      </c>
      <c r="D2165" s="559" t="s">
        <v>14</v>
      </c>
      <c r="E2165" s="559" t="s">
        <v>110</v>
      </c>
      <c r="F2165" s="559">
        <v>0</v>
      </c>
      <c r="G2165" s="174"/>
    </row>
    <row r="2166" spans="1:7" x14ac:dyDescent="0.3">
      <c r="A2166" s="559" t="s">
        <v>696</v>
      </c>
      <c r="B2166" s="559">
        <v>2014</v>
      </c>
      <c r="C2166" s="559" t="s">
        <v>242</v>
      </c>
      <c r="D2166" s="559" t="s">
        <v>32</v>
      </c>
      <c r="E2166" s="559" t="s">
        <v>96</v>
      </c>
      <c r="F2166" s="559">
        <v>45600.125999999502</v>
      </c>
      <c r="G2166" s="174"/>
    </row>
    <row r="2167" spans="1:7" x14ac:dyDescent="0.3">
      <c r="A2167" s="559" t="s">
        <v>696</v>
      </c>
      <c r="B2167" s="559">
        <v>2014</v>
      </c>
      <c r="C2167" s="559" t="s">
        <v>243</v>
      </c>
      <c r="D2167" s="559" t="s">
        <v>51</v>
      </c>
      <c r="E2167" s="559" t="s">
        <v>96</v>
      </c>
      <c r="F2167" s="559">
        <v>7612.14426492445</v>
      </c>
      <c r="G2167" s="174"/>
    </row>
    <row r="2168" spans="1:7" x14ac:dyDescent="0.3">
      <c r="A2168" s="559" t="s">
        <v>696</v>
      </c>
      <c r="B2168" s="559">
        <v>2014</v>
      </c>
      <c r="C2168" s="559" t="s">
        <v>243</v>
      </c>
      <c r="D2168" s="559" t="s">
        <v>28</v>
      </c>
      <c r="E2168" s="559" t="s">
        <v>96</v>
      </c>
      <c r="F2168" s="559">
        <v>337855.28673507698</v>
      </c>
      <c r="G2168" s="174"/>
    </row>
    <row r="2169" spans="1:7" x14ac:dyDescent="0.3">
      <c r="A2169" s="559" t="s">
        <v>696</v>
      </c>
      <c r="B2169" s="559">
        <v>2014</v>
      </c>
      <c r="C2169" s="559" t="s">
        <v>244</v>
      </c>
      <c r="D2169" s="559" t="s">
        <v>71</v>
      </c>
      <c r="E2169" s="559" t="s">
        <v>96</v>
      </c>
      <c r="F2169" s="559">
        <v>931941.416000008</v>
      </c>
      <c r="G2169" s="174"/>
    </row>
    <row r="2170" spans="1:7" x14ac:dyDescent="0.3">
      <c r="A2170" s="559" t="s">
        <v>696</v>
      </c>
      <c r="B2170" s="559">
        <v>2014</v>
      </c>
      <c r="C2170" s="559" t="s">
        <v>245</v>
      </c>
      <c r="D2170" s="559" t="s">
        <v>35</v>
      </c>
      <c r="E2170" s="559" t="s">
        <v>101</v>
      </c>
      <c r="F2170" s="559">
        <v>0</v>
      </c>
      <c r="G2170" s="174"/>
    </row>
    <row r="2171" spans="1:7" x14ac:dyDescent="0.3">
      <c r="A2171" s="559" t="s">
        <v>696</v>
      </c>
      <c r="B2171" s="559">
        <v>2014</v>
      </c>
      <c r="C2171" s="559" t="s">
        <v>246</v>
      </c>
      <c r="D2171" s="559" t="s">
        <v>20</v>
      </c>
      <c r="E2171" s="559" t="s">
        <v>96</v>
      </c>
      <c r="F2171" s="559">
        <v>604048.59400000004</v>
      </c>
      <c r="G2171" s="174"/>
    </row>
    <row r="2172" spans="1:7" x14ac:dyDescent="0.3">
      <c r="A2172" s="559" t="s">
        <v>696</v>
      </c>
      <c r="B2172" s="559">
        <v>2014</v>
      </c>
      <c r="C2172" s="559" t="s">
        <v>247</v>
      </c>
      <c r="D2172" s="559" t="s">
        <v>14</v>
      </c>
      <c r="E2172" s="559" t="s">
        <v>101</v>
      </c>
      <c r="F2172" s="559">
        <v>0</v>
      </c>
      <c r="G2172" s="174"/>
    </row>
    <row r="2173" spans="1:7" x14ac:dyDescent="0.3">
      <c r="A2173" s="559" t="s">
        <v>696</v>
      </c>
      <c r="B2173" s="559">
        <v>2014</v>
      </c>
      <c r="C2173" s="559" t="s">
        <v>248</v>
      </c>
      <c r="D2173" s="559" t="s">
        <v>14</v>
      </c>
      <c r="E2173" s="559" t="s">
        <v>101</v>
      </c>
      <c r="F2173" s="559">
        <v>0</v>
      </c>
      <c r="G2173" s="174"/>
    </row>
    <row r="2174" spans="1:7" x14ac:dyDescent="0.3">
      <c r="A2174" s="559" t="s">
        <v>696</v>
      </c>
      <c r="B2174" s="559">
        <v>2014</v>
      </c>
      <c r="C2174" s="559" t="s">
        <v>249</v>
      </c>
      <c r="D2174" s="559" t="s">
        <v>14</v>
      </c>
      <c r="E2174" s="559" t="s">
        <v>101</v>
      </c>
      <c r="F2174" s="559">
        <v>0</v>
      </c>
      <c r="G2174" s="174"/>
    </row>
    <row r="2175" spans="1:7" x14ac:dyDescent="0.3">
      <c r="A2175" s="559" t="s">
        <v>696</v>
      </c>
      <c r="B2175" s="559">
        <v>2014</v>
      </c>
      <c r="C2175" s="559" t="s">
        <v>250</v>
      </c>
      <c r="D2175" s="559" t="s">
        <v>17</v>
      </c>
      <c r="E2175" s="559" t="s">
        <v>101</v>
      </c>
      <c r="F2175" s="559">
        <v>54079.0089999997</v>
      </c>
      <c r="G2175" s="174"/>
    </row>
    <row r="2176" spans="1:7" x14ac:dyDescent="0.3">
      <c r="A2176" s="559" t="s">
        <v>696</v>
      </c>
      <c r="B2176" s="559">
        <v>2014</v>
      </c>
      <c r="C2176" s="559" t="s">
        <v>251</v>
      </c>
      <c r="D2176" s="559" t="s">
        <v>4</v>
      </c>
      <c r="E2176" s="559" t="s">
        <v>101</v>
      </c>
      <c r="F2176" s="559">
        <v>0</v>
      </c>
      <c r="G2176" s="174"/>
    </row>
    <row r="2177" spans="1:7" x14ac:dyDescent="0.3">
      <c r="A2177" s="559" t="s">
        <v>696</v>
      </c>
      <c r="B2177" s="559">
        <v>2014</v>
      </c>
      <c r="C2177" s="559" t="s">
        <v>252</v>
      </c>
      <c r="D2177" s="559" t="s">
        <v>28</v>
      </c>
      <c r="E2177" s="559" t="s">
        <v>96</v>
      </c>
      <c r="F2177" s="559">
        <v>28658.6434948928</v>
      </c>
      <c r="G2177" s="174"/>
    </row>
    <row r="2178" spans="1:7" x14ac:dyDescent="0.3">
      <c r="A2178" s="559" t="s">
        <v>696</v>
      </c>
      <c r="B2178" s="559">
        <v>2014</v>
      </c>
      <c r="C2178" s="559" t="s">
        <v>252</v>
      </c>
      <c r="D2178" s="559" t="s">
        <v>32</v>
      </c>
      <c r="E2178" s="559" t="s">
        <v>96</v>
      </c>
      <c r="F2178" s="559">
        <v>50685.475520890599</v>
      </c>
      <c r="G2178" s="174"/>
    </row>
    <row r="2179" spans="1:7" x14ac:dyDescent="0.3">
      <c r="A2179" s="559" t="s">
        <v>696</v>
      </c>
      <c r="B2179" s="559">
        <v>2014</v>
      </c>
      <c r="C2179" s="559" t="s">
        <v>253</v>
      </c>
      <c r="D2179" s="559" t="s">
        <v>32</v>
      </c>
      <c r="E2179" s="559" t="s">
        <v>96</v>
      </c>
      <c r="F2179" s="559">
        <v>52113.469999999703</v>
      </c>
      <c r="G2179" s="174"/>
    </row>
    <row r="2180" spans="1:7" x14ac:dyDescent="0.3">
      <c r="A2180" s="559" t="s">
        <v>696</v>
      </c>
      <c r="B2180" s="559">
        <v>2014</v>
      </c>
      <c r="C2180" s="559" t="s">
        <v>254</v>
      </c>
      <c r="D2180" s="559" t="s">
        <v>28</v>
      </c>
      <c r="E2180" s="559" t="s">
        <v>96</v>
      </c>
      <c r="F2180" s="559">
        <v>231262.01099999799</v>
      </c>
      <c r="G2180" s="174"/>
    </row>
    <row r="2181" spans="1:7" x14ac:dyDescent="0.3">
      <c r="A2181" s="559" t="s">
        <v>696</v>
      </c>
      <c r="B2181" s="559">
        <v>2014</v>
      </c>
      <c r="C2181" s="559" t="s">
        <v>678</v>
      </c>
      <c r="D2181" s="559" t="s">
        <v>2</v>
      </c>
      <c r="E2181" s="559" t="s">
        <v>96</v>
      </c>
      <c r="F2181" s="559">
        <v>160359.74599999801</v>
      </c>
      <c r="G2181" s="174"/>
    </row>
    <row r="2182" spans="1:7" x14ac:dyDescent="0.3">
      <c r="A2182" s="559" t="s">
        <v>696</v>
      </c>
      <c r="B2182" s="559">
        <v>2014</v>
      </c>
      <c r="C2182" s="559" t="s">
        <v>257</v>
      </c>
      <c r="D2182" s="559" t="s">
        <v>4</v>
      </c>
      <c r="E2182" s="559" t="s">
        <v>96</v>
      </c>
      <c r="F2182" s="559">
        <v>122272.851994497</v>
      </c>
      <c r="G2182" s="174"/>
    </row>
    <row r="2183" spans="1:7" x14ac:dyDescent="0.3">
      <c r="A2183" s="559" t="s">
        <v>696</v>
      </c>
      <c r="B2183" s="559">
        <v>2014</v>
      </c>
      <c r="C2183" s="559" t="s">
        <v>257</v>
      </c>
      <c r="D2183" s="559" t="s">
        <v>37</v>
      </c>
      <c r="E2183" s="559" t="s">
        <v>96</v>
      </c>
      <c r="F2183" s="559">
        <v>5803884.7080055</v>
      </c>
      <c r="G2183" s="174"/>
    </row>
    <row r="2184" spans="1:7" x14ac:dyDescent="0.3">
      <c r="A2184" s="559" t="s">
        <v>696</v>
      </c>
      <c r="B2184" s="559">
        <v>2014</v>
      </c>
      <c r="C2184" s="559" t="s">
        <v>258</v>
      </c>
      <c r="D2184" s="559" t="s">
        <v>41</v>
      </c>
      <c r="E2184" s="559" t="s">
        <v>96</v>
      </c>
      <c r="F2184" s="559">
        <v>3957.08499999999</v>
      </c>
      <c r="G2184" s="174"/>
    </row>
    <row r="2185" spans="1:7" x14ac:dyDescent="0.3">
      <c r="A2185" s="559" t="s">
        <v>696</v>
      </c>
      <c r="B2185" s="559">
        <v>2014</v>
      </c>
      <c r="C2185" s="559" t="s">
        <v>259</v>
      </c>
      <c r="D2185" s="559" t="s">
        <v>36</v>
      </c>
      <c r="E2185" s="559" t="s">
        <v>96</v>
      </c>
      <c r="F2185" s="559">
        <v>139933.527</v>
      </c>
      <c r="G2185" s="174"/>
    </row>
    <row r="2186" spans="1:7" x14ac:dyDescent="0.3">
      <c r="A2186" s="559" t="s">
        <v>696</v>
      </c>
      <c r="B2186" s="559">
        <v>2014</v>
      </c>
      <c r="C2186" s="559" t="s">
        <v>261</v>
      </c>
      <c r="D2186" s="559" t="s">
        <v>28</v>
      </c>
      <c r="E2186" s="559" t="s">
        <v>96</v>
      </c>
      <c r="F2186" s="559">
        <v>643841.09199999506</v>
      </c>
      <c r="G2186" s="174"/>
    </row>
    <row r="2187" spans="1:7" x14ac:dyDescent="0.3">
      <c r="A2187" s="559" t="s">
        <v>696</v>
      </c>
      <c r="B2187" s="559">
        <v>2014</v>
      </c>
      <c r="C2187" s="559" t="s">
        <v>262</v>
      </c>
      <c r="D2187" s="559" t="s">
        <v>37</v>
      </c>
      <c r="E2187" s="559" t="s">
        <v>96</v>
      </c>
      <c r="F2187" s="559">
        <v>4080083.1389999902</v>
      </c>
      <c r="G2187" s="174"/>
    </row>
    <row r="2188" spans="1:7" x14ac:dyDescent="0.3">
      <c r="A2188" s="559" t="s">
        <v>696</v>
      </c>
      <c r="B2188" s="559">
        <v>2014</v>
      </c>
      <c r="C2188" s="559" t="s">
        <v>263</v>
      </c>
      <c r="D2188" s="559" t="s">
        <v>49</v>
      </c>
      <c r="E2188" s="559" t="s">
        <v>96</v>
      </c>
      <c r="F2188" s="559">
        <v>206.373999999999</v>
      </c>
      <c r="G2188" s="174"/>
    </row>
    <row r="2189" spans="1:7" x14ac:dyDescent="0.3">
      <c r="A2189" s="559" t="s">
        <v>696</v>
      </c>
      <c r="B2189" s="559">
        <v>2014</v>
      </c>
      <c r="C2189" s="559" t="s">
        <v>264</v>
      </c>
      <c r="D2189" s="559" t="s">
        <v>51</v>
      </c>
      <c r="E2189" s="559" t="s">
        <v>96</v>
      </c>
      <c r="F2189" s="559">
        <v>5488.7473737166501</v>
      </c>
      <c r="G2189" s="174"/>
    </row>
    <row r="2190" spans="1:7" x14ac:dyDescent="0.3">
      <c r="A2190" s="559" t="s">
        <v>696</v>
      </c>
      <c r="B2190" s="559">
        <v>2014</v>
      </c>
      <c r="C2190" s="559" t="s">
        <v>264</v>
      </c>
      <c r="D2190" s="559" t="s">
        <v>37</v>
      </c>
      <c r="E2190" s="559" t="s">
        <v>96</v>
      </c>
      <c r="F2190" s="559">
        <v>25200119.139311802</v>
      </c>
      <c r="G2190" s="174"/>
    </row>
    <row r="2191" spans="1:7" x14ac:dyDescent="0.3">
      <c r="A2191" s="559" t="s">
        <v>696</v>
      </c>
      <c r="B2191" s="559">
        <v>2014</v>
      </c>
      <c r="C2191" s="559" t="s">
        <v>265</v>
      </c>
      <c r="D2191" s="559" t="s">
        <v>37</v>
      </c>
      <c r="E2191" s="559" t="s">
        <v>96</v>
      </c>
      <c r="F2191" s="559">
        <v>17227875.462000199</v>
      </c>
      <c r="G2191" s="174"/>
    </row>
    <row r="2192" spans="1:7" x14ac:dyDescent="0.3">
      <c r="A2192" s="559" t="s">
        <v>696</v>
      </c>
      <c r="B2192" s="559">
        <v>2014</v>
      </c>
      <c r="C2192" s="559" t="s">
        <v>266</v>
      </c>
      <c r="D2192" s="559" t="s">
        <v>40</v>
      </c>
      <c r="E2192" s="559" t="s">
        <v>96</v>
      </c>
      <c r="F2192" s="559">
        <v>195863.61800000101</v>
      </c>
      <c r="G2192" s="174"/>
    </row>
    <row r="2193" spans="1:7" x14ac:dyDescent="0.3">
      <c r="A2193" s="559" t="s">
        <v>696</v>
      </c>
      <c r="B2193" s="559">
        <v>2014</v>
      </c>
      <c r="C2193" s="559" t="s">
        <v>267</v>
      </c>
      <c r="D2193" s="559" t="s">
        <v>4</v>
      </c>
      <c r="E2193" s="559" t="s">
        <v>96</v>
      </c>
      <c r="F2193" s="559">
        <v>110.730999999999</v>
      </c>
      <c r="G2193" s="174"/>
    </row>
    <row r="2194" spans="1:7" x14ac:dyDescent="0.3">
      <c r="A2194" s="559" t="s">
        <v>696</v>
      </c>
      <c r="B2194" s="559">
        <v>2014</v>
      </c>
      <c r="C2194" s="559" t="s">
        <v>268</v>
      </c>
      <c r="D2194" s="559" t="s">
        <v>4</v>
      </c>
      <c r="E2194" s="559" t="s">
        <v>101</v>
      </c>
      <c r="F2194" s="559">
        <v>0</v>
      </c>
      <c r="G2194" s="174"/>
    </row>
    <row r="2195" spans="1:7" x14ac:dyDescent="0.3">
      <c r="A2195" s="559" t="s">
        <v>696</v>
      </c>
      <c r="B2195" s="559">
        <v>2014</v>
      </c>
      <c r="C2195" s="559" t="s">
        <v>269</v>
      </c>
      <c r="D2195" s="559" t="s">
        <v>8</v>
      </c>
      <c r="E2195" s="559" t="s">
        <v>96</v>
      </c>
      <c r="F2195" s="559">
        <v>877053.21399999899</v>
      </c>
      <c r="G2195" s="174"/>
    </row>
    <row r="2196" spans="1:7" x14ac:dyDescent="0.3">
      <c r="A2196" s="559" t="s">
        <v>696</v>
      </c>
      <c r="B2196" s="559">
        <v>2014</v>
      </c>
      <c r="C2196" s="559" t="s">
        <v>270</v>
      </c>
      <c r="D2196" s="559" t="s">
        <v>36</v>
      </c>
      <c r="E2196" s="559" t="s">
        <v>96</v>
      </c>
      <c r="F2196" s="559">
        <v>591639.05300000205</v>
      </c>
      <c r="G2196" s="174"/>
    </row>
    <row r="2197" spans="1:7" x14ac:dyDescent="0.3">
      <c r="A2197" s="559" t="s">
        <v>696</v>
      </c>
      <c r="B2197" s="559">
        <v>2014</v>
      </c>
      <c r="C2197" s="559" t="s">
        <v>679</v>
      </c>
      <c r="D2197" s="559" t="s">
        <v>41</v>
      </c>
      <c r="E2197" s="559" t="s">
        <v>96</v>
      </c>
      <c r="F2197" s="559">
        <v>97254.974999999104</v>
      </c>
      <c r="G2197" s="174"/>
    </row>
    <row r="2198" spans="1:7" x14ac:dyDescent="0.3">
      <c r="A2198" s="559" t="s">
        <v>696</v>
      </c>
      <c r="B2198" s="559">
        <v>2014</v>
      </c>
      <c r="C2198" s="559" t="s">
        <v>273</v>
      </c>
      <c r="D2198" s="559" t="s">
        <v>37</v>
      </c>
      <c r="E2198" s="559" t="s">
        <v>96</v>
      </c>
      <c r="F2198" s="559">
        <v>10333128.458000001</v>
      </c>
      <c r="G2198" s="174"/>
    </row>
    <row r="2199" spans="1:7" x14ac:dyDescent="0.3">
      <c r="A2199" s="559" t="s">
        <v>696</v>
      </c>
      <c r="B2199" s="559">
        <v>2014</v>
      </c>
      <c r="C2199" s="559" t="s">
        <v>274</v>
      </c>
      <c r="D2199" s="559" t="s">
        <v>37</v>
      </c>
      <c r="E2199" s="559" t="s">
        <v>96</v>
      </c>
      <c r="F2199" s="559">
        <v>5380934.7400000403</v>
      </c>
      <c r="G2199" s="174"/>
    </row>
    <row r="2200" spans="1:7" x14ac:dyDescent="0.3">
      <c r="A2200" s="559" t="s">
        <v>696</v>
      </c>
      <c r="B2200" s="559">
        <v>2014</v>
      </c>
      <c r="C2200" s="559" t="s">
        <v>275</v>
      </c>
      <c r="D2200" s="559" t="s">
        <v>36</v>
      </c>
      <c r="E2200" s="559" t="s">
        <v>96</v>
      </c>
      <c r="F2200" s="559">
        <v>264158.53199999902</v>
      </c>
      <c r="G2200" s="174"/>
    </row>
    <row r="2201" spans="1:7" x14ac:dyDescent="0.3">
      <c r="A2201" s="559" t="s">
        <v>696</v>
      </c>
      <c r="B2201" s="559">
        <v>2014</v>
      </c>
      <c r="C2201" s="559" t="s">
        <v>276</v>
      </c>
      <c r="D2201" s="559" t="s">
        <v>36</v>
      </c>
      <c r="E2201" s="559" t="s">
        <v>96</v>
      </c>
      <c r="F2201" s="559">
        <v>648492.27500000095</v>
      </c>
      <c r="G2201" s="174"/>
    </row>
    <row r="2202" spans="1:7" x14ac:dyDescent="0.3">
      <c r="A2202" s="559" t="s">
        <v>696</v>
      </c>
      <c r="B2202" s="559">
        <v>2014</v>
      </c>
      <c r="C2202" s="559" t="s">
        <v>277</v>
      </c>
      <c r="D2202" s="559" t="s">
        <v>103</v>
      </c>
      <c r="E2202" s="559" t="s">
        <v>96</v>
      </c>
      <c r="F2202" s="559">
        <v>0.251999999999999</v>
      </c>
      <c r="G2202" s="174"/>
    </row>
    <row r="2203" spans="1:7" x14ac:dyDescent="0.3">
      <c r="A2203" s="559" t="s">
        <v>696</v>
      </c>
      <c r="B2203" s="559">
        <v>2014</v>
      </c>
      <c r="C2203" s="559" t="s">
        <v>278</v>
      </c>
      <c r="D2203" s="559" t="s">
        <v>35</v>
      </c>
      <c r="E2203" s="559" t="s">
        <v>101</v>
      </c>
      <c r="F2203" s="559">
        <v>9574.0499999998192</v>
      </c>
      <c r="G2203" s="174"/>
    </row>
    <row r="2204" spans="1:7" x14ac:dyDescent="0.3">
      <c r="A2204" s="559" t="s">
        <v>696</v>
      </c>
      <c r="B2204" s="559">
        <v>2014</v>
      </c>
      <c r="C2204" s="559" t="s">
        <v>279</v>
      </c>
      <c r="D2204" s="559" t="s">
        <v>4</v>
      </c>
      <c r="E2204" s="559" t="s">
        <v>101</v>
      </c>
      <c r="F2204" s="559">
        <v>0</v>
      </c>
      <c r="G2204" s="174"/>
    </row>
    <row r="2205" spans="1:7" x14ac:dyDescent="0.3">
      <c r="A2205" s="559" t="s">
        <v>696</v>
      </c>
      <c r="B2205" s="559">
        <v>2014</v>
      </c>
      <c r="C2205" s="559" t="s">
        <v>280</v>
      </c>
      <c r="D2205" s="559" t="s">
        <v>4</v>
      </c>
      <c r="E2205" s="559" t="s">
        <v>101</v>
      </c>
      <c r="F2205" s="559">
        <v>0</v>
      </c>
      <c r="G2205" s="174"/>
    </row>
    <row r="2206" spans="1:7" x14ac:dyDescent="0.3">
      <c r="A2206" s="559" t="s">
        <v>696</v>
      </c>
      <c r="B2206" s="559">
        <v>2014</v>
      </c>
      <c r="C2206" s="559" t="s">
        <v>281</v>
      </c>
      <c r="D2206" s="559" t="s">
        <v>10</v>
      </c>
      <c r="E2206" s="559" t="s">
        <v>101</v>
      </c>
      <c r="F2206" s="559">
        <v>0</v>
      </c>
      <c r="G2206" s="174"/>
    </row>
    <row r="2207" spans="1:7" x14ac:dyDescent="0.3">
      <c r="A2207" s="559" t="s">
        <v>696</v>
      </c>
      <c r="B2207" s="559">
        <v>2014</v>
      </c>
      <c r="C2207" s="559" t="s">
        <v>282</v>
      </c>
      <c r="D2207" s="559" t="s">
        <v>12</v>
      </c>
      <c r="E2207" s="559" t="s">
        <v>96</v>
      </c>
      <c r="F2207" s="559">
        <v>681753.93199999502</v>
      </c>
      <c r="G2207" s="174"/>
    </row>
    <row r="2208" spans="1:7" x14ac:dyDescent="0.3">
      <c r="A2208" s="559" t="s">
        <v>696</v>
      </c>
      <c r="B2208" s="559">
        <v>2014</v>
      </c>
      <c r="C2208" s="559" t="s">
        <v>283</v>
      </c>
      <c r="D2208" s="559" t="s">
        <v>1</v>
      </c>
      <c r="E2208" s="559" t="s">
        <v>96</v>
      </c>
      <c r="F2208" s="559">
        <v>844174.25999999302</v>
      </c>
      <c r="G2208" s="174"/>
    </row>
    <row r="2209" spans="1:7" x14ac:dyDescent="0.3">
      <c r="A2209" s="559" t="s">
        <v>696</v>
      </c>
      <c r="B2209" s="559">
        <v>2014</v>
      </c>
      <c r="C2209" s="559" t="s">
        <v>284</v>
      </c>
      <c r="D2209" s="559" t="s">
        <v>28</v>
      </c>
      <c r="E2209" s="559" t="s">
        <v>96</v>
      </c>
      <c r="F2209" s="559">
        <v>555882.74699999695</v>
      </c>
      <c r="G2209" s="174"/>
    </row>
    <row r="2210" spans="1:7" x14ac:dyDescent="0.3">
      <c r="A2210" s="559" t="s">
        <v>696</v>
      </c>
      <c r="B2210" s="559">
        <v>2014</v>
      </c>
      <c r="C2210" s="559" t="s">
        <v>285</v>
      </c>
      <c r="D2210" s="559" t="s">
        <v>4</v>
      </c>
      <c r="E2210" s="559" t="s">
        <v>96</v>
      </c>
      <c r="F2210" s="559">
        <v>28800.461000000199</v>
      </c>
      <c r="G2210" s="174"/>
    </row>
    <row r="2211" spans="1:7" x14ac:dyDescent="0.3">
      <c r="A2211" s="559" t="s">
        <v>696</v>
      </c>
      <c r="B2211" s="559">
        <v>2014</v>
      </c>
      <c r="C2211" s="559" t="s">
        <v>286</v>
      </c>
      <c r="D2211" s="559" t="s">
        <v>4</v>
      </c>
      <c r="E2211" s="559" t="s">
        <v>101</v>
      </c>
      <c r="F2211" s="559">
        <v>0</v>
      </c>
      <c r="G2211" s="174"/>
    </row>
    <row r="2212" spans="1:7" x14ac:dyDescent="0.3">
      <c r="A2212" s="559" t="s">
        <v>696</v>
      </c>
      <c r="B2212" s="559">
        <v>2014</v>
      </c>
      <c r="C2212" s="559" t="s">
        <v>287</v>
      </c>
      <c r="D2212" s="559" t="s">
        <v>4</v>
      </c>
      <c r="E2212" s="559" t="s">
        <v>101</v>
      </c>
      <c r="F2212" s="559">
        <v>0</v>
      </c>
      <c r="G2212" s="174"/>
    </row>
    <row r="2213" spans="1:7" x14ac:dyDescent="0.3">
      <c r="A2213" s="559" t="s">
        <v>696</v>
      </c>
      <c r="B2213" s="559">
        <v>2014</v>
      </c>
      <c r="C2213" s="559" t="s">
        <v>288</v>
      </c>
      <c r="D2213" s="559" t="s">
        <v>4</v>
      </c>
      <c r="E2213" s="559" t="s">
        <v>101</v>
      </c>
      <c r="F2213" s="559">
        <v>0</v>
      </c>
      <c r="G2213" s="174"/>
    </row>
    <row r="2214" spans="1:7" x14ac:dyDescent="0.3">
      <c r="A2214" s="559" t="s">
        <v>696</v>
      </c>
      <c r="B2214" s="559">
        <v>2014</v>
      </c>
      <c r="C2214" s="559" t="s">
        <v>289</v>
      </c>
      <c r="D2214" s="559" t="s">
        <v>19</v>
      </c>
      <c r="E2214" s="559" t="s">
        <v>96</v>
      </c>
      <c r="F2214" s="559">
        <v>2183555.3569999798</v>
      </c>
      <c r="G2214" s="174"/>
    </row>
    <row r="2215" spans="1:7" x14ac:dyDescent="0.3">
      <c r="A2215" s="559" t="s">
        <v>696</v>
      </c>
      <c r="B2215" s="559">
        <v>2014</v>
      </c>
      <c r="C2215" s="559" t="s">
        <v>290</v>
      </c>
      <c r="D2215" s="559" t="s">
        <v>35</v>
      </c>
      <c r="E2215" s="559" t="s">
        <v>101</v>
      </c>
      <c r="F2215" s="559">
        <v>0</v>
      </c>
      <c r="G2215" s="174"/>
    </row>
    <row r="2216" spans="1:7" x14ac:dyDescent="0.3">
      <c r="A2216" s="559" t="s">
        <v>696</v>
      </c>
      <c r="B2216" s="559">
        <v>2014</v>
      </c>
      <c r="C2216" s="559" t="s">
        <v>291</v>
      </c>
      <c r="D2216" s="559" t="s">
        <v>0</v>
      </c>
      <c r="E2216" s="559" t="s">
        <v>96</v>
      </c>
      <c r="F2216" s="559">
        <v>217220.899999999</v>
      </c>
      <c r="G2216" s="174"/>
    </row>
    <row r="2217" spans="1:7" x14ac:dyDescent="0.3">
      <c r="A2217" s="559" t="s">
        <v>696</v>
      </c>
      <c r="B2217" s="559">
        <v>2014</v>
      </c>
      <c r="C2217" s="559" t="s">
        <v>292</v>
      </c>
      <c r="D2217" s="559" t="s">
        <v>37</v>
      </c>
      <c r="E2217" s="559" t="s">
        <v>96</v>
      </c>
      <c r="F2217" s="559">
        <v>6936329.7089999896</v>
      </c>
      <c r="G2217" s="174"/>
    </row>
    <row r="2218" spans="1:7" x14ac:dyDescent="0.3">
      <c r="A2218" s="559" t="s">
        <v>696</v>
      </c>
      <c r="B2218" s="559">
        <v>2014</v>
      </c>
      <c r="C2218" s="559" t="s">
        <v>293</v>
      </c>
      <c r="D2218" s="559" t="s">
        <v>49</v>
      </c>
      <c r="E2218" s="559" t="s">
        <v>96</v>
      </c>
      <c r="F2218" s="559">
        <v>43880.726999999402</v>
      </c>
      <c r="G2218" s="174"/>
    </row>
    <row r="2219" spans="1:7" x14ac:dyDescent="0.3">
      <c r="A2219" s="559" t="s">
        <v>696</v>
      </c>
      <c r="B2219" s="559">
        <v>2014</v>
      </c>
      <c r="C2219" s="559" t="s">
        <v>294</v>
      </c>
      <c r="D2219" s="559" t="s">
        <v>17</v>
      </c>
      <c r="E2219" s="559" t="s">
        <v>96</v>
      </c>
      <c r="F2219" s="559">
        <v>58821.665999999503</v>
      </c>
      <c r="G2219" s="174"/>
    </row>
    <row r="2220" spans="1:7" x14ac:dyDescent="0.3">
      <c r="A2220" s="559" t="s">
        <v>696</v>
      </c>
      <c r="B2220" s="559">
        <v>2014</v>
      </c>
      <c r="C2220" s="559" t="s">
        <v>295</v>
      </c>
      <c r="D2220" s="559" t="s">
        <v>17</v>
      </c>
      <c r="E2220" s="559" t="s">
        <v>101</v>
      </c>
      <c r="F2220" s="559">
        <v>0</v>
      </c>
      <c r="G2220" s="174"/>
    </row>
    <row r="2221" spans="1:7" x14ac:dyDescent="0.3">
      <c r="A2221" s="559" t="s">
        <v>696</v>
      </c>
      <c r="B2221" s="559">
        <v>2014</v>
      </c>
      <c r="C2221" s="559" t="s">
        <v>296</v>
      </c>
      <c r="D2221" s="559" t="s">
        <v>37</v>
      </c>
      <c r="E2221" s="559" t="s">
        <v>96</v>
      </c>
      <c r="F2221" s="559">
        <v>9591873.2039999701</v>
      </c>
      <c r="G2221" s="174"/>
    </row>
    <row r="2222" spans="1:7" x14ac:dyDescent="0.3">
      <c r="A2222" s="559" t="s">
        <v>696</v>
      </c>
      <c r="B2222" s="559">
        <v>2014</v>
      </c>
      <c r="C2222" s="559" t="s">
        <v>297</v>
      </c>
      <c r="D2222" s="559" t="s">
        <v>28</v>
      </c>
      <c r="E2222" s="559" t="s">
        <v>96</v>
      </c>
      <c r="F2222" s="559">
        <v>277001.05099999899</v>
      </c>
      <c r="G2222" s="174"/>
    </row>
    <row r="2223" spans="1:7" x14ac:dyDescent="0.3">
      <c r="A2223" s="559" t="s">
        <v>696</v>
      </c>
      <c r="B2223" s="559">
        <v>2014</v>
      </c>
      <c r="C2223" s="559" t="s">
        <v>298</v>
      </c>
      <c r="D2223" s="559" t="s">
        <v>28</v>
      </c>
      <c r="E2223" s="559" t="s">
        <v>96</v>
      </c>
      <c r="F2223" s="559">
        <v>867538.34099999396</v>
      </c>
      <c r="G2223" s="174"/>
    </row>
    <row r="2224" spans="1:7" x14ac:dyDescent="0.3">
      <c r="A2224" s="559" t="s">
        <v>696</v>
      </c>
      <c r="B2224" s="559">
        <v>2014</v>
      </c>
      <c r="C2224" s="559" t="s">
        <v>299</v>
      </c>
      <c r="D2224" s="559" t="s">
        <v>35</v>
      </c>
      <c r="E2224" s="559" t="s">
        <v>101</v>
      </c>
      <c r="F2224" s="559">
        <v>0</v>
      </c>
      <c r="G2224" s="174"/>
    </row>
    <row r="2225" spans="1:7" x14ac:dyDescent="0.3">
      <c r="A2225" s="559" t="s">
        <v>696</v>
      </c>
      <c r="B2225" s="559">
        <v>2014</v>
      </c>
      <c r="C2225" s="559" t="s">
        <v>300</v>
      </c>
      <c r="D2225" s="559" t="s">
        <v>4</v>
      </c>
      <c r="E2225" s="559" t="s">
        <v>96</v>
      </c>
      <c r="F2225" s="559">
        <v>36512.576999999903</v>
      </c>
      <c r="G2225" s="174"/>
    </row>
    <row r="2226" spans="1:7" x14ac:dyDescent="0.3">
      <c r="A2226" s="559" t="s">
        <v>696</v>
      </c>
      <c r="B2226" s="559">
        <v>2014</v>
      </c>
      <c r="C2226" s="559" t="s">
        <v>301</v>
      </c>
      <c r="D2226" s="559" t="s">
        <v>4</v>
      </c>
      <c r="E2226" s="559" t="s">
        <v>101</v>
      </c>
      <c r="F2226" s="559">
        <v>0</v>
      </c>
      <c r="G2226" s="174"/>
    </row>
    <row r="2227" spans="1:7" x14ac:dyDescent="0.3">
      <c r="A2227" s="559" t="s">
        <v>696</v>
      </c>
      <c r="B2227" s="559">
        <v>2014</v>
      </c>
      <c r="C2227" s="559" t="s">
        <v>302</v>
      </c>
      <c r="D2227" s="559" t="s">
        <v>4</v>
      </c>
      <c r="E2227" s="559" t="s">
        <v>101</v>
      </c>
      <c r="F2227" s="559">
        <v>0</v>
      </c>
      <c r="G2227" s="174"/>
    </row>
    <row r="2228" spans="1:7" x14ac:dyDescent="0.3">
      <c r="A2228" s="559" t="s">
        <v>696</v>
      </c>
      <c r="B2228" s="559">
        <v>2014</v>
      </c>
      <c r="C2228" s="559" t="s">
        <v>303</v>
      </c>
      <c r="D2228" s="559" t="s">
        <v>0</v>
      </c>
      <c r="E2228" s="559" t="s">
        <v>96</v>
      </c>
      <c r="F2228" s="559">
        <v>1010760.61599999</v>
      </c>
      <c r="G2228" s="174"/>
    </row>
    <row r="2229" spans="1:7" x14ac:dyDescent="0.3">
      <c r="A2229" s="559" t="s">
        <v>696</v>
      </c>
      <c r="B2229" s="559">
        <v>2014</v>
      </c>
      <c r="C2229" s="559" t="s">
        <v>304</v>
      </c>
      <c r="D2229" s="559" t="s">
        <v>10</v>
      </c>
      <c r="E2229" s="559" t="s">
        <v>101</v>
      </c>
      <c r="F2229" s="559">
        <v>0</v>
      </c>
      <c r="G2229" s="174"/>
    </row>
    <row r="2230" spans="1:7" x14ac:dyDescent="0.3">
      <c r="A2230" s="559" t="s">
        <v>696</v>
      </c>
      <c r="B2230" s="559">
        <v>2014</v>
      </c>
      <c r="C2230" s="559" t="s">
        <v>386</v>
      </c>
      <c r="D2230" s="559" t="s">
        <v>0</v>
      </c>
      <c r="E2230" s="559" t="s">
        <v>96</v>
      </c>
      <c r="F2230" s="559">
        <v>65446.291000000099</v>
      </c>
      <c r="G2230" s="174"/>
    </row>
    <row r="2231" spans="1:7" x14ac:dyDescent="0.3">
      <c r="A2231" s="559" t="s">
        <v>696</v>
      </c>
      <c r="B2231" s="559">
        <v>2014</v>
      </c>
      <c r="C2231" s="559" t="s">
        <v>305</v>
      </c>
      <c r="D2231" s="559" t="s">
        <v>10</v>
      </c>
      <c r="E2231" s="559" t="s">
        <v>101</v>
      </c>
      <c r="F2231" s="559">
        <v>0</v>
      </c>
      <c r="G2231" s="174"/>
    </row>
    <row r="2232" spans="1:7" x14ac:dyDescent="0.3">
      <c r="A2232" s="559" t="s">
        <v>696</v>
      </c>
      <c r="B2232" s="559">
        <v>2014</v>
      </c>
      <c r="C2232" s="559" t="s">
        <v>306</v>
      </c>
      <c r="D2232" s="559" t="s">
        <v>11</v>
      </c>
      <c r="E2232" s="559" t="s">
        <v>96</v>
      </c>
      <c r="F2232" s="559">
        <v>25869.155999999799</v>
      </c>
      <c r="G2232" s="174"/>
    </row>
    <row r="2233" spans="1:7" x14ac:dyDescent="0.3">
      <c r="A2233" s="559" t="s">
        <v>696</v>
      </c>
      <c r="B2233" s="559">
        <v>2014</v>
      </c>
      <c r="C2233" s="559" t="s">
        <v>307</v>
      </c>
      <c r="D2233" s="559" t="s">
        <v>40</v>
      </c>
      <c r="E2233" s="559" t="s">
        <v>96</v>
      </c>
      <c r="F2233" s="559">
        <v>1132608.888</v>
      </c>
      <c r="G2233" s="174"/>
    </row>
    <row r="2234" spans="1:7" x14ac:dyDescent="0.3">
      <c r="A2234" s="559" t="s">
        <v>696</v>
      </c>
      <c r="B2234" s="559">
        <v>2014</v>
      </c>
      <c r="C2234" s="559" t="s">
        <v>308</v>
      </c>
      <c r="D2234" s="559" t="s">
        <v>10</v>
      </c>
      <c r="E2234" s="559" t="s">
        <v>110</v>
      </c>
      <c r="F2234" s="559">
        <v>0</v>
      </c>
      <c r="G2234" s="174"/>
    </row>
    <row r="2235" spans="1:7" x14ac:dyDescent="0.3">
      <c r="A2235" s="559" t="s">
        <v>696</v>
      </c>
      <c r="B2235" s="559">
        <v>2014</v>
      </c>
      <c r="C2235" s="559" t="s">
        <v>308</v>
      </c>
      <c r="D2235" s="559" t="s">
        <v>10</v>
      </c>
      <c r="E2235" s="559" t="s">
        <v>96</v>
      </c>
      <c r="F2235" s="559">
        <v>11075.4315951358</v>
      </c>
      <c r="G2235" s="174"/>
    </row>
    <row r="2236" spans="1:7" x14ac:dyDescent="0.3">
      <c r="A2236" s="559" t="s">
        <v>696</v>
      </c>
      <c r="B2236" s="559">
        <v>2014</v>
      </c>
      <c r="C2236" s="559" t="s">
        <v>308</v>
      </c>
      <c r="D2236" s="559" t="s">
        <v>32</v>
      </c>
      <c r="E2236" s="559" t="s">
        <v>96</v>
      </c>
      <c r="F2236" s="559">
        <v>150098.82199999801</v>
      </c>
      <c r="G2236" s="174"/>
    </row>
    <row r="2237" spans="1:7" x14ac:dyDescent="0.3">
      <c r="A2237" s="559" t="s">
        <v>696</v>
      </c>
      <c r="B2237" s="559">
        <v>2014</v>
      </c>
      <c r="C2237" s="559" t="s">
        <v>309</v>
      </c>
      <c r="D2237" s="559" t="s">
        <v>10</v>
      </c>
      <c r="E2237" s="559" t="s">
        <v>101</v>
      </c>
      <c r="F2237" s="559">
        <v>42123.1099999984</v>
      </c>
      <c r="G2237" s="174"/>
    </row>
    <row r="2238" spans="1:7" x14ac:dyDescent="0.3">
      <c r="A2238" s="559" t="s">
        <v>696</v>
      </c>
      <c r="B2238" s="559">
        <v>2014</v>
      </c>
      <c r="C2238" s="559" t="s">
        <v>310</v>
      </c>
      <c r="D2238" s="559" t="s">
        <v>28</v>
      </c>
      <c r="E2238" s="559" t="s">
        <v>96</v>
      </c>
      <c r="F2238" s="559">
        <v>303511.844999997</v>
      </c>
      <c r="G2238" s="174"/>
    </row>
    <row r="2239" spans="1:7" x14ac:dyDescent="0.3">
      <c r="A2239" s="559" t="s">
        <v>696</v>
      </c>
      <c r="B2239" s="559">
        <v>2014</v>
      </c>
      <c r="C2239" s="559" t="s">
        <v>311</v>
      </c>
      <c r="D2239" s="559" t="s">
        <v>0</v>
      </c>
      <c r="E2239" s="559" t="s">
        <v>96</v>
      </c>
      <c r="F2239" s="559">
        <v>1293702.70899999</v>
      </c>
      <c r="G2239" s="174"/>
    </row>
    <row r="2240" spans="1:7" x14ac:dyDescent="0.3">
      <c r="A2240" s="559" t="s">
        <v>696</v>
      </c>
      <c r="B2240" s="559">
        <v>2014</v>
      </c>
      <c r="C2240" s="559" t="s">
        <v>312</v>
      </c>
      <c r="D2240" s="559" t="s">
        <v>49</v>
      </c>
      <c r="E2240" s="559" t="s">
        <v>96</v>
      </c>
      <c r="F2240" s="559">
        <v>24312.058999999499</v>
      </c>
      <c r="G2240" s="174"/>
    </row>
    <row r="2241" spans="1:7" x14ac:dyDescent="0.3">
      <c r="A2241" s="559" t="s">
        <v>696</v>
      </c>
      <c r="B2241" s="559">
        <v>2014</v>
      </c>
      <c r="C2241" s="559" t="s">
        <v>313</v>
      </c>
      <c r="D2241" s="559" t="s">
        <v>38</v>
      </c>
      <c r="E2241" s="559" t="s">
        <v>96</v>
      </c>
      <c r="F2241" s="559">
        <v>833125.96699999005</v>
      </c>
      <c r="G2241" s="174"/>
    </row>
    <row r="2242" spans="1:7" x14ac:dyDescent="0.3">
      <c r="A2242" s="559" t="s">
        <v>696</v>
      </c>
      <c r="B2242" s="559">
        <v>2014</v>
      </c>
      <c r="C2242" s="559" t="s">
        <v>314</v>
      </c>
      <c r="D2242" s="559" t="s">
        <v>32</v>
      </c>
      <c r="E2242" s="559" t="s">
        <v>96</v>
      </c>
      <c r="F2242" s="559">
        <v>2.4217526889430601</v>
      </c>
      <c r="G2242" s="174"/>
    </row>
    <row r="2243" spans="1:7" x14ac:dyDescent="0.3">
      <c r="A2243" s="559" t="s">
        <v>696</v>
      </c>
      <c r="B2243" s="559">
        <v>2014</v>
      </c>
      <c r="C2243" s="559" t="s">
        <v>314</v>
      </c>
      <c r="D2243" s="559" t="s">
        <v>42</v>
      </c>
      <c r="E2243" s="559" t="s">
        <v>96</v>
      </c>
      <c r="F2243" s="559">
        <v>839427.95000000601</v>
      </c>
      <c r="G2243" s="174"/>
    </row>
    <row r="2244" spans="1:7" x14ac:dyDescent="0.3">
      <c r="A2244" s="559" t="s">
        <v>696</v>
      </c>
      <c r="B2244" s="559">
        <v>2014</v>
      </c>
      <c r="C2244" s="559" t="s">
        <v>315</v>
      </c>
      <c r="D2244" s="559" t="s">
        <v>49</v>
      </c>
      <c r="E2244" s="559" t="s">
        <v>96</v>
      </c>
      <c r="F2244" s="559">
        <v>15505.496999999799</v>
      </c>
      <c r="G2244" s="174"/>
    </row>
    <row r="2245" spans="1:7" x14ac:dyDescent="0.3">
      <c r="A2245" s="559" t="s">
        <v>696</v>
      </c>
      <c r="B2245" s="559">
        <v>2014</v>
      </c>
      <c r="C2245" s="559" t="s">
        <v>316</v>
      </c>
      <c r="D2245" s="559" t="s">
        <v>36</v>
      </c>
      <c r="E2245" s="559" t="s">
        <v>96</v>
      </c>
      <c r="F2245" s="559">
        <v>89067.998000000705</v>
      </c>
      <c r="G2245" s="174"/>
    </row>
    <row r="2246" spans="1:7" x14ac:dyDescent="0.3">
      <c r="A2246" s="559" t="s">
        <v>696</v>
      </c>
      <c r="B2246" s="559">
        <v>2014</v>
      </c>
      <c r="C2246" s="559" t="s">
        <v>317</v>
      </c>
      <c r="D2246" s="559" t="s">
        <v>7</v>
      </c>
      <c r="E2246" s="559" t="s">
        <v>96</v>
      </c>
      <c r="F2246" s="559">
        <v>750633.26</v>
      </c>
      <c r="G2246" s="174"/>
    </row>
    <row r="2247" spans="1:7" x14ac:dyDescent="0.3">
      <c r="A2247" s="559" t="s">
        <v>696</v>
      </c>
      <c r="B2247" s="559">
        <v>2014</v>
      </c>
      <c r="C2247" s="559" t="s">
        <v>317</v>
      </c>
      <c r="D2247" s="559" t="s">
        <v>10</v>
      </c>
      <c r="E2247" s="559" t="s">
        <v>96</v>
      </c>
      <c r="F2247" s="559">
        <v>3.5695232110596102E-2</v>
      </c>
      <c r="G2247" s="174"/>
    </row>
    <row r="2248" spans="1:7" x14ac:dyDescent="0.3">
      <c r="A2248" s="559" t="s">
        <v>696</v>
      </c>
      <c r="B2248" s="559">
        <v>2014</v>
      </c>
      <c r="C2248" s="559" t="s">
        <v>318</v>
      </c>
      <c r="D2248" s="559" t="s">
        <v>10</v>
      </c>
      <c r="E2248" s="559" t="s">
        <v>101</v>
      </c>
      <c r="F2248" s="559">
        <v>0</v>
      </c>
      <c r="G2248" s="174"/>
    </row>
    <row r="2249" spans="1:7" x14ac:dyDescent="0.3">
      <c r="A2249" s="559" t="s">
        <v>696</v>
      </c>
      <c r="B2249" s="559">
        <v>2014</v>
      </c>
      <c r="C2249" s="559" t="s">
        <v>319</v>
      </c>
      <c r="D2249" s="559" t="s">
        <v>10</v>
      </c>
      <c r="E2249" s="559" t="s">
        <v>101</v>
      </c>
      <c r="F2249" s="559">
        <v>0</v>
      </c>
      <c r="G2249" s="174"/>
    </row>
    <row r="2250" spans="1:7" x14ac:dyDescent="0.3">
      <c r="A2250" s="559" t="s">
        <v>696</v>
      </c>
      <c r="B2250" s="559">
        <v>2014</v>
      </c>
      <c r="C2250" s="559" t="s">
        <v>320</v>
      </c>
      <c r="D2250" s="559" t="s">
        <v>10</v>
      </c>
      <c r="E2250" s="559" t="s">
        <v>101</v>
      </c>
      <c r="F2250" s="559">
        <v>0</v>
      </c>
      <c r="G2250" s="174"/>
    </row>
    <row r="2251" spans="1:7" x14ac:dyDescent="0.3">
      <c r="A2251" s="559" t="s">
        <v>696</v>
      </c>
      <c r="B2251" s="559">
        <v>2014</v>
      </c>
      <c r="C2251" s="559" t="s">
        <v>321</v>
      </c>
      <c r="D2251" s="559" t="s">
        <v>35</v>
      </c>
      <c r="E2251" s="559" t="s">
        <v>110</v>
      </c>
      <c r="F2251" s="559">
        <v>0</v>
      </c>
      <c r="G2251" s="174"/>
    </row>
    <row r="2252" spans="1:7" x14ac:dyDescent="0.3">
      <c r="A2252" s="559" t="s">
        <v>696</v>
      </c>
      <c r="B2252" s="559">
        <v>2014</v>
      </c>
      <c r="C2252" s="559" t="s">
        <v>321</v>
      </c>
      <c r="D2252" s="559" t="s">
        <v>103</v>
      </c>
      <c r="E2252" s="559" t="s">
        <v>96</v>
      </c>
      <c r="F2252" s="559">
        <v>481.41899999999902</v>
      </c>
      <c r="G2252" s="174"/>
    </row>
    <row r="2253" spans="1:7" x14ac:dyDescent="0.3">
      <c r="A2253" s="559" t="s">
        <v>696</v>
      </c>
      <c r="B2253" s="559">
        <v>2014</v>
      </c>
      <c r="C2253" s="559" t="s">
        <v>322</v>
      </c>
      <c r="D2253" s="559" t="s">
        <v>39</v>
      </c>
      <c r="E2253" s="559" t="s">
        <v>96</v>
      </c>
      <c r="F2253" s="559">
        <v>2506768.8309999998</v>
      </c>
      <c r="G2253" s="174"/>
    </row>
    <row r="2254" spans="1:7" x14ac:dyDescent="0.3">
      <c r="A2254" s="559" t="s">
        <v>696</v>
      </c>
      <c r="B2254" s="559">
        <v>2014</v>
      </c>
      <c r="C2254" s="559" t="s">
        <v>323</v>
      </c>
      <c r="D2254" s="559" t="s">
        <v>4</v>
      </c>
      <c r="E2254" s="559" t="s">
        <v>101</v>
      </c>
      <c r="F2254" s="559">
        <v>0</v>
      </c>
      <c r="G2254" s="174"/>
    </row>
    <row r="2255" spans="1:7" x14ac:dyDescent="0.3">
      <c r="A2255" s="559" t="s">
        <v>696</v>
      </c>
      <c r="B2255" s="559">
        <v>2014</v>
      </c>
      <c r="C2255" s="559" t="s">
        <v>324</v>
      </c>
      <c r="D2255" s="559" t="s">
        <v>14</v>
      </c>
      <c r="E2255" s="559" t="s">
        <v>110</v>
      </c>
      <c r="F2255" s="559">
        <v>0</v>
      </c>
      <c r="G2255" s="174"/>
    </row>
    <row r="2256" spans="1:7" x14ac:dyDescent="0.3">
      <c r="A2256" s="559" t="s">
        <v>696</v>
      </c>
      <c r="B2256" s="559">
        <v>2014</v>
      </c>
      <c r="C2256" s="559" t="s">
        <v>325</v>
      </c>
      <c r="D2256" s="559" t="s">
        <v>52</v>
      </c>
      <c r="E2256" s="559" t="s">
        <v>96</v>
      </c>
      <c r="F2256" s="559">
        <v>18531444.344000001</v>
      </c>
      <c r="G2256" s="174"/>
    </row>
    <row r="2257" spans="1:7" x14ac:dyDescent="0.3">
      <c r="A2257" s="559" t="s">
        <v>696</v>
      </c>
      <c r="B2257" s="559">
        <v>2014</v>
      </c>
      <c r="C2257" s="559" t="s">
        <v>326</v>
      </c>
      <c r="D2257" s="559" t="s">
        <v>0</v>
      </c>
      <c r="E2257" s="559" t="s">
        <v>96</v>
      </c>
      <c r="F2257" s="559">
        <v>70209.640499999994</v>
      </c>
      <c r="G2257" s="174"/>
    </row>
    <row r="2258" spans="1:7" x14ac:dyDescent="0.3">
      <c r="A2258" s="559" t="s">
        <v>696</v>
      </c>
      <c r="B2258" s="559">
        <v>2014</v>
      </c>
      <c r="C2258" s="559" t="s">
        <v>326</v>
      </c>
      <c r="D2258" s="559" t="s">
        <v>14</v>
      </c>
      <c r="E2258" s="559" t="s">
        <v>96</v>
      </c>
      <c r="F2258" s="559">
        <v>17638.031637804801</v>
      </c>
      <c r="G2258" s="174"/>
    </row>
    <row r="2259" spans="1:7" x14ac:dyDescent="0.3">
      <c r="A2259" s="559" t="s">
        <v>696</v>
      </c>
      <c r="B2259" s="559">
        <v>2014</v>
      </c>
      <c r="C2259" s="559" t="s">
        <v>326</v>
      </c>
      <c r="D2259" s="559" t="s">
        <v>20</v>
      </c>
      <c r="E2259" s="559" t="s">
        <v>96</v>
      </c>
      <c r="F2259" s="559">
        <v>52571.608862195098</v>
      </c>
      <c r="G2259" s="174"/>
    </row>
    <row r="2260" spans="1:7" x14ac:dyDescent="0.3">
      <c r="A2260" s="559" t="s">
        <v>696</v>
      </c>
      <c r="B2260" s="559">
        <v>2014</v>
      </c>
      <c r="C2260" s="559" t="s">
        <v>327</v>
      </c>
      <c r="D2260" s="559" t="s">
        <v>40</v>
      </c>
      <c r="E2260" s="559" t="s">
        <v>96</v>
      </c>
      <c r="F2260" s="559">
        <v>370756.94399999798</v>
      </c>
      <c r="G2260" s="174"/>
    </row>
    <row r="2261" spans="1:7" x14ac:dyDescent="0.3">
      <c r="A2261" s="559" t="s">
        <v>696</v>
      </c>
      <c r="B2261" s="559">
        <v>2014</v>
      </c>
      <c r="C2261" s="559" t="s">
        <v>328</v>
      </c>
      <c r="D2261" s="559" t="s">
        <v>11</v>
      </c>
      <c r="E2261" s="559" t="s">
        <v>96</v>
      </c>
      <c r="F2261" s="559">
        <v>127475.49199999899</v>
      </c>
      <c r="G2261" s="174"/>
    </row>
    <row r="2262" spans="1:7" x14ac:dyDescent="0.3">
      <c r="A2262" s="559" t="s">
        <v>696</v>
      </c>
      <c r="B2262" s="559">
        <v>2014</v>
      </c>
      <c r="C2262" s="559" t="s">
        <v>329</v>
      </c>
      <c r="D2262" s="559" t="s">
        <v>31</v>
      </c>
      <c r="E2262" s="559" t="s">
        <v>96</v>
      </c>
      <c r="F2262" s="559">
        <v>50039.588999999898</v>
      </c>
      <c r="G2262" s="174"/>
    </row>
    <row r="2263" spans="1:7" x14ac:dyDescent="0.3">
      <c r="A2263" s="559" t="s">
        <v>696</v>
      </c>
      <c r="B2263" s="559">
        <v>2014</v>
      </c>
      <c r="C2263" s="559" t="s">
        <v>330</v>
      </c>
      <c r="D2263" s="559" t="s">
        <v>14</v>
      </c>
      <c r="E2263" s="559" t="s">
        <v>110</v>
      </c>
      <c r="F2263" s="559">
        <v>0</v>
      </c>
      <c r="G2263" s="174"/>
    </row>
    <row r="2264" spans="1:7" x14ac:dyDescent="0.3">
      <c r="A2264" s="559" t="s">
        <v>696</v>
      </c>
      <c r="B2264" s="559">
        <v>2014</v>
      </c>
      <c r="C2264" s="559" t="s">
        <v>330</v>
      </c>
      <c r="D2264" s="559" t="s">
        <v>14</v>
      </c>
      <c r="E2264" s="559" t="s">
        <v>96</v>
      </c>
      <c r="F2264" s="559">
        <v>710.67399999999702</v>
      </c>
      <c r="G2264" s="174"/>
    </row>
    <row r="2265" spans="1:7" x14ac:dyDescent="0.3">
      <c r="A2265" s="559" t="s">
        <v>696</v>
      </c>
      <c r="B2265" s="559">
        <v>2014</v>
      </c>
      <c r="C2265" s="559" t="s">
        <v>331</v>
      </c>
      <c r="D2265" s="559" t="s">
        <v>37</v>
      </c>
      <c r="E2265" s="559" t="s">
        <v>96</v>
      </c>
      <c r="F2265" s="559">
        <v>3243865.091</v>
      </c>
      <c r="G2265" s="174"/>
    </row>
    <row r="2266" spans="1:7" x14ac:dyDescent="0.3">
      <c r="A2266" s="559" t="s">
        <v>696</v>
      </c>
      <c r="B2266" s="559">
        <v>2014</v>
      </c>
      <c r="C2266" s="559" t="s">
        <v>332</v>
      </c>
      <c r="D2266" s="559" t="s">
        <v>28</v>
      </c>
      <c r="E2266" s="559" t="s">
        <v>96</v>
      </c>
      <c r="F2266" s="559">
        <v>482790.479999998</v>
      </c>
      <c r="G2266" s="174"/>
    </row>
    <row r="2267" spans="1:7" x14ac:dyDescent="0.3">
      <c r="A2267" s="559" t="s">
        <v>696</v>
      </c>
      <c r="B2267" s="559">
        <v>2014</v>
      </c>
      <c r="C2267" s="559" t="s">
        <v>333</v>
      </c>
      <c r="D2267" s="559" t="s">
        <v>4</v>
      </c>
      <c r="E2267" s="559" t="s">
        <v>96</v>
      </c>
      <c r="F2267" s="559">
        <v>474.52653416502102</v>
      </c>
      <c r="G2267" s="174"/>
    </row>
    <row r="2268" spans="1:7" x14ac:dyDescent="0.3">
      <c r="A2268" s="559" t="s">
        <v>696</v>
      </c>
      <c r="B2268" s="559">
        <v>2014</v>
      </c>
      <c r="C2268" s="559" t="s">
        <v>333</v>
      </c>
      <c r="D2268" s="559" t="s">
        <v>26</v>
      </c>
      <c r="E2268" s="559" t="s">
        <v>96</v>
      </c>
      <c r="F2268" s="559">
        <v>1441798.58131335</v>
      </c>
      <c r="G2268" s="174"/>
    </row>
    <row r="2269" spans="1:7" x14ac:dyDescent="0.3">
      <c r="A2269" s="559" t="s">
        <v>696</v>
      </c>
      <c r="B2269" s="559">
        <v>2014</v>
      </c>
      <c r="C2269" s="559" t="s">
        <v>334</v>
      </c>
      <c r="D2269" s="559" t="s">
        <v>4</v>
      </c>
      <c r="E2269" s="559" t="s">
        <v>96</v>
      </c>
      <c r="F2269" s="559">
        <v>4283.5929999999598</v>
      </c>
      <c r="G2269" s="174"/>
    </row>
    <row r="2270" spans="1:7" x14ac:dyDescent="0.3">
      <c r="A2270" s="559" t="s">
        <v>696</v>
      </c>
      <c r="B2270" s="559">
        <v>2014</v>
      </c>
      <c r="C2270" s="559" t="s">
        <v>335</v>
      </c>
      <c r="D2270" s="559" t="s">
        <v>4</v>
      </c>
      <c r="E2270" s="559" t="s">
        <v>101</v>
      </c>
      <c r="F2270" s="559">
        <v>0</v>
      </c>
      <c r="G2270" s="174"/>
    </row>
    <row r="2271" spans="1:7" x14ac:dyDescent="0.3">
      <c r="A2271" s="559" t="s">
        <v>696</v>
      </c>
      <c r="B2271" s="559">
        <v>2014</v>
      </c>
      <c r="C2271" s="559" t="s">
        <v>336</v>
      </c>
      <c r="D2271" s="559" t="s">
        <v>28</v>
      </c>
      <c r="E2271" s="559" t="s">
        <v>96</v>
      </c>
      <c r="F2271" s="559">
        <v>947192.56300000194</v>
      </c>
      <c r="G2271" s="174"/>
    </row>
    <row r="2272" spans="1:7" x14ac:dyDescent="0.3">
      <c r="A2272" s="559" t="s">
        <v>696</v>
      </c>
      <c r="B2272" s="559">
        <v>2014</v>
      </c>
      <c r="C2272" s="559" t="s">
        <v>337</v>
      </c>
      <c r="D2272" s="559" t="s">
        <v>40</v>
      </c>
      <c r="E2272" s="559" t="s">
        <v>96</v>
      </c>
      <c r="F2272" s="559">
        <v>676517.78099999705</v>
      </c>
      <c r="G2272" s="174"/>
    </row>
    <row r="2273" spans="1:7" x14ac:dyDescent="0.3">
      <c r="A2273" s="559" t="s">
        <v>696</v>
      </c>
      <c r="B2273" s="559">
        <v>2014</v>
      </c>
      <c r="C2273" s="559" t="s">
        <v>338</v>
      </c>
      <c r="D2273" s="559" t="s">
        <v>37</v>
      </c>
      <c r="E2273" s="559" t="s">
        <v>96</v>
      </c>
      <c r="F2273" s="559">
        <v>7965352.1249999702</v>
      </c>
      <c r="G2273" s="174"/>
    </row>
    <row r="2274" spans="1:7" x14ac:dyDescent="0.3">
      <c r="A2274" s="559" t="s">
        <v>696</v>
      </c>
      <c r="B2274" s="559">
        <v>2014</v>
      </c>
      <c r="C2274" s="559" t="s">
        <v>339</v>
      </c>
      <c r="D2274" s="559" t="s">
        <v>51</v>
      </c>
      <c r="E2274" s="559" t="s">
        <v>96</v>
      </c>
      <c r="F2274" s="559">
        <v>141929.69599999799</v>
      </c>
      <c r="G2274" s="174"/>
    </row>
    <row r="2275" spans="1:7" x14ac:dyDescent="0.3">
      <c r="A2275" s="559" t="s">
        <v>696</v>
      </c>
      <c r="B2275" s="559">
        <v>2014</v>
      </c>
      <c r="C2275" s="559" t="s">
        <v>340</v>
      </c>
      <c r="D2275" s="559" t="s">
        <v>680</v>
      </c>
      <c r="E2275" s="559" t="s">
        <v>101</v>
      </c>
      <c r="F2275" s="559">
        <v>0</v>
      </c>
      <c r="G2275" s="174"/>
    </row>
    <row r="2276" spans="1:7" x14ac:dyDescent="0.3">
      <c r="A2276" s="559" t="s">
        <v>696</v>
      </c>
      <c r="B2276" s="559">
        <v>2014</v>
      </c>
      <c r="C2276" s="559" t="s">
        <v>341</v>
      </c>
      <c r="D2276" s="559" t="s">
        <v>17</v>
      </c>
      <c r="E2276" s="559" t="s">
        <v>101</v>
      </c>
      <c r="F2276" s="559">
        <v>0</v>
      </c>
      <c r="G2276" s="174"/>
    </row>
    <row r="2277" spans="1:7" x14ac:dyDescent="0.3">
      <c r="A2277" s="559" t="s">
        <v>696</v>
      </c>
      <c r="B2277" s="559">
        <v>2014</v>
      </c>
      <c r="C2277" s="559" t="s">
        <v>342</v>
      </c>
      <c r="D2277" s="559" t="s">
        <v>28</v>
      </c>
      <c r="E2277" s="559" t="s">
        <v>96</v>
      </c>
      <c r="F2277" s="559">
        <v>869309.67799999996</v>
      </c>
      <c r="G2277" s="174"/>
    </row>
    <row r="2278" spans="1:7" x14ac:dyDescent="0.3">
      <c r="A2278" s="559" t="s">
        <v>696</v>
      </c>
      <c r="B2278" s="559">
        <v>2014</v>
      </c>
      <c r="C2278" s="559" t="s">
        <v>343</v>
      </c>
      <c r="D2278" s="559" t="s">
        <v>17</v>
      </c>
      <c r="E2278" s="559" t="s">
        <v>101</v>
      </c>
      <c r="F2278" s="559">
        <v>0</v>
      </c>
      <c r="G2278" s="174"/>
    </row>
    <row r="2279" spans="1:7" x14ac:dyDescent="0.3">
      <c r="A2279" s="559" t="s">
        <v>696</v>
      </c>
      <c r="B2279" s="559">
        <v>2014</v>
      </c>
      <c r="C2279" s="559" t="s">
        <v>344</v>
      </c>
      <c r="D2279" s="559" t="s">
        <v>12</v>
      </c>
      <c r="E2279" s="559" t="s">
        <v>96</v>
      </c>
      <c r="F2279" s="559">
        <v>119731.47500000001</v>
      </c>
      <c r="G2279" s="174"/>
    </row>
    <row r="2280" spans="1:7" x14ac:dyDescent="0.3">
      <c r="A2280" s="559" t="s">
        <v>696</v>
      </c>
      <c r="B2280" s="559">
        <v>2014</v>
      </c>
      <c r="C2280" s="559" t="s">
        <v>345</v>
      </c>
      <c r="D2280" s="559" t="s">
        <v>12</v>
      </c>
      <c r="E2280" s="559" t="s">
        <v>96</v>
      </c>
      <c r="F2280" s="559">
        <v>84013.716</v>
      </c>
      <c r="G2280" s="174"/>
    </row>
    <row r="2281" spans="1:7" x14ac:dyDescent="0.3">
      <c r="A2281" s="559" t="s">
        <v>696</v>
      </c>
      <c r="B2281" s="559">
        <v>2014</v>
      </c>
      <c r="C2281" s="559" t="s">
        <v>346</v>
      </c>
      <c r="D2281" s="559" t="s">
        <v>2</v>
      </c>
      <c r="E2281" s="559" t="s">
        <v>96</v>
      </c>
      <c r="F2281" s="559">
        <v>43705.715999999797</v>
      </c>
      <c r="G2281" s="174"/>
    </row>
    <row r="2282" spans="1:7" x14ac:dyDescent="0.3">
      <c r="A2282" s="559" t="s">
        <v>696</v>
      </c>
      <c r="B2282" s="559">
        <v>2014</v>
      </c>
      <c r="C2282" s="559" t="s">
        <v>347</v>
      </c>
      <c r="D2282" s="559" t="s">
        <v>68</v>
      </c>
      <c r="E2282" s="559" t="s">
        <v>96</v>
      </c>
      <c r="F2282" s="559">
        <v>393948.21</v>
      </c>
      <c r="G2282" s="174"/>
    </row>
    <row r="2283" spans="1:7" x14ac:dyDescent="0.3">
      <c r="A2283" s="559" t="s">
        <v>696</v>
      </c>
      <c r="B2283" s="559">
        <v>2014</v>
      </c>
      <c r="C2283" s="559" t="s">
        <v>348</v>
      </c>
      <c r="D2283" s="559" t="s">
        <v>37</v>
      </c>
      <c r="E2283" s="559" t="s">
        <v>96</v>
      </c>
      <c r="F2283" s="559">
        <v>3137447.27299998</v>
      </c>
      <c r="G2283" s="174"/>
    </row>
    <row r="2284" spans="1:7" x14ac:dyDescent="0.3">
      <c r="A2284" s="559" t="s">
        <v>696</v>
      </c>
      <c r="B2284" s="559">
        <v>2014</v>
      </c>
      <c r="C2284" s="559" t="s">
        <v>349</v>
      </c>
      <c r="D2284" s="559" t="s">
        <v>36</v>
      </c>
      <c r="E2284" s="559" t="s">
        <v>96</v>
      </c>
      <c r="F2284" s="559">
        <v>542427.46400000597</v>
      </c>
      <c r="G2284" s="174"/>
    </row>
    <row r="2285" spans="1:7" x14ac:dyDescent="0.3">
      <c r="A2285" s="559" t="s">
        <v>696</v>
      </c>
      <c r="B2285" s="559">
        <v>2014</v>
      </c>
      <c r="C2285" s="559" t="s">
        <v>350</v>
      </c>
      <c r="D2285" s="559" t="s">
        <v>17</v>
      </c>
      <c r="E2285" s="559" t="s">
        <v>101</v>
      </c>
      <c r="F2285" s="559">
        <v>0</v>
      </c>
      <c r="G2285" s="174"/>
    </row>
    <row r="2286" spans="1:7" x14ac:dyDescent="0.3">
      <c r="A2286" s="560" t="s">
        <v>696</v>
      </c>
      <c r="B2286" s="560">
        <v>2014</v>
      </c>
      <c r="C2286" s="560" t="s">
        <v>351</v>
      </c>
      <c r="D2286" s="560" t="s">
        <v>4</v>
      </c>
      <c r="E2286" s="560" t="s">
        <v>101</v>
      </c>
      <c r="F2286" s="560">
        <v>0</v>
      </c>
      <c r="G2286" s="174"/>
    </row>
    <row r="2287" spans="1:7" x14ac:dyDescent="0.3">
      <c r="A2287" s="560" t="s">
        <v>696</v>
      </c>
      <c r="B2287" s="560">
        <v>2014</v>
      </c>
      <c r="C2287" s="560" t="s">
        <v>352</v>
      </c>
      <c r="D2287" s="560" t="s">
        <v>4</v>
      </c>
      <c r="E2287" s="560" t="s">
        <v>101</v>
      </c>
      <c r="F2287" s="560">
        <v>0</v>
      </c>
      <c r="G2287" s="174"/>
    </row>
    <row r="2288" spans="1:7" x14ac:dyDescent="0.3">
      <c r="A2288" s="560" t="s">
        <v>696</v>
      </c>
      <c r="B2288" s="560">
        <v>2014</v>
      </c>
      <c r="C2288" s="560" t="s">
        <v>353</v>
      </c>
      <c r="D2288" s="560" t="s">
        <v>20</v>
      </c>
      <c r="E2288" s="560" t="s">
        <v>96</v>
      </c>
      <c r="F2288" s="560">
        <v>51836.485999999903</v>
      </c>
      <c r="G2288" s="174"/>
    </row>
    <row r="2289" spans="1:7" x14ac:dyDescent="0.3">
      <c r="A2289" s="560" t="s">
        <v>696</v>
      </c>
      <c r="B2289" s="560">
        <v>2014</v>
      </c>
      <c r="C2289" s="560" t="s">
        <v>354</v>
      </c>
      <c r="D2289" s="560" t="s">
        <v>14</v>
      </c>
      <c r="E2289" s="560" t="s">
        <v>101</v>
      </c>
      <c r="F2289" s="560">
        <v>0</v>
      </c>
      <c r="G2289" s="174"/>
    </row>
    <row r="2290" spans="1:7" x14ac:dyDescent="0.3">
      <c r="A2290" s="560" t="s">
        <v>696</v>
      </c>
      <c r="B2290" s="560">
        <v>2014</v>
      </c>
      <c r="C2290" s="560" t="s">
        <v>355</v>
      </c>
      <c r="D2290" s="560" t="s">
        <v>36</v>
      </c>
      <c r="E2290" s="560" t="s">
        <v>96</v>
      </c>
      <c r="F2290" s="560">
        <v>943303.91200000199</v>
      </c>
      <c r="G2290" s="174"/>
    </row>
    <row r="2291" spans="1:7" x14ac:dyDescent="0.3">
      <c r="A2291" s="560" t="s">
        <v>696</v>
      </c>
      <c r="B2291" s="560">
        <v>2014</v>
      </c>
      <c r="C2291" s="560" t="s">
        <v>356</v>
      </c>
      <c r="D2291" s="560" t="s">
        <v>28</v>
      </c>
      <c r="E2291" s="560" t="s">
        <v>96</v>
      </c>
      <c r="F2291" s="560">
        <v>97003.754000000001</v>
      </c>
      <c r="G2291" s="174"/>
    </row>
    <row r="2292" spans="1:7" x14ac:dyDescent="0.3">
      <c r="A2292" s="560" t="s">
        <v>696</v>
      </c>
      <c r="B2292" s="560">
        <v>2014</v>
      </c>
      <c r="C2292" s="560" t="s">
        <v>357</v>
      </c>
      <c r="D2292" s="560" t="s">
        <v>14</v>
      </c>
      <c r="E2292" s="560" t="s">
        <v>110</v>
      </c>
      <c r="F2292" s="560">
        <v>0</v>
      </c>
      <c r="G2292" s="174"/>
    </row>
    <row r="2293" spans="1:7" x14ac:dyDescent="0.3">
      <c r="A2293" s="560" t="s">
        <v>696</v>
      </c>
      <c r="B2293" s="560">
        <v>2014</v>
      </c>
      <c r="C2293" s="560" t="s">
        <v>357</v>
      </c>
      <c r="D2293" s="560" t="s">
        <v>14</v>
      </c>
      <c r="E2293" s="560" t="s">
        <v>96</v>
      </c>
      <c r="F2293" s="560">
        <v>547.21299999999906</v>
      </c>
      <c r="G2293" s="174"/>
    </row>
    <row r="2294" spans="1:7" x14ac:dyDescent="0.3">
      <c r="A2294" s="560" t="s">
        <v>696</v>
      </c>
      <c r="B2294" s="560">
        <v>2014</v>
      </c>
      <c r="C2294" s="560" t="s">
        <v>358</v>
      </c>
      <c r="D2294" s="560" t="s">
        <v>14</v>
      </c>
      <c r="E2294" s="560" t="s">
        <v>110</v>
      </c>
      <c r="F2294" s="560">
        <v>0</v>
      </c>
      <c r="G2294" s="174"/>
    </row>
    <row r="2295" spans="1:7" x14ac:dyDescent="0.3">
      <c r="A2295" s="560" t="s">
        <v>696</v>
      </c>
      <c r="B2295" s="560">
        <v>2014</v>
      </c>
      <c r="C2295" s="560" t="s">
        <v>358</v>
      </c>
      <c r="D2295" s="560" t="s">
        <v>14</v>
      </c>
      <c r="E2295" s="560" t="s">
        <v>96</v>
      </c>
      <c r="F2295" s="560">
        <v>570.84699999999896</v>
      </c>
      <c r="G2295" s="174"/>
    </row>
    <row r="2296" spans="1:7" x14ac:dyDescent="0.3">
      <c r="A2296" s="86"/>
      <c r="B2296" s="86"/>
      <c r="C2296" s="86"/>
      <c r="D2296" s="86"/>
      <c r="E2296" s="86"/>
      <c r="F2296" s="86"/>
      <c r="G2296" s="327"/>
    </row>
    <row r="2297" spans="1:7" x14ac:dyDescent="0.3">
      <c r="A2297" s="86"/>
      <c r="B2297" s="86"/>
      <c r="C2297" s="86"/>
      <c r="D2297" s="86"/>
      <c r="E2297" s="86"/>
      <c r="F2297" s="86"/>
      <c r="G2297" s="327"/>
    </row>
    <row r="2298" spans="1:7" x14ac:dyDescent="0.3">
      <c r="A2298" s="86"/>
      <c r="B2298" s="86"/>
      <c r="C2298" s="86"/>
      <c r="D2298" s="86"/>
      <c r="E2298" s="86"/>
      <c r="F2298" s="86"/>
      <c r="G2298" s="327"/>
    </row>
    <row r="2299" spans="1:7" x14ac:dyDescent="0.3">
      <c r="A2299" s="86"/>
      <c r="B2299" s="86"/>
      <c r="C2299" s="86"/>
      <c r="D2299" s="86"/>
      <c r="E2299" s="86"/>
      <c r="F2299" s="86"/>
      <c r="G2299" s="327"/>
    </row>
    <row r="2300" spans="1:7" x14ac:dyDescent="0.3">
      <c r="A2300" s="86"/>
      <c r="B2300" s="86"/>
      <c r="C2300" s="86"/>
      <c r="D2300" s="86"/>
      <c r="E2300" s="86"/>
      <c r="F2300" s="86"/>
      <c r="G2300" s="327"/>
    </row>
    <row r="2301" spans="1:7" x14ac:dyDescent="0.3">
      <c r="A2301" s="86"/>
      <c r="B2301" s="86"/>
      <c r="C2301" s="86"/>
      <c r="D2301" s="86"/>
      <c r="E2301" s="86"/>
      <c r="F2301" s="86"/>
      <c r="G2301" s="327"/>
    </row>
    <row r="2302" spans="1:7" x14ac:dyDescent="0.3">
      <c r="A2302" s="86"/>
      <c r="B2302" s="86"/>
      <c r="C2302" s="86"/>
      <c r="D2302" s="86"/>
      <c r="E2302" s="86"/>
      <c r="F2302" s="86"/>
      <c r="G2302" s="327"/>
    </row>
    <row r="2303" spans="1:7" x14ac:dyDescent="0.3">
      <c r="A2303" s="86"/>
      <c r="B2303" s="86"/>
      <c r="C2303" s="86"/>
      <c r="D2303" s="86"/>
      <c r="E2303" s="86"/>
      <c r="F2303" s="86"/>
      <c r="G2303" s="327"/>
    </row>
    <row r="2304" spans="1:7" x14ac:dyDescent="0.3">
      <c r="A2304" s="86"/>
      <c r="B2304" s="86"/>
      <c r="C2304" s="86"/>
      <c r="D2304" s="86"/>
      <c r="E2304" s="86"/>
      <c r="F2304" s="86"/>
      <c r="G2304" s="327"/>
    </row>
    <row r="2305" spans="1:7" x14ac:dyDescent="0.3">
      <c r="A2305" s="86"/>
      <c r="B2305" s="86"/>
      <c r="C2305" s="86"/>
      <c r="D2305" s="86"/>
      <c r="E2305" s="86"/>
      <c r="F2305" s="86"/>
      <c r="G2305" s="327"/>
    </row>
    <row r="2306" spans="1:7" x14ac:dyDescent="0.3">
      <c r="A2306" s="86"/>
      <c r="B2306" s="86"/>
      <c r="C2306" s="86"/>
      <c r="D2306" s="86"/>
      <c r="E2306" s="86"/>
      <c r="F2306" s="86"/>
      <c r="G2306" s="327"/>
    </row>
    <row r="2307" spans="1:7" x14ac:dyDescent="0.3">
      <c r="A2307" s="86"/>
      <c r="B2307" s="86"/>
      <c r="C2307" s="86"/>
      <c r="D2307" s="86"/>
      <c r="E2307" s="86"/>
      <c r="F2307" s="86"/>
      <c r="G2307" s="327"/>
    </row>
    <row r="2308" spans="1:7" x14ac:dyDescent="0.3">
      <c r="A2308" s="86"/>
      <c r="B2308" s="86"/>
      <c r="C2308" s="86"/>
      <c r="D2308" s="86"/>
      <c r="E2308" s="86"/>
      <c r="F2308" s="86"/>
      <c r="G2308" s="327"/>
    </row>
    <row r="2309" spans="1:7" x14ac:dyDescent="0.3">
      <c r="A2309" s="86"/>
      <c r="B2309" s="86"/>
      <c r="C2309" s="86"/>
      <c r="D2309" s="86"/>
      <c r="E2309" s="86"/>
      <c r="F2309" s="86"/>
      <c r="G2309" s="327"/>
    </row>
    <row r="2310" spans="1:7" x14ac:dyDescent="0.3">
      <c r="A2310" s="86"/>
      <c r="B2310" s="86"/>
      <c r="C2310" s="86"/>
      <c r="D2310" s="86"/>
      <c r="E2310" s="86"/>
      <c r="F2310" s="86"/>
      <c r="G2310" s="327"/>
    </row>
    <row r="2311" spans="1:7" x14ac:dyDescent="0.3">
      <c r="A2311" s="86"/>
      <c r="B2311" s="86"/>
      <c r="C2311" s="86"/>
      <c r="D2311" s="86"/>
      <c r="E2311" s="86"/>
      <c r="F2311" s="86"/>
      <c r="G2311" s="327"/>
    </row>
    <row r="2312" spans="1:7" x14ac:dyDescent="0.3">
      <c r="A2312" s="86"/>
      <c r="B2312" s="86"/>
      <c r="C2312" s="86"/>
      <c r="D2312" s="86"/>
      <c r="E2312" s="86"/>
      <c r="F2312" s="86"/>
      <c r="G2312" s="327"/>
    </row>
    <row r="2313" spans="1:7" x14ac:dyDescent="0.3">
      <c r="A2313" s="86"/>
      <c r="B2313" s="86"/>
      <c r="C2313" s="86"/>
      <c r="D2313" s="86"/>
      <c r="E2313" s="86"/>
      <c r="F2313" s="86"/>
      <c r="G2313" s="327"/>
    </row>
    <row r="2314" spans="1:7" x14ac:dyDescent="0.3">
      <c r="A2314" s="86"/>
      <c r="B2314" s="86"/>
      <c r="C2314" s="86"/>
      <c r="D2314" s="86"/>
      <c r="E2314" s="86"/>
      <c r="F2314" s="86"/>
      <c r="G2314" s="327"/>
    </row>
    <row r="2315" spans="1:7" x14ac:dyDescent="0.3">
      <c r="A2315" s="86"/>
      <c r="B2315" s="86"/>
      <c r="C2315" s="86"/>
      <c r="D2315" s="86"/>
      <c r="E2315" s="86"/>
      <c r="F2315" s="86"/>
      <c r="G2315" s="327"/>
    </row>
    <row r="2316" spans="1:7" x14ac:dyDescent="0.3">
      <c r="A2316" s="86"/>
      <c r="B2316" s="86"/>
      <c r="C2316" s="86"/>
      <c r="D2316" s="86"/>
      <c r="E2316" s="86"/>
      <c r="F2316" s="86"/>
      <c r="G2316" s="327"/>
    </row>
    <row r="2317" spans="1:7" x14ac:dyDescent="0.3">
      <c r="A2317" s="86"/>
      <c r="B2317" s="86"/>
      <c r="C2317" s="86"/>
      <c r="D2317" s="86"/>
      <c r="E2317" s="86"/>
      <c r="F2317" s="86"/>
      <c r="G2317" s="174"/>
    </row>
    <row r="2318" spans="1:7" x14ac:dyDescent="0.3">
      <c r="A2318" s="86"/>
      <c r="B2318" s="86"/>
      <c r="C2318" s="86"/>
      <c r="D2318" s="86"/>
      <c r="E2318" s="86"/>
      <c r="F2318" s="86"/>
      <c r="G2318" s="174"/>
    </row>
    <row r="2319" spans="1:7" x14ac:dyDescent="0.3">
      <c r="A2319" s="86"/>
      <c r="B2319" s="86"/>
      <c r="C2319" s="86"/>
      <c r="D2319" s="86"/>
      <c r="E2319" s="86"/>
      <c r="F2319" s="86"/>
      <c r="G2319" s="174"/>
    </row>
    <row r="2320" spans="1:7" x14ac:dyDescent="0.3">
      <c r="A2320" s="86"/>
      <c r="B2320" s="86"/>
      <c r="C2320" s="86"/>
      <c r="D2320" s="86"/>
      <c r="E2320" s="86"/>
      <c r="F2320" s="86"/>
      <c r="G2320" s="174"/>
    </row>
    <row r="2321" spans="1:7" x14ac:dyDescent="0.3">
      <c r="A2321" s="86"/>
      <c r="B2321" s="86"/>
      <c r="C2321" s="86"/>
      <c r="D2321" s="86"/>
      <c r="E2321" s="86"/>
      <c r="F2321" s="86"/>
      <c r="G2321" s="174"/>
    </row>
    <row r="2322" spans="1:7" x14ac:dyDescent="0.3">
      <c r="A2322" s="86"/>
      <c r="B2322" s="86"/>
      <c r="C2322" s="86"/>
      <c r="D2322" s="86"/>
      <c r="E2322" s="86"/>
      <c r="F2322" s="86"/>
      <c r="G2322" s="174"/>
    </row>
    <row r="2323" spans="1:7" x14ac:dyDescent="0.3">
      <c r="A2323" s="86"/>
      <c r="B2323" s="86"/>
      <c r="C2323" s="86"/>
      <c r="D2323" s="86"/>
      <c r="E2323" s="86"/>
      <c r="F2323" s="86"/>
      <c r="G2323" s="174"/>
    </row>
    <row r="2324" spans="1:7" x14ac:dyDescent="0.3">
      <c r="A2324" s="86"/>
      <c r="B2324" s="86"/>
      <c r="C2324" s="86"/>
      <c r="D2324" s="86"/>
      <c r="E2324" s="86"/>
      <c r="F2324" s="86"/>
      <c r="G2324" s="174"/>
    </row>
    <row r="2325" spans="1:7" x14ac:dyDescent="0.3">
      <c r="A2325" s="86"/>
      <c r="B2325" s="86"/>
      <c r="C2325" s="86"/>
      <c r="D2325" s="86"/>
      <c r="E2325" s="86"/>
      <c r="F2325" s="86"/>
      <c r="G2325" s="174"/>
    </row>
    <row r="2326" spans="1:7" x14ac:dyDescent="0.3">
      <c r="A2326" s="86"/>
      <c r="B2326" s="86"/>
      <c r="C2326" s="86"/>
      <c r="D2326" s="86"/>
      <c r="E2326" s="86"/>
      <c r="F2326" s="86"/>
      <c r="G2326" s="174"/>
    </row>
    <row r="2327" spans="1:7" x14ac:dyDescent="0.3">
      <c r="A2327" s="86"/>
      <c r="B2327" s="86"/>
      <c r="C2327" s="86"/>
      <c r="D2327" s="86"/>
      <c r="E2327" s="86"/>
      <c r="F2327" s="86"/>
      <c r="G2327" s="174"/>
    </row>
    <row r="2328" spans="1:7" x14ac:dyDescent="0.3">
      <c r="A2328" s="86"/>
      <c r="B2328" s="86"/>
      <c r="C2328" s="86"/>
      <c r="D2328" s="86"/>
      <c r="E2328" s="86"/>
      <c r="F2328" s="86"/>
      <c r="G2328" s="174"/>
    </row>
    <row r="2329" spans="1:7" x14ac:dyDescent="0.3">
      <c r="A2329" s="86"/>
      <c r="B2329" s="86"/>
      <c r="C2329" s="86"/>
      <c r="D2329" s="86"/>
      <c r="E2329" s="86"/>
      <c r="F2329" s="86"/>
      <c r="G2329" s="174"/>
    </row>
    <row r="2330" spans="1:7" x14ac:dyDescent="0.3">
      <c r="A2330" s="86"/>
      <c r="B2330" s="86"/>
      <c r="C2330" s="86"/>
      <c r="D2330" s="86"/>
      <c r="E2330" s="86"/>
      <c r="F2330" s="86"/>
      <c r="G2330" s="174"/>
    </row>
    <row r="2331" spans="1:7" x14ac:dyDescent="0.3">
      <c r="A2331" s="86"/>
      <c r="B2331" s="86"/>
      <c r="C2331" s="86"/>
      <c r="D2331" s="86"/>
      <c r="E2331" s="86"/>
      <c r="F2331" s="86"/>
      <c r="G2331" s="174"/>
    </row>
    <row r="2332" spans="1:7" x14ac:dyDescent="0.3">
      <c r="A2332" s="86"/>
      <c r="B2332" s="86"/>
      <c r="C2332" s="86"/>
      <c r="D2332" s="86"/>
      <c r="E2332" s="86"/>
      <c r="F2332" s="86"/>
      <c r="G2332" s="174"/>
    </row>
    <row r="2333" spans="1:7" x14ac:dyDescent="0.3">
      <c r="A2333" s="86"/>
      <c r="B2333" s="86"/>
      <c r="C2333" s="86"/>
      <c r="D2333" s="86"/>
      <c r="E2333" s="86"/>
      <c r="F2333" s="86"/>
      <c r="G2333" s="174"/>
    </row>
    <row r="2334" spans="1:7" x14ac:dyDescent="0.3">
      <c r="A2334" s="86"/>
      <c r="B2334" s="86"/>
      <c r="C2334" s="86"/>
      <c r="D2334" s="86"/>
      <c r="E2334" s="86"/>
      <c r="F2334" s="86"/>
      <c r="G2334" s="174"/>
    </row>
    <row r="2335" spans="1:7" x14ac:dyDescent="0.3">
      <c r="A2335" s="86"/>
      <c r="B2335" s="86"/>
      <c r="C2335" s="86"/>
      <c r="D2335" s="86"/>
      <c r="E2335" s="86"/>
      <c r="F2335" s="86"/>
      <c r="G2335" s="174"/>
    </row>
    <row r="2336" spans="1:7" x14ac:dyDescent="0.3">
      <c r="A2336" s="86"/>
      <c r="B2336" s="86"/>
      <c r="C2336" s="86"/>
      <c r="D2336" s="86"/>
      <c r="E2336" s="86"/>
      <c r="F2336" s="86"/>
      <c r="G2336" s="174"/>
    </row>
    <row r="2337" spans="1:7" x14ac:dyDescent="0.3">
      <c r="A2337" s="86"/>
      <c r="B2337" s="86"/>
      <c r="C2337" s="86"/>
      <c r="D2337" s="86"/>
      <c r="E2337" s="86"/>
      <c r="F2337" s="86"/>
      <c r="G2337" s="174"/>
    </row>
    <row r="2338" spans="1:7" x14ac:dyDescent="0.3">
      <c r="A2338" s="86"/>
      <c r="B2338" s="86"/>
      <c r="C2338" s="86"/>
      <c r="D2338" s="86"/>
      <c r="E2338" s="86"/>
      <c r="F2338" s="86"/>
      <c r="G2338" s="174"/>
    </row>
    <row r="2339" spans="1:7" x14ac:dyDescent="0.3">
      <c r="A2339" s="86"/>
      <c r="B2339" s="86"/>
      <c r="C2339" s="86"/>
      <c r="D2339" s="86"/>
      <c r="E2339" s="86"/>
      <c r="F2339" s="86"/>
      <c r="G2339" s="174"/>
    </row>
    <row r="2340" spans="1:7" x14ac:dyDescent="0.3">
      <c r="A2340" s="86"/>
      <c r="B2340" s="86"/>
      <c r="C2340" s="86"/>
      <c r="D2340" s="86"/>
      <c r="E2340" s="86"/>
      <c r="F2340" s="86"/>
      <c r="G2340" s="174"/>
    </row>
    <row r="2341" spans="1:7" x14ac:dyDescent="0.3">
      <c r="A2341" s="86"/>
      <c r="B2341" s="86"/>
      <c r="C2341" s="86"/>
      <c r="D2341" s="86"/>
      <c r="E2341" s="86"/>
      <c r="F2341" s="86"/>
      <c r="G2341" s="174"/>
    </row>
    <row r="2342" spans="1:7" x14ac:dyDescent="0.3">
      <c r="A2342" s="86"/>
      <c r="B2342" s="86"/>
      <c r="C2342" s="86"/>
      <c r="D2342" s="86"/>
      <c r="E2342" s="86"/>
      <c r="F2342" s="86"/>
      <c r="G2342" s="174"/>
    </row>
    <row r="2343" spans="1:7" x14ac:dyDescent="0.3">
      <c r="A2343" s="86"/>
      <c r="B2343" s="86"/>
      <c r="C2343" s="86"/>
      <c r="D2343" s="86"/>
      <c r="E2343" s="86"/>
      <c r="F2343" s="86"/>
      <c r="G2343" s="174"/>
    </row>
    <row r="2344" spans="1:7" x14ac:dyDescent="0.3">
      <c r="A2344" s="86"/>
      <c r="B2344" s="86"/>
      <c r="C2344" s="86"/>
      <c r="D2344" s="86"/>
      <c r="E2344" s="86"/>
      <c r="F2344" s="86"/>
      <c r="G2344" s="174"/>
    </row>
    <row r="2345" spans="1:7" x14ac:dyDescent="0.3">
      <c r="A2345" s="86"/>
      <c r="B2345" s="86"/>
      <c r="C2345" s="86"/>
      <c r="D2345" s="86"/>
      <c r="E2345" s="86"/>
      <c r="F2345" s="86"/>
      <c r="G2345" s="174"/>
    </row>
    <row r="2346" spans="1:7" x14ac:dyDescent="0.3">
      <c r="A2346" s="86"/>
      <c r="B2346" s="86"/>
      <c r="C2346" s="86"/>
      <c r="D2346" s="86"/>
      <c r="E2346" s="86"/>
      <c r="F2346" s="86"/>
      <c r="G2346" s="174"/>
    </row>
    <row r="2347" spans="1:7" x14ac:dyDescent="0.3">
      <c r="A2347" s="86"/>
      <c r="B2347" s="86"/>
      <c r="C2347" s="86"/>
      <c r="D2347" s="86"/>
      <c r="E2347" s="86"/>
      <c r="F2347" s="86"/>
      <c r="G2347" s="174"/>
    </row>
    <row r="2348" spans="1:7" x14ac:dyDescent="0.3">
      <c r="A2348" s="86"/>
      <c r="B2348" s="86"/>
      <c r="C2348" s="86"/>
      <c r="D2348" s="86"/>
      <c r="E2348" s="86"/>
      <c r="F2348" s="86"/>
      <c r="G2348" s="174"/>
    </row>
    <row r="2349" spans="1:7" x14ac:dyDescent="0.3">
      <c r="A2349" s="86"/>
      <c r="B2349" s="86"/>
      <c r="C2349" s="86"/>
      <c r="D2349" s="86"/>
      <c r="E2349" s="86"/>
      <c r="F2349" s="86"/>
      <c r="G2349" s="174"/>
    </row>
    <row r="2350" spans="1:7" x14ac:dyDescent="0.3">
      <c r="A2350" s="86"/>
      <c r="B2350" s="86"/>
      <c r="C2350" s="86"/>
      <c r="D2350" s="86"/>
      <c r="E2350" s="86"/>
      <c r="F2350" s="86"/>
      <c r="G2350" s="174"/>
    </row>
    <row r="2351" spans="1:7" x14ac:dyDescent="0.3">
      <c r="A2351" s="86"/>
      <c r="B2351" s="86"/>
      <c r="C2351" s="86"/>
      <c r="D2351" s="86"/>
      <c r="E2351" s="86"/>
      <c r="F2351" s="86"/>
      <c r="G2351" s="174"/>
    </row>
    <row r="2352" spans="1:7" x14ac:dyDescent="0.3">
      <c r="A2352" s="86"/>
      <c r="B2352" s="86"/>
      <c r="C2352" s="86"/>
      <c r="D2352" s="86"/>
      <c r="E2352" s="86"/>
      <c r="F2352" s="86"/>
      <c r="G2352" s="174"/>
    </row>
    <row r="2353" spans="1:7" x14ac:dyDescent="0.3">
      <c r="A2353" s="86"/>
      <c r="B2353" s="86"/>
      <c r="C2353" s="86"/>
      <c r="D2353" s="86"/>
      <c r="E2353" s="86"/>
      <c r="F2353" s="86"/>
      <c r="G2353" s="174"/>
    </row>
    <row r="2354" spans="1:7" x14ac:dyDescent="0.3">
      <c r="A2354" s="86"/>
      <c r="B2354" s="86"/>
      <c r="C2354" s="86"/>
      <c r="D2354" s="86"/>
      <c r="E2354" s="86"/>
      <c r="F2354" s="86"/>
      <c r="G2354" s="174"/>
    </row>
    <row r="2355" spans="1:7" x14ac:dyDescent="0.3">
      <c r="A2355" s="86"/>
      <c r="B2355" s="86"/>
      <c r="C2355" s="86"/>
      <c r="D2355" s="86"/>
      <c r="E2355" s="86"/>
      <c r="F2355" s="86"/>
      <c r="G2355" s="174"/>
    </row>
    <row r="2356" spans="1:7" x14ac:dyDescent="0.3">
      <c r="A2356" s="86"/>
      <c r="B2356" s="86"/>
      <c r="C2356" s="86"/>
      <c r="D2356" s="86"/>
      <c r="E2356" s="86"/>
      <c r="F2356" s="86"/>
      <c r="G2356" s="174"/>
    </row>
    <row r="2357" spans="1:7" x14ac:dyDescent="0.3">
      <c r="A2357" s="86"/>
      <c r="B2357" s="86"/>
      <c r="C2357" s="86"/>
      <c r="D2357" s="86"/>
      <c r="E2357" s="86"/>
      <c r="F2357" s="86"/>
      <c r="G2357" s="174"/>
    </row>
    <row r="2358" spans="1:7" x14ac:dyDescent="0.3">
      <c r="A2358" s="86"/>
      <c r="B2358" s="86"/>
      <c r="C2358" s="86"/>
      <c r="D2358" s="86"/>
      <c r="E2358" s="86"/>
      <c r="F2358" s="86"/>
      <c r="G2358" s="174"/>
    </row>
    <row r="2359" spans="1:7" x14ac:dyDescent="0.3">
      <c r="A2359" s="86"/>
      <c r="B2359" s="86"/>
      <c r="C2359" s="86"/>
      <c r="D2359" s="86"/>
      <c r="E2359" s="86"/>
      <c r="F2359" s="86"/>
      <c r="G2359" s="174"/>
    </row>
    <row r="2360" spans="1:7" x14ac:dyDescent="0.3">
      <c r="A2360" s="86"/>
      <c r="B2360" s="86"/>
      <c r="C2360" s="86"/>
      <c r="D2360" s="86"/>
      <c r="E2360" s="86"/>
      <c r="F2360" s="86"/>
      <c r="G2360" s="174"/>
    </row>
    <row r="2361" spans="1:7" x14ac:dyDescent="0.3">
      <c r="A2361" s="86"/>
      <c r="B2361" s="86"/>
      <c r="C2361" s="86"/>
      <c r="D2361" s="86"/>
      <c r="E2361" s="86"/>
      <c r="F2361" s="86"/>
      <c r="G2361" s="174"/>
    </row>
    <row r="2362" spans="1:7" x14ac:dyDescent="0.3">
      <c r="A2362" s="86"/>
      <c r="B2362" s="86"/>
      <c r="C2362" s="86"/>
      <c r="D2362" s="86"/>
      <c r="E2362" s="86"/>
      <c r="F2362" s="86"/>
      <c r="G2362" s="174"/>
    </row>
    <row r="2363" spans="1:7" x14ac:dyDescent="0.3">
      <c r="A2363" s="86"/>
      <c r="B2363" s="86"/>
      <c r="C2363" s="86"/>
      <c r="D2363" s="86"/>
      <c r="E2363" s="86"/>
      <c r="F2363" s="86"/>
      <c r="G2363" s="174"/>
    </row>
    <row r="2364" spans="1:7" x14ac:dyDescent="0.3">
      <c r="A2364" s="86"/>
      <c r="B2364" s="86"/>
      <c r="C2364" s="86"/>
      <c r="D2364" s="86"/>
      <c r="E2364" s="86"/>
      <c r="F2364" s="86"/>
      <c r="G2364" s="174"/>
    </row>
    <row r="2365" spans="1:7" x14ac:dyDescent="0.3">
      <c r="A2365" s="86"/>
      <c r="B2365" s="86"/>
      <c r="C2365" s="86"/>
      <c r="D2365" s="86"/>
      <c r="E2365" s="86"/>
      <c r="F2365" s="86"/>
      <c r="G2365" s="174"/>
    </row>
    <row r="2366" spans="1:7" x14ac:dyDescent="0.3">
      <c r="A2366" s="86"/>
      <c r="B2366" s="86"/>
      <c r="C2366" s="86"/>
      <c r="D2366" s="86"/>
      <c r="E2366" s="86"/>
      <c r="F2366" s="86"/>
      <c r="G2366" s="174"/>
    </row>
    <row r="2367" spans="1:7" x14ac:dyDescent="0.3">
      <c r="A2367" s="86"/>
      <c r="B2367" s="86"/>
      <c r="C2367" s="86"/>
      <c r="D2367" s="86"/>
      <c r="E2367" s="86"/>
      <c r="F2367" s="86"/>
      <c r="G2367" s="174"/>
    </row>
    <row r="2368" spans="1:7" x14ac:dyDescent="0.3">
      <c r="A2368" s="86"/>
      <c r="B2368" s="86"/>
      <c r="C2368" s="86"/>
      <c r="D2368" s="86"/>
      <c r="E2368" s="86"/>
      <c r="F2368" s="86"/>
      <c r="G2368" s="174"/>
    </row>
    <row r="2369" spans="1:7" x14ac:dyDescent="0.3">
      <c r="A2369" s="86"/>
      <c r="B2369" s="86"/>
      <c r="C2369" s="86"/>
      <c r="D2369" s="86"/>
      <c r="E2369" s="86"/>
      <c r="F2369" s="86"/>
      <c r="G2369" s="174"/>
    </row>
    <row r="2370" spans="1:7" x14ac:dyDescent="0.3">
      <c r="A2370" s="86"/>
      <c r="B2370" s="86"/>
      <c r="C2370" s="86"/>
      <c r="D2370" s="86"/>
      <c r="E2370" s="86"/>
      <c r="F2370" s="86"/>
      <c r="G2370" s="174"/>
    </row>
    <row r="2371" spans="1:7" x14ac:dyDescent="0.3">
      <c r="A2371" s="86"/>
      <c r="B2371" s="86"/>
      <c r="C2371" s="86"/>
      <c r="D2371" s="86"/>
      <c r="E2371" s="86"/>
      <c r="F2371" s="86"/>
      <c r="G2371" s="174"/>
    </row>
    <row r="2372" spans="1:7" x14ac:dyDescent="0.3">
      <c r="A2372" s="86"/>
      <c r="B2372" s="86"/>
      <c r="C2372" s="86"/>
      <c r="D2372" s="86"/>
      <c r="E2372" s="86"/>
      <c r="F2372" s="86"/>
      <c r="G2372" s="174"/>
    </row>
    <row r="2373" spans="1:7" x14ac:dyDescent="0.3">
      <c r="A2373" s="86"/>
      <c r="B2373" s="86"/>
      <c r="C2373" s="86"/>
      <c r="D2373" s="86"/>
      <c r="E2373" s="86"/>
      <c r="F2373" s="86"/>
      <c r="G2373" s="174"/>
    </row>
    <row r="2374" spans="1:7" x14ac:dyDescent="0.3">
      <c r="A2374" s="86"/>
      <c r="B2374" s="86"/>
      <c r="C2374" s="86"/>
      <c r="D2374" s="86"/>
      <c r="E2374" s="86"/>
      <c r="F2374" s="86"/>
      <c r="G2374" s="174"/>
    </row>
    <row r="2375" spans="1:7" x14ac:dyDescent="0.3">
      <c r="A2375" s="86"/>
      <c r="B2375" s="86"/>
      <c r="C2375" s="86"/>
      <c r="D2375" s="86"/>
      <c r="E2375" s="86"/>
      <c r="F2375" s="86"/>
      <c r="G2375" s="174"/>
    </row>
    <row r="2376" spans="1:7" x14ac:dyDescent="0.3">
      <c r="A2376" s="86"/>
      <c r="B2376" s="86"/>
      <c r="C2376" s="86"/>
      <c r="D2376" s="86"/>
      <c r="E2376" s="86"/>
      <c r="F2376" s="86"/>
      <c r="G2376" s="174"/>
    </row>
    <row r="2377" spans="1:7" x14ac:dyDescent="0.3">
      <c r="A2377" s="86"/>
      <c r="B2377" s="86"/>
      <c r="C2377" s="86"/>
      <c r="D2377" s="86"/>
      <c r="E2377" s="86"/>
      <c r="F2377" s="86"/>
      <c r="G2377" s="174"/>
    </row>
    <row r="2378" spans="1:7" x14ac:dyDescent="0.3">
      <c r="A2378" s="86"/>
      <c r="B2378" s="86"/>
      <c r="C2378" s="86"/>
      <c r="D2378" s="86"/>
      <c r="E2378" s="86"/>
      <c r="F2378" s="86"/>
      <c r="G2378" s="174"/>
    </row>
    <row r="2379" spans="1:7" x14ac:dyDescent="0.3">
      <c r="A2379" s="86"/>
      <c r="B2379" s="86"/>
      <c r="C2379" s="86"/>
      <c r="D2379" s="86"/>
      <c r="E2379" s="86"/>
      <c r="F2379" s="86"/>
      <c r="G2379" s="174"/>
    </row>
    <row r="2380" spans="1:7" x14ac:dyDescent="0.3">
      <c r="A2380" s="86"/>
      <c r="B2380" s="86"/>
      <c r="C2380" s="86"/>
      <c r="D2380" s="86"/>
      <c r="E2380" s="86"/>
      <c r="F2380" s="86"/>
      <c r="G2380" s="174"/>
    </row>
    <row r="2381" spans="1:7" x14ac:dyDescent="0.3">
      <c r="A2381" s="86"/>
      <c r="B2381" s="86"/>
      <c r="C2381" s="86"/>
      <c r="D2381" s="86"/>
      <c r="E2381" s="86"/>
      <c r="F2381" s="86"/>
      <c r="G2381" s="174"/>
    </row>
    <row r="2382" spans="1:7" x14ac:dyDescent="0.3">
      <c r="A2382" s="86"/>
      <c r="B2382" s="86"/>
      <c r="C2382" s="86"/>
      <c r="D2382" s="86"/>
      <c r="E2382" s="86"/>
      <c r="F2382" s="86"/>
      <c r="G2382" s="174"/>
    </row>
    <row r="2383" spans="1:7" x14ac:dyDescent="0.3">
      <c r="A2383" s="86"/>
      <c r="B2383" s="86"/>
      <c r="C2383" s="86"/>
      <c r="D2383" s="86"/>
      <c r="E2383" s="86"/>
      <c r="F2383" s="86"/>
      <c r="G2383" s="174"/>
    </row>
    <row r="2384" spans="1:7" x14ac:dyDescent="0.3">
      <c r="A2384" s="86"/>
      <c r="B2384" s="86"/>
      <c r="C2384" s="86"/>
      <c r="D2384" s="86"/>
      <c r="E2384" s="86"/>
      <c r="F2384" s="86"/>
      <c r="G2384" s="174"/>
    </row>
    <row r="2385" spans="1:7" x14ac:dyDescent="0.3">
      <c r="A2385" s="86"/>
      <c r="B2385" s="86"/>
      <c r="C2385" s="86"/>
      <c r="D2385" s="86"/>
      <c r="E2385" s="86"/>
      <c r="F2385" s="86"/>
      <c r="G2385" s="174"/>
    </row>
    <row r="2386" spans="1:7" x14ac:dyDescent="0.3">
      <c r="A2386" s="86"/>
      <c r="B2386" s="86"/>
      <c r="C2386" s="86"/>
      <c r="D2386" s="86"/>
      <c r="E2386" s="86"/>
      <c r="F2386" s="86"/>
      <c r="G2386" s="174"/>
    </row>
    <row r="2387" spans="1:7" x14ac:dyDescent="0.3">
      <c r="A2387" s="86"/>
      <c r="B2387" s="86"/>
      <c r="C2387" s="86"/>
      <c r="D2387" s="86"/>
      <c r="E2387" s="86"/>
      <c r="F2387" s="86"/>
      <c r="G2387" s="174"/>
    </row>
    <row r="2388" spans="1:7" x14ac:dyDescent="0.3">
      <c r="A2388" s="86"/>
      <c r="B2388" s="86"/>
      <c r="C2388" s="86"/>
      <c r="D2388" s="86"/>
      <c r="E2388" s="86"/>
      <c r="F2388" s="86"/>
      <c r="G2388" s="174"/>
    </row>
    <row r="2389" spans="1:7" x14ac:dyDescent="0.3">
      <c r="A2389" s="86"/>
      <c r="B2389" s="86"/>
      <c r="C2389" s="86"/>
      <c r="D2389" s="86"/>
      <c r="E2389" s="86"/>
      <c r="F2389" s="86"/>
      <c r="G2389" s="174"/>
    </row>
    <row r="2390" spans="1:7" x14ac:dyDescent="0.3">
      <c r="A2390" s="86"/>
      <c r="B2390" s="86"/>
      <c r="C2390" s="86"/>
      <c r="D2390" s="86"/>
      <c r="E2390" s="86"/>
      <c r="F2390" s="86"/>
      <c r="G2390" s="174"/>
    </row>
    <row r="2391" spans="1:7" x14ac:dyDescent="0.3">
      <c r="A2391" s="86"/>
      <c r="B2391" s="86"/>
      <c r="C2391" s="86"/>
      <c r="D2391" s="86"/>
      <c r="E2391" s="86"/>
      <c r="F2391" s="86"/>
      <c r="G2391" s="174"/>
    </row>
    <row r="2392" spans="1:7" x14ac:dyDescent="0.3">
      <c r="A2392" s="86"/>
      <c r="B2392" s="86"/>
      <c r="C2392" s="86"/>
      <c r="D2392" s="86"/>
      <c r="E2392" s="86"/>
      <c r="F2392" s="86"/>
      <c r="G2392" s="174"/>
    </row>
    <row r="2393" spans="1:7" x14ac:dyDescent="0.3">
      <c r="A2393" s="86"/>
      <c r="B2393" s="86"/>
      <c r="C2393" s="86"/>
      <c r="D2393" s="86"/>
      <c r="E2393" s="86"/>
      <c r="F2393" s="86"/>
      <c r="G2393" s="174"/>
    </row>
    <row r="2394" spans="1:7" x14ac:dyDescent="0.3">
      <c r="A2394" s="86"/>
      <c r="B2394" s="86"/>
      <c r="C2394" s="86"/>
      <c r="D2394" s="86"/>
      <c r="E2394" s="86"/>
      <c r="F2394" s="86"/>
      <c r="G2394" s="174"/>
    </row>
    <row r="2395" spans="1:7" x14ac:dyDescent="0.3">
      <c r="A2395" s="86"/>
      <c r="B2395" s="86"/>
      <c r="C2395" s="86"/>
      <c r="D2395" s="86"/>
      <c r="E2395" s="86"/>
      <c r="F2395" s="86"/>
      <c r="G2395" s="174"/>
    </row>
    <row r="2396" spans="1:7" x14ac:dyDescent="0.3">
      <c r="A2396" s="86"/>
      <c r="B2396" s="86"/>
      <c r="C2396" s="86"/>
      <c r="D2396" s="86"/>
      <c r="E2396" s="86"/>
      <c r="F2396" s="86"/>
      <c r="G2396" s="174"/>
    </row>
    <row r="2397" spans="1:7" x14ac:dyDescent="0.3">
      <c r="A2397" s="86"/>
      <c r="B2397" s="86"/>
      <c r="C2397" s="86"/>
      <c r="D2397" s="86"/>
      <c r="E2397" s="86"/>
      <c r="F2397" s="86"/>
      <c r="G2397" s="174"/>
    </row>
    <row r="2398" spans="1:7" x14ac:dyDescent="0.3">
      <c r="A2398" s="86"/>
      <c r="B2398" s="86"/>
      <c r="C2398" s="86"/>
      <c r="D2398" s="86"/>
      <c r="E2398" s="86"/>
      <c r="F2398" s="86"/>
      <c r="G2398" s="174"/>
    </row>
    <row r="2399" spans="1:7" x14ac:dyDescent="0.3">
      <c r="A2399" s="86"/>
      <c r="B2399" s="86"/>
      <c r="C2399" s="86"/>
      <c r="D2399" s="86"/>
      <c r="E2399" s="86"/>
      <c r="F2399" s="86"/>
      <c r="G2399" s="174"/>
    </row>
    <row r="2400" spans="1:7" x14ac:dyDescent="0.3">
      <c r="A2400" s="86"/>
      <c r="B2400" s="86"/>
      <c r="C2400" s="86"/>
      <c r="D2400" s="86"/>
      <c r="E2400" s="86"/>
      <c r="F2400" s="86"/>
      <c r="G2400" s="174"/>
    </row>
    <row r="2401" spans="1:7" x14ac:dyDescent="0.3">
      <c r="A2401" s="86"/>
      <c r="B2401" s="86"/>
      <c r="C2401" s="86"/>
      <c r="D2401" s="86"/>
      <c r="E2401" s="86"/>
      <c r="F2401" s="86"/>
      <c r="G2401" s="174"/>
    </row>
    <row r="2402" spans="1:7" x14ac:dyDescent="0.3">
      <c r="A2402" s="86"/>
      <c r="B2402" s="86"/>
      <c r="C2402" s="86"/>
      <c r="D2402" s="86"/>
      <c r="E2402" s="86"/>
      <c r="F2402" s="86"/>
      <c r="G2402" s="174"/>
    </row>
    <row r="2403" spans="1:7" x14ac:dyDescent="0.3">
      <c r="A2403" s="86"/>
      <c r="B2403" s="86"/>
      <c r="C2403" s="86"/>
      <c r="D2403" s="86"/>
      <c r="E2403" s="86"/>
      <c r="F2403" s="86"/>
      <c r="G2403" s="174"/>
    </row>
    <row r="2404" spans="1:7" x14ac:dyDescent="0.3">
      <c r="A2404" s="86"/>
      <c r="B2404" s="86"/>
      <c r="C2404" s="86"/>
      <c r="D2404" s="86"/>
      <c r="E2404" s="86"/>
      <c r="F2404" s="86"/>
      <c r="G2404" s="174"/>
    </row>
    <row r="2405" spans="1:7" x14ac:dyDescent="0.3">
      <c r="A2405" s="86"/>
      <c r="B2405" s="86"/>
      <c r="C2405" s="86"/>
      <c r="D2405" s="86"/>
      <c r="E2405" s="86"/>
      <c r="F2405" s="86"/>
      <c r="G2405" s="174"/>
    </row>
    <row r="2406" spans="1:7" x14ac:dyDescent="0.3">
      <c r="A2406" s="86"/>
      <c r="B2406" s="86"/>
      <c r="C2406" s="86"/>
      <c r="D2406" s="86"/>
      <c r="E2406" s="86"/>
      <c r="F2406" s="86"/>
      <c r="G2406" s="174"/>
    </row>
    <row r="2407" spans="1:7" x14ac:dyDescent="0.3">
      <c r="A2407" s="86"/>
      <c r="B2407" s="86"/>
      <c r="C2407" s="86"/>
      <c r="D2407" s="86"/>
      <c r="E2407" s="86"/>
      <c r="F2407" s="86"/>
      <c r="G2407" s="174"/>
    </row>
    <row r="2408" spans="1:7" x14ac:dyDescent="0.3">
      <c r="A2408" s="86"/>
      <c r="B2408" s="86"/>
      <c r="C2408" s="86"/>
      <c r="D2408" s="86"/>
      <c r="E2408" s="86"/>
      <c r="F2408" s="86"/>
      <c r="G2408" s="174"/>
    </row>
    <row r="2409" spans="1:7" x14ac:dyDescent="0.3">
      <c r="A2409" s="86"/>
      <c r="B2409" s="86"/>
      <c r="C2409" s="86"/>
      <c r="D2409" s="86"/>
      <c r="E2409" s="86"/>
      <c r="F2409" s="86"/>
      <c r="G2409" s="174"/>
    </row>
    <row r="2410" spans="1:7" x14ac:dyDescent="0.3">
      <c r="A2410" s="86"/>
      <c r="B2410" s="86"/>
      <c r="C2410" s="86"/>
      <c r="D2410" s="86"/>
      <c r="E2410" s="86"/>
      <c r="F2410" s="86"/>
      <c r="G2410" s="174"/>
    </row>
    <row r="2411" spans="1:7" x14ac:dyDescent="0.3">
      <c r="A2411" s="86"/>
      <c r="B2411" s="86"/>
      <c r="C2411" s="86"/>
      <c r="D2411" s="86"/>
      <c r="E2411" s="86"/>
      <c r="F2411" s="86"/>
      <c r="G2411" s="174"/>
    </row>
    <row r="2412" spans="1:7" x14ac:dyDescent="0.3">
      <c r="A2412" s="86"/>
      <c r="B2412" s="86"/>
      <c r="C2412" s="86"/>
      <c r="D2412" s="86"/>
      <c r="E2412" s="86"/>
      <c r="F2412" s="86"/>
      <c r="G2412" s="174"/>
    </row>
    <row r="2413" spans="1:7" x14ac:dyDescent="0.3">
      <c r="A2413" s="86"/>
      <c r="B2413" s="86"/>
      <c r="C2413" s="86"/>
      <c r="D2413" s="86"/>
      <c r="E2413" s="86"/>
      <c r="F2413" s="86"/>
      <c r="G2413" s="174"/>
    </row>
    <row r="2414" spans="1:7" x14ac:dyDescent="0.3">
      <c r="A2414" s="86"/>
      <c r="B2414" s="86"/>
      <c r="C2414" s="86"/>
      <c r="D2414" s="86"/>
      <c r="E2414" s="86"/>
      <c r="F2414" s="86"/>
      <c r="G2414" s="174"/>
    </row>
    <row r="2415" spans="1:7" x14ac:dyDescent="0.3">
      <c r="A2415" s="86"/>
      <c r="B2415" s="86"/>
      <c r="C2415" s="86"/>
      <c r="D2415" s="86"/>
      <c r="E2415" s="86"/>
      <c r="F2415" s="86"/>
      <c r="G2415" s="174"/>
    </row>
    <row r="2416" spans="1:7" x14ac:dyDescent="0.3">
      <c r="A2416" s="86"/>
      <c r="B2416" s="86"/>
      <c r="C2416" s="86"/>
      <c r="D2416" s="86"/>
      <c r="E2416" s="86"/>
      <c r="F2416" s="86"/>
      <c r="G2416" s="174"/>
    </row>
    <row r="2417" spans="1:7" x14ac:dyDescent="0.3">
      <c r="A2417" s="86"/>
      <c r="B2417" s="86"/>
      <c r="C2417" s="86"/>
      <c r="D2417" s="86"/>
      <c r="E2417" s="86"/>
      <c r="F2417" s="86"/>
      <c r="G2417" s="174"/>
    </row>
    <row r="2418" spans="1:7" x14ac:dyDescent="0.3">
      <c r="A2418" s="86"/>
      <c r="B2418" s="86"/>
      <c r="C2418" s="86"/>
      <c r="D2418" s="86"/>
      <c r="E2418" s="86"/>
      <c r="F2418" s="86"/>
      <c r="G2418" s="174"/>
    </row>
    <row r="2419" spans="1:7" x14ac:dyDescent="0.3">
      <c r="A2419" s="86"/>
      <c r="B2419" s="86"/>
      <c r="C2419" s="86"/>
      <c r="D2419" s="86"/>
      <c r="E2419" s="86"/>
      <c r="F2419" s="86"/>
      <c r="G2419" s="174"/>
    </row>
    <row r="2420" spans="1:7" x14ac:dyDescent="0.3">
      <c r="A2420" s="86"/>
      <c r="B2420" s="86"/>
      <c r="C2420" s="86"/>
      <c r="D2420" s="86"/>
      <c r="E2420" s="86"/>
      <c r="F2420" s="86"/>
      <c r="G2420" s="174"/>
    </row>
    <row r="2421" spans="1:7" x14ac:dyDescent="0.3">
      <c r="A2421" s="86"/>
      <c r="B2421" s="86"/>
      <c r="C2421" s="86"/>
      <c r="D2421" s="86"/>
      <c r="E2421" s="86"/>
      <c r="F2421" s="86"/>
      <c r="G2421" s="174"/>
    </row>
    <row r="2422" spans="1:7" x14ac:dyDescent="0.3">
      <c r="A2422" s="86"/>
      <c r="B2422" s="86"/>
      <c r="C2422" s="86"/>
      <c r="D2422" s="86"/>
      <c r="E2422" s="86"/>
      <c r="F2422" s="86"/>
      <c r="G2422" s="174"/>
    </row>
    <row r="2423" spans="1:7" x14ac:dyDescent="0.3">
      <c r="A2423" s="86"/>
      <c r="B2423" s="86"/>
      <c r="C2423" s="86"/>
      <c r="D2423" s="86"/>
      <c r="E2423" s="86"/>
      <c r="F2423" s="86"/>
      <c r="G2423" s="174"/>
    </row>
    <row r="2424" spans="1:7" x14ac:dyDescent="0.3">
      <c r="A2424" s="86"/>
      <c r="B2424" s="86"/>
      <c r="C2424" s="86"/>
      <c r="D2424" s="86"/>
      <c r="E2424" s="86"/>
      <c r="F2424" s="86"/>
      <c r="G2424" s="174"/>
    </row>
    <row r="2425" spans="1:7" x14ac:dyDescent="0.3">
      <c r="A2425" s="86"/>
      <c r="B2425" s="86"/>
      <c r="C2425" s="86"/>
      <c r="D2425" s="86"/>
      <c r="E2425" s="86"/>
      <c r="F2425" s="86"/>
      <c r="G2425" s="174"/>
    </row>
    <row r="2426" spans="1:7" x14ac:dyDescent="0.3">
      <c r="A2426" s="86"/>
      <c r="B2426" s="86"/>
      <c r="C2426" s="86"/>
      <c r="D2426" s="86"/>
      <c r="E2426" s="86"/>
      <c r="F2426" s="86"/>
      <c r="G2426" s="174"/>
    </row>
    <row r="2427" spans="1:7" x14ac:dyDescent="0.3">
      <c r="A2427" s="86"/>
      <c r="B2427" s="86"/>
      <c r="C2427" s="86"/>
      <c r="D2427" s="86"/>
      <c r="E2427" s="86"/>
      <c r="F2427" s="86"/>
      <c r="G2427" s="174"/>
    </row>
    <row r="2428" spans="1:7" x14ac:dyDescent="0.3">
      <c r="A2428" s="86"/>
      <c r="B2428" s="86"/>
      <c r="C2428" s="86"/>
      <c r="D2428" s="86"/>
      <c r="E2428" s="86"/>
      <c r="F2428" s="86"/>
      <c r="G2428" s="174"/>
    </row>
    <row r="2429" spans="1:7" x14ac:dyDescent="0.3">
      <c r="A2429" s="86"/>
      <c r="B2429" s="86"/>
      <c r="C2429" s="86"/>
      <c r="D2429" s="86"/>
      <c r="E2429" s="86"/>
      <c r="F2429" s="86"/>
      <c r="G2429" s="174"/>
    </row>
    <row r="2430" spans="1:7" x14ac:dyDescent="0.3">
      <c r="A2430" s="86"/>
      <c r="B2430" s="86"/>
      <c r="C2430" s="86"/>
      <c r="D2430" s="86"/>
      <c r="E2430" s="86"/>
      <c r="F2430" s="86"/>
      <c r="G2430" s="174"/>
    </row>
    <row r="2431" spans="1:7" x14ac:dyDescent="0.3">
      <c r="A2431" s="86"/>
      <c r="B2431" s="86"/>
      <c r="C2431" s="86"/>
      <c r="D2431" s="86"/>
      <c r="E2431" s="86"/>
      <c r="F2431" s="86"/>
      <c r="G2431" s="174"/>
    </row>
    <row r="2432" spans="1:7" x14ac:dyDescent="0.3">
      <c r="A2432" s="86"/>
      <c r="B2432" s="86"/>
      <c r="C2432" s="86"/>
      <c r="D2432" s="86"/>
      <c r="E2432" s="86"/>
      <c r="F2432" s="86"/>
      <c r="G2432" s="174"/>
    </row>
    <row r="2433" spans="1:7" x14ac:dyDescent="0.3">
      <c r="A2433" s="86"/>
      <c r="B2433" s="86"/>
      <c r="C2433" s="86"/>
      <c r="D2433" s="86"/>
      <c r="E2433" s="86"/>
      <c r="F2433" s="86"/>
      <c r="G2433" s="174"/>
    </row>
    <row r="2434" spans="1:7" x14ac:dyDescent="0.3">
      <c r="A2434" s="86"/>
      <c r="B2434" s="86"/>
      <c r="C2434" s="86"/>
      <c r="D2434" s="86"/>
      <c r="E2434" s="86"/>
      <c r="F2434" s="86"/>
      <c r="G2434" s="174"/>
    </row>
    <row r="2435" spans="1:7" x14ac:dyDescent="0.3">
      <c r="A2435" s="86"/>
      <c r="B2435" s="86"/>
      <c r="C2435" s="86"/>
      <c r="D2435" s="86"/>
      <c r="E2435" s="86"/>
      <c r="F2435" s="86"/>
      <c r="G2435" s="174"/>
    </row>
    <row r="2436" spans="1:7" x14ac:dyDescent="0.3">
      <c r="A2436" s="86"/>
      <c r="B2436" s="86"/>
      <c r="C2436" s="86"/>
      <c r="D2436" s="86"/>
      <c r="E2436" s="86"/>
      <c r="F2436" s="86"/>
      <c r="G2436" s="174"/>
    </row>
    <row r="2437" spans="1:7" x14ac:dyDescent="0.3">
      <c r="A2437" s="86"/>
      <c r="B2437" s="86"/>
      <c r="C2437" s="86"/>
      <c r="D2437" s="86"/>
      <c r="E2437" s="86"/>
      <c r="F2437" s="86"/>
      <c r="G2437" s="174"/>
    </row>
    <row r="2438" spans="1:7" x14ac:dyDescent="0.3">
      <c r="A2438" s="86"/>
      <c r="B2438" s="86"/>
      <c r="C2438" s="86"/>
      <c r="D2438" s="86"/>
      <c r="E2438" s="86"/>
      <c r="F2438" s="86"/>
      <c r="G2438" s="174"/>
    </row>
    <row r="2439" spans="1:7" x14ac:dyDescent="0.3">
      <c r="A2439" s="86"/>
      <c r="B2439" s="86"/>
      <c r="C2439" s="86"/>
      <c r="D2439" s="86"/>
      <c r="E2439" s="86"/>
      <c r="F2439" s="86"/>
      <c r="G2439" s="174"/>
    </row>
    <row r="2440" spans="1:7" x14ac:dyDescent="0.3">
      <c r="A2440" s="86"/>
      <c r="B2440" s="86"/>
      <c r="C2440" s="86"/>
      <c r="D2440" s="86"/>
      <c r="E2440" s="86"/>
      <c r="F2440" s="86"/>
      <c r="G2440" s="174"/>
    </row>
    <row r="2441" spans="1:7" x14ac:dyDescent="0.3">
      <c r="A2441" s="86"/>
      <c r="B2441" s="86"/>
      <c r="C2441" s="86"/>
      <c r="D2441" s="86"/>
      <c r="E2441" s="86"/>
      <c r="F2441" s="86"/>
      <c r="G2441" s="174"/>
    </row>
    <row r="2442" spans="1:7" x14ac:dyDescent="0.3">
      <c r="A2442" s="86"/>
      <c r="B2442" s="86"/>
      <c r="C2442" s="86"/>
      <c r="D2442" s="86"/>
      <c r="E2442" s="86"/>
      <c r="F2442" s="86"/>
      <c r="G2442" s="174"/>
    </row>
    <row r="2443" spans="1:7" x14ac:dyDescent="0.3">
      <c r="A2443" s="86"/>
      <c r="B2443" s="86"/>
      <c r="C2443" s="86"/>
      <c r="D2443" s="86"/>
      <c r="E2443" s="86"/>
      <c r="F2443" s="86"/>
      <c r="G2443" s="174"/>
    </row>
    <row r="2444" spans="1:7" x14ac:dyDescent="0.3">
      <c r="A2444" s="86"/>
      <c r="B2444" s="86"/>
      <c r="C2444" s="86"/>
      <c r="D2444" s="86"/>
      <c r="E2444" s="86"/>
      <c r="F2444" s="86"/>
      <c r="G2444" s="174"/>
    </row>
    <row r="2445" spans="1:7" x14ac:dyDescent="0.3">
      <c r="A2445" s="86"/>
      <c r="B2445" s="86"/>
      <c r="C2445" s="86"/>
      <c r="D2445" s="86"/>
      <c r="E2445" s="86"/>
      <c r="F2445" s="86"/>
      <c r="G2445" s="174"/>
    </row>
    <row r="2446" spans="1:7" x14ac:dyDescent="0.3">
      <c r="A2446" s="86"/>
      <c r="B2446" s="86"/>
      <c r="C2446" s="86"/>
      <c r="D2446" s="86"/>
      <c r="E2446" s="86"/>
      <c r="F2446" s="86"/>
      <c r="G2446" s="174"/>
    </row>
    <row r="2447" spans="1:7" x14ac:dyDescent="0.3">
      <c r="A2447" s="86"/>
      <c r="B2447" s="86"/>
      <c r="C2447" s="86"/>
      <c r="D2447" s="86"/>
      <c r="E2447" s="86"/>
      <c r="F2447" s="86"/>
      <c r="G2447" s="174"/>
    </row>
    <row r="2448" spans="1:7" x14ac:dyDescent="0.3">
      <c r="A2448" s="86"/>
      <c r="B2448" s="86"/>
      <c r="C2448" s="86"/>
      <c r="D2448" s="86"/>
      <c r="E2448" s="86"/>
      <c r="F2448" s="86"/>
      <c r="G2448" s="174"/>
    </row>
    <row r="2449" spans="1:7" x14ac:dyDescent="0.3">
      <c r="A2449" s="86"/>
      <c r="B2449" s="86"/>
      <c r="C2449" s="86"/>
      <c r="D2449" s="86"/>
      <c r="E2449" s="86"/>
      <c r="F2449" s="86"/>
      <c r="G2449" s="174"/>
    </row>
    <row r="2450" spans="1:7" x14ac:dyDescent="0.3">
      <c r="A2450" s="86"/>
      <c r="B2450" s="86"/>
      <c r="C2450" s="86"/>
      <c r="D2450" s="86"/>
      <c r="E2450" s="86"/>
      <c r="F2450" s="86"/>
      <c r="G2450" s="174"/>
    </row>
    <row r="2451" spans="1:7" x14ac:dyDescent="0.3">
      <c r="A2451" s="86"/>
      <c r="B2451" s="86"/>
      <c r="C2451" s="86"/>
      <c r="D2451" s="86"/>
      <c r="E2451" s="86"/>
      <c r="F2451" s="86"/>
      <c r="G2451" s="174"/>
    </row>
    <row r="2452" spans="1:7" x14ac:dyDescent="0.3">
      <c r="A2452" s="86"/>
      <c r="B2452" s="86"/>
      <c r="C2452" s="86"/>
      <c r="D2452" s="86"/>
      <c r="E2452" s="86"/>
      <c r="F2452" s="86"/>
      <c r="G2452" s="174"/>
    </row>
    <row r="2453" spans="1:7" x14ac:dyDescent="0.3">
      <c r="A2453" s="86"/>
      <c r="B2453" s="86"/>
      <c r="C2453" s="86"/>
      <c r="D2453" s="86"/>
      <c r="E2453" s="86"/>
      <c r="F2453" s="86"/>
      <c r="G2453" s="174"/>
    </row>
    <row r="2454" spans="1:7" x14ac:dyDescent="0.3">
      <c r="A2454" s="86"/>
      <c r="B2454" s="86"/>
      <c r="C2454" s="86"/>
      <c r="D2454" s="86"/>
      <c r="E2454" s="86"/>
      <c r="F2454" s="86"/>
      <c r="G2454" s="174"/>
    </row>
    <row r="2455" spans="1:7" x14ac:dyDescent="0.3">
      <c r="A2455" s="86"/>
      <c r="B2455" s="86"/>
      <c r="C2455" s="86"/>
      <c r="D2455" s="86"/>
      <c r="E2455" s="86"/>
      <c r="F2455" s="86"/>
      <c r="G2455" s="174"/>
    </row>
    <row r="2456" spans="1:7" x14ac:dyDescent="0.3">
      <c r="A2456" s="86"/>
      <c r="B2456" s="86"/>
      <c r="C2456" s="86"/>
      <c r="D2456" s="86"/>
      <c r="E2456" s="86"/>
      <c r="F2456" s="86"/>
      <c r="G2456" s="174"/>
    </row>
    <row r="2457" spans="1:7" x14ac:dyDescent="0.3">
      <c r="A2457" s="86"/>
      <c r="B2457" s="86"/>
      <c r="C2457" s="86"/>
      <c r="D2457" s="86"/>
      <c r="E2457" s="86"/>
      <c r="F2457" s="86"/>
      <c r="G2457" s="174"/>
    </row>
    <row r="2458" spans="1:7" x14ac:dyDescent="0.3">
      <c r="A2458" s="86"/>
      <c r="B2458" s="86"/>
      <c r="C2458" s="86"/>
      <c r="D2458" s="86"/>
      <c r="E2458" s="86"/>
      <c r="F2458" s="86"/>
      <c r="G2458" s="174"/>
    </row>
    <row r="2459" spans="1:7" x14ac:dyDescent="0.3">
      <c r="A2459" s="86"/>
      <c r="B2459" s="86"/>
      <c r="C2459" s="86"/>
      <c r="D2459" s="86"/>
      <c r="E2459" s="86"/>
      <c r="F2459" s="86"/>
      <c r="G2459" s="174"/>
    </row>
    <row r="2460" spans="1:7" x14ac:dyDescent="0.3">
      <c r="A2460" s="86"/>
      <c r="B2460" s="86"/>
      <c r="C2460" s="86"/>
      <c r="D2460" s="86"/>
      <c r="E2460" s="86"/>
      <c r="F2460" s="86"/>
      <c r="G2460" s="174"/>
    </row>
    <row r="2461" spans="1:7" x14ac:dyDescent="0.3">
      <c r="A2461" s="86"/>
      <c r="B2461" s="86"/>
      <c r="C2461" s="86"/>
      <c r="D2461" s="86"/>
      <c r="E2461" s="86"/>
      <c r="F2461" s="86"/>
      <c r="G2461" s="174"/>
    </row>
    <row r="2462" spans="1:7" x14ac:dyDescent="0.3">
      <c r="A2462" s="86"/>
      <c r="B2462" s="86"/>
      <c r="C2462" s="86"/>
      <c r="D2462" s="86"/>
      <c r="E2462" s="86"/>
      <c r="F2462" s="86"/>
      <c r="G2462" s="174"/>
    </row>
    <row r="2463" spans="1:7" x14ac:dyDescent="0.3">
      <c r="A2463" s="86"/>
      <c r="B2463" s="86"/>
      <c r="C2463" s="86"/>
      <c r="D2463" s="86"/>
      <c r="E2463" s="86"/>
      <c r="F2463" s="86"/>
      <c r="G2463" s="174"/>
    </row>
    <row r="2464" spans="1:7" x14ac:dyDescent="0.3">
      <c r="A2464" s="86"/>
      <c r="B2464" s="86"/>
      <c r="C2464" s="86"/>
      <c r="D2464" s="86"/>
      <c r="E2464" s="86"/>
      <c r="F2464" s="86"/>
      <c r="G2464" s="174"/>
    </row>
    <row r="2465" spans="1:7" x14ac:dyDescent="0.3">
      <c r="A2465" s="86"/>
      <c r="B2465" s="86"/>
      <c r="C2465" s="86"/>
      <c r="D2465" s="86"/>
      <c r="E2465" s="86"/>
      <c r="F2465" s="86"/>
      <c r="G2465" s="174"/>
    </row>
    <row r="2466" spans="1:7" x14ac:dyDescent="0.3">
      <c r="A2466" s="86"/>
      <c r="B2466" s="86"/>
      <c r="C2466" s="86"/>
      <c r="D2466" s="86"/>
      <c r="E2466" s="86"/>
      <c r="F2466" s="86"/>
      <c r="G2466" s="174"/>
    </row>
    <row r="2467" spans="1:7" x14ac:dyDescent="0.3">
      <c r="A2467" s="86"/>
      <c r="B2467" s="86"/>
      <c r="C2467" s="86"/>
      <c r="D2467" s="86"/>
      <c r="E2467" s="86"/>
      <c r="F2467" s="86"/>
      <c r="G2467" s="174"/>
    </row>
    <row r="2468" spans="1:7" x14ac:dyDescent="0.3">
      <c r="A2468" s="86"/>
      <c r="B2468" s="86"/>
      <c r="C2468" s="86"/>
      <c r="D2468" s="86"/>
      <c r="E2468" s="86"/>
      <c r="F2468" s="86"/>
      <c r="G2468" s="174"/>
    </row>
    <row r="2469" spans="1:7" x14ac:dyDescent="0.3">
      <c r="A2469" s="86"/>
      <c r="B2469" s="86"/>
      <c r="C2469" s="86"/>
      <c r="D2469" s="86"/>
      <c r="E2469" s="86"/>
      <c r="F2469" s="86"/>
      <c r="G2469" s="174"/>
    </row>
    <row r="2470" spans="1:7" x14ac:dyDescent="0.3">
      <c r="A2470" s="86"/>
      <c r="B2470" s="86"/>
      <c r="C2470" s="86"/>
      <c r="D2470" s="86"/>
      <c r="E2470" s="86"/>
      <c r="F2470" s="86"/>
      <c r="G2470" s="174"/>
    </row>
    <row r="2471" spans="1:7" x14ac:dyDescent="0.3">
      <c r="A2471" s="86"/>
      <c r="B2471" s="86"/>
      <c r="C2471" s="86"/>
      <c r="D2471" s="86"/>
      <c r="E2471" s="86"/>
      <c r="F2471" s="86"/>
      <c r="G2471" s="174"/>
    </row>
    <row r="2472" spans="1:7" x14ac:dyDescent="0.3">
      <c r="A2472" s="86"/>
      <c r="B2472" s="86"/>
      <c r="C2472" s="86"/>
      <c r="D2472" s="86"/>
      <c r="E2472" s="86"/>
      <c r="F2472" s="86"/>
      <c r="G2472" s="174"/>
    </row>
    <row r="2473" spans="1:7" x14ac:dyDescent="0.3">
      <c r="A2473" s="86"/>
      <c r="B2473" s="86"/>
      <c r="C2473" s="86"/>
      <c r="D2473" s="86"/>
      <c r="E2473" s="86"/>
      <c r="F2473" s="86"/>
      <c r="G2473" s="174"/>
    </row>
    <row r="2474" spans="1:7" x14ac:dyDescent="0.3">
      <c r="A2474" s="86"/>
      <c r="B2474" s="86"/>
      <c r="C2474" s="86"/>
      <c r="D2474" s="86"/>
      <c r="E2474" s="86"/>
      <c r="F2474" s="86"/>
      <c r="G2474" s="174"/>
    </row>
    <row r="2475" spans="1:7" x14ac:dyDescent="0.3">
      <c r="A2475" s="86"/>
      <c r="B2475" s="86"/>
      <c r="C2475" s="86"/>
      <c r="D2475" s="86"/>
      <c r="E2475" s="86"/>
      <c r="F2475" s="86"/>
      <c r="G2475" s="174"/>
    </row>
    <row r="2476" spans="1:7" x14ac:dyDescent="0.3">
      <c r="A2476" s="86"/>
      <c r="B2476" s="86"/>
      <c r="C2476" s="86"/>
      <c r="D2476" s="86"/>
      <c r="E2476" s="86"/>
      <c r="F2476" s="86"/>
      <c r="G2476" s="174"/>
    </row>
    <row r="2477" spans="1:7" x14ac:dyDescent="0.3">
      <c r="A2477" s="86"/>
      <c r="B2477" s="86"/>
      <c r="C2477" s="86"/>
      <c r="D2477" s="86"/>
      <c r="E2477" s="86"/>
      <c r="F2477" s="86"/>
      <c r="G2477" s="174"/>
    </row>
    <row r="2478" spans="1:7" x14ac:dyDescent="0.3">
      <c r="A2478" s="86"/>
      <c r="B2478" s="86"/>
      <c r="C2478" s="86"/>
      <c r="D2478" s="86"/>
      <c r="E2478" s="86"/>
      <c r="F2478" s="86"/>
      <c r="G2478" s="174"/>
    </row>
    <row r="2479" spans="1:7" x14ac:dyDescent="0.3">
      <c r="A2479" s="86"/>
      <c r="B2479" s="86"/>
      <c r="C2479" s="86"/>
      <c r="D2479" s="86"/>
      <c r="E2479" s="86"/>
      <c r="F2479" s="86"/>
      <c r="G2479" s="174"/>
    </row>
    <row r="2480" spans="1:7" x14ac:dyDescent="0.3">
      <c r="A2480" s="86"/>
      <c r="B2480" s="86"/>
      <c r="C2480" s="86"/>
      <c r="D2480" s="86"/>
      <c r="E2480" s="86"/>
      <c r="F2480" s="86"/>
      <c r="G2480" s="174"/>
    </row>
    <row r="2481" spans="1:7" x14ac:dyDescent="0.3">
      <c r="A2481" s="86"/>
      <c r="B2481" s="86"/>
      <c r="C2481" s="86"/>
      <c r="D2481" s="86"/>
      <c r="E2481" s="86"/>
      <c r="F2481" s="86"/>
      <c r="G2481" s="174"/>
    </row>
    <row r="2482" spans="1:7" x14ac:dyDescent="0.3">
      <c r="A2482" s="86"/>
      <c r="B2482" s="86"/>
      <c r="C2482" s="86"/>
      <c r="D2482" s="86"/>
      <c r="E2482" s="86"/>
      <c r="F2482" s="86"/>
      <c r="G2482" s="174"/>
    </row>
    <row r="2483" spans="1:7" x14ac:dyDescent="0.3">
      <c r="A2483" s="86"/>
      <c r="B2483" s="86"/>
      <c r="C2483" s="86"/>
      <c r="D2483" s="86"/>
      <c r="E2483" s="86"/>
      <c r="F2483" s="86"/>
      <c r="G2483" s="174"/>
    </row>
    <row r="2484" spans="1:7" x14ac:dyDescent="0.3">
      <c r="A2484" s="86"/>
      <c r="B2484" s="86"/>
      <c r="C2484" s="86"/>
      <c r="D2484" s="86"/>
      <c r="E2484" s="86"/>
      <c r="F2484" s="86"/>
      <c r="G2484" s="174"/>
    </row>
    <row r="2485" spans="1:7" x14ac:dyDescent="0.3">
      <c r="A2485" s="86"/>
      <c r="B2485" s="86"/>
      <c r="C2485" s="86"/>
      <c r="D2485" s="86"/>
      <c r="E2485" s="86"/>
      <c r="F2485" s="86"/>
      <c r="G2485" s="174"/>
    </row>
    <row r="2486" spans="1:7" x14ac:dyDescent="0.3">
      <c r="A2486" s="86"/>
      <c r="B2486" s="86"/>
      <c r="C2486" s="86"/>
      <c r="D2486" s="86"/>
      <c r="E2486" s="86"/>
      <c r="F2486" s="86"/>
      <c r="G2486" s="174"/>
    </row>
    <row r="2487" spans="1:7" x14ac:dyDescent="0.3">
      <c r="A2487" s="86"/>
      <c r="B2487" s="86"/>
      <c r="C2487" s="86"/>
      <c r="D2487" s="86"/>
      <c r="E2487" s="86"/>
      <c r="F2487" s="86"/>
      <c r="G2487" s="174"/>
    </row>
    <row r="2488" spans="1:7" x14ac:dyDescent="0.3">
      <c r="A2488" s="86"/>
      <c r="B2488" s="86"/>
      <c r="C2488" s="86"/>
      <c r="D2488" s="86"/>
      <c r="E2488" s="86"/>
      <c r="F2488" s="86"/>
      <c r="G2488" s="174"/>
    </row>
    <row r="2489" spans="1:7" x14ac:dyDescent="0.3">
      <c r="A2489" s="86"/>
      <c r="B2489" s="86"/>
      <c r="C2489" s="86"/>
      <c r="D2489" s="86"/>
      <c r="E2489" s="86"/>
      <c r="F2489" s="86"/>
      <c r="G2489" s="174"/>
    </row>
    <row r="2490" spans="1:7" x14ac:dyDescent="0.3">
      <c r="A2490" s="86"/>
      <c r="B2490" s="86"/>
      <c r="C2490" s="86"/>
      <c r="D2490" s="86"/>
      <c r="E2490" s="86"/>
      <c r="F2490" s="86"/>
      <c r="G2490" s="174"/>
    </row>
    <row r="2491" spans="1:7" x14ac:dyDescent="0.3">
      <c r="A2491" s="86"/>
      <c r="B2491" s="86"/>
      <c r="C2491" s="86"/>
      <c r="D2491" s="86"/>
      <c r="E2491" s="86"/>
      <c r="F2491" s="86"/>
      <c r="G2491" s="174"/>
    </row>
    <row r="2492" spans="1:7" x14ac:dyDescent="0.3">
      <c r="A2492" s="86"/>
      <c r="B2492" s="86"/>
      <c r="C2492" s="86"/>
      <c r="D2492" s="86"/>
      <c r="E2492" s="86"/>
      <c r="F2492" s="86"/>
      <c r="G2492" s="174"/>
    </row>
    <row r="2493" spans="1:7" x14ac:dyDescent="0.3">
      <c r="A2493" s="86"/>
      <c r="B2493" s="86"/>
      <c r="C2493" s="86"/>
      <c r="D2493" s="86"/>
      <c r="E2493" s="86"/>
      <c r="F2493" s="86"/>
      <c r="G2493" s="174"/>
    </row>
    <row r="2494" spans="1:7" x14ac:dyDescent="0.3">
      <c r="A2494" s="86"/>
      <c r="B2494" s="86"/>
      <c r="C2494" s="86"/>
      <c r="D2494" s="86"/>
      <c r="E2494" s="86"/>
      <c r="F2494" s="86"/>
      <c r="G2494" s="174"/>
    </row>
    <row r="2495" spans="1:7" x14ac:dyDescent="0.3">
      <c r="A2495" s="86"/>
      <c r="B2495" s="86"/>
      <c r="C2495" s="86"/>
      <c r="D2495" s="86"/>
      <c r="E2495" s="86"/>
      <c r="F2495" s="86"/>
      <c r="G2495" s="174"/>
    </row>
    <row r="2496" spans="1:7" x14ac:dyDescent="0.3">
      <c r="A2496" s="86"/>
      <c r="B2496" s="86"/>
      <c r="C2496" s="86"/>
      <c r="D2496" s="86"/>
      <c r="E2496" s="86"/>
      <c r="F2496" s="86"/>
      <c r="G2496" s="174"/>
    </row>
    <row r="2497" spans="1:7" x14ac:dyDescent="0.3">
      <c r="A2497" s="86"/>
      <c r="B2497" s="86"/>
      <c r="C2497" s="86"/>
      <c r="D2497" s="86"/>
      <c r="E2497" s="86"/>
      <c r="F2497" s="86"/>
      <c r="G2497" s="174"/>
    </row>
    <row r="2498" spans="1:7" x14ac:dyDescent="0.3">
      <c r="A2498" s="86"/>
      <c r="B2498" s="86"/>
      <c r="C2498" s="86"/>
      <c r="D2498" s="86"/>
      <c r="E2498" s="86"/>
      <c r="F2498" s="86"/>
      <c r="G2498" s="174"/>
    </row>
    <row r="2499" spans="1:7" x14ac:dyDescent="0.3">
      <c r="A2499" s="86"/>
      <c r="B2499" s="86"/>
      <c r="C2499" s="86"/>
      <c r="D2499" s="86"/>
      <c r="E2499" s="86"/>
      <c r="F2499" s="86"/>
      <c r="G2499" s="174"/>
    </row>
    <row r="2500" spans="1:7" x14ac:dyDescent="0.3">
      <c r="A2500" s="86"/>
      <c r="B2500" s="86"/>
      <c r="C2500" s="86"/>
      <c r="D2500" s="86"/>
      <c r="E2500" s="86"/>
      <c r="F2500" s="86"/>
      <c r="G2500" s="174"/>
    </row>
    <row r="2501" spans="1:7" x14ac:dyDescent="0.3">
      <c r="A2501" s="86"/>
      <c r="B2501" s="86"/>
      <c r="C2501" s="86"/>
      <c r="D2501" s="86"/>
      <c r="E2501" s="86"/>
      <c r="F2501" s="86"/>
      <c r="G2501" s="174"/>
    </row>
    <row r="2502" spans="1:7" x14ac:dyDescent="0.3">
      <c r="A2502" s="86"/>
      <c r="B2502" s="86"/>
      <c r="C2502" s="86"/>
      <c r="D2502" s="86"/>
      <c r="E2502" s="86"/>
      <c r="F2502" s="86"/>
      <c r="G2502" s="174"/>
    </row>
    <row r="2503" spans="1:7" x14ac:dyDescent="0.3">
      <c r="A2503" s="86"/>
      <c r="B2503" s="86"/>
      <c r="C2503" s="86"/>
      <c r="D2503" s="86"/>
      <c r="E2503" s="86"/>
      <c r="F2503" s="86"/>
      <c r="G2503" s="174"/>
    </row>
    <row r="2504" spans="1:7" x14ac:dyDescent="0.3">
      <c r="A2504" s="86"/>
      <c r="B2504" s="86"/>
      <c r="C2504" s="86"/>
      <c r="D2504" s="86"/>
      <c r="E2504" s="86"/>
      <c r="F2504" s="86"/>
      <c r="G2504" s="174"/>
    </row>
    <row r="2505" spans="1:7" x14ac:dyDescent="0.3">
      <c r="A2505" s="86"/>
      <c r="B2505" s="86"/>
      <c r="C2505" s="86"/>
      <c r="D2505" s="86"/>
      <c r="E2505" s="86"/>
      <c r="F2505" s="86"/>
      <c r="G2505" s="174"/>
    </row>
    <row r="2506" spans="1:7" x14ac:dyDescent="0.3">
      <c r="A2506" s="86"/>
      <c r="B2506" s="86"/>
      <c r="C2506" s="86"/>
      <c r="D2506" s="86"/>
      <c r="E2506" s="86"/>
      <c r="F2506" s="86"/>
      <c r="G2506" s="174"/>
    </row>
    <row r="2507" spans="1:7" x14ac:dyDescent="0.3">
      <c r="A2507" s="86"/>
      <c r="B2507" s="86"/>
      <c r="C2507" s="86"/>
      <c r="D2507" s="86"/>
      <c r="E2507" s="86"/>
      <c r="F2507" s="86"/>
      <c r="G2507" s="174"/>
    </row>
    <row r="2508" spans="1:7" x14ac:dyDescent="0.3">
      <c r="A2508" s="86"/>
      <c r="B2508" s="86"/>
      <c r="C2508" s="86"/>
      <c r="D2508" s="86"/>
      <c r="E2508" s="86"/>
      <c r="F2508" s="86"/>
      <c r="G2508" s="174"/>
    </row>
    <row r="2509" spans="1:7" x14ac:dyDescent="0.3">
      <c r="A2509" s="86"/>
      <c r="B2509" s="86"/>
      <c r="C2509" s="86"/>
      <c r="D2509" s="86"/>
      <c r="E2509" s="86"/>
      <c r="F2509" s="86"/>
      <c r="G2509" s="174"/>
    </row>
    <row r="2510" spans="1:7" x14ac:dyDescent="0.3">
      <c r="A2510" s="86"/>
      <c r="B2510" s="86"/>
      <c r="C2510" s="86"/>
      <c r="D2510" s="86"/>
      <c r="E2510" s="86"/>
      <c r="F2510" s="86"/>
      <c r="G2510" s="174"/>
    </row>
    <row r="2511" spans="1:7" x14ac:dyDescent="0.3">
      <c r="A2511" s="86"/>
      <c r="B2511" s="86"/>
      <c r="C2511" s="86"/>
      <c r="D2511" s="86"/>
      <c r="E2511" s="86"/>
      <c r="F2511" s="86"/>
      <c r="G2511" s="174"/>
    </row>
    <row r="2512" spans="1:7" x14ac:dyDescent="0.3">
      <c r="A2512" s="86"/>
      <c r="B2512" s="86"/>
      <c r="C2512" s="86"/>
      <c r="D2512" s="86"/>
      <c r="E2512" s="86"/>
      <c r="F2512" s="86"/>
      <c r="G2512" s="174"/>
    </row>
    <row r="2513" spans="1:7" x14ac:dyDescent="0.3">
      <c r="A2513" s="86"/>
      <c r="B2513" s="86"/>
      <c r="C2513" s="86"/>
      <c r="D2513" s="86"/>
      <c r="E2513" s="86"/>
      <c r="F2513" s="86"/>
      <c r="G2513" s="174"/>
    </row>
    <row r="2514" spans="1:7" x14ac:dyDescent="0.3">
      <c r="A2514" s="86"/>
      <c r="B2514" s="86"/>
      <c r="C2514" s="86"/>
      <c r="D2514" s="86"/>
      <c r="E2514" s="86"/>
      <c r="F2514" s="86"/>
      <c r="G2514" s="174"/>
    </row>
    <row r="2515" spans="1:7" x14ac:dyDescent="0.3">
      <c r="A2515" s="86"/>
      <c r="B2515" s="86"/>
      <c r="C2515" s="86"/>
      <c r="D2515" s="86"/>
      <c r="E2515" s="86"/>
      <c r="F2515" s="86"/>
      <c r="G2515" s="174"/>
    </row>
    <row r="2516" spans="1:7" x14ac:dyDescent="0.3">
      <c r="A2516" s="86"/>
      <c r="B2516" s="86"/>
      <c r="C2516" s="86"/>
      <c r="D2516" s="86"/>
      <c r="E2516" s="86"/>
      <c r="F2516" s="86"/>
      <c r="G2516" s="174"/>
    </row>
    <row r="2517" spans="1:7" x14ac:dyDescent="0.3">
      <c r="A2517" s="86"/>
      <c r="B2517" s="86"/>
      <c r="C2517" s="86"/>
      <c r="D2517" s="86"/>
      <c r="E2517" s="86"/>
      <c r="F2517" s="86"/>
      <c r="G2517" s="174"/>
    </row>
    <row r="2518" spans="1:7" x14ac:dyDescent="0.3">
      <c r="A2518" s="86"/>
      <c r="B2518" s="86"/>
      <c r="C2518" s="86"/>
      <c r="D2518" s="86"/>
      <c r="E2518" s="86"/>
      <c r="F2518" s="86"/>
      <c r="G2518" s="174"/>
    </row>
    <row r="2519" spans="1:7" x14ac:dyDescent="0.3">
      <c r="A2519" s="86"/>
      <c r="B2519" s="86"/>
      <c r="C2519" s="86"/>
      <c r="D2519" s="86"/>
      <c r="E2519" s="86"/>
      <c r="F2519" s="86"/>
      <c r="G2519" s="174"/>
    </row>
    <row r="2520" spans="1:7" x14ac:dyDescent="0.3">
      <c r="A2520" s="86"/>
      <c r="B2520" s="86"/>
      <c r="C2520" s="86"/>
      <c r="D2520" s="86"/>
      <c r="E2520" s="86"/>
      <c r="F2520" s="86"/>
      <c r="G2520" s="174"/>
    </row>
    <row r="2521" spans="1:7" x14ac:dyDescent="0.3">
      <c r="A2521" s="86"/>
      <c r="B2521" s="86"/>
      <c r="C2521" s="86"/>
      <c r="D2521" s="86"/>
      <c r="E2521" s="86"/>
      <c r="F2521" s="86"/>
      <c r="G2521" s="174"/>
    </row>
    <row r="2522" spans="1:7" x14ac:dyDescent="0.3">
      <c r="A2522" s="86"/>
      <c r="B2522" s="86"/>
      <c r="C2522" s="86"/>
      <c r="D2522" s="86"/>
      <c r="E2522" s="86"/>
      <c r="F2522" s="86"/>
      <c r="G2522" s="174"/>
    </row>
    <row r="2523" spans="1:7" x14ac:dyDescent="0.3">
      <c r="A2523" s="86"/>
      <c r="B2523" s="86"/>
      <c r="C2523" s="86"/>
      <c r="D2523" s="86"/>
      <c r="E2523" s="86"/>
      <c r="F2523" s="86"/>
      <c r="G2523" s="174"/>
    </row>
    <row r="2524" spans="1:7" x14ac:dyDescent="0.3">
      <c r="A2524" s="86"/>
      <c r="B2524" s="86"/>
      <c r="C2524" s="86"/>
      <c r="D2524" s="86"/>
      <c r="E2524" s="86"/>
      <c r="F2524" s="86"/>
      <c r="G2524" s="174"/>
    </row>
    <row r="2525" spans="1:7" x14ac:dyDescent="0.3">
      <c r="A2525" s="86"/>
      <c r="B2525" s="86"/>
      <c r="C2525" s="86"/>
      <c r="D2525" s="86"/>
      <c r="E2525" s="86"/>
      <c r="F2525" s="86"/>
      <c r="G2525" s="174"/>
    </row>
    <row r="2526" spans="1:7" x14ac:dyDescent="0.3">
      <c r="A2526" s="86"/>
      <c r="B2526" s="86"/>
      <c r="C2526" s="86"/>
      <c r="D2526" s="86"/>
      <c r="E2526" s="86"/>
      <c r="F2526" s="86"/>
      <c r="G2526" s="174"/>
    </row>
    <row r="2527" spans="1:7" x14ac:dyDescent="0.3">
      <c r="A2527" s="86"/>
      <c r="B2527" s="86"/>
      <c r="C2527" s="86"/>
      <c r="D2527" s="86"/>
      <c r="E2527" s="86"/>
      <c r="F2527" s="86"/>
      <c r="G2527" s="174"/>
    </row>
    <row r="2528" spans="1:7" x14ac:dyDescent="0.3">
      <c r="A2528" s="86"/>
      <c r="B2528" s="86"/>
      <c r="C2528" s="86"/>
      <c r="D2528" s="86"/>
      <c r="E2528" s="86"/>
      <c r="F2528" s="86"/>
      <c r="G2528" s="174"/>
    </row>
    <row r="2529" spans="1:7" x14ac:dyDescent="0.3">
      <c r="A2529" s="86"/>
      <c r="B2529" s="86"/>
      <c r="C2529" s="86"/>
      <c r="D2529" s="86"/>
      <c r="E2529" s="86"/>
      <c r="F2529" s="86"/>
      <c r="G2529" s="174"/>
    </row>
    <row r="2530" spans="1:7" x14ac:dyDescent="0.3">
      <c r="A2530" s="86"/>
      <c r="B2530" s="86"/>
      <c r="C2530" s="86"/>
      <c r="D2530" s="86"/>
      <c r="E2530" s="86"/>
      <c r="F2530" s="86"/>
      <c r="G2530" s="174"/>
    </row>
    <row r="2531" spans="1:7" x14ac:dyDescent="0.3">
      <c r="A2531" s="86"/>
      <c r="B2531" s="86"/>
      <c r="C2531" s="86"/>
      <c r="D2531" s="86"/>
      <c r="E2531" s="86"/>
      <c r="F2531" s="86"/>
      <c r="G2531" s="174"/>
    </row>
    <row r="2532" spans="1:7" x14ac:dyDescent="0.3">
      <c r="A2532" s="86"/>
      <c r="B2532" s="86"/>
      <c r="C2532" s="86"/>
      <c r="D2532" s="86"/>
      <c r="E2532" s="86"/>
      <c r="F2532" s="86"/>
      <c r="G2532" s="174"/>
    </row>
    <row r="2533" spans="1:7" x14ac:dyDescent="0.3">
      <c r="A2533" s="86"/>
      <c r="B2533" s="86"/>
      <c r="C2533" s="86"/>
      <c r="D2533" s="86"/>
      <c r="E2533" s="86"/>
      <c r="F2533" s="86"/>
      <c r="G2533" s="174"/>
    </row>
    <row r="2534" spans="1:7" x14ac:dyDescent="0.3">
      <c r="A2534" s="86"/>
      <c r="B2534" s="86"/>
      <c r="C2534" s="86"/>
      <c r="D2534" s="86"/>
      <c r="E2534" s="86"/>
      <c r="F2534" s="86"/>
      <c r="G2534" s="174"/>
    </row>
    <row r="2535" spans="1:7" x14ac:dyDescent="0.3">
      <c r="A2535" s="86"/>
      <c r="B2535" s="86"/>
      <c r="C2535" s="86"/>
      <c r="D2535" s="86"/>
      <c r="E2535" s="86"/>
      <c r="F2535" s="86"/>
      <c r="G2535" s="174"/>
    </row>
    <row r="2536" spans="1:7" x14ac:dyDescent="0.3">
      <c r="A2536" s="86"/>
      <c r="B2536" s="86"/>
      <c r="C2536" s="86"/>
      <c r="D2536" s="86"/>
      <c r="E2536" s="86"/>
      <c r="F2536" s="86"/>
      <c r="G2536" s="174"/>
    </row>
    <row r="2537" spans="1:7" x14ac:dyDescent="0.3">
      <c r="A2537" s="86"/>
      <c r="B2537" s="86"/>
      <c r="C2537" s="86"/>
      <c r="D2537" s="86"/>
      <c r="E2537" s="86"/>
      <c r="F2537" s="86"/>
      <c r="G2537" s="174"/>
    </row>
    <row r="2538" spans="1:7" x14ac:dyDescent="0.3">
      <c r="A2538" s="86"/>
      <c r="B2538" s="86"/>
      <c r="C2538" s="86"/>
      <c r="D2538" s="86"/>
      <c r="E2538" s="86"/>
      <c r="F2538" s="86"/>
      <c r="G2538" s="174"/>
    </row>
    <row r="2539" spans="1:7" x14ac:dyDescent="0.3">
      <c r="A2539" s="86"/>
      <c r="B2539" s="86"/>
      <c r="C2539" s="86"/>
      <c r="D2539" s="86"/>
      <c r="E2539" s="86"/>
      <c r="F2539" s="86"/>
      <c r="G2539" s="174"/>
    </row>
    <row r="2540" spans="1:7" x14ac:dyDescent="0.3">
      <c r="A2540" s="86"/>
      <c r="B2540" s="86"/>
      <c r="C2540" s="86"/>
      <c r="D2540" s="86"/>
      <c r="E2540" s="86"/>
      <c r="F2540" s="86"/>
      <c r="G2540" s="174"/>
    </row>
    <row r="2541" spans="1:7" x14ac:dyDescent="0.3">
      <c r="A2541" s="86"/>
      <c r="B2541" s="86"/>
      <c r="C2541" s="86"/>
      <c r="D2541" s="86"/>
      <c r="E2541" s="86"/>
      <c r="F2541" s="86"/>
      <c r="G2541" s="174"/>
    </row>
    <row r="2542" spans="1:7" x14ac:dyDescent="0.3">
      <c r="A2542" s="86"/>
      <c r="B2542" s="86"/>
      <c r="C2542" s="86"/>
      <c r="D2542" s="86"/>
      <c r="E2542" s="86"/>
      <c r="F2542" s="86"/>
      <c r="G2542" s="174"/>
    </row>
    <row r="2543" spans="1:7" x14ac:dyDescent="0.3">
      <c r="A2543" s="86"/>
      <c r="B2543" s="86"/>
      <c r="C2543" s="86"/>
      <c r="D2543" s="86"/>
      <c r="E2543" s="86"/>
      <c r="F2543" s="86"/>
      <c r="G2543" s="174"/>
    </row>
    <row r="2544" spans="1:7" x14ac:dyDescent="0.3">
      <c r="A2544" s="86"/>
      <c r="B2544" s="86"/>
      <c r="C2544" s="86"/>
      <c r="D2544" s="86"/>
      <c r="E2544" s="86"/>
      <c r="F2544" s="86"/>
      <c r="G2544" s="174"/>
    </row>
    <row r="2545" spans="1:7" x14ac:dyDescent="0.3">
      <c r="A2545" s="86"/>
      <c r="B2545" s="86"/>
      <c r="C2545" s="86"/>
      <c r="D2545" s="86"/>
      <c r="E2545" s="86"/>
      <c r="F2545" s="86"/>
      <c r="G2545" s="174"/>
    </row>
    <row r="2546" spans="1:7" x14ac:dyDescent="0.3">
      <c r="A2546" s="86"/>
      <c r="B2546" s="86"/>
      <c r="C2546" s="86"/>
      <c r="D2546" s="86"/>
      <c r="E2546" s="86"/>
      <c r="F2546" s="86"/>
      <c r="G2546" s="174"/>
    </row>
    <row r="2547" spans="1:7" x14ac:dyDescent="0.3">
      <c r="A2547" s="86"/>
      <c r="B2547" s="86"/>
      <c r="C2547" s="86"/>
      <c r="D2547" s="86"/>
      <c r="E2547" s="86"/>
      <c r="F2547" s="86"/>
      <c r="G2547" s="174"/>
    </row>
    <row r="2548" spans="1:7" x14ac:dyDescent="0.3">
      <c r="A2548" s="86"/>
      <c r="B2548" s="86"/>
      <c r="C2548" s="86"/>
      <c r="D2548" s="86"/>
      <c r="E2548" s="86"/>
      <c r="F2548" s="86"/>
      <c r="G2548" s="174"/>
    </row>
    <row r="2549" spans="1:7" x14ac:dyDescent="0.3">
      <c r="A2549" s="86"/>
      <c r="B2549" s="86"/>
      <c r="C2549" s="86"/>
      <c r="D2549" s="86"/>
      <c r="E2549" s="86"/>
      <c r="F2549" s="86"/>
      <c r="G2549" s="174"/>
    </row>
    <row r="2550" spans="1:7" x14ac:dyDescent="0.3">
      <c r="A2550" s="86"/>
      <c r="B2550" s="86"/>
      <c r="C2550" s="86"/>
      <c r="D2550" s="86"/>
      <c r="E2550" s="86"/>
      <c r="F2550" s="86"/>
      <c r="G2550" s="174"/>
    </row>
    <row r="2551" spans="1:7" x14ac:dyDescent="0.3">
      <c r="A2551" s="86"/>
      <c r="B2551" s="86"/>
      <c r="C2551" s="86"/>
      <c r="D2551" s="86"/>
      <c r="E2551" s="86"/>
      <c r="F2551" s="86"/>
      <c r="G2551" s="174"/>
    </row>
    <row r="2552" spans="1:7" x14ac:dyDescent="0.3">
      <c r="A2552" s="86"/>
      <c r="B2552" s="86"/>
      <c r="C2552" s="86"/>
      <c r="D2552" s="86"/>
      <c r="E2552" s="86"/>
      <c r="F2552" s="86"/>
      <c r="G2552" s="174"/>
    </row>
    <row r="2553" spans="1:7" x14ac:dyDescent="0.3">
      <c r="A2553" s="86"/>
      <c r="B2553" s="86"/>
      <c r="C2553" s="86"/>
      <c r="D2553" s="86"/>
      <c r="E2553" s="86"/>
      <c r="F2553" s="86"/>
      <c r="G2553" s="174"/>
    </row>
    <row r="2554" spans="1:7" x14ac:dyDescent="0.3">
      <c r="A2554" s="86"/>
      <c r="B2554" s="86"/>
      <c r="C2554" s="86"/>
      <c r="D2554" s="86"/>
      <c r="E2554" s="86"/>
      <c r="F2554" s="86"/>
      <c r="G2554" s="174"/>
    </row>
    <row r="2555" spans="1:7" x14ac:dyDescent="0.3">
      <c r="A2555" s="86"/>
      <c r="B2555" s="86"/>
      <c r="C2555" s="86"/>
      <c r="D2555" s="86"/>
      <c r="E2555" s="86"/>
      <c r="F2555" s="86"/>
      <c r="G2555" s="174"/>
    </row>
    <row r="2556" spans="1:7" x14ac:dyDescent="0.3">
      <c r="A2556" s="86"/>
      <c r="B2556" s="86"/>
      <c r="C2556" s="86"/>
      <c r="D2556" s="86"/>
      <c r="E2556" s="86"/>
      <c r="F2556" s="86"/>
      <c r="G2556" s="174"/>
    </row>
    <row r="2557" spans="1:7" x14ac:dyDescent="0.3">
      <c r="A2557" s="86"/>
      <c r="B2557" s="86"/>
      <c r="C2557" s="86"/>
      <c r="D2557" s="86"/>
      <c r="E2557" s="86"/>
      <c r="F2557" s="86"/>
      <c r="G2557" s="174"/>
    </row>
    <row r="2558" spans="1:7" x14ac:dyDescent="0.3">
      <c r="A2558" s="86"/>
      <c r="B2558" s="86"/>
      <c r="C2558" s="86"/>
      <c r="D2558" s="86"/>
      <c r="E2558" s="86"/>
      <c r="F2558" s="86"/>
      <c r="G2558" s="174"/>
    </row>
    <row r="2559" spans="1:7" x14ac:dyDescent="0.3">
      <c r="A2559" s="86"/>
      <c r="B2559" s="86"/>
      <c r="C2559" s="86"/>
      <c r="D2559" s="86"/>
      <c r="E2559" s="86"/>
      <c r="F2559" s="86"/>
      <c r="G2559" s="174"/>
    </row>
    <row r="2560" spans="1:7" x14ac:dyDescent="0.3">
      <c r="A2560" s="86"/>
      <c r="B2560" s="86"/>
      <c r="C2560" s="86"/>
      <c r="D2560" s="86"/>
      <c r="E2560" s="86"/>
      <c r="F2560" s="86"/>
      <c r="G2560" s="174"/>
    </row>
    <row r="2561" spans="1:7" x14ac:dyDescent="0.3">
      <c r="A2561" s="86"/>
      <c r="B2561" s="86"/>
      <c r="C2561" s="86"/>
      <c r="D2561" s="86"/>
      <c r="E2561" s="86"/>
      <c r="F2561" s="86"/>
      <c r="G2561" s="174"/>
    </row>
    <row r="2562" spans="1:7" x14ac:dyDescent="0.3">
      <c r="A2562" s="86"/>
      <c r="B2562" s="86"/>
      <c r="C2562" s="86"/>
      <c r="D2562" s="86"/>
      <c r="E2562" s="86"/>
      <c r="F2562" s="86"/>
      <c r="G2562" s="174"/>
    </row>
    <row r="2563" spans="1:7" x14ac:dyDescent="0.3">
      <c r="A2563" s="86"/>
      <c r="B2563" s="86"/>
      <c r="C2563" s="86"/>
      <c r="D2563" s="86"/>
      <c r="E2563" s="86"/>
      <c r="F2563" s="86"/>
      <c r="G2563" s="174"/>
    </row>
    <row r="2564" spans="1:7" x14ac:dyDescent="0.3">
      <c r="A2564" s="86"/>
      <c r="B2564" s="86"/>
      <c r="C2564" s="86"/>
      <c r="D2564" s="86"/>
      <c r="E2564" s="86"/>
      <c r="F2564" s="86"/>
      <c r="G2564" s="174"/>
    </row>
    <row r="2565" spans="1:7" x14ac:dyDescent="0.3">
      <c r="A2565" s="86"/>
      <c r="B2565" s="86"/>
      <c r="C2565" s="86"/>
      <c r="D2565" s="86"/>
      <c r="E2565" s="86"/>
      <c r="F2565" s="86"/>
      <c r="G2565" s="174"/>
    </row>
    <row r="2566" spans="1:7" x14ac:dyDescent="0.3">
      <c r="A2566" s="86"/>
      <c r="B2566" s="86"/>
      <c r="C2566" s="86"/>
      <c r="D2566" s="86"/>
      <c r="E2566" s="86"/>
      <c r="F2566" s="86"/>
      <c r="G2566" s="174"/>
    </row>
    <row r="2567" spans="1:7" x14ac:dyDescent="0.3">
      <c r="A2567" s="86"/>
      <c r="B2567" s="86"/>
      <c r="C2567" s="86"/>
      <c r="D2567" s="86"/>
      <c r="E2567" s="86"/>
      <c r="F2567" s="86"/>
      <c r="G2567" s="174"/>
    </row>
    <row r="2568" spans="1:7" x14ac:dyDescent="0.3">
      <c r="A2568" s="86"/>
      <c r="B2568" s="86"/>
      <c r="C2568" s="86"/>
      <c r="D2568" s="86"/>
      <c r="E2568" s="86"/>
      <c r="F2568" s="86"/>
      <c r="G2568" s="174"/>
    </row>
    <row r="2569" spans="1:7" x14ac:dyDescent="0.3">
      <c r="A2569" s="86"/>
      <c r="B2569" s="86"/>
      <c r="C2569" s="86"/>
      <c r="D2569" s="86"/>
      <c r="E2569" s="86"/>
      <c r="F2569" s="86"/>
      <c r="G2569" s="174"/>
    </row>
    <row r="2570" spans="1:7" x14ac:dyDescent="0.3">
      <c r="A2570" s="86"/>
      <c r="B2570" s="86"/>
      <c r="C2570" s="86"/>
      <c r="D2570" s="86"/>
      <c r="E2570" s="86"/>
      <c r="F2570" s="86"/>
      <c r="G2570" s="174"/>
    </row>
    <row r="2571" spans="1:7" x14ac:dyDescent="0.3">
      <c r="A2571" s="86"/>
      <c r="B2571" s="86"/>
      <c r="C2571" s="86"/>
      <c r="D2571" s="86"/>
      <c r="E2571" s="86"/>
      <c r="F2571" s="86"/>
      <c r="G2571" s="174"/>
    </row>
    <row r="2572" spans="1:7" x14ac:dyDescent="0.3">
      <c r="A2572" s="86"/>
      <c r="B2572" s="86"/>
      <c r="C2572" s="86"/>
      <c r="D2572" s="86"/>
      <c r="E2572" s="86"/>
      <c r="F2572" s="86"/>
      <c r="G2572" s="174"/>
    </row>
    <row r="2573" spans="1:7" x14ac:dyDescent="0.3">
      <c r="A2573" s="86"/>
      <c r="B2573" s="86"/>
      <c r="C2573" s="86"/>
      <c r="D2573" s="86"/>
      <c r="E2573" s="86"/>
      <c r="F2573" s="86"/>
      <c r="G2573" s="174"/>
    </row>
    <row r="2574" spans="1:7" x14ac:dyDescent="0.3">
      <c r="A2574" s="86"/>
      <c r="B2574" s="86"/>
      <c r="C2574" s="86"/>
      <c r="D2574" s="86"/>
      <c r="E2574" s="86"/>
      <c r="F2574" s="86"/>
      <c r="G2574" s="174"/>
    </row>
    <row r="2575" spans="1:7" x14ac:dyDescent="0.3">
      <c r="A2575" s="86"/>
      <c r="B2575" s="86"/>
      <c r="C2575" s="86"/>
      <c r="D2575" s="86"/>
      <c r="E2575" s="86"/>
      <c r="F2575" s="86"/>
      <c r="G2575" s="174"/>
    </row>
    <row r="2576" spans="1:7" x14ac:dyDescent="0.3">
      <c r="A2576" s="86"/>
      <c r="B2576" s="86"/>
      <c r="C2576" s="86"/>
      <c r="D2576" s="86"/>
      <c r="E2576" s="86"/>
      <c r="F2576" s="86"/>
      <c r="G2576" s="174"/>
    </row>
    <row r="2577" spans="1:7" x14ac:dyDescent="0.3">
      <c r="A2577" s="86"/>
      <c r="B2577" s="86"/>
      <c r="C2577" s="86"/>
      <c r="D2577" s="86"/>
      <c r="E2577" s="86"/>
      <c r="F2577" s="86"/>
      <c r="G2577" s="174"/>
    </row>
    <row r="2578" spans="1:7" x14ac:dyDescent="0.3">
      <c r="A2578" s="86"/>
      <c r="B2578" s="86"/>
      <c r="C2578" s="86"/>
      <c r="D2578" s="86"/>
      <c r="E2578" s="86"/>
      <c r="F2578" s="86"/>
      <c r="G2578" s="174"/>
    </row>
    <row r="2579" spans="1:7" x14ac:dyDescent="0.3">
      <c r="A2579" s="86"/>
      <c r="B2579" s="86"/>
      <c r="C2579" s="86"/>
      <c r="D2579" s="86"/>
      <c r="E2579" s="86"/>
      <c r="F2579" s="86"/>
      <c r="G2579" s="174"/>
    </row>
    <row r="2580" spans="1:7" x14ac:dyDescent="0.3">
      <c r="A2580" s="86"/>
      <c r="B2580" s="86"/>
      <c r="C2580" s="86"/>
      <c r="D2580" s="86"/>
      <c r="E2580" s="86"/>
      <c r="F2580" s="86"/>
      <c r="G2580" s="174"/>
    </row>
    <row r="2581" spans="1:7" x14ac:dyDescent="0.3">
      <c r="A2581" s="86"/>
      <c r="B2581" s="86"/>
      <c r="C2581" s="86"/>
      <c r="D2581" s="86"/>
      <c r="E2581" s="86"/>
      <c r="F2581" s="86"/>
      <c r="G2581" s="174"/>
    </row>
    <row r="2582" spans="1:7" x14ac:dyDescent="0.3">
      <c r="A2582" s="86"/>
      <c r="B2582" s="86"/>
      <c r="C2582" s="86"/>
      <c r="D2582" s="86"/>
      <c r="E2582" s="86"/>
      <c r="F2582" s="86"/>
      <c r="G2582" s="174"/>
    </row>
    <row r="2583" spans="1:7" x14ac:dyDescent="0.3">
      <c r="A2583" s="86"/>
      <c r="B2583" s="86"/>
      <c r="C2583" s="86"/>
      <c r="D2583" s="86"/>
      <c r="E2583" s="86"/>
      <c r="F2583" s="86"/>
      <c r="G2583" s="174"/>
    </row>
    <row r="2584" spans="1:7" x14ac:dyDescent="0.3">
      <c r="A2584" s="86"/>
      <c r="B2584" s="86"/>
      <c r="C2584" s="86"/>
      <c r="D2584" s="86"/>
      <c r="E2584" s="86"/>
      <c r="F2584" s="86"/>
      <c r="G2584" s="174"/>
    </row>
    <row r="2585" spans="1:7" x14ac:dyDescent="0.3">
      <c r="A2585" s="86"/>
      <c r="B2585" s="86"/>
      <c r="C2585" s="86"/>
      <c r="D2585" s="86"/>
      <c r="E2585" s="86"/>
      <c r="F2585" s="86"/>
      <c r="G2585" s="174"/>
    </row>
    <row r="2586" spans="1:7" x14ac:dyDescent="0.3">
      <c r="A2586" s="86"/>
      <c r="B2586" s="86"/>
      <c r="C2586" s="86"/>
      <c r="D2586" s="86"/>
      <c r="E2586" s="86"/>
      <c r="F2586" s="86"/>
      <c r="G2586" s="174"/>
    </row>
    <row r="2587" spans="1:7" x14ac:dyDescent="0.3">
      <c r="A2587" s="86"/>
      <c r="B2587" s="86"/>
      <c r="C2587" s="86"/>
      <c r="D2587" s="86"/>
      <c r="E2587" s="86"/>
      <c r="F2587" s="86"/>
      <c r="G2587" s="174"/>
    </row>
    <row r="2588" spans="1:7" x14ac:dyDescent="0.3">
      <c r="A2588" s="86"/>
      <c r="B2588" s="86"/>
      <c r="C2588" s="86"/>
      <c r="D2588" s="86"/>
      <c r="E2588" s="86"/>
      <c r="F2588" s="86"/>
      <c r="G2588" s="174"/>
    </row>
    <row r="2589" spans="1:7" x14ac:dyDescent="0.3">
      <c r="A2589" s="86"/>
      <c r="B2589" s="86"/>
      <c r="C2589" s="86"/>
      <c r="D2589" s="86"/>
      <c r="E2589" s="86"/>
      <c r="F2589" s="86"/>
      <c r="G2589" s="174"/>
    </row>
    <row r="2590" spans="1:7" x14ac:dyDescent="0.3">
      <c r="A2590" s="86"/>
      <c r="B2590" s="86"/>
      <c r="C2590" s="86"/>
      <c r="D2590" s="86"/>
      <c r="E2590" s="86"/>
      <c r="F2590" s="86"/>
      <c r="G2590" s="174"/>
    </row>
    <row r="2591" spans="1:7" x14ac:dyDescent="0.3">
      <c r="A2591" s="86"/>
      <c r="B2591" s="86"/>
      <c r="C2591" s="86"/>
      <c r="D2591" s="86"/>
      <c r="E2591" s="86"/>
      <c r="F2591" s="86"/>
      <c r="G2591" s="174"/>
    </row>
    <row r="2592" spans="1:7" x14ac:dyDescent="0.3">
      <c r="A2592" s="86"/>
      <c r="B2592" s="86"/>
      <c r="C2592" s="86"/>
      <c r="D2592" s="86"/>
      <c r="E2592" s="86"/>
      <c r="F2592" s="86"/>
      <c r="G2592" s="174"/>
    </row>
    <row r="2593" spans="1:7" x14ac:dyDescent="0.3">
      <c r="A2593" s="86"/>
      <c r="B2593" s="86"/>
      <c r="C2593" s="86"/>
      <c r="D2593" s="86"/>
      <c r="E2593" s="86"/>
      <c r="F2593" s="86"/>
      <c r="G2593" s="174"/>
    </row>
    <row r="2594" spans="1:7" x14ac:dyDescent="0.3">
      <c r="A2594" s="86"/>
      <c r="B2594" s="86"/>
      <c r="C2594" s="86"/>
      <c r="D2594" s="86"/>
      <c r="E2594" s="86"/>
      <c r="F2594" s="86"/>
      <c r="G2594" s="174"/>
    </row>
    <row r="2595" spans="1:7" x14ac:dyDescent="0.3">
      <c r="A2595" s="86"/>
      <c r="B2595" s="86"/>
      <c r="C2595" s="86"/>
      <c r="D2595" s="86"/>
      <c r="E2595" s="86"/>
      <c r="F2595" s="86"/>
      <c r="G2595" s="174"/>
    </row>
    <row r="2596" spans="1:7" x14ac:dyDescent="0.3">
      <c r="A2596" s="86"/>
      <c r="B2596" s="86"/>
      <c r="C2596" s="86"/>
      <c r="D2596" s="86"/>
      <c r="E2596" s="86"/>
      <c r="F2596" s="86"/>
      <c r="G2596" s="174"/>
    </row>
    <row r="2597" spans="1:7" x14ac:dyDescent="0.3">
      <c r="A2597" s="86"/>
      <c r="B2597" s="86"/>
      <c r="C2597" s="86"/>
      <c r="D2597" s="86"/>
      <c r="E2597" s="86"/>
      <c r="F2597" s="86"/>
      <c r="G2597" s="174"/>
    </row>
    <row r="2598" spans="1:7" x14ac:dyDescent="0.3">
      <c r="A2598" s="86"/>
      <c r="B2598" s="86"/>
      <c r="C2598" s="86"/>
      <c r="D2598" s="86"/>
      <c r="E2598" s="86"/>
      <c r="F2598" s="86"/>
      <c r="G2598" s="174"/>
    </row>
    <row r="2599" spans="1:7" x14ac:dyDescent="0.3">
      <c r="A2599" s="86"/>
      <c r="B2599" s="86"/>
      <c r="C2599" s="86"/>
      <c r="D2599" s="86"/>
      <c r="E2599" s="86"/>
      <c r="F2599" s="86"/>
      <c r="G2599" s="174"/>
    </row>
    <row r="2600" spans="1:7" x14ac:dyDescent="0.3">
      <c r="A2600" s="86"/>
      <c r="B2600" s="86"/>
      <c r="C2600" s="86"/>
      <c r="D2600" s="86"/>
      <c r="E2600" s="86"/>
      <c r="F2600" s="86"/>
      <c r="G2600" s="174"/>
    </row>
    <row r="2601" spans="1:7" x14ac:dyDescent="0.3">
      <c r="A2601" s="86"/>
      <c r="B2601" s="86"/>
      <c r="C2601" s="86"/>
      <c r="D2601" s="86"/>
      <c r="E2601" s="86"/>
      <c r="F2601" s="86"/>
      <c r="G2601" s="174"/>
    </row>
    <row r="2602" spans="1:7" x14ac:dyDescent="0.3">
      <c r="A2602" s="86"/>
      <c r="B2602" s="86"/>
      <c r="C2602" s="86"/>
      <c r="D2602" s="86"/>
      <c r="E2602" s="86"/>
      <c r="F2602" s="86"/>
      <c r="G2602" s="174"/>
    </row>
    <row r="2603" spans="1:7" x14ac:dyDescent="0.3">
      <c r="A2603" s="86"/>
      <c r="B2603" s="86"/>
      <c r="C2603" s="86"/>
      <c r="D2603" s="86"/>
      <c r="E2603" s="86"/>
      <c r="F2603" s="86"/>
      <c r="G2603" s="174"/>
    </row>
    <row r="2604" spans="1:7" x14ac:dyDescent="0.3">
      <c r="A2604" s="86"/>
      <c r="B2604" s="86"/>
      <c r="C2604" s="86"/>
      <c r="D2604" s="86"/>
      <c r="E2604" s="86"/>
      <c r="F2604" s="86"/>
      <c r="G2604" s="174"/>
    </row>
    <row r="2605" spans="1:7" x14ac:dyDescent="0.3">
      <c r="A2605" s="86"/>
      <c r="B2605" s="86"/>
      <c r="C2605" s="86"/>
      <c r="D2605" s="86"/>
      <c r="E2605" s="86"/>
      <c r="F2605" s="86"/>
      <c r="G2605" s="174"/>
    </row>
    <row r="2606" spans="1:7" x14ac:dyDescent="0.3">
      <c r="A2606" s="86"/>
      <c r="B2606" s="86"/>
      <c r="C2606" s="86"/>
      <c r="D2606" s="86"/>
      <c r="E2606" s="86"/>
      <c r="F2606" s="86"/>
      <c r="G2606" s="174"/>
    </row>
    <row r="2607" spans="1:7" x14ac:dyDescent="0.3">
      <c r="A2607" s="86"/>
      <c r="B2607" s="86"/>
      <c r="C2607" s="86"/>
      <c r="D2607" s="86"/>
      <c r="E2607" s="86"/>
      <c r="F2607" s="86"/>
      <c r="G2607" s="174"/>
    </row>
    <row r="2608" spans="1:7" x14ac:dyDescent="0.3">
      <c r="A2608" s="86"/>
      <c r="B2608" s="86"/>
      <c r="C2608" s="86"/>
      <c r="D2608" s="86"/>
      <c r="E2608" s="86"/>
      <c r="F2608" s="86"/>
      <c r="G2608" s="174"/>
    </row>
    <row r="2609" spans="1:7" x14ac:dyDescent="0.3">
      <c r="A2609" s="86"/>
      <c r="B2609" s="86"/>
      <c r="C2609" s="86"/>
      <c r="D2609" s="86"/>
      <c r="E2609" s="86"/>
      <c r="F2609" s="86"/>
      <c r="G2609" s="174"/>
    </row>
    <row r="2610" spans="1:7" x14ac:dyDescent="0.3">
      <c r="A2610" s="86"/>
      <c r="B2610" s="86"/>
      <c r="C2610" s="86"/>
      <c r="D2610" s="86"/>
      <c r="E2610" s="86"/>
      <c r="F2610" s="86"/>
      <c r="G2610" s="174"/>
    </row>
    <row r="2611" spans="1:7" x14ac:dyDescent="0.3">
      <c r="A2611" s="86"/>
      <c r="B2611" s="86"/>
      <c r="C2611" s="86"/>
      <c r="D2611" s="86"/>
      <c r="E2611" s="86"/>
      <c r="F2611" s="86"/>
      <c r="G2611" s="174"/>
    </row>
    <row r="2612" spans="1:7" x14ac:dyDescent="0.3">
      <c r="A2612" s="86"/>
      <c r="B2612" s="86"/>
      <c r="C2612" s="86"/>
      <c r="D2612" s="86"/>
      <c r="E2612" s="86"/>
      <c r="F2612" s="86"/>
      <c r="G2612" s="174"/>
    </row>
    <row r="2613" spans="1:7" x14ac:dyDescent="0.3">
      <c r="A2613" s="86"/>
      <c r="B2613" s="86"/>
      <c r="C2613" s="86"/>
      <c r="D2613" s="86"/>
      <c r="E2613" s="86"/>
      <c r="F2613" s="86"/>
      <c r="G2613" s="174"/>
    </row>
    <row r="2614" spans="1:7" x14ac:dyDescent="0.3">
      <c r="A2614" s="86"/>
      <c r="B2614" s="86"/>
      <c r="C2614" s="86"/>
      <c r="D2614" s="86"/>
      <c r="E2614" s="86"/>
      <c r="F2614" s="86"/>
      <c r="G2614" s="174"/>
    </row>
    <row r="2615" spans="1:7" x14ac:dyDescent="0.3">
      <c r="A2615" s="86"/>
      <c r="B2615" s="86"/>
      <c r="C2615" s="86"/>
      <c r="D2615" s="86"/>
      <c r="E2615" s="86"/>
      <c r="F2615" s="86"/>
      <c r="G2615" s="174"/>
    </row>
    <row r="2616" spans="1:7" x14ac:dyDescent="0.3">
      <c r="A2616" s="86"/>
      <c r="B2616" s="86"/>
      <c r="C2616" s="86"/>
      <c r="D2616" s="86"/>
      <c r="E2616" s="86"/>
      <c r="F2616" s="86"/>
      <c r="G2616" s="174"/>
    </row>
    <row r="2617" spans="1:7" x14ac:dyDescent="0.3">
      <c r="A2617" s="86"/>
      <c r="B2617" s="86"/>
      <c r="C2617" s="86"/>
      <c r="D2617" s="86"/>
      <c r="E2617" s="86"/>
      <c r="F2617" s="86"/>
      <c r="G2617" s="174"/>
    </row>
    <row r="2618" spans="1:7" x14ac:dyDescent="0.3">
      <c r="A2618" s="86"/>
      <c r="B2618" s="86"/>
      <c r="C2618" s="86"/>
      <c r="D2618" s="86"/>
      <c r="E2618" s="86"/>
      <c r="F2618" s="86"/>
      <c r="G2618" s="174"/>
    </row>
    <row r="2619" spans="1:7" x14ac:dyDescent="0.3">
      <c r="A2619" s="86"/>
      <c r="B2619" s="86"/>
      <c r="C2619" s="86"/>
      <c r="D2619" s="86"/>
      <c r="E2619" s="86"/>
      <c r="F2619" s="86"/>
      <c r="G2619" s="174"/>
    </row>
    <row r="2620" spans="1:7" x14ac:dyDescent="0.3">
      <c r="A2620" s="86"/>
      <c r="B2620" s="86"/>
      <c r="C2620" s="86"/>
      <c r="D2620" s="86"/>
      <c r="E2620" s="86"/>
      <c r="F2620" s="86"/>
      <c r="G2620" s="174"/>
    </row>
    <row r="2621" spans="1:7" x14ac:dyDescent="0.3">
      <c r="A2621" s="86"/>
      <c r="B2621" s="86"/>
      <c r="C2621" s="86"/>
      <c r="D2621" s="86"/>
      <c r="E2621" s="86"/>
      <c r="F2621" s="86"/>
      <c r="G2621" s="174"/>
    </row>
    <row r="2622" spans="1:7" x14ac:dyDescent="0.3">
      <c r="A2622" s="86"/>
      <c r="B2622" s="86"/>
      <c r="C2622" s="86"/>
      <c r="D2622" s="86"/>
      <c r="E2622" s="86"/>
      <c r="F2622" s="86"/>
      <c r="G2622" s="174"/>
    </row>
    <row r="2623" spans="1:7" x14ac:dyDescent="0.3">
      <c r="A2623" s="86"/>
      <c r="B2623" s="86"/>
      <c r="C2623" s="86"/>
      <c r="D2623" s="86"/>
      <c r="E2623" s="86"/>
      <c r="F2623" s="86"/>
      <c r="G2623" s="174"/>
    </row>
    <row r="2624" spans="1:7" x14ac:dyDescent="0.3">
      <c r="A2624" s="86"/>
      <c r="B2624" s="86"/>
      <c r="C2624" s="86"/>
      <c r="D2624" s="86"/>
      <c r="E2624" s="86"/>
      <c r="F2624" s="86"/>
      <c r="G2624" s="174"/>
    </row>
    <row r="2625" spans="1:7" x14ac:dyDescent="0.3">
      <c r="A2625" s="86"/>
      <c r="B2625" s="86"/>
      <c r="C2625" s="86"/>
      <c r="D2625" s="86"/>
      <c r="E2625" s="86"/>
      <c r="F2625" s="86"/>
      <c r="G2625" s="174"/>
    </row>
    <row r="2626" spans="1:7" x14ac:dyDescent="0.3">
      <c r="A2626" s="86"/>
      <c r="B2626" s="86"/>
      <c r="C2626" s="86"/>
      <c r="D2626" s="86"/>
      <c r="E2626" s="86"/>
      <c r="F2626" s="86"/>
      <c r="G2626" s="174"/>
    </row>
    <row r="2627" spans="1:7" x14ac:dyDescent="0.3">
      <c r="A2627" s="86"/>
      <c r="B2627" s="86"/>
      <c r="C2627" s="86"/>
      <c r="D2627" s="86"/>
      <c r="E2627" s="86"/>
      <c r="F2627" s="86"/>
      <c r="G2627" s="174"/>
    </row>
    <row r="2628" spans="1:7" x14ac:dyDescent="0.3">
      <c r="A2628" s="86"/>
      <c r="B2628" s="86"/>
      <c r="C2628" s="86"/>
      <c r="D2628" s="86"/>
      <c r="E2628" s="86"/>
      <c r="F2628" s="86"/>
      <c r="G2628" s="174"/>
    </row>
    <row r="2629" spans="1:7" x14ac:dyDescent="0.3">
      <c r="A2629" s="86"/>
      <c r="B2629" s="86"/>
      <c r="C2629" s="86"/>
      <c r="D2629" s="86"/>
      <c r="E2629" s="86"/>
      <c r="F2629" s="86"/>
      <c r="G2629" s="174"/>
    </row>
    <row r="2630" spans="1:7" x14ac:dyDescent="0.3">
      <c r="A2630" s="86"/>
      <c r="B2630" s="86"/>
      <c r="C2630" s="86"/>
      <c r="D2630" s="86"/>
      <c r="E2630" s="86"/>
      <c r="F2630" s="86"/>
      <c r="G2630" s="174"/>
    </row>
    <row r="2631" spans="1:7" x14ac:dyDescent="0.3">
      <c r="A2631" s="86"/>
      <c r="B2631" s="86"/>
      <c r="C2631" s="86"/>
      <c r="D2631" s="86"/>
      <c r="E2631" s="86"/>
      <c r="F2631" s="86"/>
      <c r="G2631" s="174"/>
    </row>
    <row r="2632" spans="1:7" x14ac:dyDescent="0.3">
      <c r="A2632" s="86"/>
      <c r="B2632" s="86"/>
      <c r="C2632" s="86"/>
      <c r="D2632" s="86"/>
      <c r="E2632" s="86"/>
      <c r="F2632" s="86"/>
      <c r="G2632" s="174"/>
    </row>
    <row r="2633" spans="1:7" x14ac:dyDescent="0.3">
      <c r="A2633" s="86"/>
      <c r="B2633" s="86"/>
      <c r="C2633" s="86"/>
      <c r="D2633" s="86"/>
      <c r="E2633" s="86"/>
      <c r="F2633" s="86"/>
      <c r="G2633" s="174"/>
    </row>
    <row r="2634" spans="1:7" x14ac:dyDescent="0.3">
      <c r="A2634" s="86"/>
      <c r="B2634" s="86"/>
      <c r="C2634" s="86"/>
      <c r="D2634" s="86"/>
      <c r="E2634" s="86"/>
      <c r="F2634" s="86"/>
      <c r="G2634" s="174"/>
    </row>
    <row r="2635" spans="1:7" x14ac:dyDescent="0.3">
      <c r="A2635" s="86"/>
      <c r="B2635" s="86"/>
      <c r="C2635" s="86"/>
      <c r="D2635" s="86"/>
      <c r="E2635" s="86"/>
      <c r="F2635" s="86"/>
      <c r="G2635" s="174"/>
    </row>
    <row r="2636" spans="1:7" x14ac:dyDescent="0.3">
      <c r="A2636" s="86"/>
      <c r="B2636" s="86"/>
      <c r="C2636" s="86"/>
      <c r="D2636" s="86"/>
      <c r="E2636" s="86"/>
      <c r="F2636" s="86"/>
      <c r="G2636" s="174"/>
    </row>
    <row r="2637" spans="1:7" x14ac:dyDescent="0.3">
      <c r="A2637" s="86"/>
      <c r="B2637" s="86"/>
      <c r="C2637" s="86"/>
      <c r="D2637" s="86"/>
      <c r="E2637" s="86"/>
      <c r="F2637" s="86"/>
      <c r="G2637" s="174"/>
    </row>
    <row r="2638" spans="1:7" x14ac:dyDescent="0.3">
      <c r="A2638" s="86"/>
      <c r="B2638" s="86"/>
      <c r="C2638" s="86"/>
      <c r="D2638" s="86"/>
      <c r="E2638" s="86"/>
      <c r="F2638" s="86"/>
      <c r="G2638" s="174"/>
    </row>
    <row r="2639" spans="1:7" x14ac:dyDescent="0.3">
      <c r="A2639" s="86"/>
      <c r="B2639" s="86"/>
      <c r="C2639" s="86"/>
      <c r="D2639" s="86"/>
      <c r="E2639" s="86"/>
      <c r="F2639" s="86"/>
      <c r="G2639" s="174"/>
    </row>
    <row r="2640" spans="1:7" x14ac:dyDescent="0.3">
      <c r="A2640" s="86"/>
      <c r="B2640" s="86"/>
      <c r="C2640" s="86"/>
      <c r="D2640" s="86"/>
      <c r="E2640" s="86"/>
      <c r="F2640" s="86"/>
      <c r="G2640" s="174"/>
    </row>
    <row r="2641" spans="1:7" x14ac:dyDescent="0.3">
      <c r="A2641" s="86"/>
      <c r="B2641" s="86"/>
      <c r="C2641" s="86"/>
      <c r="D2641" s="86"/>
      <c r="E2641" s="86"/>
      <c r="F2641" s="86"/>
      <c r="G2641" s="174"/>
    </row>
    <row r="2642" spans="1:7" x14ac:dyDescent="0.3">
      <c r="A2642" s="86"/>
      <c r="B2642" s="86"/>
      <c r="C2642" s="86"/>
      <c r="D2642" s="86"/>
      <c r="E2642" s="86"/>
      <c r="F2642" s="86"/>
      <c r="G2642" s="174"/>
    </row>
    <row r="2643" spans="1:7" x14ac:dyDescent="0.3">
      <c r="A2643" s="86"/>
      <c r="B2643" s="86"/>
      <c r="C2643" s="86"/>
      <c r="D2643" s="86"/>
      <c r="E2643" s="86"/>
      <c r="F2643" s="86"/>
      <c r="G2643" s="174"/>
    </row>
    <row r="2644" spans="1:7" x14ac:dyDescent="0.3">
      <c r="A2644" s="86"/>
      <c r="B2644" s="86"/>
      <c r="C2644" s="86"/>
      <c r="D2644" s="86"/>
      <c r="E2644" s="86"/>
      <c r="F2644" s="86"/>
      <c r="G2644" s="174"/>
    </row>
    <row r="2645" spans="1:7" x14ac:dyDescent="0.3">
      <c r="A2645" s="86"/>
      <c r="B2645" s="86"/>
      <c r="C2645" s="86"/>
      <c r="D2645" s="86"/>
      <c r="E2645" s="86"/>
      <c r="F2645" s="86"/>
      <c r="G2645" s="174"/>
    </row>
    <row r="2646" spans="1:7" x14ac:dyDescent="0.3">
      <c r="A2646" s="86"/>
      <c r="B2646" s="86"/>
      <c r="C2646" s="86"/>
      <c r="D2646" s="86"/>
      <c r="E2646" s="86"/>
      <c r="F2646" s="86"/>
      <c r="G2646" s="174"/>
    </row>
    <row r="2647" spans="1:7" x14ac:dyDescent="0.3">
      <c r="A2647" s="86"/>
      <c r="B2647" s="86"/>
      <c r="C2647" s="86"/>
      <c r="D2647" s="86"/>
      <c r="E2647" s="86"/>
      <c r="F2647" s="86"/>
      <c r="G2647" s="174"/>
    </row>
    <row r="2648" spans="1:7" x14ac:dyDescent="0.3">
      <c r="A2648" s="86"/>
      <c r="B2648" s="86"/>
      <c r="C2648" s="86"/>
      <c r="D2648" s="86"/>
      <c r="E2648" s="86"/>
      <c r="F2648" s="86"/>
      <c r="G2648" s="174"/>
    </row>
    <row r="2649" spans="1:7" x14ac:dyDescent="0.3">
      <c r="A2649" s="86"/>
      <c r="B2649" s="86"/>
      <c r="C2649" s="86"/>
      <c r="D2649" s="86"/>
      <c r="E2649" s="86"/>
      <c r="F2649" s="86"/>
      <c r="G2649" s="174"/>
    </row>
    <row r="2650" spans="1:7" x14ac:dyDescent="0.3">
      <c r="A2650" s="86"/>
      <c r="B2650" s="86"/>
      <c r="C2650" s="86"/>
      <c r="D2650" s="86"/>
      <c r="E2650" s="86"/>
      <c r="F2650" s="86"/>
      <c r="G2650" s="174"/>
    </row>
    <row r="2651" spans="1:7" x14ac:dyDescent="0.3">
      <c r="A2651" s="86"/>
      <c r="B2651" s="86"/>
      <c r="C2651" s="86"/>
      <c r="D2651" s="86"/>
      <c r="E2651" s="86"/>
      <c r="F2651" s="86"/>
      <c r="G2651" s="174"/>
    </row>
    <row r="2652" spans="1:7" x14ac:dyDescent="0.3">
      <c r="A2652" s="86"/>
      <c r="B2652" s="86"/>
      <c r="C2652" s="86"/>
      <c r="D2652" s="86"/>
      <c r="E2652" s="86"/>
      <c r="F2652" s="86"/>
      <c r="G2652" s="174"/>
    </row>
    <row r="2653" spans="1:7" x14ac:dyDescent="0.3">
      <c r="A2653" s="86"/>
      <c r="B2653" s="86"/>
      <c r="C2653" s="86"/>
      <c r="D2653" s="86"/>
      <c r="E2653" s="86"/>
      <c r="F2653" s="86"/>
      <c r="G2653" s="174"/>
    </row>
    <row r="2654" spans="1:7" x14ac:dyDescent="0.3">
      <c r="A2654" s="86"/>
      <c r="B2654" s="86"/>
      <c r="C2654" s="86"/>
      <c r="D2654" s="86"/>
      <c r="E2654" s="86"/>
      <c r="F2654" s="86"/>
      <c r="G2654" s="174"/>
    </row>
    <row r="2655" spans="1:7" x14ac:dyDescent="0.3">
      <c r="A2655" s="86"/>
      <c r="B2655" s="86"/>
      <c r="C2655" s="86"/>
      <c r="D2655" s="86"/>
      <c r="E2655" s="86"/>
      <c r="F2655" s="86"/>
      <c r="G2655" s="174"/>
    </row>
    <row r="2656" spans="1:7" x14ac:dyDescent="0.3">
      <c r="A2656" s="86"/>
      <c r="B2656" s="86"/>
      <c r="C2656" s="86"/>
      <c r="D2656" s="86"/>
      <c r="E2656" s="86"/>
      <c r="F2656" s="86"/>
      <c r="G2656" s="174"/>
    </row>
    <row r="2657" spans="1:7" x14ac:dyDescent="0.3">
      <c r="A2657" s="86"/>
      <c r="B2657" s="86"/>
      <c r="C2657" s="86"/>
      <c r="D2657" s="86"/>
      <c r="E2657" s="86"/>
      <c r="F2657" s="86"/>
      <c r="G2657" s="174"/>
    </row>
    <row r="2658" spans="1:7" x14ac:dyDescent="0.3">
      <c r="A2658" s="86"/>
      <c r="B2658" s="86"/>
      <c r="C2658" s="86"/>
      <c r="D2658" s="86"/>
      <c r="E2658" s="86"/>
      <c r="F2658" s="86"/>
      <c r="G2658" s="174"/>
    </row>
    <row r="2659" spans="1:7" x14ac:dyDescent="0.3">
      <c r="A2659" s="86"/>
      <c r="B2659" s="86"/>
      <c r="C2659" s="86"/>
      <c r="D2659" s="86"/>
      <c r="E2659" s="86"/>
      <c r="F2659" s="86"/>
      <c r="G2659" s="174"/>
    </row>
    <row r="2660" spans="1:7" x14ac:dyDescent="0.3">
      <c r="A2660" s="86"/>
      <c r="B2660" s="86"/>
      <c r="C2660" s="86"/>
      <c r="D2660" s="86"/>
      <c r="E2660" s="86"/>
      <c r="F2660" s="86"/>
      <c r="G2660" s="174"/>
    </row>
    <row r="2661" spans="1:7" x14ac:dyDescent="0.3">
      <c r="A2661" s="86"/>
      <c r="B2661" s="86"/>
      <c r="C2661" s="86"/>
      <c r="D2661" s="86"/>
      <c r="E2661" s="86"/>
      <c r="F2661" s="86"/>
      <c r="G2661" s="174"/>
    </row>
    <row r="2662" spans="1:7" x14ac:dyDescent="0.3">
      <c r="A2662" s="86"/>
      <c r="B2662" s="86"/>
      <c r="C2662" s="86"/>
      <c r="D2662" s="86"/>
      <c r="E2662" s="86"/>
      <c r="F2662" s="86"/>
      <c r="G2662" s="174"/>
    </row>
    <row r="2663" spans="1:7" x14ac:dyDescent="0.3">
      <c r="A2663" s="86"/>
      <c r="B2663" s="86"/>
      <c r="C2663" s="86"/>
      <c r="D2663" s="86"/>
      <c r="E2663" s="86"/>
      <c r="F2663" s="86"/>
      <c r="G2663" s="174"/>
    </row>
    <row r="2664" spans="1:7" x14ac:dyDescent="0.3">
      <c r="A2664" s="86"/>
      <c r="B2664" s="86"/>
      <c r="C2664" s="86"/>
      <c r="D2664" s="86"/>
      <c r="E2664" s="86"/>
      <c r="F2664" s="86"/>
      <c r="G2664" s="174"/>
    </row>
    <row r="2665" spans="1:7" x14ac:dyDescent="0.3">
      <c r="A2665" s="86"/>
      <c r="B2665" s="86"/>
      <c r="C2665" s="86"/>
      <c r="D2665" s="86"/>
      <c r="E2665" s="86"/>
      <c r="F2665" s="86"/>
      <c r="G2665" s="174"/>
    </row>
    <row r="2666" spans="1:7" x14ac:dyDescent="0.3">
      <c r="A2666" s="86"/>
      <c r="B2666" s="86"/>
      <c r="C2666" s="86"/>
      <c r="D2666" s="86"/>
      <c r="E2666" s="86"/>
      <c r="F2666" s="86"/>
      <c r="G2666" s="174"/>
    </row>
    <row r="2667" spans="1:7" x14ac:dyDescent="0.3">
      <c r="A2667" s="86"/>
      <c r="B2667" s="86"/>
      <c r="C2667" s="86"/>
      <c r="D2667" s="86"/>
      <c r="E2667" s="86"/>
      <c r="F2667" s="86"/>
      <c r="G2667" s="174"/>
    </row>
    <row r="2668" spans="1:7" x14ac:dyDescent="0.3">
      <c r="A2668" s="86"/>
      <c r="B2668" s="86"/>
      <c r="C2668" s="86"/>
      <c r="D2668" s="86"/>
      <c r="E2668" s="86"/>
      <c r="F2668" s="86"/>
      <c r="G2668" s="174"/>
    </row>
    <row r="2669" spans="1:7" x14ac:dyDescent="0.3">
      <c r="A2669" s="86"/>
      <c r="B2669" s="86"/>
      <c r="C2669" s="86"/>
      <c r="D2669" s="86"/>
      <c r="E2669" s="86"/>
      <c r="F2669" s="86"/>
      <c r="G2669" s="174"/>
    </row>
    <row r="2670" spans="1:7" x14ac:dyDescent="0.3">
      <c r="A2670" s="86"/>
      <c r="B2670" s="86"/>
      <c r="C2670" s="86"/>
      <c r="D2670" s="86"/>
      <c r="E2670" s="86"/>
      <c r="F2670" s="86"/>
      <c r="G2670" s="174"/>
    </row>
    <row r="2671" spans="1:7" x14ac:dyDescent="0.3">
      <c r="A2671" s="86"/>
      <c r="B2671" s="86"/>
      <c r="C2671" s="86"/>
      <c r="D2671" s="86"/>
      <c r="E2671" s="86"/>
      <c r="F2671" s="86"/>
      <c r="G2671" s="174"/>
    </row>
    <row r="2672" spans="1:7" x14ac:dyDescent="0.3">
      <c r="A2672" s="86"/>
      <c r="B2672" s="86"/>
      <c r="C2672" s="86"/>
      <c r="D2672" s="86"/>
      <c r="E2672" s="86"/>
      <c r="F2672" s="86"/>
      <c r="G2672" s="174"/>
    </row>
    <row r="2673" spans="1:7" x14ac:dyDescent="0.3">
      <c r="A2673" s="86"/>
      <c r="B2673" s="86"/>
      <c r="C2673" s="86"/>
      <c r="D2673" s="86"/>
      <c r="E2673" s="86"/>
      <c r="F2673" s="86"/>
      <c r="G2673" s="174"/>
    </row>
    <row r="2674" spans="1:7" x14ac:dyDescent="0.3">
      <c r="A2674" s="86"/>
      <c r="B2674" s="86"/>
      <c r="C2674" s="86"/>
      <c r="D2674" s="86"/>
      <c r="E2674" s="86"/>
      <c r="F2674" s="86"/>
      <c r="G2674" s="174"/>
    </row>
    <row r="2675" spans="1:7" x14ac:dyDescent="0.3">
      <c r="A2675" s="86"/>
      <c r="B2675" s="86"/>
      <c r="C2675" s="86"/>
      <c r="D2675" s="86"/>
      <c r="E2675" s="86"/>
      <c r="F2675" s="86"/>
      <c r="G2675" s="174"/>
    </row>
    <row r="2676" spans="1:7" x14ac:dyDescent="0.3">
      <c r="A2676" s="86"/>
      <c r="B2676" s="86"/>
      <c r="C2676" s="86"/>
      <c r="D2676" s="86"/>
      <c r="E2676" s="86"/>
      <c r="F2676" s="86"/>
      <c r="G2676" s="174"/>
    </row>
    <row r="2677" spans="1:7" x14ac:dyDescent="0.3">
      <c r="A2677" s="86"/>
      <c r="B2677" s="86"/>
      <c r="C2677" s="86"/>
      <c r="D2677" s="86"/>
      <c r="E2677" s="86"/>
      <c r="F2677" s="86"/>
      <c r="G2677" s="174"/>
    </row>
    <row r="2678" spans="1:7" x14ac:dyDescent="0.3">
      <c r="A2678" s="86"/>
      <c r="B2678" s="86"/>
      <c r="C2678" s="86"/>
      <c r="D2678" s="86"/>
      <c r="E2678" s="86"/>
      <c r="F2678" s="86"/>
      <c r="G2678" s="174"/>
    </row>
    <row r="2679" spans="1:7" x14ac:dyDescent="0.3">
      <c r="A2679" s="86"/>
      <c r="B2679" s="86"/>
      <c r="C2679" s="86"/>
      <c r="D2679" s="86"/>
      <c r="E2679" s="86"/>
      <c r="F2679" s="86"/>
      <c r="G2679" s="174"/>
    </row>
    <row r="2680" spans="1:7" x14ac:dyDescent="0.3">
      <c r="A2680" s="86"/>
      <c r="B2680" s="86"/>
      <c r="C2680" s="86"/>
      <c r="D2680" s="86"/>
      <c r="E2680" s="86"/>
      <c r="F2680" s="86"/>
      <c r="G2680" s="174"/>
    </row>
    <row r="2681" spans="1:7" x14ac:dyDescent="0.3">
      <c r="A2681" s="86"/>
      <c r="B2681" s="86"/>
      <c r="C2681" s="86"/>
      <c r="D2681" s="86"/>
      <c r="E2681" s="86"/>
      <c r="F2681" s="86"/>
      <c r="G2681" s="174"/>
    </row>
    <row r="2682" spans="1:7" x14ac:dyDescent="0.3">
      <c r="A2682" s="86"/>
      <c r="B2682" s="86"/>
      <c r="C2682" s="86"/>
      <c r="D2682" s="86"/>
      <c r="E2682" s="86"/>
      <c r="F2682" s="86"/>
      <c r="G2682" s="174"/>
    </row>
    <row r="2683" spans="1:7" x14ac:dyDescent="0.3">
      <c r="A2683" s="86"/>
      <c r="B2683" s="86"/>
      <c r="C2683" s="86"/>
      <c r="D2683" s="86"/>
      <c r="E2683" s="86"/>
      <c r="F2683" s="86"/>
      <c r="G2683" s="174"/>
    </row>
    <row r="2684" spans="1:7" x14ac:dyDescent="0.3">
      <c r="A2684" s="86"/>
      <c r="B2684" s="86"/>
      <c r="C2684" s="86"/>
      <c r="D2684" s="86"/>
      <c r="E2684" s="86"/>
      <c r="F2684" s="86"/>
      <c r="G2684" s="174"/>
    </row>
    <row r="2685" spans="1:7" x14ac:dyDescent="0.3">
      <c r="A2685" s="86"/>
      <c r="B2685" s="86"/>
      <c r="C2685" s="86"/>
      <c r="D2685" s="86"/>
      <c r="E2685" s="86"/>
      <c r="F2685" s="86"/>
      <c r="G2685" s="174"/>
    </row>
    <row r="2686" spans="1:7" x14ac:dyDescent="0.3">
      <c r="A2686" s="86"/>
      <c r="B2686" s="86"/>
      <c r="C2686" s="86"/>
      <c r="D2686" s="86"/>
      <c r="E2686" s="86"/>
      <c r="F2686" s="86"/>
      <c r="G2686" s="174"/>
    </row>
    <row r="2687" spans="1:7" x14ac:dyDescent="0.3">
      <c r="A2687" s="86"/>
      <c r="B2687" s="86"/>
      <c r="C2687" s="86"/>
      <c r="D2687" s="86"/>
      <c r="E2687" s="86"/>
      <c r="F2687" s="86"/>
      <c r="G2687" s="174"/>
    </row>
    <row r="2688" spans="1:7" x14ac:dyDescent="0.3">
      <c r="A2688" s="86"/>
      <c r="B2688" s="86"/>
      <c r="C2688" s="86"/>
      <c r="D2688" s="86"/>
      <c r="E2688" s="86"/>
      <c r="F2688" s="86"/>
      <c r="G2688" s="174"/>
    </row>
    <row r="2689" spans="1:7" x14ac:dyDescent="0.3">
      <c r="A2689" s="86"/>
      <c r="B2689" s="86"/>
      <c r="C2689" s="86"/>
      <c r="D2689" s="86"/>
      <c r="E2689" s="86"/>
      <c r="F2689" s="86"/>
      <c r="G2689" s="174"/>
    </row>
    <row r="2690" spans="1:7" x14ac:dyDescent="0.3">
      <c r="A2690" s="86"/>
      <c r="B2690" s="86"/>
      <c r="C2690" s="86"/>
      <c r="D2690" s="86"/>
      <c r="E2690" s="86"/>
      <c r="F2690" s="86"/>
      <c r="G2690" s="174"/>
    </row>
    <row r="2691" spans="1:7" x14ac:dyDescent="0.3">
      <c r="A2691" s="86"/>
      <c r="B2691" s="86"/>
      <c r="C2691" s="86"/>
      <c r="D2691" s="86"/>
      <c r="E2691" s="86"/>
      <c r="F2691" s="86"/>
      <c r="G2691" s="174"/>
    </row>
    <row r="2692" spans="1:7" x14ac:dyDescent="0.3">
      <c r="A2692" s="86"/>
      <c r="B2692" s="86"/>
      <c r="C2692" s="86"/>
      <c r="D2692" s="86"/>
      <c r="E2692" s="86"/>
      <c r="F2692" s="86"/>
      <c r="G2692" s="174"/>
    </row>
    <row r="2693" spans="1:7" x14ac:dyDescent="0.3">
      <c r="A2693" s="86"/>
      <c r="B2693" s="86"/>
      <c r="C2693" s="86"/>
      <c r="D2693" s="86"/>
      <c r="E2693" s="86"/>
      <c r="F2693" s="86"/>
      <c r="G2693" s="174"/>
    </row>
    <row r="2694" spans="1:7" x14ac:dyDescent="0.3">
      <c r="A2694" s="86"/>
      <c r="B2694" s="86"/>
      <c r="C2694" s="86"/>
      <c r="D2694" s="86"/>
      <c r="E2694" s="86"/>
      <c r="F2694" s="86"/>
      <c r="G2694" s="174"/>
    </row>
    <row r="2695" spans="1:7" x14ac:dyDescent="0.3">
      <c r="A2695" s="86"/>
      <c r="B2695" s="86"/>
      <c r="C2695" s="86"/>
      <c r="D2695" s="86"/>
      <c r="E2695" s="86"/>
      <c r="F2695" s="86"/>
      <c r="G2695" s="174"/>
    </row>
    <row r="2696" spans="1:7" x14ac:dyDescent="0.3">
      <c r="A2696" s="86"/>
      <c r="B2696" s="86"/>
      <c r="C2696" s="86"/>
      <c r="D2696" s="86"/>
      <c r="E2696" s="86"/>
      <c r="F2696" s="86"/>
      <c r="G2696" s="174"/>
    </row>
    <row r="2697" spans="1:7" x14ac:dyDescent="0.3">
      <c r="A2697" s="86"/>
      <c r="B2697" s="86"/>
      <c r="C2697" s="86"/>
      <c r="D2697" s="86"/>
      <c r="E2697" s="86"/>
      <c r="F2697" s="86"/>
      <c r="G2697" s="174"/>
    </row>
    <row r="2698" spans="1:7" x14ac:dyDescent="0.3">
      <c r="A2698" s="86"/>
      <c r="B2698" s="86"/>
      <c r="C2698" s="86"/>
      <c r="D2698" s="86"/>
      <c r="E2698" s="86"/>
      <c r="F2698" s="86"/>
      <c r="G2698" s="174"/>
    </row>
    <row r="2699" spans="1:7" x14ac:dyDescent="0.3">
      <c r="A2699" s="86"/>
      <c r="B2699" s="86"/>
      <c r="C2699" s="86"/>
      <c r="D2699" s="86"/>
      <c r="E2699" s="86"/>
      <c r="F2699" s="86"/>
      <c r="G2699" s="174"/>
    </row>
    <row r="2700" spans="1:7" x14ac:dyDescent="0.3">
      <c r="A2700" s="86"/>
      <c r="B2700" s="86"/>
      <c r="C2700" s="86"/>
      <c r="D2700" s="86"/>
      <c r="E2700" s="86"/>
      <c r="F2700" s="86"/>
      <c r="G2700" s="174"/>
    </row>
    <row r="2701" spans="1:7" x14ac:dyDescent="0.3">
      <c r="A2701" s="86"/>
      <c r="B2701" s="86"/>
      <c r="C2701" s="86"/>
      <c r="D2701" s="86"/>
      <c r="E2701" s="86"/>
      <c r="F2701" s="86"/>
      <c r="G2701" s="174"/>
    </row>
    <row r="2702" spans="1:7" x14ac:dyDescent="0.3">
      <c r="A2702" s="86"/>
      <c r="B2702" s="86"/>
      <c r="C2702" s="86"/>
      <c r="D2702" s="86"/>
      <c r="E2702" s="86"/>
      <c r="F2702" s="86"/>
      <c r="G2702" s="174"/>
    </row>
    <row r="2703" spans="1:7" x14ac:dyDescent="0.3">
      <c r="A2703" s="86"/>
      <c r="B2703" s="86"/>
      <c r="C2703" s="86"/>
      <c r="D2703" s="86"/>
      <c r="E2703" s="86"/>
      <c r="F2703" s="86"/>
      <c r="G2703" s="174"/>
    </row>
    <row r="2704" spans="1:7" x14ac:dyDescent="0.3">
      <c r="A2704" s="86"/>
      <c r="B2704" s="86"/>
      <c r="C2704" s="86"/>
      <c r="D2704" s="86"/>
      <c r="E2704" s="86"/>
      <c r="F2704" s="86"/>
      <c r="G2704" s="174"/>
    </row>
    <row r="2705" spans="1:7" x14ac:dyDescent="0.3">
      <c r="A2705" s="86"/>
      <c r="B2705" s="86"/>
      <c r="C2705" s="86"/>
      <c r="D2705" s="86"/>
      <c r="E2705" s="86"/>
      <c r="F2705" s="86"/>
      <c r="G2705" s="174"/>
    </row>
    <row r="2706" spans="1:7" x14ac:dyDescent="0.3">
      <c r="A2706" s="86"/>
      <c r="B2706" s="86"/>
      <c r="C2706" s="86"/>
      <c r="D2706" s="86"/>
      <c r="E2706" s="86"/>
      <c r="F2706" s="86"/>
      <c r="G2706" s="174"/>
    </row>
    <row r="2707" spans="1:7" x14ac:dyDescent="0.3">
      <c r="A2707" s="86"/>
      <c r="B2707" s="86"/>
      <c r="C2707" s="86"/>
      <c r="D2707" s="86"/>
      <c r="E2707" s="86"/>
      <c r="F2707" s="86"/>
      <c r="G2707" s="174"/>
    </row>
    <row r="2708" spans="1:7" x14ac:dyDescent="0.3">
      <c r="A2708" s="86"/>
      <c r="B2708" s="86"/>
      <c r="C2708" s="86"/>
      <c r="D2708" s="86"/>
      <c r="E2708" s="86"/>
      <c r="F2708" s="86"/>
      <c r="G2708" s="174"/>
    </row>
    <row r="2709" spans="1:7" x14ac:dyDescent="0.3">
      <c r="A2709" s="86"/>
      <c r="B2709" s="86"/>
      <c r="C2709" s="86"/>
      <c r="D2709" s="86"/>
      <c r="E2709" s="86"/>
      <c r="F2709" s="86"/>
      <c r="G2709" s="174"/>
    </row>
    <row r="2710" spans="1:7" x14ac:dyDescent="0.3">
      <c r="A2710" s="86"/>
      <c r="B2710" s="86"/>
      <c r="C2710" s="86"/>
      <c r="D2710" s="86"/>
      <c r="E2710" s="86"/>
      <c r="F2710" s="86"/>
      <c r="G2710" s="174"/>
    </row>
    <row r="2711" spans="1:7" x14ac:dyDescent="0.3">
      <c r="A2711" s="86"/>
      <c r="B2711" s="86"/>
      <c r="C2711" s="86"/>
      <c r="D2711" s="86"/>
      <c r="E2711" s="86"/>
      <c r="F2711" s="86"/>
      <c r="G2711" s="174"/>
    </row>
    <row r="2712" spans="1:7" x14ac:dyDescent="0.3">
      <c r="A2712" s="86"/>
      <c r="B2712" s="86"/>
      <c r="C2712" s="86"/>
      <c r="D2712" s="86"/>
      <c r="E2712" s="86"/>
      <c r="F2712" s="86"/>
      <c r="G2712" s="174"/>
    </row>
    <row r="2713" spans="1:7" x14ac:dyDescent="0.3">
      <c r="A2713" s="86"/>
      <c r="B2713" s="86"/>
      <c r="C2713" s="86"/>
      <c r="D2713" s="86"/>
      <c r="E2713" s="86"/>
      <c r="F2713" s="86"/>
      <c r="G2713" s="174"/>
    </row>
    <row r="2714" spans="1:7" x14ac:dyDescent="0.3">
      <c r="A2714" s="86"/>
      <c r="B2714" s="86"/>
      <c r="C2714" s="86"/>
      <c r="D2714" s="86"/>
      <c r="E2714" s="86"/>
      <c r="F2714" s="86"/>
      <c r="G2714" s="174"/>
    </row>
    <row r="2715" spans="1:7" x14ac:dyDescent="0.3">
      <c r="A2715" s="86"/>
      <c r="B2715" s="86"/>
      <c r="C2715" s="86"/>
      <c r="D2715" s="86"/>
      <c r="E2715" s="86"/>
      <c r="F2715" s="86"/>
      <c r="G2715" s="174"/>
    </row>
    <row r="2716" spans="1:7" x14ac:dyDescent="0.3">
      <c r="A2716" s="86"/>
      <c r="B2716" s="86"/>
      <c r="C2716" s="86"/>
      <c r="D2716" s="86"/>
      <c r="E2716" s="86"/>
      <c r="F2716" s="86"/>
      <c r="G2716" s="174"/>
    </row>
    <row r="2717" spans="1:7" x14ac:dyDescent="0.3">
      <c r="A2717" s="86"/>
      <c r="B2717" s="86"/>
      <c r="C2717" s="86"/>
      <c r="D2717" s="86"/>
      <c r="E2717" s="86"/>
      <c r="F2717" s="86"/>
      <c r="G2717" s="174"/>
    </row>
    <row r="2718" spans="1:7" x14ac:dyDescent="0.3">
      <c r="A2718" s="86"/>
      <c r="B2718" s="86"/>
      <c r="C2718" s="86"/>
      <c r="D2718" s="86"/>
      <c r="E2718" s="86"/>
      <c r="F2718" s="86"/>
      <c r="G2718" s="174"/>
    </row>
    <row r="2719" spans="1:7" x14ac:dyDescent="0.3">
      <c r="A2719" s="86"/>
      <c r="B2719" s="86"/>
      <c r="C2719" s="86"/>
      <c r="D2719" s="86"/>
      <c r="E2719" s="86"/>
      <c r="F2719" s="86"/>
      <c r="G2719" s="174"/>
    </row>
    <row r="2720" spans="1:7" x14ac:dyDescent="0.3">
      <c r="A2720" s="86"/>
      <c r="B2720" s="86"/>
      <c r="C2720" s="86"/>
      <c r="D2720" s="86"/>
      <c r="E2720" s="86"/>
      <c r="F2720" s="86"/>
      <c r="G2720" s="174"/>
    </row>
    <row r="2721" spans="1:7" x14ac:dyDescent="0.3">
      <c r="A2721" s="86"/>
      <c r="B2721" s="86"/>
      <c r="C2721" s="86"/>
      <c r="D2721" s="86"/>
      <c r="E2721" s="86"/>
      <c r="F2721" s="86"/>
      <c r="G2721" s="174"/>
    </row>
    <row r="2722" spans="1:7" x14ac:dyDescent="0.3">
      <c r="A2722" s="86"/>
      <c r="B2722" s="86"/>
      <c r="C2722" s="86"/>
      <c r="D2722" s="86"/>
      <c r="E2722" s="86"/>
      <c r="F2722" s="86"/>
      <c r="G2722" s="174"/>
    </row>
    <row r="2723" spans="1:7" x14ac:dyDescent="0.3">
      <c r="A2723" s="86"/>
      <c r="B2723" s="86"/>
      <c r="C2723" s="86"/>
      <c r="D2723" s="86"/>
      <c r="E2723" s="86"/>
      <c r="F2723" s="86"/>
      <c r="G2723" s="174"/>
    </row>
    <row r="2724" spans="1:7" x14ac:dyDescent="0.3">
      <c r="A2724" s="86"/>
      <c r="B2724" s="86"/>
      <c r="C2724" s="86"/>
      <c r="D2724" s="86"/>
      <c r="E2724" s="86"/>
      <c r="F2724" s="86"/>
      <c r="G2724" s="174"/>
    </row>
    <row r="2725" spans="1:7" x14ac:dyDescent="0.3">
      <c r="A2725" s="86"/>
      <c r="B2725" s="86"/>
      <c r="C2725" s="86"/>
      <c r="D2725" s="86"/>
      <c r="E2725" s="86"/>
      <c r="F2725" s="86"/>
      <c r="G2725" s="174"/>
    </row>
    <row r="2726" spans="1:7" x14ac:dyDescent="0.3">
      <c r="A2726" s="86"/>
      <c r="B2726" s="86"/>
      <c r="C2726" s="86"/>
      <c r="D2726" s="86"/>
      <c r="E2726" s="86"/>
      <c r="F2726" s="86"/>
      <c r="G2726" s="174"/>
    </row>
    <row r="2727" spans="1:7" x14ac:dyDescent="0.3">
      <c r="A2727" s="86"/>
      <c r="B2727" s="86"/>
      <c r="C2727" s="86"/>
      <c r="D2727" s="86"/>
      <c r="E2727" s="86"/>
      <c r="F2727" s="86"/>
      <c r="G2727" s="174"/>
    </row>
    <row r="2728" spans="1:7" x14ac:dyDescent="0.3">
      <c r="A2728" s="86"/>
      <c r="B2728" s="86"/>
      <c r="C2728" s="86"/>
      <c r="D2728" s="86"/>
      <c r="E2728" s="86"/>
      <c r="F2728" s="86"/>
      <c r="G2728" s="174"/>
    </row>
    <row r="2729" spans="1:7" x14ac:dyDescent="0.3">
      <c r="A2729" s="86"/>
      <c r="B2729" s="86"/>
      <c r="C2729" s="86"/>
      <c r="D2729" s="86"/>
      <c r="E2729" s="86"/>
      <c r="F2729" s="86"/>
      <c r="G2729" s="174"/>
    </row>
    <row r="2730" spans="1:7" x14ac:dyDescent="0.3">
      <c r="A2730" s="86"/>
      <c r="B2730" s="86"/>
      <c r="C2730" s="86"/>
      <c r="D2730" s="86"/>
      <c r="E2730" s="86"/>
      <c r="F2730" s="86"/>
      <c r="G2730" s="174"/>
    </row>
    <row r="2731" spans="1:7" x14ac:dyDescent="0.3">
      <c r="A2731" s="86"/>
      <c r="B2731" s="86"/>
      <c r="C2731" s="86"/>
      <c r="D2731" s="86"/>
      <c r="E2731" s="86"/>
      <c r="F2731" s="86"/>
      <c r="G2731" s="174"/>
    </row>
    <row r="2732" spans="1:7" x14ac:dyDescent="0.3">
      <c r="A2732" s="86"/>
      <c r="B2732" s="86"/>
      <c r="C2732" s="86"/>
      <c r="D2732" s="86"/>
      <c r="E2732" s="86"/>
      <c r="F2732" s="86"/>
      <c r="G2732" s="174"/>
    </row>
    <row r="2733" spans="1:7" x14ac:dyDescent="0.3">
      <c r="A2733" s="86"/>
      <c r="B2733" s="86"/>
      <c r="C2733" s="86"/>
      <c r="D2733" s="86"/>
      <c r="E2733" s="86"/>
      <c r="F2733" s="86"/>
      <c r="G2733" s="174"/>
    </row>
    <row r="2734" spans="1:7" x14ac:dyDescent="0.3">
      <c r="A2734" s="86"/>
      <c r="B2734" s="86"/>
      <c r="C2734" s="86"/>
      <c r="D2734" s="86"/>
      <c r="E2734" s="86"/>
      <c r="F2734" s="86"/>
      <c r="G2734" s="174"/>
    </row>
    <row r="2735" spans="1:7" x14ac:dyDescent="0.3">
      <c r="A2735" s="86"/>
      <c r="B2735" s="86"/>
      <c r="C2735" s="86"/>
      <c r="D2735" s="86"/>
      <c r="E2735" s="86"/>
      <c r="F2735" s="86"/>
      <c r="G2735" s="174"/>
    </row>
    <row r="2736" spans="1:7" x14ac:dyDescent="0.3">
      <c r="A2736" s="86"/>
      <c r="B2736" s="86"/>
      <c r="C2736" s="86"/>
      <c r="D2736" s="86"/>
      <c r="E2736" s="86"/>
      <c r="F2736" s="86"/>
      <c r="G2736" s="174"/>
    </row>
    <row r="2737" spans="1:7" x14ac:dyDescent="0.3">
      <c r="A2737" s="86"/>
      <c r="B2737" s="86"/>
      <c r="C2737" s="86"/>
      <c r="D2737" s="86"/>
      <c r="E2737" s="86"/>
      <c r="F2737" s="86"/>
      <c r="G2737" s="174"/>
    </row>
    <row r="2738" spans="1:7" x14ac:dyDescent="0.3">
      <c r="A2738" s="86"/>
      <c r="B2738" s="86"/>
      <c r="C2738" s="86"/>
      <c r="D2738" s="86"/>
      <c r="E2738" s="86"/>
      <c r="F2738" s="86"/>
      <c r="G2738" s="174"/>
    </row>
    <row r="2739" spans="1:7" x14ac:dyDescent="0.3">
      <c r="A2739" s="86"/>
      <c r="B2739" s="86"/>
      <c r="C2739" s="86"/>
      <c r="D2739" s="86"/>
      <c r="E2739" s="86"/>
      <c r="F2739" s="86"/>
      <c r="G2739" s="174"/>
    </row>
    <row r="2740" spans="1:7" x14ac:dyDescent="0.3">
      <c r="A2740" s="86"/>
      <c r="B2740" s="86"/>
      <c r="C2740" s="86"/>
      <c r="D2740" s="86"/>
      <c r="E2740" s="86"/>
      <c r="F2740" s="86"/>
      <c r="G2740" s="174"/>
    </row>
    <row r="2741" spans="1:7" x14ac:dyDescent="0.3">
      <c r="A2741" s="86"/>
      <c r="B2741" s="86"/>
      <c r="C2741" s="86"/>
      <c r="D2741" s="86"/>
      <c r="E2741" s="86"/>
      <c r="F2741" s="86"/>
      <c r="G2741" s="174"/>
    </row>
    <row r="2742" spans="1:7" x14ac:dyDescent="0.3">
      <c r="A2742" s="86"/>
      <c r="B2742" s="86"/>
      <c r="C2742" s="86"/>
      <c r="D2742" s="86"/>
      <c r="E2742" s="86"/>
      <c r="F2742" s="86"/>
      <c r="G2742" s="174"/>
    </row>
    <row r="2743" spans="1:7" x14ac:dyDescent="0.3">
      <c r="A2743" s="86"/>
      <c r="B2743" s="86"/>
      <c r="C2743" s="86"/>
      <c r="D2743" s="86"/>
      <c r="E2743" s="86"/>
      <c r="F2743" s="86"/>
      <c r="G2743" s="174"/>
    </row>
    <row r="2744" spans="1:7" x14ac:dyDescent="0.3">
      <c r="A2744" s="86"/>
      <c r="B2744" s="86"/>
      <c r="C2744" s="86"/>
      <c r="D2744" s="86"/>
      <c r="E2744" s="86"/>
      <c r="F2744" s="86"/>
      <c r="G2744" s="174"/>
    </row>
    <row r="2745" spans="1:7" x14ac:dyDescent="0.3">
      <c r="A2745" s="86"/>
      <c r="B2745" s="86"/>
      <c r="C2745" s="86"/>
      <c r="D2745" s="86"/>
      <c r="E2745" s="86"/>
      <c r="F2745" s="86"/>
      <c r="G2745" s="174"/>
    </row>
    <row r="2746" spans="1:7" x14ac:dyDescent="0.3">
      <c r="A2746" s="86"/>
      <c r="B2746" s="86"/>
      <c r="C2746" s="86"/>
      <c r="D2746" s="86"/>
      <c r="E2746" s="86"/>
      <c r="F2746" s="86"/>
      <c r="G2746" s="174"/>
    </row>
    <row r="2747" spans="1:7" x14ac:dyDescent="0.3">
      <c r="A2747" s="86"/>
      <c r="B2747" s="86"/>
      <c r="C2747" s="86"/>
      <c r="D2747" s="86"/>
      <c r="E2747" s="86"/>
      <c r="F2747" s="86"/>
      <c r="G2747" s="174"/>
    </row>
    <row r="2748" spans="1:7" x14ac:dyDescent="0.3">
      <c r="A2748" s="86"/>
      <c r="B2748" s="86"/>
      <c r="C2748" s="86"/>
      <c r="D2748" s="86"/>
      <c r="E2748" s="86"/>
      <c r="F2748" s="86"/>
      <c r="G2748" s="174"/>
    </row>
    <row r="2749" spans="1:7" x14ac:dyDescent="0.3">
      <c r="A2749" s="86"/>
      <c r="B2749" s="86"/>
      <c r="C2749" s="86"/>
      <c r="D2749" s="86"/>
      <c r="E2749" s="86"/>
      <c r="F2749" s="86"/>
      <c r="G2749" s="174"/>
    </row>
    <row r="2750" spans="1:7" x14ac:dyDescent="0.3">
      <c r="A2750" s="86"/>
      <c r="B2750" s="86"/>
      <c r="C2750" s="86"/>
      <c r="D2750" s="86"/>
      <c r="E2750" s="86"/>
      <c r="F2750" s="86"/>
      <c r="G2750" s="174"/>
    </row>
    <row r="2751" spans="1:7" x14ac:dyDescent="0.3">
      <c r="A2751" s="86"/>
      <c r="B2751" s="86"/>
      <c r="C2751" s="86"/>
      <c r="D2751" s="86"/>
      <c r="E2751" s="86"/>
      <c r="F2751" s="86"/>
      <c r="G2751" s="174"/>
    </row>
    <row r="2752" spans="1:7" x14ac:dyDescent="0.3">
      <c r="A2752" s="86"/>
      <c r="B2752" s="86"/>
      <c r="C2752" s="86"/>
      <c r="D2752" s="86"/>
      <c r="E2752" s="86"/>
      <c r="F2752" s="86"/>
      <c r="G2752" s="174"/>
    </row>
    <row r="2753" spans="1:7" x14ac:dyDescent="0.3">
      <c r="A2753" s="86"/>
      <c r="B2753" s="86"/>
      <c r="C2753" s="86"/>
      <c r="D2753" s="86"/>
      <c r="E2753" s="86"/>
      <c r="F2753" s="86"/>
      <c r="G2753" s="174"/>
    </row>
    <row r="2754" spans="1:7" x14ac:dyDescent="0.3">
      <c r="A2754" s="86"/>
      <c r="B2754" s="86"/>
      <c r="C2754" s="86"/>
      <c r="D2754" s="86"/>
      <c r="E2754" s="86"/>
      <c r="F2754" s="86"/>
      <c r="G2754" s="174"/>
    </row>
    <row r="2755" spans="1:7" x14ac:dyDescent="0.3">
      <c r="A2755" s="86"/>
      <c r="B2755" s="86"/>
      <c r="C2755" s="86"/>
      <c r="D2755" s="86"/>
      <c r="E2755" s="86"/>
      <c r="F2755" s="86"/>
      <c r="G2755" s="174"/>
    </row>
    <row r="2756" spans="1:7" x14ac:dyDescent="0.3">
      <c r="A2756" s="86"/>
      <c r="B2756" s="86"/>
      <c r="C2756" s="86"/>
      <c r="D2756" s="86"/>
      <c r="E2756" s="86"/>
      <c r="F2756" s="86"/>
      <c r="G2756" s="174"/>
    </row>
    <row r="2757" spans="1:7" x14ac:dyDescent="0.3">
      <c r="A2757" s="86"/>
      <c r="B2757" s="86"/>
      <c r="C2757" s="86"/>
      <c r="D2757" s="86"/>
      <c r="E2757" s="86"/>
      <c r="F2757" s="86"/>
      <c r="G2757" s="174"/>
    </row>
    <row r="2758" spans="1:7" x14ac:dyDescent="0.3">
      <c r="A2758" s="86"/>
      <c r="B2758" s="86"/>
      <c r="C2758" s="86"/>
      <c r="D2758" s="86"/>
      <c r="E2758" s="86"/>
      <c r="F2758" s="86"/>
      <c r="G2758" s="174"/>
    </row>
    <row r="2759" spans="1:7" x14ac:dyDescent="0.3">
      <c r="A2759" s="86"/>
      <c r="B2759" s="86"/>
      <c r="C2759" s="86"/>
      <c r="D2759" s="86"/>
      <c r="E2759" s="86"/>
      <c r="F2759" s="86"/>
      <c r="G2759" s="174"/>
    </row>
    <row r="2760" spans="1:7" x14ac:dyDescent="0.3">
      <c r="A2760" s="86"/>
      <c r="B2760" s="86"/>
      <c r="C2760" s="86"/>
      <c r="D2760" s="86"/>
      <c r="E2760" s="86"/>
      <c r="F2760" s="86"/>
      <c r="G2760" s="174"/>
    </row>
    <row r="2761" spans="1:7" x14ac:dyDescent="0.3">
      <c r="A2761" s="86"/>
      <c r="B2761" s="86"/>
      <c r="C2761" s="86"/>
      <c r="D2761" s="86"/>
      <c r="E2761" s="86"/>
      <c r="F2761" s="86"/>
      <c r="G2761" s="174"/>
    </row>
    <row r="2762" spans="1:7" x14ac:dyDescent="0.3">
      <c r="A2762" s="86"/>
      <c r="B2762" s="86"/>
      <c r="C2762" s="86"/>
      <c r="D2762" s="86"/>
      <c r="E2762" s="86"/>
      <c r="F2762" s="86"/>
      <c r="G2762" s="174"/>
    </row>
    <row r="2763" spans="1:7" x14ac:dyDescent="0.3">
      <c r="A2763" s="86"/>
      <c r="B2763" s="86"/>
      <c r="C2763" s="86"/>
      <c r="D2763" s="86"/>
      <c r="E2763" s="86"/>
      <c r="F2763" s="86"/>
      <c r="G2763" s="174"/>
    </row>
    <row r="2764" spans="1:7" x14ac:dyDescent="0.3">
      <c r="A2764" s="86"/>
      <c r="B2764" s="86"/>
      <c r="C2764" s="86"/>
      <c r="D2764" s="86"/>
      <c r="E2764" s="86"/>
      <c r="F2764" s="86"/>
      <c r="G2764" s="174"/>
    </row>
    <row r="2765" spans="1:7" x14ac:dyDescent="0.3">
      <c r="A2765" s="86"/>
      <c r="B2765" s="86"/>
      <c r="C2765" s="86"/>
      <c r="D2765" s="86"/>
      <c r="E2765" s="86"/>
      <c r="F2765" s="86"/>
      <c r="G2765" s="174"/>
    </row>
    <row r="2766" spans="1:7" x14ac:dyDescent="0.3">
      <c r="A2766" s="86"/>
      <c r="B2766" s="86"/>
      <c r="C2766" s="86"/>
      <c r="D2766" s="86"/>
      <c r="E2766" s="86"/>
      <c r="F2766" s="86"/>
      <c r="G2766" s="174"/>
    </row>
    <row r="2767" spans="1:7" x14ac:dyDescent="0.3">
      <c r="A2767" s="86"/>
      <c r="B2767" s="86"/>
      <c r="C2767" s="86"/>
      <c r="D2767" s="86"/>
      <c r="E2767" s="86"/>
      <c r="F2767" s="86"/>
      <c r="G2767" s="174"/>
    </row>
    <row r="2768" spans="1:7" x14ac:dyDescent="0.3">
      <c r="A2768" s="86"/>
      <c r="B2768" s="86"/>
      <c r="C2768" s="86"/>
      <c r="D2768" s="86"/>
      <c r="E2768" s="86"/>
      <c r="F2768" s="86"/>
      <c r="G2768" s="174"/>
    </row>
    <row r="2769" spans="1:7" x14ac:dyDescent="0.3">
      <c r="A2769" s="86"/>
      <c r="B2769" s="86"/>
      <c r="C2769" s="86"/>
      <c r="D2769" s="86"/>
      <c r="E2769" s="86"/>
      <c r="F2769" s="86"/>
      <c r="G2769" s="174"/>
    </row>
    <row r="2770" spans="1:7" x14ac:dyDescent="0.3">
      <c r="A2770" s="86"/>
      <c r="B2770" s="86"/>
      <c r="C2770" s="86"/>
      <c r="D2770" s="86"/>
      <c r="E2770" s="86"/>
      <c r="F2770" s="86"/>
      <c r="G2770" s="174"/>
    </row>
    <row r="2771" spans="1:7" x14ac:dyDescent="0.3">
      <c r="A2771" s="86"/>
      <c r="B2771" s="86"/>
      <c r="C2771" s="86"/>
      <c r="D2771" s="86"/>
      <c r="E2771" s="86"/>
      <c r="F2771" s="86"/>
      <c r="G2771" s="174"/>
    </row>
    <row r="2772" spans="1:7" x14ac:dyDescent="0.3">
      <c r="A2772" s="86"/>
      <c r="B2772" s="86"/>
      <c r="C2772" s="86"/>
      <c r="D2772" s="86"/>
      <c r="E2772" s="86"/>
      <c r="F2772" s="86"/>
      <c r="G2772" s="174"/>
    </row>
    <row r="2773" spans="1:7" x14ac:dyDescent="0.3">
      <c r="A2773" s="86"/>
      <c r="B2773" s="86"/>
      <c r="C2773" s="86"/>
      <c r="D2773" s="86"/>
      <c r="E2773" s="86"/>
      <c r="F2773" s="86"/>
      <c r="G2773" s="174"/>
    </row>
    <row r="2774" spans="1:7" x14ac:dyDescent="0.3">
      <c r="A2774" s="86"/>
      <c r="B2774" s="86"/>
      <c r="C2774" s="86"/>
      <c r="D2774" s="86"/>
      <c r="E2774" s="86"/>
      <c r="F2774" s="86"/>
      <c r="G2774" s="174"/>
    </row>
    <row r="2775" spans="1:7" x14ac:dyDescent="0.3">
      <c r="A2775" s="86"/>
      <c r="B2775" s="86"/>
      <c r="C2775" s="86"/>
      <c r="D2775" s="86"/>
      <c r="E2775" s="86"/>
      <c r="F2775" s="86"/>
      <c r="G2775" s="174"/>
    </row>
    <row r="2776" spans="1:7" x14ac:dyDescent="0.3">
      <c r="A2776" s="86"/>
      <c r="B2776" s="86"/>
      <c r="C2776" s="86"/>
      <c r="D2776" s="86"/>
      <c r="E2776" s="86"/>
      <c r="F2776" s="86"/>
      <c r="G2776" s="174"/>
    </row>
    <row r="2777" spans="1:7" x14ac:dyDescent="0.3">
      <c r="A2777" s="86"/>
      <c r="B2777" s="86"/>
      <c r="C2777" s="86"/>
      <c r="D2777" s="86"/>
      <c r="E2777" s="86"/>
      <c r="F2777" s="86"/>
      <c r="G2777" s="174"/>
    </row>
    <row r="2778" spans="1:7" x14ac:dyDescent="0.3">
      <c r="A2778" s="86"/>
      <c r="B2778" s="86"/>
      <c r="C2778" s="86"/>
      <c r="D2778" s="86"/>
      <c r="E2778" s="86"/>
      <c r="F2778" s="86"/>
      <c r="G2778" s="174"/>
    </row>
    <row r="2779" spans="1:7" x14ac:dyDescent="0.3">
      <c r="A2779" s="86"/>
      <c r="B2779" s="86"/>
      <c r="C2779" s="86"/>
      <c r="D2779" s="86"/>
      <c r="E2779" s="86"/>
      <c r="F2779" s="86"/>
      <c r="G2779" s="174"/>
    </row>
    <row r="2780" spans="1:7" x14ac:dyDescent="0.3">
      <c r="A2780" s="86"/>
      <c r="B2780" s="86"/>
      <c r="C2780" s="86"/>
      <c r="D2780" s="86"/>
      <c r="E2780" s="86"/>
      <c r="F2780" s="86"/>
      <c r="G2780" s="174"/>
    </row>
    <row r="2781" spans="1:7" x14ac:dyDescent="0.3">
      <c r="A2781" s="86"/>
      <c r="B2781" s="86"/>
      <c r="C2781" s="86"/>
      <c r="D2781" s="86"/>
      <c r="E2781" s="86"/>
      <c r="F2781" s="86"/>
      <c r="G2781" s="174"/>
    </row>
    <row r="2782" spans="1:7" x14ac:dyDescent="0.3">
      <c r="A2782" s="86"/>
      <c r="B2782" s="86"/>
      <c r="C2782" s="86"/>
      <c r="D2782" s="86"/>
      <c r="E2782" s="86"/>
      <c r="F2782" s="86"/>
      <c r="G2782" s="174"/>
    </row>
    <row r="2783" spans="1:7" x14ac:dyDescent="0.3">
      <c r="A2783" s="86"/>
      <c r="B2783" s="86"/>
      <c r="C2783" s="86"/>
      <c r="D2783" s="86"/>
      <c r="E2783" s="86"/>
      <c r="F2783" s="86"/>
      <c r="G2783" s="174"/>
    </row>
    <row r="2784" spans="1:7" x14ac:dyDescent="0.3">
      <c r="A2784" s="86"/>
      <c r="B2784" s="86"/>
      <c r="C2784" s="86"/>
      <c r="D2784" s="86"/>
      <c r="E2784" s="86"/>
      <c r="F2784" s="86"/>
      <c r="G2784" s="174"/>
    </row>
    <row r="2785" spans="1:7" x14ac:dyDescent="0.3">
      <c r="A2785" s="86"/>
      <c r="B2785" s="86"/>
      <c r="C2785" s="86"/>
      <c r="D2785" s="86"/>
      <c r="E2785" s="86"/>
      <c r="F2785" s="86"/>
      <c r="G2785" s="174"/>
    </row>
    <row r="2786" spans="1:7" x14ac:dyDescent="0.3">
      <c r="A2786" s="86"/>
      <c r="B2786" s="86"/>
      <c r="C2786" s="86"/>
      <c r="D2786" s="86"/>
      <c r="E2786" s="86"/>
      <c r="F2786" s="86"/>
      <c r="G2786" s="174"/>
    </row>
    <row r="2787" spans="1:7" x14ac:dyDescent="0.3">
      <c r="A2787" s="86"/>
      <c r="B2787" s="86"/>
      <c r="C2787" s="86"/>
      <c r="D2787" s="86"/>
      <c r="E2787" s="86"/>
      <c r="F2787" s="86"/>
      <c r="G2787" s="174"/>
    </row>
    <row r="2788" spans="1:7" x14ac:dyDescent="0.3">
      <c r="A2788" s="86"/>
      <c r="B2788" s="86"/>
      <c r="C2788" s="86"/>
      <c r="D2788" s="86"/>
      <c r="E2788" s="86"/>
      <c r="F2788" s="86"/>
      <c r="G2788" s="174"/>
    </row>
    <row r="2789" spans="1:7" x14ac:dyDescent="0.3">
      <c r="A2789" s="86"/>
      <c r="B2789" s="86"/>
      <c r="C2789" s="86"/>
      <c r="D2789" s="86"/>
      <c r="E2789" s="86"/>
      <c r="F2789" s="86"/>
      <c r="G2789" s="174"/>
    </row>
    <row r="2790" spans="1:7" x14ac:dyDescent="0.3">
      <c r="A2790" s="86"/>
      <c r="B2790" s="86"/>
      <c r="C2790" s="86"/>
      <c r="D2790" s="86"/>
      <c r="E2790" s="86"/>
      <c r="F2790" s="86"/>
      <c r="G2790" s="174"/>
    </row>
    <row r="2791" spans="1:7" x14ac:dyDescent="0.3">
      <c r="A2791" s="86"/>
      <c r="B2791" s="86"/>
      <c r="C2791" s="86"/>
      <c r="D2791" s="86"/>
      <c r="E2791" s="86"/>
      <c r="F2791" s="86"/>
      <c r="G2791" s="174"/>
    </row>
    <row r="2792" spans="1:7" x14ac:dyDescent="0.3">
      <c r="A2792" s="86"/>
      <c r="B2792" s="86"/>
      <c r="C2792" s="86"/>
      <c r="D2792" s="86"/>
      <c r="E2792" s="86"/>
      <c r="F2792" s="86"/>
      <c r="G2792" s="174"/>
    </row>
    <row r="2793" spans="1:7" x14ac:dyDescent="0.3">
      <c r="A2793" s="86"/>
      <c r="B2793" s="86"/>
      <c r="C2793" s="86"/>
      <c r="D2793" s="86"/>
      <c r="E2793" s="86"/>
      <c r="F2793" s="86"/>
      <c r="G2793" s="174"/>
    </row>
    <row r="2794" spans="1:7" x14ac:dyDescent="0.3">
      <c r="A2794" s="86"/>
      <c r="B2794" s="86"/>
      <c r="C2794" s="86"/>
      <c r="D2794" s="86"/>
      <c r="E2794" s="86"/>
      <c r="F2794" s="86"/>
      <c r="G2794" s="174"/>
    </row>
    <row r="2795" spans="1:7" x14ac:dyDescent="0.3">
      <c r="A2795" s="86"/>
      <c r="B2795" s="86"/>
      <c r="C2795" s="86"/>
      <c r="D2795" s="86"/>
      <c r="E2795" s="86"/>
      <c r="F2795" s="86"/>
      <c r="G2795" s="174"/>
    </row>
    <row r="2796" spans="1:7" x14ac:dyDescent="0.3">
      <c r="A2796" s="86"/>
      <c r="B2796" s="86"/>
      <c r="C2796" s="86"/>
      <c r="D2796" s="86"/>
      <c r="E2796" s="86"/>
      <c r="F2796" s="86"/>
      <c r="G2796" s="174"/>
    </row>
    <row r="2797" spans="1:7" x14ac:dyDescent="0.3">
      <c r="A2797" s="86"/>
      <c r="B2797" s="86"/>
      <c r="C2797" s="86"/>
      <c r="D2797" s="86"/>
      <c r="E2797" s="86"/>
      <c r="F2797" s="86"/>
      <c r="G2797" s="174"/>
    </row>
    <row r="2798" spans="1:7" x14ac:dyDescent="0.3">
      <c r="A2798" s="86"/>
      <c r="B2798" s="86"/>
      <c r="C2798" s="86"/>
      <c r="D2798" s="86"/>
      <c r="E2798" s="86"/>
      <c r="F2798" s="86"/>
      <c r="G2798" s="174"/>
    </row>
    <row r="2799" spans="1:7" x14ac:dyDescent="0.3">
      <c r="A2799" s="86"/>
      <c r="B2799" s="86"/>
      <c r="C2799" s="86"/>
      <c r="D2799" s="86"/>
      <c r="E2799" s="86"/>
      <c r="F2799" s="86"/>
      <c r="G2799" s="174"/>
    </row>
    <row r="2800" spans="1:7" x14ac:dyDescent="0.3">
      <c r="A2800" s="86"/>
      <c r="B2800" s="86"/>
      <c r="C2800" s="86"/>
      <c r="D2800" s="86"/>
      <c r="E2800" s="86"/>
      <c r="F2800" s="86"/>
      <c r="G2800" s="174"/>
    </row>
    <row r="2801" spans="1:7" x14ac:dyDescent="0.3">
      <c r="A2801" s="86"/>
      <c r="B2801" s="86"/>
      <c r="C2801" s="86"/>
      <c r="D2801" s="86"/>
      <c r="E2801" s="86"/>
      <c r="F2801" s="86"/>
      <c r="G2801" s="174"/>
    </row>
    <row r="2802" spans="1:7" x14ac:dyDescent="0.3">
      <c r="A2802" s="86"/>
      <c r="B2802" s="86"/>
      <c r="C2802" s="86"/>
      <c r="D2802" s="86"/>
      <c r="E2802" s="86"/>
      <c r="F2802" s="86"/>
      <c r="G2802" s="174"/>
    </row>
    <row r="2803" spans="1:7" x14ac:dyDescent="0.3">
      <c r="A2803" s="86"/>
      <c r="B2803" s="86"/>
      <c r="C2803" s="86"/>
      <c r="D2803" s="86"/>
      <c r="E2803" s="86"/>
      <c r="F2803" s="86"/>
      <c r="G2803" s="174"/>
    </row>
    <row r="2804" spans="1:7" x14ac:dyDescent="0.3">
      <c r="A2804" s="86"/>
      <c r="B2804" s="86"/>
      <c r="C2804" s="86"/>
      <c r="D2804" s="86"/>
      <c r="E2804" s="86"/>
      <c r="F2804" s="86"/>
      <c r="G2804" s="174"/>
    </row>
    <row r="2805" spans="1:7" x14ac:dyDescent="0.3">
      <c r="A2805" s="86"/>
      <c r="B2805" s="86"/>
      <c r="C2805" s="86"/>
      <c r="D2805" s="86"/>
      <c r="E2805" s="86"/>
      <c r="F2805" s="86"/>
      <c r="G2805" s="174"/>
    </row>
    <row r="2806" spans="1:7" x14ac:dyDescent="0.3">
      <c r="A2806" s="86"/>
      <c r="B2806" s="86"/>
      <c r="C2806" s="86"/>
      <c r="D2806" s="86"/>
      <c r="E2806" s="86"/>
      <c r="F2806" s="86"/>
      <c r="G2806" s="174"/>
    </row>
    <row r="2807" spans="1:7" x14ac:dyDescent="0.3">
      <c r="A2807" s="86"/>
      <c r="B2807" s="86"/>
      <c r="C2807" s="86"/>
      <c r="D2807" s="86"/>
      <c r="E2807" s="86"/>
      <c r="F2807" s="86"/>
      <c r="G2807" s="174"/>
    </row>
    <row r="2808" spans="1:7" x14ac:dyDescent="0.3">
      <c r="A2808" s="86"/>
      <c r="B2808" s="86"/>
      <c r="C2808" s="86"/>
      <c r="D2808" s="86"/>
      <c r="E2808" s="86"/>
      <c r="F2808" s="86"/>
      <c r="G2808" s="174"/>
    </row>
    <row r="2809" spans="1:7" x14ac:dyDescent="0.3">
      <c r="A2809" s="86"/>
      <c r="B2809" s="86"/>
      <c r="C2809" s="86"/>
      <c r="D2809" s="86"/>
      <c r="E2809" s="86"/>
      <c r="F2809" s="86"/>
      <c r="G2809" s="174"/>
    </row>
    <row r="2810" spans="1:7" x14ac:dyDescent="0.3">
      <c r="A2810" s="86"/>
      <c r="B2810" s="86"/>
      <c r="C2810" s="86"/>
      <c r="D2810" s="86"/>
      <c r="E2810" s="86"/>
      <c r="F2810" s="86"/>
      <c r="G2810" s="174"/>
    </row>
    <row r="2811" spans="1:7" x14ac:dyDescent="0.3">
      <c r="A2811" s="86"/>
      <c r="B2811" s="86"/>
      <c r="C2811" s="86"/>
      <c r="D2811" s="86"/>
      <c r="E2811" s="86"/>
      <c r="F2811" s="86"/>
      <c r="G2811" s="174"/>
    </row>
    <row r="2812" spans="1:7" x14ac:dyDescent="0.3">
      <c r="A2812" s="86"/>
      <c r="B2812" s="86"/>
      <c r="C2812" s="86"/>
      <c r="D2812" s="86"/>
      <c r="E2812" s="86"/>
      <c r="F2812" s="86"/>
      <c r="G2812" s="174"/>
    </row>
    <row r="2813" spans="1:7" x14ac:dyDescent="0.3">
      <c r="A2813" s="86"/>
      <c r="B2813" s="86"/>
      <c r="C2813" s="86"/>
      <c r="D2813" s="86"/>
      <c r="E2813" s="86"/>
      <c r="F2813" s="86"/>
      <c r="G2813" s="174"/>
    </row>
    <row r="2814" spans="1:7" x14ac:dyDescent="0.3">
      <c r="A2814" s="86"/>
      <c r="B2814" s="86"/>
      <c r="C2814" s="86"/>
      <c r="D2814" s="86"/>
      <c r="E2814" s="86"/>
      <c r="F2814" s="86"/>
      <c r="G2814" s="174"/>
    </row>
    <row r="2815" spans="1:7" x14ac:dyDescent="0.3">
      <c r="A2815" s="86"/>
      <c r="B2815" s="86"/>
      <c r="C2815" s="86"/>
      <c r="D2815" s="86"/>
      <c r="E2815" s="86"/>
      <c r="F2815" s="86"/>
      <c r="G2815" s="174"/>
    </row>
    <row r="2816" spans="1:7" x14ac:dyDescent="0.3">
      <c r="A2816" s="86"/>
      <c r="B2816" s="86"/>
      <c r="C2816" s="86"/>
      <c r="D2816" s="86"/>
      <c r="E2816" s="86"/>
      <c r="F2816" s="86"/>
      <c r="G2816" s="174"/>
    </row>
    <row r="2817" spans="1:7" x14ac:dyDescent="0.3">
      <c r="A2817" s="86"/>
      <c r="B2817" s="86"/>
      <c r="C2817" s="86"/>
      <c r="D2817" s="86"/>
      <c r="E2817" s="86"/>
      <c r="F2817" s="86"/>
      <c r="G2817" s="174"/>
    </row>
    <row r="2818" spans="1:7" x14ac:dyDescent="0.3">
      <c r="A2818" s="86"/>
      <c r="B2818" s="86"/>
      <c r="C2818" s="86"/>
      <c r="D2818" s="86"/>
      <c r="E2818" s="86"/>
      <c r="F2818" s="86"/>
      <c r="G2818" s="174"/>
    </row>
    <row r="2819" spans="1:7" x14ac:dyDescent="0.3">
      <c r="A2819" s="86"/>
      <c r="B2819" s="86"/>
      <c r="C2819" s="86"/>
      <c r="D2819" s="86"/>
      <c r="E2819" s="86"/>
      <c r="F2819" s="86"/>
      <c r="G2819" s="174"/>
    </row>
    <row r="2820" spans="1:7" x14ac:dyDescent="0.3">
      <c r="A2820" s="86"/>
      <c r="B2820" s="86"/>
      <c r="C2820" s="86"/>
      <c r="D2820" s="86"/>
      <c r="E2820" s="86"/>
      <c r="F2820" s="86"/>
      <c r="G2820" s="174"/>
    </row>
    <row r="2821" spans="1:7" x14ac:dyDescent="0.3">
      <c r="A2821" s="86"/>
      <c r="B2821" s="86"/>
      <c r="C2821" s="86"/>
      <c r="D2821" s="86"/>
      <c r="E2821" s="86"/>
      <c r="F2821" s="86"/>
      <c r="G2821" s="174"/>
    </row>
    <row r="2822" spans="1:7" x14ac:dyDescent="0.3">
      <c r="A2822" s="86"/>
      <c r="B2822" s="86"/>
      <c r="C2822" s="86"/>
      <c r="D2822" s="86"/>
      <c r="E2822" s="86"/>
      <c r="F2822" s="86"/>
      <c r="G2822" s="174"/>
    </row>
    <row r="2823" spans="1:7" x14ac:dyDescent="0.3">
      <c r="A2823" s="86"/>
      <c r="B2823" s="86"/>
      <c r="C2823" s="86"/>
      <c r="D2823" s="86"/>
      <c r="E2823" s="86"/>
      <c r="F2823" s="86"/>
      <c r="G2823" s="174"/>
    </row>
    <row r="2824" spans="1:7" x14ac:dyDescent="0.3">
      <c r="A2824" s="86"/>
      <c r="B2824" s="86"/>
      <c r="C2824" s="86"/>
      <c r="D2824" s="86"/>
      <c r="E2824" s="86"/>
      <c r="F2824" s="86"/>
      <c r="G2824" s="174"/>
    </row>
    <row r="2825" spans="1:7" x14ac:dyDescent="0.3">
      <c r="A2825" s="86"/>
      <c r="B2825" s="86"/>
      <c r="C2825" s="86"/>
      <c r="D2825" s="86"/>
      <c r="E2825" s="86"/>
      <c r="F2825" s="86"/>
      <c r="G2825" s="174"/>
    </row>
    <row r="2826" spans="1:7" x14ac:dyDescent="0.3">
      <c r="A2826" s="86"/>
      <c r="B2826" s="86"/>
      <c r="C2826" s="86"/>
      <c r="D2826" s="86"/>
      <c r="E2826" s="86"/>
      <c r="F2826" s="86"/>
      <c r="G2826" s="174"/>
    </row>
    <row r="2827" spans="1:7" x14ac:dyDescent="0.3">
      <c r="A2827" s="86"/>
      <c r="B2827" s="86"/>
      <c r="C2827" s="86"/>
      <c r="D2827" s="86"/>
      <c r="E2827" s="86"/>
      <c r="F2827" s="86"/>
      <c r="G2827" s="174"/>
    </row>
    <row r="2828" spans="1:7" x14ac:dyDescent="0.3">
      <c r="A2828" s="86"/>
      <c r="B2828" s="86"/>
      <c r="C2828" s="86"/>
      <c r="D2828" s="86"/>
      <c r="E2828" s="86"/>
      <c r="F2828" s="86"/>
      <c r="G2828" s="174"/>
    </row>
    <row r="2829" spans="1:7" x14ac:dyDescent="0.3">
      <c r="A2829" s="86"/>
      <c r="B2829" s="86"/>
      <c r="C2829" s="86"/>
      <c r="D2829" s="86"/>
      <c r="E2829" s="86"/>
      <c r="F2829" s="86"/>
      <c r="G2829" s="174"/>
    </row>
    <row r="2830" spans="1:7" x14ac:dyDescent="0.3">
      <c r="A2830" s="86"/>
      <c r="B2830" s="86"/>
      <c r="C2830" s="86"/>
      <c r="D2830" s="86"/>
      <c r="E2830" s="86"/>
      <c r="F2830" s="86"/>
      <c r="G2830" s="174"/>
    </row>
    <row r="2831" spans="1:7" x14ac:dyDescent="0.3">
      <c r="A2831" s="86"/>
      <c r="B2831" s="86"/>
      <c r="C2831" s="86"/>
      <c r="D2831" s="86"/>
      <c r="E2831" s="86"/>
      <c r="F2831" s="86"/>
      <c r="G2831" s="174"/>
    </row>
    <row r="2832" spans="1:7" x14ac:dyDescent="0.3">
      <c r="A2832" s="86"/>
      <c r="B2832" s="86"/>
      <c r="C2832" s="86"/>
      <c r="D2832" s="86"/>
      <c r="E2832" s="86"/>
      <c r="F2832" s="86"/>
      <c r="G2832" s="174"/>
    </row>
    <row r="2833" spans="1:7" x14ac:dyDescent="0.3">
      <c r="A2833" s="86"/>
      <c r="B2833" s="86"/>
      <c r="C2833" s="86"/>
      <c r="D2833" s="86"/>
      <c r="E2833" s="86"/>
      <c r="F2833" s="86"/>
      <c r="G2833" s="174"/>
    </row>
    <row r="2834" spans="1:7" x14ac:dyDescent="0.3">
      <c r="A2834" s="86"/>
      <c r="B2834" s="86"/>
      <c r="C2834" s="86"/>
      <c r="D2834" s="86"/>
      <c r="E2834" s="86"/>
      <c r="F2834" s="86"/>
      <c r="G2834" s="174"/>
    </row>
    <row r="2835" spans="1:7" x14ac:dyDescent="0.3">
      <c r="A2835" s="86"/>
      <c r="B2835" s="86"/>
      <c r="C2835" s="86"/>
      <c r="D2835" s="86"/>
      <c r="E2835" s="86"/>
      <c r="F2835" s="86"/>
      <c r="G2835" s="174"/>
    </row>
    <row r="2836" spans="1:7" x14ac:dyDescent="0.3">
      <c r="A2836" s="86"/>
      <c r="B2836" s="86"/>
      <c r="C2836" s="86"/>
      <c r="D2836" s="86"/>
      <c r="E2836" s="86"/>
      <c r="F2836" s="86"/>
      <c r="G2836" s="174"/>
    </row>
    <row r="2837" spans="1:7" x14ac:dyDescent="0.3">
      <c r="A2837" s="86"/>
      <c r="B2837" s="86"/>
      <c r="C2837" s="86"/>
      <c r="D2837" s="86"/>
      <c r="E2837" s="86"/>
      <c r="F2837" s="86"/>
      <c r="G2837" s="174"/>
    </row>
    <row r="2838" spans="1:7" x14ac:dyDescent="0.3">
      <c r="A2838" s="86"/>
      <c r="B2838" s="86"/>
      <c r="C2838" s="86"/>
      <c r="D2838" s="86"/>
      <c r="E2838" s="86"/>
      <c r="F2838" s="86"/>
      <c r="G2838" s="174"/>
    </row>
    <row r="2839" spans="1:7" x14ac:dyDescent="0.3">
      <c r="A2839" s="86"/>
      <c r="B2839" s="86"/>
      <c r="C2839" s="86"/>
      <c r="D2839" s="86"/>
      <c r="E2839" s="86"/>
      <c r="F2839" s="86"/>
      <c r="G2839" s="174"/>
    </row>
    <row r="2840" spans="1:7" x14ac:dyDescent="0.3">
      <c r="A2840" s="86"/>
      <c r="B2840" s="86"/>
      <c r="C2840" s="86"/>
      <c r="D2840" s="86"/>
      <c r="E2840" s="86"/>
      <c r="F2840" s="86"/>
      <c r="G2840" s="174"/>
    </row>
    <row r="2841" spans="1:7" x14ac:dyDescent="0.3">
      <c r="A2841" s="86"/>
      <c r="B2841" s="86"/>
      <c r="C2841" s="86"/>
      <c r="D2841" s="86"/>
      <c r="E2841" s="86"/>
      <c r="F2841" s="86"/>
      <c r="G2841" s="174"/>
    </row>
    <row r="2842" spans="1:7" x14ac:dyDescent="0.3">
      <c r="A2842" s="86"/>
      <c r="B2842" s="86"/>
      <c r="C2842" s="86"/>
      <c r="D2842" s="86"/>
      <c r="E2842" s="86"/>
      <c r="F2842" s="86"/>
      <c r="G2842" s="174"/>
    </row>
    <row r="2843" spans="1:7" x14ac:dyDescent="0.3">
      <c r="A2843" s="86"/>
      <c r="B2843" s="86"/>
      <c r="C2843" s="86"/>
      <c r="D2843" s="86"/>
      <c r="E2843" s="86"/>
      <c r="F2843" s="86"/>
      <c r="G2843" s="174"/>
    </row>
    <row r="2844" spans="1:7" x14ac:dyDescent="0.3">
      <c r="A2844" s="86"/>
      <c r="B2844" s="86"/>
      <c r="C2844" s="86"/>
      <c r="D2844" s="86"/>
      <c r="E2844" s="86"/>
      <c r="F2844" s="86"/>
      <c r="G2844" s="174"/>
    </row>
    <row r="2845" spans="1:7" x14ac:dyDescent="0.3">
      <c r="A2845" s="86"/>
      <c r="B2845" s="86"/>
      <c r="C2845" s="86"/>
      <c r="D2845" s="86"/>
      <c r="E2845" s="86"/>
      <c r="F2845" s="86"/>
      <c r="G2845" s="174"/>
    </row>
    <row r="2846" spans="1:7" x14ac:dyDescent="0.3">
      <c r="A2846" s="86"/>
      <c r="B2846" s="86"/>
      <c r="C2846" s="86"/>
      <c r="D2846" s="86"/>
      <c r="E2846" s="86"/>
      <c r="F2846" s="86"/>
      <c r="G2846" s="174"/>
    </row>
    <row r="2847" spans="1:7" x14ac:dyDescent="0.3">
      <c r="A2847" s="86"/>
      <c r="B2847" s="86"/>
      <c r="C2847" s="86"/>
      <c r="D2847" s="86"/>
      <c r="E2847" s="86"/>
      <c r="F2847" s="86"/>
      <c r="G2847" s="174"/>
    </row>
    <row r="2848" spans="1:7" x14ac:dyDescent="0.3">
      <c r="A2848" s="86"/>
      <c r="B2848" s="86"/>
      <c r="C2848" s="86"/>
      <c r="D2848" s="86"/>
      <c r="E2848" s="86"/>
      <c r="F2848" s="86"/>
      <c r="G2848" s="174"/>
    </row>
    <row r="2849" spans="1:7" x14ac:dyDescent="0.3">
      <c r="A2849" s="86"/>
      <c r="B2849" s="86"/>
      <c r="C2849" s="86"/>
      <c r="D2849" s="86"/>
      <c r="E2849" s="86"/>
      <c r="F2849" s="86"/>
      <c r="G2849" s="174"/>
    </row>
    <row r="2850" spans="1:7" x14ac:dyDescent="0.3">
      <c r="A2850" s="86"/>
      <c r="B2850" s="86"/>
      <c r="C2850" s="86"/>
      <c r="D2850" s="86"/>
      <c r="E2850" s="86"/>
      <c r="F2850" s="86"/>
      <c r="G2850" s="174"/>
    </row>
    <row r="2851" spans="1:7" x14ac:dyDescent="0.3">
      <c r="A2851" s="86"/>
      <c r="B2851" s="86"/>
      <c r="C2851" s="86"/>
      <c r="D2851" s="86"/>
      <c r="E2851" s="86"/>
      <c r="F2851" s="86"/>
      <c r="G2851" s="174"/>
    </row>
    <row r="2852" spans="1:7" x14ac:dyDescent="0.3">
      <c r="A2852" s="86"/>
      <c r="B2852" s="86"/>
      <c r="C2852" s="86"/>
      <c r="D2852" s="86"/>
      <c r="E2852" s="86"/>
      <c r="F2852" s="86"/>
      <c r="G2852" s="174"/>
    </row>
    <row r="2853" spans="1:7" x14ac:dyDescent="0.3">
      <c r="A2853" s="86"/>
      <c r="B2853" s="86"/>
      <c r="C2853" s="86"/>
      <c r="D2853" s="86"/>
      <c r="E2853" s="86"/>
      <c r="F2853" s="86"/>
      <c r="G2853" s="174"/>
    </row>
    <row r="2854" spans="1:7" x14ac:dyDescent="0.3">
      <c r="A2854" s="86"/>
      <c r="B2854" s="86"/>
      <c r="C2854" s="86"/>
      <c r="D2854" s="86"/>
      <c r="E2854" s="86"/>
      <c r="F2854" s="86"/>
      <c r="G2854" s="174"/>
    </row>
    <row r="2855" spans="1:7" x14ac:dyDescent="0.3">
      <c r="A2855" s="86"/>
      <c r="B2855" s="86"/>
      <c r="C2855" s="86"/>
      <c r="D2855" s="86"/>
      <c r="E2855" s="86"/>
      <c r="F2855" s="86"/>
      <c r="G2855" s="174"/>
    </row>
    <row r="2856" spans="1:7" x14ac:dyDescent="0.3">
      <c r="A2856" s="86"/>
      <c r="B2856" s="86"/>
      <c r="C2856" s="86"/>
      <c r="D2856" s="86"/>
      <c r="E2856" s="86"/>
      <c r="F2856" s="86"/>
      <c r="G2856" s="174"/>
    </row>
    <row r="2857" spans="1:7" x14ac:dyDescent="0.3">
      <c r="A2857" s="86"/>
      <c r="B2857" s="86"/>
      <c r="C2857" s="86"/>
      <c r="D2857" s="86"/>
      <c r="E2857" s="86"/>
      <c r="F2857" s="86"/>
      <c r="G2857" s="174"/>
    </row>
    <row r="4496" spans="1:3" x14ac:dyDescent="0.3">
      <c r="A4496" s="116"/>
      <c r="B4496" s="116"/>
      <c r="C4496" s="100"/>
    </row>
    <row r="4497" spans="1:3" x14ac:dyDescent="0.3">
      <c r="C4497" s="100"/>
    </row>
    <row r="4498" spans="1:3" x14ac:dyDescent="0.3">
      <c r="C4498" s="100"/>
    </row>
    <row r="4499" spans="1:3" x14ac:dyDescent="0.3">
      <c r="C4499" s="100"/>
    </row>
    <row r="4500" spans="1:3" x14ac:dyDescent="0.3">
      <c r="C4500" s="100"/>
    </row>
    <row r="4501" spans="1:3" x14ac:dyDescent="0.3">
      <c r="C4501" s="100"/>
    </row>
    <row r="4502" spans="1:3" x14ac:dyDescent="0.3">
      <c r="C4502" s="100"/>
    </row>
    <row r="4503" spans="1:3" x14ac:dyDescent="0.3">
      <c r="A4503" s="116"/>
      <c r="B4503" s="116"/>
      <c r="C4503" s="100"/>
    </row>
    <row r="4504" spans="1:3" x14ac:dyDescent="0.3">
      <c r="A4504" s="116"/>
      <c r="C4504" s="100"/>
    </row>
    <row r="4505" spans="1:3" x14ac:dyDescent="0.3">
      <c r="A4505" s="116"/>
      <c r="C4505" s="100"/>
    </row>
    <row r="4506" spans="1:3" x14ac:dyDescent="0.3">
      <c r="A4506" s="116"/>
      <c r="C4506" s="100"/>
    </row>
    <row r="4507" spans="1:3" x14ac:dyDescent="0.3">
      <c r="A4507" s="116"/>
      <c r="C4507" s="100"/>
    </row>
    <row r="4508" spans="1:3" x14ac:dyDescent="0.3">
      <c r="A4508" s="116"/>
      <c r="C4508" s="100"/>
    </row>
    <row r="4509" spans="1:3" x14ac:dyDescent="0.3">
      <c r="A4509" s="116"/>
      <c r="C4509" s="100"/>
    </row>
    <row r="4511" spans="1:3" x14ac:dyDescent="0.3">
      <c r="B4511" s="23"/>
      <c r="C4511" s="98"/>
    </row>
    <row r="4512" spans="1:3" x14ac:dyDescent="0.3">
      <c r="B4512" s="23"/>
      <c r="C4512" s="119"/>
    </row>
    <row r="4513" spans="1:7" x14ac:dyDescent="0.3">
      <c r="A4513" s="18"/>
      <c r="B4513" s="18"/>
      <c r="C4513" s="18"/>
      <c r="D4513" s="18"/>
      <c r="E4513" s="18"/>
      <c r="F4513" s="18"/>
      <c r="G4513" s="18"/>
    </row>
    <row r="4514" spans="1:7" x14ac:dyDescent="0.3">
      <c r="A4514" s="18"/>
      <c r="B4514" s="18"/>
      <c r="C4514" s="18"/>
      <c r="D4514" s="18"/>
      <c r="E4514" s="18"/>
      <c r="F4514" s="18"/>
      <c r="G4514" s="18"/>
    </row>
    <row r="4515" spans="1:7" x14ac:dyDescent="0.3">
      <c r="A4515" s="18"/>
      <c r="B4515" s="18"/>
      <c r="C4515" s="18"/>
      <c r="D4515" s="18"/>
      <c r="E4515" s="18"/>
      <c r="F4515" s="18"/>
      <c r="G4515" s="18"/>
    </row>
    <row r="4516" spans="1:7" x14ac:dyDescent="0.3">
      <c r="A4516" s="18"/>
      <c r="B4516" s="18"/>
      <c r="C4516" s="18"/>
      <c r="D4516" s="18"/>
      <c r="E4516" s="18"/>
      <c r="F4516" s="18"/>
      <c r="G4516" s="18"/>
    </row>
    <row r="4517" spans="1:7" x14ac:dyDescent="0.3">
      <c r="A4517" s="18"/>
      <c r="B4517" s="18"/>
      <c r="C4517" s="18"/>
      <c r="D4517" s="18"/>
      <c r="E4517" s="18"/>
      <c r="F4517" s="18"/>
      <c r="G4517" s="18"/>
    </row>
    <row r="4518" spans="1:7" x14ac:dyDescent="0.3">
      <c r="A4518" s="18"/>
      <c r="B4518" s="18"/>
      <c r="C4518" s="18"/>
      <c r="D4518" s="18"/>
      <c r="E4518" s="18"/>
      <c r="F4518" s="18"/>
      <c r="G4518" s="18"/>
    </row>
    <row r="4519" spans="1:7" x14ac:dyDescent="0.3">
      <c r="A4519" s="18"/>
      <c r="B4519" s="18"/>
      <c r="C4519" s="18"/>
      <c r="D4519" s="18"/>
      <c r="E4519" s="18"/>
      <c r="F4519" s="18"/>
      <c r="G4519" s="18"/>
    </row>
    <row r="4520" spans="1:7" x14ac:dyDescent="0.3">
      <c r="A4520" s="18"/>
      <c r="B4520" s="18"/>
      <c r="C4520" s="18"/>
      <c r="D4520" s="18"/>
      <c r="E4520" s="18"/>
      <c r="F4520" s="18"/>
      <c r="G4520" s="18"/>
    </row>
    <row r="4521" spans="1:7" x14ac:dyDescent="0.3">
      <c r="A4521" s="18"/>
      <c r="B4521" s="18"/>
      <c r="C4521" s="18"/>
      <c r="D4521" s="18"/>
      <c r="E4521" s="18"/>
      <c r="F4521" s="18"/>
      <c r="G4521" s="18"/>
    </row>
    <row r="4522" spans="1:7" x14ac:dyDescent="0.3">
      <c r="A4522" s="18"/>
      <c r="B4522" s="18"/>
      <c r="C4522" s="18"/>
      <c r="D4522" s="18"/>
      <c r="E4522" s="18"/>
      <c r="F4522" s="18"/>
      <c r="G4522" s="18"/>
    </row>
    <row r="4523" spans="1:7" x14ac:dyDescent="0.3">
      <c r="A4523" s="18"/>
      <c r="B4523" s="18"/>
      <c r="C4523" s="18"/>
      <c r="D4523" s="18"/>
      <c r="E4523" s="18"/>
      <c r="F4523" s="18"/>
      <c r="G4523" s="18"/>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507"/>
  <sheetViews>
    <sheetView zoomScale="85" zoomScaleNormal="85" workbookViewId="0">
      <selection activeCell="F107" sqref="F107"/>
    </sheetView>
  </sheetViews>
  <sheetFormatPr defaultRowHeight="14.4" x14ac:dyDescent="0.3"/>
  <cols>
    <col min="1" max="5" width="21.88671875" style="116" customWidth="1"/>
  </cols>
  <sheetData>
    <row r="1" spans="1:9" x14ac:dyDescent="0.3">
      <c r="A1" s="467"/>
      <c r="B1" s="174"/>
      <c r="C1" s="174"/>
      <c r="D1" s="174"/>
      <c r="E1" s="174"/>
    </row>
    <row r="2" spans="1:9" x14ac:dyDescent="0.3">
      <c r="A2" s="174" t="s">
        <v>807</v>
      </c>
      <c r="B2" s="174" t="s">
        <v>692</v>
      </c>
      <c r="C2" s="174" t="s">
        <v>686</v>
      </c>
      <c r="D2" s="174" t="s">
        <v>687</v>
      </c>
      <c r="E2" s="174" t="s">
        <v>808</v>
      </c>
      <c r="F2" s="174" t="s">
        <v>800</v>
      </c>
      <c r="H2" s="517" t="s">
        <v>795</v>
      </c>
    </row>
    <row r="3" spans="1:9" x14ac:dyDescent="0.3">
      <c r="A3" s="574">
        <v>4.4687999999999999</v>
      </c>
      <c r="B3" s="574">
        <v>2014</v>
      </c>
      <c r="C3" s="574" t="s">
        <v>0</v>
      </c>
      <c r="D3" s="574" t="s">
        <v>95</v>
      </c>
      <c r="E3" s="574">
        <f t="shared" ref="E3:E26" si="0">A3</f>
        <v>4.4687999999999999</v>
      </c>
      <c r="F3" t="str">
        <f>IF(E3=A3,"","Y")</f>
        <v/>
      </c>
      <c r="H3" t="s">
        <v>346</v>
      </c>
      <c r="I3" t="s">
        <v>796</v>
      </c>
    </row>
    <row r="4" spans="1:9" x14ac:dyDescent="0.3">
      <c r="A4" s="574">
        <v>158.68439999999899</v>
      </c>
      <c r="B4" s="574">
        <v>2014</v>
      </c>
      <c r="C4" s="574" t="s">
        <v>37</v>
      </c>
      <c r="D4" s="574" t="s">
        <v>97</v>
      </c>
      <c r="E4" s="574">
        <f t="shared" si="0"/>
        <v>158.68439999999899</v>
      </c>
      <c r="F4" s="116" t="str">
        <f t="shared" ref="F4:F67" si="1">IF(E4=A4,"","Y")</f>
        <v/>
      </c>
      <c r="H4" t="s">
        <v>227</v>
      </c>
      <c r="I4" t="s">
        <v>797</v>
      </c>
    </row>
    <row r="5" spans="1:9" x14ac:dyDescent="0.3">
      <c r="A5" s="574">
        <v>146.62620000000001</v>
      </c>
      <c r="B5" s="574">
        <v>2014</v>
      </c>
      <c r="C5" s="574" t="s">
        <v>37</v>
      </c>
      <c r="D5" s="574" t="s">
        <v>98</v>
      </c>
      <c r="E5" s="574">
        <f t="shared" si="0"/>
        <v>146.62620000000001</v>
      </c>
      <c r="F5" s="116" t="str">
        <f t="shared" si="1"/>
        <v/>
      </c>
      <c r="H5" t="s">
        <v>200</v>
      </c>
      <c r="I5" t="s">
        <v>798</v>
      </c>
    </row>
    <row r="6" spans="1:9" x14ac:dyDescent="0.3">
      <c r="A6" s="574">
        <v>0.37169999999999997</v>
      </c>
      <c r="B6" s="574">
        <v>2014</v>
      </c>
      <c r="C6" s="574" t="s">
        <v>25</v>
      </c>
      <c r="D6" s="574" t="s">
        <v>99</v>
      </c>
      <c r="E6" s="574">
        <f t="shared" si="0"/>
        <v>0.37169999999999997</v>
      </c>
      <c r="F6" s="116" t="str">
        <f t="shared" si="1"/>
        <v/>
      </c>
      <c r="H6" t="s">
        <v>679</v>
      </c>
      <c r="I6" t="s">
        <v>799</v>
      </c>
    </row>
    <row r="7" spans="1:9" x14ac:dyDescent="0.3">
      <c r="A7" s="574">
        <v>5.1029999999999998</v>
      </c>
      <c r="B7" s="574">
        <v>2014</v>
      </c>
      <c r="C7" s="574" t="s">
        <v>17</v>
      </c>
      <c r="D7" s="574" t="s">
        <v>572</v>
      </c>
      <c r="E7" s="574">
        <f t="shared" si="0"/>
        <v>5.1029999999999998</v>
      </c>
      <c r="F7" s="116" t="str">
        <f t="shared" si="1"/>
        <v/>
      </c>
    </row>
    <row r="8" spans="1:9" x14ac:dyDescent="0.3">
      <c r="A8" s="574">
        <v>4.6199999999999998E-2</v>
      </c>
      <c r="B8" s="574">
        <v>2014</v>
      </c>
      <c r="C8" s="574" t="s">
        <v>103</v>
      </c>
      <c r="D8" s="574" t="s">
        <v>102</v>
      </c>
      <c r="E8" s="574">
        <f t="shared" si="0"/>
        <v>4.6199999999999998E-2</v>
      </c>
      <c r="F8" s="116" t="str">
        <f t="shared" si="1"/>
        <v/>
      </c>
    </row>
    <row r="9" spans="1:9" x14ac:dyDescent="0.3">
      <c r="A9" s="574">
        <v>2.1482999999999999</v>
      </c>
      <c r="B9" s="574">
        <v>2014</v>
      </c>
      <c r="C9" s="574" t="s">
        <v>17</v>
      </c>
      <c r="D9" s="574" t="s">
        <v>573</v>
      </c>
      <c r="E9" s="574">
        <f t="shared" si="0"/>
        <v>2.1482999999999999</v>
      </c>
      <c r="F9" s="116" t="str">
        <f t="shared" si="1"/>
        <v/>
      </c>
    </row>
    <row r="10" spans="1:9" x14ac:dyDescent="0.3">
      <c r="A10" s="574">
        <v>3.5678999999999998</v>
      </c>
      <c r="B10" s="574">
        <v>2014</v>
      </c>
      <c r="C10" s="574" t="s">
        <v>17</v>
      </c>
      <c r="D10" s="574" t="s">
        <v>574</v>
      </c>
      <c r="E10" s="574">
        <f t="shared" si="0"/>
        <v>3.5678999999999998</v>
      </c>
      <c r="F10" s="116" t="str">
        <f t="shared" si="1"/>
        <v/>
      </c>
    </row>
    <row r="11" spans="1:9" x14ac:dyDescent="0.3">
      <c r="A11" s="574">
        <v>165.72569999999999</v>
      </c>
      <c r="B11" s="574">
        <v>2014</v>
      </c>
      <c r="C11" s="574" t="s">
        <v>9</v>
      </c>
      <c r="D11" s="574" t="s">
        <v>545</v>
      </c>
      <c r="E11" s="574">
        <f t="shared" si="0"/>
        <v>165.72569999999999</v>
      </c>
      <c r="F11" s="116" t="str">
        <f t="shared" si="1"/>
        <v/>
      </c>
    </row>
    <row r="12" spans="1:9" x14ac:dyDescent="0.3">
      <c r="A12" s="574">
        <v>11.3736</v>
      </c>
      <c r="B12" s="574">
        <v>2014</v>
      </c>
      <c r="C12" s="574" t="s">
        <v>6</v>
      </c>
      <c r="D12" s="574" t="s">
        <v>111</v>
      </c>
      <c r="E12" s="574">
        <f t="shared" si="0"/>
        <v>11.3736</v>
      </c>
      <c r="F12" s="116" t="str">
        <f t="shared" si="1"/>
        <v/>
      </c>
    </row>
    <row r="13" spans="1:9" x14ac:dyDescent="0.3">
      <c r="A13" s="574">
        <v>13.465199999999999</v>
      </c>
      <c r="B13" s="574">
        <v>2014</v>
      </c>
      <c r="C13" s="574" t="s">
        <v>17</v>
      </c>
      <c r="D13" s="574" t="s">
        <v>575</v>
      </c>
      <c r="E13" s="574">
        <f t="shared" si="0"/>
        <v>13.465199999999999</v>
      </c>
      <c r="F13" s="116" t="str">
        <f t="shared" si="1"/>
        <v/>
      </c>
    </row>
    <row r="14" spans="1:9" x14ac:dyDescent="0.3">
      <c r="A14" s="574">
        <v>1.1487000000000001</v>
      </c>
      <c r="B14" s="574">
        <v>2014</v>
      </c>
      <c r="C14" s="574" t="s">
        <v>41</v>
      </c>
      <c r="D14" s="574" t="s">
        <v>113</v>
      </c>
      <c r="E14" s="574">
        <f t="shared" si="0"/>
        <v>1.1487000000000001</v>
      </c>
      <c r="F14" s="116" t="str">
        <f t="shared" si="1"/>
        <v/>
      </c>
    </row>
    <row r="15" spans="1:9" x14ac:dyDescent="0.3">
      <c r="A15" s="574">
        <v>2.6459999999999999</v>
      </c>
      <c r="B15" s="574">
        <v>2014</v>
      </c>
      <c r="C15" s="574" t="s">
        <v>14</v>
      </c>
      <c r="D15" s="574" t="s">
        <v>567</v>
      </c>
      <c r="E15" s="574">
        <f t="shared" si="0"/>
        <v>2.6459999999999999</v>
      </c>
      <c r="F15" s="116" t="str">
        <f t="shared" si="1"/>
        <v/>
      </c>
    </row>
    <row r="16" spans="1:9" x14ac:dyDescent="0.3">
      <c r="A16" s="574">
        <v>29.0913</v>
      </c>
      <c r="B16" s="574">
        <v>2014</v>
      </c>
      <c r="C16" s="574" t="s">
        <v>71</v>
      </c>
      <c r="D16" s="574" t="s">
        <v>115</v>
      </c>
      <c r="E16" s="574">
        <f t="shared" si="0"/>
        <v>29.0913</v>
      </c>
      <c r="F16" s="116" t="str">
        <f t="shared" si="1"/>
        <v/>
      </c>
    </row>
    <row r="17" spans="1:6" x14ac:dyDescent="0.3">
      <c r="A17" s="574">
        <v>0.2646</v>
      </c>
      <c r="B17" s="574">
        <v>2014</v>
      </c>
      <c r="C17" s="574" t="s">
        <v>51</v>
      </c>
      <c r="D17" s="574" t="s">
        <v>116</v>
      </c>
      <c r="E17" s="574">
        <f t="shared" si="0"/>
        <v>0.2646</v>
      </c>
      <c r="F17" s="116" t="str">
        <f t="shared" si="1"/>
        <v/>
      </c>
    </row>
    <row r="18" spans="1:6" x14ac:dyDescent="0.3">
      <c r="A18" s="574">
        <v>9.1181999999999999</v>
      </c>
      <c r="B18" s="574">
        <v>2014</v>
      </c>
      <c r="C18" s="574" t="s">
        <v>30</v>
      </c>
      <c r="D18" s="574" t="s">
        <v>116</v>
      </c>
      <c r="E18" s="574">
        <f t="shared" si="0"/>
        <v>9.1181999999999999</v>
      </c>
      <c r="F18" s="116" t="str">
        <f t="shared" si="1"/>
        <v/>
      </c>
    </row>
    <row r="19" spans="1:6" x14ac:dyDescent="0.3">
      <c r="A19" s="574">
        <v>8.2928999999999995</v>
      </c>
      <c r="B19" s="574">
        <v>2014</v>
      </c>
      <c r="C19" s="574" t="s">
        <v>14</v>
      </c>
      <c r="D19" s="574" t="s">
        <v>568</v>
      </c>
      <c r="E19" s="574">
        <f t="shared" si="0"/>
        <v>8.2928999999999995</v>
      </c>
      <c r="F19" s="116" t="str">
        <f t="shared" si="1"/>
        <v/>
      </c>
    </row>
    <row r="20" spans="1:6" x14ac:dyDescent="0.3">
      <c r="A20" s="574">
        <v>76.263599999999997</v>
      </c>
      <c r="B20" s="574">
        <v>2014</v>
      </c>
      <c r="C20" s="574" t="s">
        <v>13</v>
      </c>
      <c r="D20" s="574" t="s">
        <v>118</v>
      </c>
      <c r="E20" s="574">
        <f t="shared" si="0"/>
        <v>76.263599999999997</v>
      </c>
      <c r="F20" s="116" t="str">
        <f t="shared" si="1"/>
        <v/>
      </c>
    </row>
    <row r="21" spans="1:6" x14ac:dyDescent="0.3">
      <c r="A21" s="574">
        <v>29.406300000000002</v>
      </c>
      <c r="B21" s="574">
        <v>2014</v>
      </c>
      <c r="C21" s="574" t="s">
        <v>5</v>
      </c>
      <c r="D21" s="574" t="s">
        <v>119</v>
      </c>
      <c r="E21" s="574">
        <f t="shared" si="0"/>
        <v>29.406300000000002</v>
      </c>
      <c r="F21" s="116" t="str">
        <f t="shared" si="1"/>
        <v/>
      </c>
    </row>
    <row r="22" spans="1:6" x14ac:dyDescent="0.3">
      <c r="A22" s="574">
        <v>59.278799999999997</v>
      </c>
      <c r="B22" s="574">
        <v>2014</v>
      </c>
      <c r="C22" s="574" t="s">
        <v>5</v>
      </c>
      <c r="D22" s="574" t="s">
        <v>120</v>
      </c>
      <c r="E22" s="574">
        <f t="shared" si="0"/>
        <v>59.278799999999997</v>
      </c>
      <c r="F22" s="116" t="str">
        <f t="shared" si="1"/>
        <v/>
      </c>
    </row>
    <row r="23" spans="1:6" x14ac:dyDescent="0.3">
      <c r="A23" s="574">
        <v>10.7898</v>
      </c>
      <c r="B23" s="574">
        <v>2014</v>
      </c>
      <c r="C23" s="574" t="s">
        <v>0</v>
      </c>
      <c r="D23" s="574" t="s">
        <v>121</v>
      </c>
      <c r="E23" s="574">
        <f t="shared" si="0"/>
        <v>10.7898</v>
      </c>
      <c r="F23" s="116" t="str">
        <f t="shared" si="1"/>
        <v/>
      </c>
    </row>
    <row r="24" spans="1:6" x14ac:dyDescent="0.3">
      <c r="A24" s="574">
        <v>97.179599999999994</v>
      </c>
      <c r="B24" s="574">
        <v>2014</v>
      </c>
      <c r="C24" s="574" t="s">
        <v>28</v>
      </c>
      <c r="D24" s="574" t="s">
        <v>122</v>
      </c>
      <c r="E24" s="574">
        <f t="shared" si="0"/>
        <v>97.179599999999994</v>
      </c>
      <c r="F24" s="116" t="str">
        <f t="shared" si="1"/>
        <v/>
      </c>
    </row>
    <row r="25" spans="1:6" x14ac:dyDescent="0.3">
      <c r="A25" s="574">
        <v>5.9535</v>
      </c>
      <c r="B25" s="574">
        <v>2014</v>
      </c>
      <c r="C25" s="574" t="s">
        <v>49</v>
      </c>
      <c r="D25" s="574" t="s">
        <v>124</v>
      </c>
      <c r="E25" s="574">
        <f t="shared" si="0"/>
        <v>5.9535</v>
      </c>
      <c r="F25" s="116" t="str">
        <f t="shared" si="1"/>
        <v/>
      </c>
    </row>
    <row r="26" spans="1:6" x14ac:dyDescent="0.3">
      <c r="A26" s="574">
        <v>11.4366</v>
      </c>
      <c r="B26" s="574">
        <v>2014</v>
      </c>
      <c r="C26" s="574" t="s">
        <v>20</v>
      </c>
      <c r="D26" s="574" t="s">
        <v>125</v>
      </c>
      <c r="E26" s="574">
        <f t="shared" si="0"/>
        <v>11.4366</v>
      </c>
      <c r="F26" s="116" t="str">
        <f t="shared" si="1"/>
        <v/>
      </c>
    </row>
    <row r="27" spans="1:6" x14ac:dyDescent="0.3">
      <c r="A27" s="580">
        <v>13.4841</v>
      </c>
      <c r="B27" s="574">
        <v>2014</v>
      </c>
      <c r="C27" s="574" t="s">
        <v>23</v>
      </c>
      <c r="D27" s="574" t="s">
        <v>126</v>
      </c>
      <c r="E27" s="575">
        <v>48.148800000000001</v>
      </c>
      <c r="F27" s="116" t="str">
        <f t="shared" si="1"/>
        <v>Y</v>
      </c>
    </row>
    <row r="28" spans="1:6" x14ac:dyDescent="0.3">
      <c r="A28" s="580">
        <v>35.599200000000003</v>
      </c>
      <c r="B28" s="574">
        <v>2014</v>
      </c>
      <c r="C28" s="574" t="s">
        <v>556</v>
      </c>
      <c r="D28" s="574" t="s">
        <v>126</v>
      </c>
      <c r="E28" s="575">
        <v>0</v>
      </c>
      <c r="F28" s="116" t="str">
        <f t="shared" si="1"/>
        <v>Y</v>
      </c>
    </row>
    <row r="29" spans="1:6" x14ac:dyDescent="0.3">
      <c r="A29" s="574">
        <v>29.8431</v>
      </c>
      <c r="B29" s="574">
        <v>2014</v>
      </c>
      <c r="C29" s="574" t="s">
        <v>28</v>
      </c>
      <c r="D29" s="574" t="s">
        <v>127</v>
      </c>
      <c r="E29" s="574">
        <f t="shared" ref="E29:E92" si="2">A29</f>
        <v>29.8431</v>
      </c>
      <c r="F29" s="116" t="str">
        <f t="shared" si="1"/>
        <v/>
      </c>
    </row>
    <row r="30" spans="1:6" x14ac:dyDescent="0.3">
      <c r="A30" s="574">
        <v>179.95529999999999</v>
      </c>
      <c r="B30" s="574">
        <v>2014</v>
      </c>
      <c r="C30" s="574" t="s">
        <v>25</v>
      </c>
      <c r="D30" s="574" t="s">
        <v>128</v>
      </c>
      <c r="E30" s="574">
        <f t="shared" si="2"/>
        <v>179.95529999999999</v>
      </c>
      <c r="F30" s="116" t="str">
        <f t="shared" si="1"/>
        <v/>
      </c>
    </row>
    <row r="31" spans="1:6" x14ac:dyDescent="0.3">
      <c r="A31" s="574">
        <v>0.1008</v>
      </c>
      <c r="B31" s="574">
        <v>2014</v>
      </c>
      <c r="C31" s="574" t="s">
        <v>103</v>
      </c>
      <c r="D31" s="574" t="s">
        <v>129</v>
      </c>
      <c r="E31" s="574">
        <f t="shared" si="2"/>
        <v>0.1008</v>
      </c>
      <c r="F31" s="116" t="str">
        <f t="shared" si="1"/>
        <v/>
      </c>
    </row>
    <row r="32" spans="1:6" x14ac:dyDescent="0.3">
      <c r="A32" s="574">
        <v>41.208300000000001</v>
      </c>
      <c r="B32" s="574">
        <v>2014</v>
      </c>
      <c r="C32" s="574" t="s">
        <v>38</v>
      </c>
      <c r="D32" s="574" t="s">
        <v>131</v>
      </c>
      <c r="E32" s="574">
        <f t="shared" si="2"/>
        <v>41.208300000000001</v>
      </c>
      <c r="F32" s="116" t="str">
        <f t="shared" si="1"/>
        <v/>
      </c>
    </row>
    <row r="33" spans="1:6" x14ac:dyDescent="0.3">
      <c r="A33" s="574">
        <v>0.61529999999999996</v>
      </c>
      <c r="B33" s="574">
        <v>2014</v>
      </c>
      <c r="C33" s="574" t="s">
        <v>25</v>
      </c>
      <c r="D33" s="574" t="s">
        <v>132</v>
      </c>
      <c r="E33" s="574">
        <f t="shared" si="2"/>
        <v>0.61529999999999996</v>
      </c>
      <c r="F33" s="116" t="str">
        <f t="shared" si="1"/>
        <v/>
      </c>
    </row>
    <row r="34" spans="1:6" x14ac:dyDescent="0.3">
      <c r="A34" s="574">
        <v>33.232500000000002</v>
      </c>
      <c r="B34" s="574">
        <v>2014</v>
      </c>
      <c r="C34" s="574" t="s">
        <v>1</v>
      </c>
      <c r="D34" s="574" t="s">
        <v>133</v>
      </c>
      <c r="E34" s="574">
        <f t="shared" si="2"/>
        <v>33.232500000000002</v>
      </c>
      <c r="F34" s="116" t="str">
        <f t="shared" si="1"/>
        <v/>
      </c>
    </row>
    <row r="35" spans="1:6" x14ac:dyDescent="0.3">
      <c r="A35" s="574">
        <v>0.12180000000000001</v>
      </c>
      <c r="B35" s="574">
        <v>2014</v>
      </c>
      <c r="C35" s="574" t="s">
        <v>103</v>
      </c>
      <c r="D35" s="574" t="s">
        <v>579</v>
      </c>
      <c r="E35" s="574">
        <f t="shared" si="2"/>
        <v>0.12180000000000001</v>
      </c>
      <c r="F35" s="116" t="str">
        <f t="shared" si="1"/>
        <v/>
      </c>
    </row>
    <row r="36" spans="1:6" x14ac:dyDescent="0.3">
      <c r="A36" s="574">
        <v>0.40110000000000001</v>
      </c>
      <c r="B36" s="574">
        <v>2014</v>
      </c>
      <c r="C36" s="574" t="s">
        <v>25</v>
      </c>
      <c r="D36" s="574" t="s">
        <v>134</v>
      </c>
      <c r="E36" s="574">
        <f t="shared" si="2"/>
        <v>0.40110000000000001</v>
      </c>
      <c r="F36" s="116" t="str">
        <f t="shared" si="1"/>
        <v/>
      </c>
    </row>
    <row r="37" spans="1:6" x14ac:dyDescent="0.3">
      <c r="A37" s="574">
        <v>9.6600000000000005E-2</v>
      </c>
      <c r="B37" s="574">
        <v>2014</v>
      </c>
      <c r="C37" s="574" t="s">
        <v>103</v>
      </c>
      <c r="D37" s="574" t="s">
        <v>135</v>
      </c>
      <c r="E37" s="574">
        <f t="shared" si="2"/>
        <v>9.6600000000000005E-2</v>
      </c>
      <c r="F37" s="116" t="str">
        <f t="shared" si="1"/>
        <v/>
      </c>
    </row>
    <row r="38" spans="1:6" x14ac:dyDescent="0.3">
      <c r="A38" s="574">
        <v>24.2193</v>
      </c>
      <c r="B38" s="574">
        <v>2014</v>
      </c>
      <c r="C38" s="574" t="s">
        <v>40</v>
      </c>
      <c r="D38" s="574" t="s">
        <v>137</v>
      </c>
      <c r="E38" s="574">
        <f t="shared" si="2"/>
        <v>24.2193</v>
      </c>
      <c r="F38" s="116" t="str">
        <f t="shared" si="1"/>
        <v/>
      </c>
    </row>
    <row r="39" spans="1:6" x14ac:dyDescent="0.3">
      <c r="A39" s="574">
        <v>165.72149999999999</v>
      </c>
      <c r="B39" s="574">
        <v>2014</v>
      </c>
      <c r="C39" s="574" t="s">
        <v>40</v>
      </c>
      <c r="D39" s="574" t="s">
        <v>138</v>
      </c>
      <c r="E39" s="574">
        <f t="shared" si="2"/>
        <v>165.72149999999999</v>
      </c>
      <c r="F39" s="116" t="str">
        <f t="shared" si="1"/>
        <v/>
      </c>
    </row>
    <row r="40" spans="1:6" x14ac:dyDescent="0.3">
      <c r="A40" s="574">
        <v>60.456899999999997</v>
      </c>
      <c r="B40" s="574">
        <v>2014</v>
      </c>
      <c r="C40" s="574" t="s">
        <v>28</v>
      </c>
      <c r="D40" s="574" t="s">
        <v>139</v>
      </c>
      <c r="E40" s="574">
        <f t="shared" si="2"/>
        <v>60.456899999999997</v>
      </c>
      <c r="F40" s="116" t="str">
        <f t="shared" si="1"/>
        <v/>
      </c>
    </row>
    <row r="41" spans="1:6" x14ac:dyDescent="0.3">
      <c r="A41" s="574">
        <v>21.054600000000001</v>
      </c>
      <c r="B41" s="574">
        <v>2014</v>
      </c>
      <c r="C41" s="574" t="s">
        <v>12</v>
      </c>
      <c r="D41" s="574" t="s">
        <v>140</v>
      </c>
      <c r="E41" s="574">
        <f t="shared" si="2"/>
        <v>21.054600000000001</v>
      </c>
      <c r="F41" s="116" t="str">
        <f t="shared" si="1"/>
        <v/>
      </c>
    </row>
    <row r="42" spans="1:6" x14ac:dyDescent="0.3">
      <c r="A42" s="574">
        <v>10.357200000000001</v>
      </c>
      <c r="B42" s="574">
        <v>2014</v>
      </c>
      <c r="C42" s="574" t="s">
        <v>12</v>
      </c>
      <c r="D42" s="574" t="s">
        <v>141</v>
      </c>
      <c r="E42" s="574">
        <f t="shared" si="2"/>
        <v>10.357200000000001</v>
      </c>
      <c r="F42" s="116" t="str">
        <f t="shared" si="1"/>
        <v/>
      </c>
    </row>
    <row r="43" spans="1:6" x14ac:dyDescent="0.3">
      <c r="A43" s="574">
        <v>18.156600000000001</v>
      </c>
      <c r="B43" s="574">
        <v>2014</v>
      </c>
      <c r="C43" s="574" t="s">
        <v>1</v>
      </c>
      <c r="D43" s="574" t="s">
        <v>142</v>
      </c>
      <c r="E43" s="574">
        <f t="shared" si="2"/>
        <v>18.156600000000001</v>
      </c>
      <c r="F43" s="116" t="str">
        <f t="shared" si="1"/>
        <v/>
      </c>
    </row>
    <row r="44" spans="1:6" x14ac:dyDescent="0.3">
      <c r="A44" s="574">
        <v>0.47460000000000002</v>
      </c>
      <c r="B44" s="574">
        <v>2014</v>
      </c>
      <c r="C44" s="574" t="s">
        <v>4</v>
      </c>
      <c r="D44" s="574" t="s">
        <v>142</v>
      </c>
      <c r="E44" s="574">
        <f t="shared" si="2"/>
        <v>0.47460000000000002</v>
      </c>
      <c r="F44" s="116" t="str">
        <f t="shared" si="1"/>
        <v/>
      </c>
    </row>
    <row r="45" spans="1:6" x14ac:dyDescent="0.3">
      <c r="A45" s="574">
        <v>6.51</v>
      </c>
      <c r="B45" s="574">
        <v>2014</v>
      </c>
      <c r="C45" s="574" t="s">
        <v>4</v>
      </c>
      <c r="D45" s="574" t="s">
        <v>143</v>
      </c>
      <c r="E45" s="574">
        <f t="shared" si="2"/>
        <v>6.51</v>
      </c>
      <c r="F45" s="116" t="str">
        <f t="shared" si="1"/>
        <v/>
      </c>
    </row>
    <row r="46" spans="1:6" x14ac:dyDescent="0.3">
      <c r="A46" s="574">
        <v>9.7670999999999992</v>
      </c>
      <c r="B46" s="574">
        <v>2014</v>
      </c>
      <c r="C46" s="574" t="s">
        <v>41</v>
      </c>
      <c r="D46" s="574" t="s">
        <v>145</v>
      </c>
      <c r="E46" s="574">
        <f t="shared" si="2"/>
        <v>9.7670999999999992</v>
      </c>
      <c r="F46" s="116" t="str">
        <f t="shared" si="1"/>
        <v/>
      </c>
    </row>
    <row r="47" spans="1:6" x14ac:dyDescent="0.3">
      <c r="A47" s="574">
        <v>12.673500000000001</v>
      </c>
      <c r="B47" s="574">
        <v>2014</v>
      </c>
      <c r="C47" s="574" t="s">
        <v>31</v>
      </c>
      <c r="D47" s="574" t="s">
        <v>146</v>
      </c>
      <c r="E47" s="574">
        <f t="shared" si="2"/>
        <v>12.673500000000001</v>
      </c>
      <c r="F47" s="116" t="str">
        <f t="shared" si="1"/>
        <v/>
      </c>
    </row>
    <row r="48" spans="1:6" x14ac:dyDescent="0.3">
      <c r="A48" s="574">
        <v>64.562399999999997</v>
      </c>
      <c r="B48" s="574">
        <v>2014</v>
      </c>
      <c r="C48" s="574" t="s">
        <v>11</v>
      </c>
      <c r="D48" s="574" t="s">
        <v>147</v>
      </c>
      <c r="E48" s="574">
        <f t="shared" si="2"/>
        <v>64.562399999999997</v>
      </c>
      <c r="F48" s="116" t="str">
        <f t="shared" si="1"/>
        <v/>
      </c>
    </row>
    <row r="49" spans="1:6" x14ac:dyDescent="0.3">
      <c r="A49" s="574">
        <v>28.740600000000001</v>
      </c>
      <c r="B49" s="574">
        <v>2014</v>
      </c>
      <c r="C49" s="574" t="s">
        <v>73</v>
      </c>
      <c r="D49" s="574" t="s">
        <v>148</v>
      </c>
      <c r="E49" s="574">
        <f t="shared" si="2"/>
        <v>28.740600000000001</v>
      </c>
      <c r="F49" s="116" t="str">
        <f t="shared" si="1"/>
        <v/>
      </c>
    </row>
    <row r="50" spans="1:6" x14ac:dyDescent="0.3">
      <c r="A50" s="574">
        <v>52.592399999999998</v>
      </c>
      <c r="B50" s="574">
        <v>2014</v>
      </c>
      <c r="C50" s="574" t="s">
        <v>36</v>
      </c>
      <c r="D50" s="574" t="s">
        <v>149</v>
      </c>
      <c r="E50" s="574">
        <f t="shared" si="2"/>
        <v>52.592399999999998</v>
      </c>
      <c r="F50" s="116" t="str">
        <f t="shared" si="1"/>
        <v/>
      </c>
    </row>
    <row r="51" spans="1:6" x14ac:dyDescent="0.3">
      <c r="A51" s="574">
        <v>56.477399999999903</v>
      </c>
      <c r="B51" s="574">
        <v>2014</v>
      </c>
      <c r="C51" s="574" t="s">
        <v>1</v>
      </c>
      <c r="D51" s="574" t="s">
        <v>150</v>
      </c>
      <c r="E51" s="574">
        <f t="shared" si="2"/>
        <v>56.477399999999903</v>
      </c>
      <c r="F51" s="116" t="str">
        <f t="shared" si="1"/>
        <v/>
      </c>
    </row>
    <row r="52" spans="1:6" x14ac:dyDescent="0.3">
      <c r="A52" s="574">
        <v>2.7846000000000002</v>
      </c>
      <c r="B52" s="574">
        <v>2014</v>
      </c>
      <c r="C52" s="574" t="s">
        <v>70</v>
      </c>
      <c r="D52" s="574" t="s">
        <v>150</v>
      </c>
      <c r="E52" s="574">
        <f t="shared" si="2"/>
        <v>2.7846000000000002</v>
      </c>
      <c r="F52" s="116" t="str">
        <f t="shared" si="1"/>
        <v/>
      </c>
    </row>
    <row r="53" spans="1:6" x14ac:dyDescent="0.3">
      <c r="A53" s="574">
        <v>62.397300000000001</v>
      </c>
      <c r="B53" s="574">
        <v>2014</v>
      </c>
      <c r="C53" s="574" t="s">
        <v>40</v>
      </c>
      <c r="D53" s="574" t="s">
        <v>151</v>
      </c>
      <c r="E53" s="574">
        <f t="shared" si="2"/>
        <v>62.397300000000001</v>
      </c>
      <c r="F53" s="116" t="str">
        <f t="shared" si="1"/>
        <v/>
      </c>
    </row>
    <row r="54" spans="1:6" x14ac:dyDescent="0.3">
      <c r="A54" s="574">
        <v>38.625300000000003</v>
      </c>
      <c r="B54" s="574">
        <v>2014</v>
      </c>
      <c r="C54" s="574" t="s">
        <v>5</v>
      </c>
      <c r="D54" s="574" t="s">
        <v>152</v>
      </c>
      <c r="E54" s="574">
        <f t="shared" si="2"/>
        <v>38.625300000000003</v>
      </c>
      <c r="F54" s="116" t="str">
        <f t="shared" si="1"/>
        <v/>
      </c>
    </row>
    <row r="55" spans="1:6" x14ac:dyDescent="0.3">
      <c r="A55" s="574">
        <v>136.75409999999999</v>
      </c>
      <c r="B55" s="574">
        <v>2014</v>
      </c>
      <c r="C55" s="574" t="s">
        <v>24</v>
      </c>
      <c r="D55" s="574" t="s">
        <v>152</v>
      </c>
      <c r="E55" s="574">
        <f t="shared" si="2"/>
        <v>136.75409999999999</v>
      </c>
      <c r="F55" s="116" t="str">
        <f t="shared" si="1"/>
        <v/>
      </c>
    </row>
    <row r="56" spans="1:6" x14ac:dyDescent="0.3">
      <c r="A56" s="574">
        <v>29.563800000000001</v>
      </c>
      <c r="B56" s="574">
        <v>2014</v>
      </c>
      <c r="C56" s="574" t="s">
        <v>73</v>
      </c>
      <c r="D56" s="574" t="s">
        <v>153</v>
      </c>
      <c r="E56" s="574">
        <f t="shared" si="2"/>
        <v>29.563800000000001</v>
      </c>
      <c r="F56" s="116" t="str">
        <f t="shared" si="1"/>
        <v/>
      </c>
    </row>
    <row r="57" spans="1:6" x14ac:dyDescent="0.3">
      <c r="A57" s="574">
        <v>13.6395</v>
      </c>
      <c r="B57" s="574">
        <v>2014</v>
      </c>
      <c r="C57" s="574" t="s">
        <v>41</v>
      </c>
      <c r="D57" s="574" t="s">
        <v>154</v>
      </c>
      <c r="E57" s="574">
        <f t="shared" si="2"/>
        <v>13.6395</v>
      </c>
      <c r="F57" s="116" t="str">
        <f t="shared" si="1"/>
        <v/>
      </c>
    </row>
    <row r="58" spans="1:6" x14ac:dyDescent="0.3">
      <c r="A58" s="574">
        <v>13.2447</v>
      </c>
      <c r="B58" s="574">
        <v>2014</v>
      </c>
      <c r="C58" s="574" t="s">
        <v>28</v>
      </c>
      <c r="D58" s="574" t="s">
        <v>155</v>
      </c>
      <c r="E58" s="574">
        <f t="shared" si="2"/>
        <v>13.2447</v>
      </c>
      <c r="F58" s="116" t="str">
        <f t="shared" si="1"/>
        <v/>
      </c>
    </row>
    <row r="59" spans="1:6" x14ac:dyDescent="0.3">
      <c r="A59" s="574">
        <v>37.663499999999999</v>
      </c>
      <c r="B59" s="574">
        <v>2014</v>
      </c>
      <c r="C59" s="574" t="s">
        <v>39</v>
      </c>
      <c r="D59" s="574" t="s">
        <v>156</v>
      </c>
      <c r="E59" s="574">
        <f t="shared" si="2"/>
        <v>37.663499999999999</v>
      </c>
      <c r="F59" s="116" t="str">
        <f t="shared" si="1"/>
        <v/>
      </c>
    </row>
    <row r="60" spans="1:6" x14ac:dyDescent="0.3">
      <c r="A60" s="574">
        <v>137.0103</v>
      </c>
      <c r="B60" s="574">
        <v>2014</v>
      </c>
      <c r="C60" s="574" t="s">
        <v>39</v>
      </c>
      <c r="D60" s="574" t="s">
        <v>157</v>
      </c>
      <c r="E60" s="574">
        <f t="shared" si="2"/>
        <v>137.0103</v>
      </c>
      <c r="F60" s="116" t="str">
        <f t="shared" si="1"/>
        <v/>
      </c>
    </row>
    <row r="61" spans="1:6" x14ac:dyDescent="0.3">
      <c r="A61" s="574">
        <v>6.6464999999999996</v>
      </c>
      <c r="B61" s="574">
        <v>2014</v>
      </c>
      <c r="C61" s="574" t="s">
        <v>49</v>
      </c>
      <c r="D61" s="574" t="s">
        <v>158</v>
      </c>
      <c r="E61" s="574">
        <f t="shared" si="2"/>
        <v>6.6464999999999996</v>
      </c>
      <c r="F61" s="116" t="str">
        <f t="shared" si="1"/>
        <v/>
      </c>
    </row>
    <row r="62" spans="1:6" x14ac:dyDescent="0.3">
      <c r="A62" s="574">
        <v>17.940300000000001</v>
      </c>
      <c r="B62" s="574">
        <v>2014</v>
      </c>
      <c r="C62" s="574" t="s">
        <v>40</v>
      </c>
      <c r="D62" s="574" t="s">
        <v>159</v>
      </c>
      <c r="E62" s="574">
        <f t="shared" si="2"/>
        <v>17.940300000000001</v>
      </c>
      <c r="F62" s="116" t="str">
        <f t="shared" si="1"/>
        <v/>
      </c>
    </row>
    <row r="63" spans="1:6" x14ac:dyDescent="0.3">
      <c r="A63" s="574">
        <v>19.611899999999999</v>
      </c>
      <c r="B63" s="574">
        <v>2014</v>
      </c>
      <c r="C63" s="574" t="s">
        <v>40</v>
      </c>
      <c r="D63" s="574" t="s">
        <v>160</v>
      </c>
      <c r="E63" s="574">
        <f t="shared" si="2"/>
        <v>19.611899999999999</v>
      </c>
      <c r="F63" s="116" t="str">
        <f t="shared" si="1"/>
        <v/>
      </c>
    </row>
    <row r="64" spans="1:6" x14ac:dyDescent="0.3">
      <c r="A64" s="574">
        <v>122.8206</v>
      </c>
      <c r="B64" s="574">
        <v>2014</v>
      </c>
      <c r="C64" s="574" t="s">
        <v>37</v>
      </c>
      <c r="D64" s="574" t="s">
        <v>161</v>
      </c>
      <c r="E64" s="574">
        <f t="shared" si="2"/>
        <v>122.8206</v>
      </c>
      <c r="F64" s="116" t="str">
        <f t="shared" si="1"/>
        <v/>
      </c>
    </row>
    <row r="65" spans="1:6" x14ac:dyDescent="0.3">
      <c r="A65" s="574">
        <v>149.04329999999999</v>
      </c>
      <c r="B65" s="574">
        <v>2014</v>
      </c>
      <c r="C65" s="574" t="s">
        <v>37</v>
      </c>
      <c r="D65" s="574" t="s">
        <v>162</v>
      </c>
      <c r="E65" s="574">
        <f t="shared" si="2"/>
        <v>149.04329999999999</v>
      </c>
      <c r="F65" s="116" t="str">
        <f t="shared" si="1"/>
        <v/>
      </c>
    </row>
    <row r="66" spans="1:6" x14ac:dyDescent="0.3">
      <c r="A66" s="574">
        <v>45.4923</v>
      </c>
      <c r="B66" s="574">
        <v>2014</v>
      </c>
      <c r="C66" s="574" t="s">
        <v>28</v>
      </c>
      <c r="D66" s="574" t="s">
        <v>163</v>
      </c>
      <c r="E66" s="574">
        <f t="shared" si="2"/>
        <v>45.4923</v>
      </c>
      <c r="F66" s="116" t="str">
        <f t="shared" si="1"/>
        <v/>
      </c>
    </row>
    <row r="67" spans="1:6" x14ac:dyDescent="0.3">
      <c r="A67" s="574">
        <v>20.2272</v>
      </c>
      <c r="B67" s="574">
        <v>2014</v>
      </c>
      <c r="C67" s="574" t="s">
        <v>41</v>
      </c>
      <c r="D67" s="574" t="s">
        <v>164</v>
      </c>
      <c r="E67" s="574">
        <f t="shared" si="2"/>
        <v>20.2272</v>
      </c>
      <c r="F67" s="116" t="str">
        <f t="shared" si="1"/>
        <v/>
      </c>
    </row>
    <row r="68" spans="1:6" x14ac:dyDescent="0.3">
      <c r="A68" s="574">
        <v>26.646899999999999</v>
      </c>
      <c r="B68" s="574">
        <v>2014</v>
      </c>
      <c r="C68" s="574" t="s">
        <v>39</v>
      </c>
      <c r="D68" s="574" t="s">
        <v>165</v>
      </c>
      <c r="E68" s="574">
        <f t="shared" si="2"/>
        <v>26.646899999999999</v>
      </c>
      <c r="F68" s="116" t="str">
        <f t="shared" ref="F68:F131" si="3">IF(E68=A68,"","Y")</f>
        <v/>
      </c>
    </row>
    <row r="69" spans="1:6" x14ac:dyDescent="0.3">
      <c r="A69" s="574">
        <v>17.944500000000001</v>
      </c>
      <c r="B69" s="574">
        <v>2014</v>
      </c>
      <c r="C69" s="574" t="s">
        <v>10</v>
      </c>
      <c r="D69" s="574" t="s">
        <v>563</v>
      </c>
      <c r="E69" s="574">
        <f t="shared" si="2"/>
        <v>17.944500000000001</v>
      </c>
      <c r="F69" s="116" t="str">
        <f t="shared" si="3"/>
        <v/>
      </c>
    </row>
    <row r="70" spans="1:6" x14ac:dyDescent="0.3">
      <c r="A70" s="574">
        <v>111.1572</v>
      </c>
      <c r="B70" s="574">
        <v>2014</v>
      </c>
      <c r="C70" s="574" t="s">
        <v>37</v>
      </c>
      <c r="D70" s="574" t="s">
        <v>170</v>
      </c>
      <c r="E70" s="574">
        <f t="shared" si="2"/>
        <v>111.1572</v>
      </c>
      <c r="F70" s="116" t="str">
        <f t="shared" si="3"/>
        <v/>
      </c>
    </row>
    <row r="71" spans="1:6" x14ac:dyDescent="0.3">
      <c r="A71" s="574">
        <v>23.776199999999999</v>
      </c>
      <c r="B71" s="574">
        <v>2014</v>
      </c>
      <c r="C71" s="574" t="s">
        <v>25</v>
      </c>
      <c r="D71" s="574" t="s">
        <v>171</v>
      </c>
      <c r="E71" s="574">
        <f t="shared" si="2"/>
        <v>23.776199999999999</v>
      </c>
      <c r="F71" s="116" t="str">
        <f t="shared" si="3"/>
        <v/>
      </c>
    </row>
    <row r="72" spans="1:6" x14ac:dyDescent="0.3">
      <c r="A72" s="574">
        <v>30.5928</v>
      </c>
      <c r="B72" s="574">
        <v>2014</v>
      </c>
      <c r="C72" s="574" t="s">
        <v>25</v>
      </c>
      <c r="D72" s="574" t="s">
        <v>172</v>
      </c>
      <c r="E72" s="574">
        <f t="shared" si="2"/>
        <v>30.5928</v>
      </c>
      <c r="F72" s="116" t="str">
        <f t="shared" si="3"/>
        <v/>
      </c>
    </row>
    <row r="73" spans="1:6" x14ac:dyDescent="0.3">
      <c r="A73" s="574">
        <v>35.250599999999999</v>
      </c>
      <c r="B73" s="574">
        <v>2014</v>
      </c>
      <c r="C73" s="574" t="s">
        <v>32</v>
      </c>
      <c r="D73" s="574" t="s">
        <v>173</v>
      </c>
      <c r="E73" s="574">
        <f t="shared" si="2"/>
        <v>35.250599999999999</v>
      </c>
      <c r="F73" s="116" t="str">
        <f t="shared" si="3"/>
        <v/>
      </c>
    </row>
    <row r="74" spans="1:6" x14ac:dyDescent="0.3">
      <c r="A74" s="574">
        <v>36.758400000000002</v>
      </c>
      <c r="B74" s="574">
        <v>2014</v>
      </c>
      <c r="C74" s="574" t="s">
        <v>28</v>
      </c>
      <c r="D74" s="574" t="s">
        <v>174</v>
      </c>
      <c r="E74" s="574">
        <f t="shared" si="2"/>
        <v>36.758400000000002</v>
      </c>
      <c r="F74" s="116" t="str">
        <f t="shared" si="3"/>
        <v/>
      </c>
    </row>
    <row r="75" spans="1:6" x14ac:dyDescent="0.3">
      <c r="A75" s="574">
        <v>29.015699999999999</v>
      </c>
      <c r="B75" s="574">
        <v>2014</v>
      </c>
      <c r="C75" s="574" t="s">
        <v>28</v>
      </c>
      <c r="D75" s="574" t="s">
        <v>175</v>
      </c>
      <c r="E75" s="574">
        <f t="shared" si="2"/>
        <v>29.015699999999999</v>
      </c>
      <c r="F75" s="116" t="str">
        <f t="shared" si="3"/>
        <v/>
      </c>
    </row>
    <row r="76" spans="1:6" x14ac:dyDescent="0.3">
      <c r="A76" s="574">
        <v>9.6746999999999996</v>
      </c>
      <c r="B76" s="574">
        <v>2014</v>
      </c>
      <c r="C76" s="574" t="s">
        <v>51</v>
      </c>
      <c r="D76" s="574" t="s">
        <v>176</v>
      </c>
      <c r="E76" s="574">
        <f t="shared" si="2"/>
        <v>9.6746999999999996</v>
      </c>
      <c r="F76" s="116" t="str">
        <f t="shared" si="3"/>
        <v/>
      </c>
    </row>
    <row r="77" spans="1:6" x14ac:dyDescent="0.3">
      <c r="A77" s="574">
        <v>2.47799999999999</v>
      </c>
      <c r="B77" s="574">
        <v>2014</v>
      </c>
      <c r="C77" s="574" t="s">
        <v>103</v>
      </c>
      <c r="D77" s="574" t="s">
        <v>177</v>
      </c>
      <c r="E77" s="574">
        <f t="shared" si="2"/>
        <v>2.47799999999999</v>
      </c>
      <c r="F77" s="116" t="str">
        <f t="shared" si="3"/>
        <v/>
      </c>
    </row>
    <row r="78" spans="1:6" x14ac:dyDescent="0.3">
      <c r="A78" s="574">
        <v>8.6226000000000003</v>
      </c>
      <c r="B78" s="574">
        <v>2014</v>
      </c>
      <c r="C78" s="574" t="s">
        <v>14</v>
      </c>
      <c r="D78" s="574" t="s">
        <v>181</v>
      </c>
      <c r="E78" s="574">
        <f t="shared" si="2"/>
        <v>8.6226000000000003</v>
      </c>
      <c r="F78" s="116" t="str">
        <f t="shared" si="3"/>
        <v/>
      </c>
    </row>
    <row r="79" spans="1:6" x14ac:dyDescent="0.3">
      <c r="A79" s="574">
        <v>87.240300000000005</v>
      </c>
      <c r="B79" s="574">
        <v>2014</v>
      </c>
      <c r="C79" s="574" t="s">
        <v>1</v>
      </c>
      <c r="D79" s="574" t="s">
        <v>184</v>
      </c>
      <c r="E79" s="574">
        <f t="shared" si="2"/>
        <v>87.240300000000005</v>
      </c>
      <c r="F79" s="116" t="str">
        <f t="shared" si="3"/>
        <v/>
      </c>
    </row>
    <row r="80" spans="1:6" x14ac:dyDescent="0.3">
      <c r="A80" s="574">
        <v>4.8048000000000002</v>
      </c>
      <c r="B80" s="574">
        <v>2014</v>
      </c>
      <c r="C80" s="574" t="s">
        <v>71</v>
      </c>
      <c r="D80" s="574" t="s">
        <v>184</v>
      </c>
      <c r="E80" s="574">
        <f t="shared" si="2"/>
        <v>4.8048000000000002</v>
      </c>
      <c r="F80" s="116" t="str">
        <f t="shared" si="3"/>
        <v/>
      </c>
    </row>
    <row r="81" spans="1:9" x14ac:dyDescent="0.3">
      <c r="A81" s="574">
        <v>49.578899999999997</v>
      </c>
      <c r="B81" s="574">
        <v>2014</v>
      </c>
      <c r="C81" s="574" t="s">
        <v>1</v>
      </c>
      <c r="D81" s="574" t="s">
        <v>186</v>
      </c>
      <c r="E81" s="574">
        <f t="shared" si="2"/>
        <v>49.578899999999997</v>
      </c>
      <c r="F81" s="116" t="str">
        <f t="shared" si="3"/>
        <v/>
      </c>
    </row>
    <row r="82" spans="1:9" x14ac:dyDescent="0.3">
      <c r="A82" s="574">
        <v>5.9619</v>
      </c>
      <c r="B82" s="574">
        <v>2014</v>
      </c>
      <c r="C82" s="574" t="s">
        <v>71</v>
      </c>
      <c r="D82" s="574" t="s">
        <v>187</v>
      </c>
      <c r="E82" s="574">
        <f t="shared" si="2"/>
        <v>5.9619</v>
      </c>
      <c r="F82" s="116" t="str">
        <f t="shared" si="3"/>
        <v/>
      </c>
    </row>
    <row r="83" spans="1:9" x14ac:dyDescent="0.3">
      <c r="A83" s="574">
        <v>61.324199999999998</v>
      </c>
      <c r="B83" s="574">
        <v>2014</v>
      </c>
      <c r="C83" s="574" t="s">
        <v>69</v>
      </c>
      <c r="D83" s="574" t="s">
        <v>188</v>
      </c>
      <c r="E83" s="574">
        <f t="shared" si="2"/>
        <v>61.324199999999998</v>
      </c>
      <c r="F83" s="116" t="str">
        <f t="shared" si="3"/>
        <v/>
      </c>
    </row>
    <row r="84" spans="1:9" x14ac:dyDescent="0.3">
      <c r="A84" s="574">
        <v>39.207000000000001</v>
      </c>
      <c r="B84" s="574">
        <v>2014</v>
      </c>
      <c r="C84" s="574" t="s">
        <v>73</v>
      </c>
      <c r="D84" s="574" t="s">
        <v>188</v>
      </c>
      <c r="E84" s="574">
        <f t="shared" si="2"/>
        <v>39.207000000000001</v>
      </c>
      <c r="F84" s="116" t="str">
        <f t="shared" si="3"/>
        <v/>
      </c>
    </row>
    <row r="85" spans="1:9" x14ac:dyDescent="0.3">
      <c r="A85" s="574">
        <v>76.406400000000005</v>
      </c>
      <c r="B85" s="574">
        <v>2014</v>
      </c>
      <c r="C85" s="574" t="s">
        <v>25</v>
      </c>
      <c r="D85" s="574" t="s">
        <v>189</v>
      </c>
      <c r="E85" s="574">
        <f t="shared" si="2"/>
        <v>76.406400000000005</v>
      </c>
      <c r="F85" s="116" t="str">
        <f t="shared" si="3"/>
        <v/>
      </c>
    </row>
    <row r="86" spans="1:9" x14ac:dyDescent="0.3">
      <c r="A86" s="574">
        <v>401.96519999999998</v>
      </c>
      <c r="B86" s="574">
        <v>2014</v>
      </c>
      <c r="C86" s="574" t="s">
        <v>25</v>
      </c>
      <c r="D86" s="574" t="s">
        <v>190</v>
      </c>
      <c r="E86" s="574">
        <f t="shared" si="2"/>
        <v>401.96519999999998</v>
      </c>
      <c r="F86" s="116" t="str">
        <f t="shared" si="3"/>
        <v/>
      </c>
    </row>
    <row r="87" spans="1:9" x14ac:dyDescent="0.3">
      <c r="A87" s="574">
        <v>28.961099999999998</v>
      </c>
      <c r="B87" s="574">
        <v>2014</v>
      </c>
      <c r="C87" s="574" t="s">
        <v>12</v>
      </c>
      <c r="D87" s="574" t="s">
        <v>191</v>
      </c>
      <c r="E87" s="574">
        <f t="shared" si="2"/>
        <v>28.961099999999998</v>
      </c>
      <c r="F87" s="116" t="str">
        <f t="shared" si="3"/>
        <v/>
      </c>
    </row>
    <row r="88" spans="1:9" x14ac:dyDescent="0.3">
      <c r="A88" s="574">
        <v>92.992000000000004</v>
      </c>
      <c r="B88" s="574">
        <v>2014</v>
      </c>
      <c r="C88" s="574" t="s">
        <v>22</v>
      </c>
      <c r="D88" s="574" t="s">
        <v>192</v>
      </c>
      <c r="E88" s="574">
        <f t="shared" si="2"/>
        <v>92.992000000000004</v>
      </c>
      <c r="F88" s="116" t="str">
        <f t="shared" si="3"/>
        <v/>
      </c>
    </row>
    <row r="89" spans="1:9" x14ac:dyDescent="0.3">
      <c r="A89" s="574">
        <v>4.5880000000000001</v>
      </c>
      <c r="B89" s="574">
        <v>2014</v>
      </c>
      <c r="C89" s="574" t="s">
        <v>51</v>
      </c>
      <c r="D89" s="574" t="s">
        <v>192</v>
      </c>
      <c r="E89" s="574">
        <f t="shared" si="2"/>
        <v>4.5880000000000001</v>
      </c>
      <c r="F89" s="116" t="str">
        <f t="shared" si="3"/>
        <v/>
      </c>
    </row>
    <row r="90" spans="1:9" x14ac:dyDescent="0.3">
      <c r="A90" s="574">
        <v>18.704699999999999</v>
      </c>
      <c r="B90" s="574">
        <v>2014</v>
      </c>
      <c r="C90" s="574" t="s">
        <v>11</v>
      </c>
      <c r="D90" s="574" t="s">
        <v>193</v>
      </c>
      <c r="E90" s="574">
        <f t="shared" si="2"/>
        <v>18.704699999999999</v>
      </c>
      <c r="F90" s="116" t="str">
        <f t="shared" si="3"/>
        <v/>
      </c>
    </row>
    <row r="91" spans="1:9" x14ac:dyDescent="0.3">
      <c r="A91" s="574">
        <v>12.940200000000001</v>
      </c>
      <c r="B91" s="574">
        <v>2014</v>
      </c>
      <c r="C91" s="574" t="s">
        <v>25</v>
      </c>
      <c r="D91" s="574" t="s">
        <v>194</v>
      </c>
      <c r="E91" s="574">
        <f t="shared" si="2"/>
        <v>12.940200000000001</v>
      </c>
      <c r="F91" s="116" t="str">
        <f t="shared" si="3"/>
        <v/>
      </c>
    </row>
    <row r="92" spans="1:9" x14ac:dyDescent="0.3">
      <c r="A92" s="574">
        <v>7.4823000000000004</v>
      </c>
      <c r="B92" s="574">
        <v>2014</v>
      </c>
      <c r="C92" s="574" t="s">
        <v>25</v>
      </c>
      <c r="D92" s="574" t="s">
        <v>195</v>
      </c>
      <c r="E92" s="574">
        <f t="shared" si="2"/>
        <v>7.4823000000000004</v>
      </c>
      <c r="F92" s="116" t="str">
        <f t="shared" si="3"/>
        <v/>
      </c>
    </row>
    <row r="93" spans="1:9" x14ac:dyDescent="0.3">
      <c r="A93" s="574">
        <v>3.2886000000000002</v>
      </c>
      <c r="B93" s="574">
        <v>2014</v>
      </c>
      <c r="C93" s="574" t="s">
        <v>19</v>
      </c>
      <c r="D93" s="574" t="s">
        <v>196</v>
      </c>
      <c r="E93" s="574">
        <f t="shared" ref="E93:E94" si="4">A93</f>
        <v>3.2886000000000002</v>
      </c>
      <c r="F93" s="116" t="str">
        <f t="shared" si="3"/>
        <v/>
      </c>
    </row>
    <row r="94" spans="1:9" x14ac:dyDescent="0.3">
      <c r="A94" s="574">
        <v>0</v>
      </c>
      <c r="B94" s="574">
        <v>2014</v>
      </c>
      <c r="C94" s="580" t="s">
        <v>28</v>
      </c>
      <c r="D94" s="574" t="s">
        <v>197</v>
      </c>
      <c r="E94" s="574">
        <f t="shared" si="4"/>
        <v>0</v>
      </c>
      <c r="F94" s="116" t="str">
        <f t="shared" si="3"/>
        <v/>
      </c>
    </row>
    <row r="95" spans="1:9" x14ac:dyDescent="0.3">
      <c r="A95" s="574">
        <v>129.2362</v>
      </c>
      <c r="B95" s="574">
        <v>2014</v>
      </c>
      <c r="C95" s="574" t="s">
        <v>28</v>
      </c>
      <c r="D95" s="574" t="s">
        <v>198</v>
      </c>
      <c r="E95" s="574">
        <f>A95</f>
        <v>129.2362</v>
      </c>
      <c r="F95" s="116" t="str">
        <f t="shared" si="3"/>
        <v/>
      </c>
      <c r="G95" s="18"/>
      <c r="H95" s="18"/>
      <c r="I95" s="18"/>
    </row>
    <row r="96" spans="1:9" x14ac:dyDescent="0.3">
      <c r="A96" s="574">
        <v>21.186900000000001</v>
      </c>
      <c r="B96" s="574">
        <v>2014</v>
      </c>
      <c r="C96" s="574" t="s">
        <v>28</v>
      </c>
      <c r="D96" s="574" t="s">
        <v>199</v>
      </c>
      <c r="E96" s="574">
        <f>A96</f>
        <v>21.186900000000001</v>
      </c>
      <c r="F96" s="116" t="str">
        <f t="shared" si="3"/>
        <v/>
      </c>
      <c r="G96" s="18"/>
      <c r="H96" s="18"/>
      <c r="I96" s="18"/>
    </row>
    <row r="97" spans="1:9" x14ac:dyDescent="0.3">
      <c r="A97" s="580">
        <v>8.8262999999999998</v>
      </c>
      <c r="B97" s="574">
        <v>2014</v>
      </c>
      <c r="C97" s="574" t="s">
        <v>677</v>
      </c>
      <c r="D97" s="574" t="s">
        <v>200</v>
      </c>
      <c r="E97" s="575">
        <v>0</v>
      </c>
      <c r="F97" s="116" t="str">
        <f t="shared" si="3"/>
        <v>Y</v>
      </c>
      <c r="G97" s="18"/>
      <c r="H97" s="327"/>
      <c r="I97" s="18"/>
    </row>
    <row r="98" spans="1:9" x14ac:dyDescent="0.3">
      <c r="A98" s="580">
        <v>39.751400000000004</v>
      </c>
      <c r="B98" s="574">
        <v>2014</v>
      </c>
      <c r="C98" s="574" t="s">
        <v>34</v>
      </c>
      <c r="D98" s="574" t="s">
        <v>200</v>
      </c>
      <c r="E98" s="575">
        <f>A98+A97+25</f>
        <v>73.577700000000007</v>
      </c>
      <c r="F98" s="116" t="str">
        <f t="shared" si="3"/>
        <v>Y</v>
      </c>
      <c r="G98" s="18"/>
      <c r="H98" s="327"/>
      <c r="I98" s="18"/>
    </row>
    <row r="99" spans="1:9" x14ac:dyDescent="0.3">
      <c r="A99" s="574">
        <v>51.069899999999997</v>
      </c>
      <c r="B99" s="574">
        <v>2014</v>
      </c>
      <c r="C99" s="574" t="s">
        <v>28</v>
      </c>
      <c r="D99" s="574" t="s">
        <v>204</v>
      </c>
      <c r="E99" s="574">
        <f t="shared" ref="E99:E162" si="5">A99</f>
        <v>51.069899999999997</v>
      </c>
      <c r="F99" s="116" t="str">
        <f t="shared" si="3"/>
        <v/>
      </c>
      <c r="G99" s="18"/>
      <c r="H99" s="18"/>
      <c r="I99" s="18"/>
    </row>
    <row r="100" spans="1:9" x14ac:dyDescent="0.3">
      <c r="A100" s="574">
        <v>9.66</v>
      </c>
      <c r="B100" s="574">
        <v>2014</v>
      </c>
      <c r="C100" s="574" t="s">
        <v>41</v>
      </c>
      <c r="D100" s="574" t="s">
        <v>205</v>
      </c>
      <c r="E100" s="574">
        <f t="shared" si="5"/>
        <v>9.66</v>
      </c>
      <c r="F100" s="116" t="str">
        <f t="shared" si="3"/>
        <v/>
      </c>
      <c r="G100" s="18"/>
      <c r="H100" s="18"/>
      <c r="I100" s="18"/>
    </row>
    <row r="101" spans="1:9" x14ac:dyDescent="0.3">
      <c r="A101" s="574">
        <v>34.360199999999999</v>
      </c>
      <c r="B101" s="574">
        <v>2014</v>
      </c>
      <c r="C101" s="574" t="s">
        <v>40</v>
      </c>
      <c r="D101" s="574" t="s">
        <v>207</v>
      </c>
      <c r="E101" s="574">
        <f t="shared" si="5"/>
        <v>34.360199999999999</v>
      </c>
      <c r="F101" s="116" t="str">
        <f t="shared" si="3"/>
        <v/>
      </c>
      <c r="G101" s="18"/>
      <c r="H101" s="18"/>
      <c r="I101" s="18"/>
    </row>
    <row r="102" spans="1:9" x14ac:dyDescent="0.3">
      <c r="A102" s="574">
        <v>7.8855000000000004</v>
      </c>
      <c r="B102" s="574">
        <v>2014</v>
      </c>
      <c r="C102" s="574" t="s">
        <v>47</v>
      </c>
      <c r="D102" s="574" t="s">
        <v>208</v>
      </c>
      <c r="E102" s="574">
        <f t="shared" si="5"/>
        <v>7.8855000000000004</v>
      </c>
      <c r="F102" s="116" t="str">
        <f t="shared" si="3"/>
        <v/>
      </c>
      <c r="G102" s="18"/>
      <c r="H102" s="18"/>
      <c r="I102" s="18"/>
    </row>
    <row r="103" spans="1:9" x14ac:dyDescent="0.3">
      <c r="A103" s="574">
        <v>5.4032999999999998</v>
      </c>
      <c r="B103" s="574">
        <v>2014</v>
      </c>
      <c r="C103" s="574" t="s">
        <v>47</v>
      </c>
      <c r="D103" s="574" t="s">
        <v>209</v>
      </c>
      <c r="E103" s="574">
        <f t="shared" si="5"/>
        <v>5.4032999999999998</v>
      </c>
      <c r="F103" s="116" t="str">
        <f t="shared" si="3"/>
        <v/>
      </c>
      <c r="G103" s="18"/>
      <c r="H103" s="18"/>
      <c r="I103" s="18"/>
    </row>
    <row r="104" spans="1:9" x14ac:dyDescent="0.3">
      <c r="A104" s="574">
        <v>60.731999999999999</v>
      </c>
      <c r="B104" s="574">
        <v>2014</v>
      </c>
      <c r="C104" s="574" t="s">
        <v>28</v>
      </c>
      <c r="D104" s="574" t="s">
        <v>210</v>
      </c>
      <c r="E104" s="574">
        <f t="shared" si="5"/>
        <v>60.731999999999999</v>
      </c>
      <c r="F104" s="116" t="str">
        <f t="shared" si="3"/>
        <v/>
      </c>
      <c r="G104" s="18"/>
      <c r="H104" s="18"/>
      <c r="I104" s="18"/>
    </row>
    <row r="105" spans="1:9" x14ac:dyDescent="0.3">
      <c r="A105" s="574">
        <v>3.1415999999999999</v>
      </c>
      <c r="B105" s="574">
        <v>2014</v>
      </c>
      <c r="C105" s="574" t="s">
        <v>103</v>
      </c>
      <c r="D105" s="574" t="s">
        <v>213</v>
      </c>
      <c r="E105" s="574">
        <f t="shared" si="5"/>
        <v>3.1415999999999999</v>
      </c>
      <c r="F105" s="116" t="str">
        <f t="shared" si="3"/>
        <v/>
      </c>
    </row>
    <row r="106" spans="1:9" x14ac:dyDescent="0.3">
      <c r="A106" s="574">
        <v>0.99539999999999995</v>
      </c>
      <c r="B106" s="574">
        <v>2014</v>
      </c>
      <c r="C106" s="574" t="s">
        <v>103</v>
      </c>
      <c r="D106" s="574" t="s">
        <v>580</v>
      </c>
      <c r="E106" s="574">
        <f t="shared" si="5"/>
        <v>0.99539999999999995</v>
      </c>
      <c r="F106" s="116" t="str">
        <f t="shared" si="3"/>
        <v/>
      </c>
    </row>
    <row r="107" spans="1:9" x14ac:dyDescent="0.3">
      <c r="A107" s="574">
        <v>2.7698999999999998</v>
      </c>
      <c r="B107" s="574">
        <v>2014</v>
      </c>
      <c r="C107" s="574" t="s">
        <v>19</v>
      </c>
      <c r="D107" s="574" t="s">
        <v>217</v>
      </c>
      <c r="E107" s="574">
        <f t="shared" si="5"/>
        <v>2.7698999999999998</v>
      </c>
      <c r="F107" s="116" t="str">
        <f t="shared" si="3"/>
        <v/>
      </c>
    </row>
    <row r="108" spans="1:9" x14ac:dyDescent="0.3">
      <c r="A108" s="574">
        <v>8.3999999999999995E-3</v>
      </c>
      <c r="B108" s="574">
        <v>2014</v>
      </c>
      <c r="C108" s="574" t="s">
        <v>39</v>
      </c>
      <c r="D108" s="574" t="s">
        <v>218</v>
      </c>
      <c r="E108" s="574">
        <f t="shared" si="5"/>
        <v>8.3999999999999995E-3</v>
      </c>
      <c r="F108" s="116" t="str">
        <f t="shared" si="3"/>
        <v/>
      </c>
    </row>
    <row r="109" spans="1:9" x14ac:dyDescent="0.3">
      <c r="A109" s="574">
        <v>11.894399999999999</v>
      </c>
      <c r="B109" s="574">
        <v>2014</v>
      </c>
      <c r="C109" s="574" t="s">
        <v>28</v>
      </c>
      <c r="D109" s="574" t="s">
        <v>219</v>
      </c>
      <c r="E109" s="574">
        <f t="shared" si="5"/>
        <v>11.894399999999999</v>
      </c>
      <c r="F109" s="116" t="str">
        <f t="shared" si="3"/>
        <v/>
      </c>
    </row>
    <row r="110" spans="1:9" x14ac:dyDescent="0.3">
      <c r="A110" s="574">
        <v>37.193100000000001</v>
      </c>
      <c r="B110" s="574">
        <v>2014</v>
      </c>
      <c r="C110" s="574" t="s">
        <v>8</v>
      </c>
      <c r="D110" s="574" t="s">
        <v>220</v>
      </c>
      <c r="E110" s="574">
        <f t="shared" si="5"/>
        <v>37.193100000000001</v>
      </c>
      <c r="F110" s="116" t="str">
        <f t="shared" si="3"/>
        <v/>
      </c>
    </row>
    <row r="111" spans="1:9" x14ac:dyDescent="0.3">
      <c r="A111" s="574">
        <v>0.86939999999999995</v>
      </c>
      <c r="B111" s="574">
        <v>2014</v>
      </c>
      <c r="C111" s="574" t="s">
        <v>33</v>
      </c>
      <c r="D111" s="574" t="s">
        <v>222</v>
      </c>
      <c r="E111" s="574">
        <f t="shared" si="5"/>
        <v>0.86939999999999995</v>
      </c>
      <c r="F111" s="116" t="str">
        <f t="shared" si="3"/>
        <v/>
      </c>
    </row>
    <row r="112" spans="1:9" x14ac:dyDescent="0.3">
      <c r="A112" s="574">
        <v>27.388200000000001</v>
      </c>
      <c r="B112" s="574">
        <v>2014</v>
      </c>
      <c r="C112" s="574" t="s">
        <v>40</v>
      </c>
      <c r="D112" s="574" t="s">
        <v>224</v>
      </c>
      <c r="E112" s="574">
        <f t="shared" si="5"/>
        <v>27.388200000000001</v>
      </c>
      <c r="F112" s="116" t="str">
        <f t="shared" si="3"/>
        <v/>
      </c>
    </row>
    <row r="113" spans="1:6" x14ac:dyDescent="0.3">
      <c r="A113" s="574">
        <v>37.232999999999997</v>
      </c>
      <c r="B113" s="574">
        <v>2014</v>
      </c>
      <c r="C113" s="574" t="s">
        <v>40</v>
      </c>
      <c r="D113" s="574" t="s">
        <v>225</v>
      </c>
      <c r="E113" s="574">
        <f t="shared" si="5"/>
        <v>37.232999999999997</v>
      </c>
      <c r="F113" s="116" t="str">
        <f t="shared" si="3"/>
        <v/>
      </c>
    </row>
    <row r="114" spans="1:6" x14ac:dyDescent="0.3">
      <c r="A114" s="574">
        <v>100.89660000000001</v>
      </c>
      <c r="B114" s="574">
        <v>2014</v>
      </c>
      <c r="C114" s="574" t="s">
        <v>37</v>
      </c>
      <c r="D114" s="574" t="s">
        <v>226</v>
      </c>
      <c r="E114" s="574">
        <f t="shared" si="5"/>
        <v>100.89660000000001</v>
      </c>
      <c r="F114" s="116" t="str">
        <f t="shared" si="3"/>
        <v/>
      </c>
    </row>
    <row r="115" spans="1:6" x14ac:dyDescent="0.3">
      <c r="A115" s="574">
        <v>50.322299999999998</v>
      </c>
      <c r="B115" s="574">
        <v>2014</v>
      </c>
      <c r="C115" s="574" t="s">
        <v>48</v>
      </c>
      <c r="D115" s="574" t="s">
        <v>227</v>
      </c>
      <c r="E115" s="581">
        <f>50.32/3</f>
        <v>16.773333333333333</v>
      </c>
      <c r="F115" s="116" t="str">
        <f t="shared" si="3"/>
        <v>Y</v>
      </c>
    </row>
    <row r="116" spans="1:6" x14ac:dyDescent="0.3">
      <c r="A116" s="574">
        <v>9.5024999999999995</v>
      </c>
      <c r="B116" s="574">
        <v>2014</v>
      </c>
      <c r="C116" s="574" t="s">
        <v>15</v>
      </c>
      <c r="D116" s="574" t="s">
        <v>228</v>
      </c>
      <c r="E116" s="574">
        <f t="shared" si="5"/>
        <v>9.5024999999999995</v>
      </c>
      <c r="F116" s="116" t="str">
        <f t="shared" si="3"/>
        <v/>
      </c>
    </row>
    <row r="117" spans="1:6" x14ac:dyDescent="0.3">
      <c r="A117" s="574">
        <v>106.74299999999999</v>
      </c>
      <c r="B117" s="574">
        <v>2014</v>
      </c>
      <c r="C117" s="574" t="s">
        <v>23</v>
      </c>
      <c r="D117" s="574" t="s">
        <v>229</v>
      </c>
      <c r="E117" s="574">
        <f t="shared" si="5"/>
        <v>106.74299999999999</v>
      </c>
      <c r="F117" s="116" t="str">
        <f t="shared" si="3"/>
        <v/>
      </c>
    </row>
    <row r="118" spans="1:6" x14ac:dyDescent="0.3">
      <c r="A118" s="574">
        <v>45.011400000000002</v>
      </c>
      <c r="B118" s="574">
        <v>2014</v>
      </c>
      <c r="C118" s="574" t="s">
        <v>28</v>
      </c>
      <c r="D118" s="574" t="s">
        <v>230</v>
      </c>
      <c r="E118" s="574">
        <f t="shared" si="5"/>
        <v>45.011400000000002</v>
      </c>
      <c r="F118" s="116" t="str">
        <f t="shared" si="3"/>
        <v/>
      </c>
    </row>
    <row r="119" spans="1:6" x14ac:dyDescent="0.3">
      <c r="A119" s="574">
        <v>4.9139999999999997</v>
      </c>
      <c r="B119" s="574">
        <v>2014</v>
      </c>
      <c r="C119" s="574" t="s">
        <v>17</v>
      </c>
      <c r="D119" s="574" t="s">
        <v>576</v>
      </c>
      <c r="E119" s="574">
        <f t="shared" si="5"/>
        <v>4.9139999999999997</v>
      </c>
      <c r="F119" s="116" t="str">
        <f t="shared" si="3"/>
        <v/>
      </c>
    </row>
    <row r="120" spans="1:6" x14ac:dyDescent="0.3">
      <c r="A120" s="574">
        <v>65.438100000000006</v>
      </c>
      <c r="B120" s="574">
        <v>2014</v>
      </c>
      <c r="C120" s="574" t="s">
        <v>28</v>
      </c>
      <c r="D120" s="574" t="s">
        <v>232</v>
      </c>
      <c r="E120" s="574">
        <f t="shared" si="5"/>
        <v>65.438100000000006</v>
      </c>
      <c r="F120" s="116" t="str">
        <f t="shared" si="3"/>
        <v/>
      </c>
    </row>
    <row r="121" spans="1:6" x14ac:dyDescent="0.3">
      <c r="A121" s="574">
        <v>16.697099999999999</v>
      </c>
      <c r="B121" s="574">
        <v>2014</v>
      </c>
      <c r="C121" s="574" t="s">
        <v>28</v>
      </c>
      <c r="D121" s="574" t="s">
        <v>233</v>
      </c>
      <c r="E121" s="574">
        <f t="shared" si="5"/>
        <v>16.697099999999999</v>
      </c>
      <c r="F121" s="116" t="str">
        <f t="shared" si="3"/>
        <v/>
      </c>
    </row>
    <row r="122" spans="1:6" x14ac:dyDescent="0.3">
      <c r="A122" s="574">
        <v>17.9298</v>
      </c>
      <c r="B122" s="574">
        <v>2014</v>
      </c>
      <c r="C122" s="574" t="s">
        <v>23</v>
      </c>
      <c r="D122" s="574" t="s">
        <v>234</v>
      </c>
      <c r="E122" s="574">
        <f t="shared" si="5"/>
        <v>17.9298</v>
      </c>
      <c r="F122" s="116" t="str">
        <f t="shared" si="3"/>
        <v/>
      </c>
    </row>
    <row r="123" spans="1:6" x14ac:dyDescent="0.3">
      <c r="A123" s="574">
        <v>7.1169000000000002</v>
      </c>
      <c r="B123" s="574">
        <v>2014</v>
      </c>
      <c r="C123" s="574" t="s">
        <v>28</v>
      </c>
      <c r="D123" s="574" t="s">
        <v>235</v>
      </c>
      <c r="E123" s="574">
        <f t="shared" si="5"/>
        <v>7.1169000000000002</v>
      </c>
      <c r="F123" s="116" t="str">
        <f t="shared" si="3"/>
        <v/>
      </c>
    </row>
    <row r="124" spans="1:6" x14ac:dyDescent="0.3">
      <c r="A124" s="574">
        <v>5.1954000000000002</v>
      </c>
      <c r="B124" s="574">
        <v>2014</v>
      </c>
      <c r="C124" s="574" t="s">
        <v>51</v>
      </c>
      <c r="D124" s="574" t="s">
        <v>236</v>
      </c>
      <c r="E124" s="574">
        <f t="shared" si="5"/>
        <v>5.1954000000000002</v>
      </c>
      <c r="F124" s="116" t="str">
        <f t="shared" si="3"/>
        <v/>
      </c>
    </row>
    <row r="125" spans="1:6" x14ac:dyDescent="0.3">
      <c r="A125" s="574">
        <v>14.4648</v>
      </c>
      <c r="B125" s="574">
        <v>2014</v>
      </c>
      <c r="C125" s="574" t="s">
        <v>17</v>
      </c>
      <c r="D125" s="574" t="s">
        <v>238</v>
      </c>
      <c r="E125" s="574">
        <f t="shared" si="5"/>
        <v>14.4648</v>
      </c>
      <c r="F125" s="116" t="str">
        <f t="shared" si="3"/>
        <v/>
      </c>
    </row>
    <row r="126" spans="1:6" x14ac:dyDescent="0.3">
      <c r="A126" s="574">
        <v>60.620699999999999</v>
      </c>
      <c r="B126" s="574">
        <v>2014</v>
      </c>
      <c r="C126" s="574" t="s">
        <v>73</v>
      </c>
      <c r="D126" s="574" t="s">
        <v>240</v>
      </c>
      <c r="E126" s="574">
        <f t="shared" si="5"/>
        <v>60.620699999999999</v>
      </c>
      <c r="F126" s="116" t="str">
        <f t="shared" si="3"/>
        <v/>
      </c>
    </row>
    <row r="127" spans="1:6" x14ac:dyDescent="0.3">
      <c r="A127" s="574">
        <v>6.7115999999999998</v>
      </c>
      <c r="B127" s="574">
        <v>2014</v>
      </c>
      <c r="C127" s="574" t="s">
        <v>32</v>
      </c>
      <c r="D127" s="574" t="s">
        <v>242</v>
      </c>
      <c r="E127" s="574">
        <f t="shared" si="5"/>
        <v>6.7115999999999998</v>
      </c>
      <c r="F127" s="116" t="str">
        <f t="shared" si="3"/>
        <v/>
      </c>
    </row>
    <row r="128" spans="1:6" x14ac:dyDescent="0.3">
      <c r="A128" s="574">
        <v>0.2772</v>
      </c>
      <c r="B128" s="574">
        <v>2014</v>
      </c>
      <c r="C128" s="574" t="s">
        <v>51</v>
      </c>
      <c r="D128" s="574" t="s">
        <v>243</v>
      </c>
      <c r="E128" s="574">
        <f t="shared" si="5"/>
        <v>0.2772</v>
      </c>
      <c r="F128" s="116" t="str">
        <f t="shared" si="3"/>
        <v/>
      </c>
    </row>
    <row r="129" spans="1:6" x14ac:dyDescent="0.3">
      <c r="A129" s="574">
        <v>20.411999999999999</v>
      </c>
      <c r="B129" s="574">
        <v>2014</v>
      </c>
      <c r="C129" s="574" t="s">
        <v>28</v>
      </c>
      <c r="D129" s="574" t="s">
        <v>243</v>
      </c>
      <c r="E129" s="574">
        <f t="shared" si="5"/>
        <v>20.411999999999999</v>
      </c>
      <c r="F129" s="116" t="str">
        <f t="shared" si="3"/>
        <v/>
      </c>
    </row>
    <row r="130" spans="1:6" x14ac:dyDescent="0.3">
      <c r="A130" s="574">
        <v>33.429900000000004</v>
      </c>
      <c r="B130" s="574">
        <v>2014</v>
      </c>
      <c r="C130" s="574" t="s">
        <v>71</v>
      </c>
      <c r="D130" s="574" t="s">
        <v>244</v>
      </c>
      <c r="E130" s="574">
        <f t="shared" si="5"/>
        <v>33.429900000000004</v>
      </c>
      <c r="F130" s="116" t="str">
        <f t="shared" si="3"/>
        <v/>
      </c>
    </row>
    <row r="131" spans="1:6" x14ac:dyDescent="0.3">
      <c r="A131" s="574">
        <v>43.243200000000002</v>
      </c>
      <c r="B131" s="574">
        <v>2014</v>
      </c>
      <c r="C131" s="574" t="s">
        <v>20</v>
      </c>
      <c r="D131" s="574" t="s">
        <v>246</v>
      </c>
      <c r="E131" s="574">
        <f t="shared" si="5"/>
        <v>43.243200000000002</v>
      </c>
      <c r="F131" s="116" t="str">
        <f t="shared" si="3"/>
        <v/>
      </c>
    </row>
    <row r="132" spans="1:6" x14ac:dyDescent="0.3">
      <c r="A132" s="574">
        <v>4.7165999999999997</v>
      </c>
      <c r="B132" s="574">
        <v>2014</v>
      </c>
      <c r="C132" s="574" t="s">
        <v>14</v>
      </c>
      <c r="D132" s="574" t="s">
        <v>569</v>
      </c>
      <c r="E132" s="574">
        <f t="shared" si="5"/>
        <v>4.7165999999999997</v>
      </c>
      <c r="F132" s="116" t="str">
        <f t="shared" ref="F132:F195" si="6">IF(E132=A132,"","Y")</f>
        <v/>
      </c>
    </row>
    <row r="133" spans="1:6" x14ac:dyDescent="0.3">
      <c r="A133" s="574">
        <v>4.1600999999999999</v>
      </c>
      <c r="B133" s="574">
        <v>2014</v>
      </c>
      <c r="C133" s="574" t="s">
        <v>14</v>
      </c>
      <c r="D133" s="574" t="s">
        <v>570</v>
      </c>
      <c r="E133" s="574">
        <f t="shared" si="5"/>
        <v>4.1600999999999999</v>
      </c>
      <c r="F133" s="116" t="str">
        <f t="shared" si="6"/>
        <v/>
      </c>
    </row>
    <row r="134" spans="1:6" x14ac:dyDescent="0.3">
      <c r="A134" s="574">
        <v>3.9773999999999998</v>
      </c>
      <c r="B134" s="574">
        <v>2014</v>
      </c>
      <c r="C134" s="574" t="s">
        <v>14</v>
      </c>
      <c r="D134" s="574" t="s">
        <v>571</v>
      </c>
      <c r="E134" s="574">
        <f t="shared" si="5"/>
        <v>3.9773999999999998</v>
      </c>
      <c r="F134" s="116" t="str">
        <f t="shared" si="6"/>
        <v/>
      </c>
    </row>
    <row r="135" spans="1:6" x14ac:dyDescent="0.3">
      <c r="A135" s="574">
        <v>5.6909999999999998</v>
      </c>
      <c r="B135" s="574">
        <v>2014</v>
      </c>
      <c r="C135" s="574" t="s">
        <v>17</v>
      </c>
      <c r="D135" s="574" t="s">
        <v>577</v>
      </c>
      <c r="E135" s="574">
        <f t="shared" si="5"/>
        <v>5.6909999999999998</v>
      </c>
      <c r="F135" s="116" t="str">
        <f t="shared" si="6"/>
        <v/>
      </c>
    </row>
    <row r="136" spans="1:6" x14ac:dyDescent="0.3">
      <c r="A136" s="574">
        <v>3.9689999999999999</v>
      </c>
      <c r="B136" s="574">
        <v>2014</v>
      </c>
      <c r="C136" s="574" t="s">
        <v>4</v>
      </c>
      <c r="D136" s="574" t="s">
        <v>561</v>
      </c>
      <c r="E136" s="574">
        <f t="shared" si="5"/>
        <v>3.9689999999999999</v>
      </c>
      <c r="F136" s="116" t="str">
        <f t="shared" si="6"/>
        <v/>
      </c>
    </row>
    <row r="137" spans="1:6" x14ac:dyDescent="0.3">
      <c r="A137" s="574">
        <v>2.3456999999999999</v>
      </c>
      <c r="B137" s="574">
        <v>2014</v>
      </c>
      <c r="C137" s="574" t="s">
        <v>28</v>
      </c>
      <c r="D137" s="574" t="s">
        <v>252</v>
      </c>
      <c r="E137" s="574">
        <f t="shared" si="5"/>
        <v>2.3456999999999999</v>
      </c>
      <c r="F137" s="116" t="str">
        <f t="shared" si="6"/>
        <v/>
      </c>
    </row>
    <row r="138" spans="1:6" x14ac:dyDescent="0.3">
      <c r="A138" s="574">
        <v>7.5347999999999997</v>
      </c>
      <c r="B138" s="574">
        <v>2014</v>
      </c>
      <c r="C138" s="574" t="s">
        <v>32</v>
      </c>
      <c r="D138" s="574" t="s">
        <v>252</v>
      </c>
      <c r="E138" s="574">
        <f t="shared" si="5"/>
        <v>7.5347999999999997</v>
      </c>
      <c r="F138" s="116" t="str">
        <f t="shared" si="6"/>
        <v/>
      </c>
    </row>
    <row r="139" spans="1:6" x14ac:dyDescent="0.3">
      <c r="A139" s="574">
        <v>14.450100000000001</v>
      </c>
      <c r="B139" s="574">
        <v>2014</v>
      </c>
      <c r="C139" s="574" t="s">
        <v>32</v>
      </c>
      <c r="D139" s="574" t="s">
        <v>253</v>
      </c>
      <c r="E139" s="574">
        <f t="shared" si="5"/>
        <v>14.450100000000001</v>
      </c>
      <c r="F139" s="116" t="str">
        <f t="shared" si="6"/>
        <v/>
      </c>
    </row>
    <row r="140" spans="1:6" x14ac:dyDescent="0.3">
      <c r="A140" s="574">
        <v>12.0687</v>
      </c>
      <c r="B140" s="574">
        <v>2014</v>
      </c>
      <c r="C140" s="574" t="s">
        <v>28</v>
      </c>
      <c r="D140" s="574" t="s">
        <v>254</v>
      </c>
      <c r="E140" s="574">
        <f t="shared" si="5"/>
        <v>12.0687</v>
      </c>
      <c r="F140" s="116" t="str">
        <f t="shared" si="6"/>
        <v/>
      </c>
    </row>
    <row r="141" spans="1:6" x14ac:dyDescent="0.3">
      <c r="A141" s="574">
        <v>10.838099999999899</v>
      </c>
      <c r="B141" s="574">
        <v>2014</v>
      </c>
      <c r="C141" s="574" t="s">
        <v>2</v>
      </c>
      <c r="D141" s="574" t="s">
        <v>678</v>
      </c>
      <c r="E141" s="574">
        <f t="shared" si="5"/>
        <v>10.838099999999899</v>
      </c>
      <c r="F141" s="116" t="str">
        <f t="shared" si="6"/>
        <v/>
      </c>
    </row>
    <row r="142" spans="1:6" x14ac:dyDescent="0.3">
      <c r="A142" s="574">
        <v>6.0522</v>
      </c>
      <c r="B142" s="574">
        <v>2014</v>
      </c>
      <c r="C142" s="574" t="s">
        <v>4</v>
      </c>
      <c r="D142" s="574" t="s">
        <v>257</v>
      </c>
      <c r="E142" s="574">
        <f t="shared" si="5"/>
        <v>6.0522</v>
      </c>
      <c r="F142" s="116" t="str">
        <f t="shared" si="6"/>
        <v/>
      </c>
    </row>
    <row r="143" spans="1:6" x14ac:dyDescent="0.3">
      <c r="A143" s="574">
        <v>63.088200000000001</v>
      </c>
      <c r="B143" s="574">
        <v>2014</v>
      </c>
      <c r="C143" s="574" t="s">
        <v>37</v>
      </c>
      <c r="D143" s="574" t="s">
        <v>257</v>
      </c>
      <c r="E143" s="574">
        <f t="shared" si="5"/>
        <v>63.088200000000001</v>
      </c>
      <c r="F143" s="116" t="str">
        <f t="shared" si="6"/>
        <v/>
      </c>
    </row>
    <row r="144" spans="1:6" x14ac:dyDescent="0.3">
      <c r="A144" s="574">
        <v>0.61949999999999905</v>
      </c>
      <c r="B144" s="574">
        <v>2014</v>
      </c>
      <c r="C144" s="574" t="s">
        <v>41</v>
      </c>
      <c r="D144" s="574" t="s">
        <v>258</v>
      </c>
      <c r="E144" s="574">
        <f t="shared" si="5"/>
        <v>0.61949999999999905</v>
      </c>
      <c r="F144" s="116" t="str">
        <f t="shared" si="6"/>
        <v/>
      </c>
    </row>
    <row r="145" spans="1:7" x14ac:dyDescent="0.3">
      <c r="A145" s="574">
        <v>13.490399999999999</v>
      </c>
      <c r="B145" s="574">
        <v>2014</v>
      </c>
      <c r="C145" s="574" t="s">
        <v>36</v>
      </c>
      <c r="D145" s="574" t="s">
        <v>259</v>
      </c>
      <c r="E145" s="574">
        <f t="shared" si="5"/>
        <v>13.490399999999999</v>
      </c>
      <c r="F145" s="116" t="str">
        <f t="shared" si="6"/>
        <v/>
      </c>
    </row>
    <row r="146" spans="1:7" x14ac:dyDescent="0.3">
      <c r="A146" s="574">
        <v>138.15479999999999</v>
      </c>
      <c r="B146" s="574">
        <v>2014</v>
      </c>
      <c r="C146" s="574" t="s">
        <v>37</v>
      </c>
      <c r="D146" s="574" t="s">
        <v>260</v>
      </c>
      <c r="E146" s="574">
        <f t="shared" si="5"/>
        <v>138.15479999999999</v>
      </c>
      <c r="F146" s="116" t="str">
        <f t="shared" si="6"/>
        <v/>
      </c>
    </row>
    <row r="147" spans="1:7" x14ac:dyDescent="0.3">
      <c r="A147" s="574">
        <v>33.198900000000002</v>
      </c>
      <c r="B147" s="574">
        <v>2014</v>
      </c>
      <c r="C147" s="574" t="s">
        <v>28</v>
      </c>
      <c r="D147" s="574" t="s">
        <v>261</v>
      </c>
      <c r="E147" s="574">
        <f t="shared" si="5"/>
        <v>33.198900000000002</v>
      </c>
      <c r="F147" s="116" t="str">
        <f t="shared" si="6"/>
        <v/>
      </c>
    </row>
    <row r="148" spans="1:7" x14ac:dyDescent="0.3">
      <c r="A148" s="574">
        <v>55.412700000000001</v>
      </c>
      <c r="B148" s="574">
        <v>2014</v>
      </c>
      <c r="C148" s="574" t="s">
        <v>37</v>
      </c>
      <c r="D148" s="574" t="s">
        <v>262</v>
      </c>
      <c r="E148" s="574">
        <f t="shared" si="5"/>
        <v>55.412700000000001</v>
      </c>
      <c r="F148" s="116" t="str">
        <f t="shared" si="6"/>
        <v/>
      </c>
    </row>
    <row r="149" spans="1:7" x14ac:dyDescent="0.3">
      <c r="A149" s="574">
        <v>1.5266999999999999</v>
      </c>
      <c r="B149" s="574">
        <v>2014</v>
      </c>
      <c r="C149" s="574" t="s">
        <v>49</v>
      </c>
      <c r="D149" s="574" t="s">
        <v>263</v>
      </c>
      <c r="E149" s="574">
        <f t="shared" si="5"/>
        <v>1.5266999999999999</v>
      </c>
      <c r="F149" s="116" t="str">
        <f t="shared" si="6"/>
        <v/>
      </c>
    </row>
    <row r="150" spans="1:7" x14ac:dyDescent="0.3">
      <c r="A150" s="574">
        <v>0.15329999999999999</v>
      </c>
      <c r="B150" s="574">
        <v>2014</v>
      </c>
      <c r="C150" s="574" t="s">
        <v>51</v>
      </c>
      <c r="D150" s="574" t="s">
        <v>264</v>
      </c>
      <c r="E150" s="574">
        <f t="shared" si="5"/>
        <v>0.15329999999999999</v>
      </c>
      <c r="F150" s="116" t="str">
        <f t="shared" si="6"/>
        <v/>
      </c>
    </row>
    <row r="151" spans="1:7" x14ac:dyDescent="0.3">
      <c r="A151" s="574">
        <v>267.10739999999998</v>
      </c>
      <c r="B151" s="574">
        <v>2014</v>
      </c>
      <c r="C151" s="574" t="s">
        <v>37</v>
      </c>
      <c r="D151" s="574" t="s">
        <v>264</v>
      </c>
      <c r="E151" s="574">
        <f t="shared" si="5"/>
        <v>267.10739999999998</v>
      </c>
      <c r="F151" s="116" t="str">
        <f t="shared" si="6"/>
        <v/>
      </c>
    </row>
    <row r="152" spans="1:7" x14ac:dyDescent="0.3">
      <c r="A152" s="574">
        <v>200.09010000000001</v>
      </c>
      <c r="B152" s="574">
        <v>2014</v>
      </c>
      <c r="C152" s="574" t="s">
        <v>37</v>
      </c>
      <c r="D152" s="574" t="s">
        <v>265</v>
      </c>
      <c r="E152" s="574">
        <f t="shared" si="5"/>
        <v>200.09010000000001</v>
      </c>
      <c r="F152" s="116" t="str">
        <f t="shared" si="6"/>
        <v/>
      </c>
    </row>
    <row r="153" spans="1:7" x14ac:dyDescent="0.3">
      <c r="A153" s="574">
        <v>20.357399999999998</v>
      </c>
      <c r="B153" s="574">
        <v>2014</v>
      </c>
      <c r="C153" s="574" t="s">
        <v>40</v>
      </c>
      <c r="D153" s="574" t="s">
        <v>266</v>
      </c>
      <c r="E153" s="574">
        <f t="shared" si="5"/>
        <v>20.357399999999998</v>
      </c>
      <c r="F153" s="116" t="str">
        <f t="shared" si="6"/>
        <v/>
      </c>
    </row>
    <row r="154" spans="1:7" x14ac:dyDescent="0.3">
      <c r="A154" s="574">
        <v>2.8140000000000001</v>
      </c>
      <c r="B154" s="574">
        <v>2014</v>
      </c>
      <c r="C154" s="574" t="s">
        <v>4</v>
      </c>
      <c r="D154" s="574" t="s">
        <v>267</v>
      </c>
      <c r="E154" s="574">
        <f t="shared" si="5"/>
        <v>2.8140000000000001</v>
      </c>
      <c r="F154" s="116" t="str">
        <f t="shared" si="6"/>
        <v/>
      </c>
    </row>
    <row r="155" spans="1:7" x14ac:dyDescent="0.3">
      <c r="A155" s="574">
        <v>59.570700000000002</v>
      </c>
      <c r="B155" s="574">
        <v>2014</v>
      </c>
      <c r="C155" s="574" t="s">
        <v>8</v>
      </c>
      <c r="D155" s="574" t="s">
        <v>269</v>
      </c>
      <c r="E155" s="574">
        <f t="shared" si="5"/>
        <v>59.570700000000002</v>
      </c>
      <c r="F155" s="116" t="str">
        <f t="shared" si="6"/>
        <v/>
      </c>
      <c r="G155" s="18"/>
    </row>
    <row r="156" spans="1:7" x14ac:dyDescent="0.3">
      <c r="A156" s="574">
        <v>64.010099999999994</v>
      </c>
      <c r="B156" s="574">
        <v>2014</v>
      </c>
      <c r="C156" s="574" t="s">
        <v>36</v>
      </c>
      <c r="D156" s="574" t="s">
        <v>270</v>
      </c>
      <c r="E156" s="574">
        <f t="shared" si="5"/>
        <v>64.010099999999994</v>
      </c>
      <c r="F156" s="116" t="str">
        <f t="shared" si="6"/>
        <v/>
      </c>
      <c r="G156" s="18"/>
    </row>
    <row r="157" spans="1:7" x14ac:dyDescent="0.3">
      <c r="A157" s="574">
        <v>11.9154</v>
      </c>
      <c r="B157" s="574">
        <v>2014</v>
      </c>
      <c r="C157" s="574" t="s">
        <v>41</v>
      </c>
      <c r="D157" s="574" t="s">
        <v>679</v>
      </c>
      <c r="E157" s="581">
        <v>6.35</v>
      </c>
      <c r="F157" s="116" t="str">
        <f t="shared" si="6"/>
        <v>Y</v>
      </c>
      <c r="G157" s="18"/>
    </row>
    <row r="158" spans="1:7" x14ac:dyDescent="0.3">
      <c r="A158" s="574">
        <v>127.68210000000001</v>
      </c>
      <c r="B158" s="574">
        <v>2014</v>
      </c>
      <c r="C158" s="574" t="s">
        <v>37</v>
      </c>
      <c r="D158" s="574" t="s">
        <v>273</v>
      </c>
      <c r="E158" s="574">
        <f t="shared" si="5"/>
        <v>127.68210000000001</v>
      </c>
      <c r="F158" s="116" t="str">
        <f t="shared" si="6"/>
        <v/>
      </c>
      <c r="G158" s="18"/>
    </row>
    <row r="159" spans="1:7" x14ac:dyDescent="0.3">
      <c r="A159" s="574">
        <v>149.40449999999899</v>
      </c>
      <c r="B159" s="574">
        <v>2014</v>
      </c>
      <c r="C159" s="574" t="s">
        <v>37</v>
      </c>
      <c r="D159" s="574" t="s">
        <v>274</v>
      </c>
      <c r="E159" s="574">
        <f t="shared" si="5"/>
        <v>149.40449999999899</v>
      </c>
      <c r="F159" s="116" t="str">
        <f t="shared" si="6"/>
        <v/>
      </c>
      <c r="G159" s="18"/>
    </row>
    <row r="160" spans="1:7" x14ac:dyDescent="0.3">
      <c r="A160" s="574">
        <v>29.420999999999999</v>
      </c>
      <c r="B160" s="574">
        <v>2014</v>
      </c>
      <c r="C160" s="574" t="s">
        <v>36</v>
      </c>
      <c r="D160" s="574" t="s">
        <v>275</v>
      </c>
      <c r="E160" s="574">
        <f t="shared" si="5"/>
        <v>29.420999999999999</v>
      </c>
      <c r="F160" s="116" t="str">
        <f t="shared" si="6"/>
        <v/>
      </c>
      <c r="G160" s="18"/>
    </row>
    <row r="161" spans="1:7" x14ac:dyDescent="0.3">
      <c r="A161" s="574">
        <v>44.011800000000001</v>
      </c>
      <c r="B161" s="574">
        <v>2014</v>
      </c>
      <c r="C161" s="574" t="s">
        <v>36</v>
      </c>
      <c r="D161" s="574" t="s">
        <v>276</v>
      </c>
      <c r="E161" s="574">
        <f t="shared" si="5"/>
        <v>44.011800000000001</v>
      </c>
      <c r="F161" s="116" t="str">
        <f t="shared" si="6"/>
        <v/>
      </c>
      <c r="G161" s="18"/>
    </row>
    <row r="162" spans="1:7" x14ac:dyDescent="0.3">
      <c r="A162" s="574">
        <v>7.3499999999999996E-2</v>
      </c>
      <c r="B162" s="574">
        <v>2014</v>
      </c>
      <c r="C162" s="574" t="s">
        <v>103</v>
      </c>
      <c r="D162" s="574" t="s">
        <v>277</v>
      </c>
      <c r="E162" s="574">
        <f t="shared" si="5"/>
        <v>7.3499999999999996E-2</v>
      </c>
      <c r="F162" s="116" t="str">
        <f t="shared" si="6"/>
        <v/>
      </c>
    </row>
    <row r="163" spans="1:7" x14ac:dyDescent="0.3">
      <c r="A163" s="574">
        <v>43.917299999999997</v>
      </c>
      <c r="B163" s="574">
        <v>2014</v>
      </c>
      <c r="C163" s="574" t="s">
        <v>12</v>
      </c>
      <c r="D163" s="574" t="s">
        <v>282</v>
      </c>
      <c r="E163" s="574">
        <f t="shared" ref="E163:E226" si="7">A163</f>
        <v>43.917299999999997</v>
      </c>
      <c r="F163" s="116" t="str">
        <f t="shared" si="6"/>
        <v/>
      </c>
    </row>
    <row r="164" spans="1:7" x14ac:dyDescent="0.3">
      <c r="A164" s="574">
        <v>73.109399999999994</v>
      </c>
      <c r="B164" s="574">
        <v>2014</v>
      </c>
      <c r="C164" s="574" t="s">
        <v>1</v>
      </c>
      <c r="D164" s="574" t="s">
        <v>283</v>
      </c>
      <c r="E164" s="574">
        <f t="shared" si="7"/>
        <v>73.109399999999994</v>
      </c>
      <c r="F164" s="116" t="str">
        <f t="shared" si="6"/>
        <v/>
      </c>
    </row>
    <row r="165" spans="1:7" x14ac:dyDescent="0.3">
      <c r="A165" s="574">
        <v>35.160299999999999</v>
      </c>
      <c r="B165" s="574">
        <v>2014</v>
      </c>
      <c r="C165" s="574" t="s">
        <v>28</v>
      </c>
      <c r="D165" s="574" t="s">
        <v>284</v>
      </c>
      <c r="E165" s="574">
        <f t="shared" si="7"/>
        <v>35.160299999999999</v>
      </c>
      <c r="F165" s="116" t="str">
        <f t="shared" si="6"/>
        <v/>
      </c>
    </row>
    <row r="166" spans="1:7" x14ac:dyDescent="0.3">
      <c r="A166" s="574">
        <v>9.1980000000000004</v>
      </c>
      <c r="B166" s="574">
        <v>2014</v>
      </c>
      <c r="C166" s="574" t="s">
        <v>4</v>
      </c>
      <c r="D166" s="574" t="s">
        <v>285</v>
      </c>
      <c r="E166" s="574">
        <f t="shared" si="7"/>
        <v>9.1980000000000004</v>
      </c>
      <c r="F166" s="116" t="str">
        <f t="shared" si="6"/>
        <v/>
      </c>
    </row>
    <row r="167" spans="1:7" x14ac:dyDescent="0.3">
      <c r="A167" s="574">
        <v>154.61670000000001</v>
      </c>
      <c r="B167" s="574">
        <v>2014</v>
      </c>
      <c r="C167" s="574" t="s">
        <v>19</v>
      </c>
      <c r="D167" s="574" t="s">
        <v>289</v>
      </c>
      <c r="E167" s="574">
        <f t="shared" si="7"/>
        <v>154.61670000000001</v>
      </c>
      <c r="F167" s="116" t="str">
        <f t="shared" si="6"/>
        <v/>
      </c>
    </row>
    <row r="168" spans="1:7" x14ac:dyDescent="0.3">
      <c r="A168" s="574">
        <v>13.7319</v>
      </c>
      <c r="B168" s="574">
        <v>2014</v>
      </c>
      <c r="C168" s="574" t="s">
        <v>0</v>
      </c>
      <c r="D168" s="574" t="s">
        <v>291</v>
      </c>
      <c r="E168" s="574">
        <f t="shared" si="7"/>
        <v>13.7319</v>
      </c>
      <c r="F168" s="116" t="str">
        <f t="shared" si="6"/>
        <v/>
      </c>
    </row>
    <row r="169" spans="1:7" x14ac:dyDescent="0.3">
      <c r="A169" s="574">
        <v>92.301299999999998</v>
      </c>
      <c r="B169" s="574">
        <v>2014</v>
      </c>
      <c r="C169" s="574" t="s">
        <v>37</v>
      </c>
      <c r="D169" s="574" t="s">
        <v>292</v>
      </c>
      <c r="E169" s="574">
        <f t="shared" si="7"/>
        <v>92.301299999999998</v>
      </c>
      <c r="F169" s="116" t="str">
        <f t="shared" si="6"/>
        <v/>
      </c>
    </row>
    <row r="170" spans="1:7" x14ac:dyDescent="0.3">
      <c r="A170" s="574">
        <v>3.1604999999999999</v>
      </c>
      <c r="B170" s="574">
        <v>2014</v>
      </c>
      <c r="C170" s="574" t="s">
        <v>49</v>
      </c>
      <c r="D170" s="574" t="s">
        <v>293</v>
      </c>
      <c r="E170" s="574">
        <f t="shared" si="7"/>
        <v>3.1604999999999999</v>
      </c>
      <c r="F170" s="116" t="str">
        <f t="shared" si="6"/>
        <v/>
      </c>
    </row>
    <row r="171" spans="1:7" x14ac:dyDescent="0.3">
      <c r="A171" s="574">
        <v>3.738</v>
      </c>
      <c r="B171" s="574">
        <v>2014</v>
      </c>
      <c r="C171" s="574" t="s">
        <v>17</v>
      </c>
      <c r="D171" s="574" t="s">
        <v>294</v>
      </c>
      <c r="E171" s="574">
        <f t="shared" si="7"/>
        <v>3.738</v>
      </c>
      <c r="F171" s="116" t="str">
        <f t="shared" si="6"/>
        <v/>
      </c>
    </row>
    <row r="172" spans="1:7" x14ac:dyDescent="0.3">
      <c r="A172" s="574">
        <v>119.8008</v>
      </c>
      <c r="B172" s="574">
        <v>2014</v>
      </c>
      <c r="C172" s="574" t="s">
        <v>37</v>
      </c>
      <c r="D172" s="574" t="s">
        <v>296</v>
      </c>
      <c r="E172" s="574">
        <f t="shared" si="7"/>
        <v>119.8008</v>
      </c>
      <c r="F172" s="116" t="str">
        <f t="shared" si="6"/>
        <v/>
      </c>
    </row>
    <row r="173" spans="1:7" x14ac:dyDescent="0.3">
      <c r="A173" s="574">
        <v>28.242899999999999</v>
      </c>
      <c r="B173" s="574">
        <v>2014</v>
      </c>
      <c r="C173" s="574" t="s">
        <v>28</v>
      </c>
      <c r="D173" s="574" t="s">
        <v>297</v>
      </c>
      <c r="E173" s="574">
        <f t="shared" si="7"/>
        <v>28.242899999999999</v>
      </c>
      <c r="F173" s="116" t="str">
        <f t="shared" si="6"/>
        <v/>
      </c>
    </row>
    <row r="174" spans="1:7" x14ac:dyDescent="0.3">
      <c r="A174" s="574">
        <v>81.511499999999998</v>
      </c>
      <c r="B174" s="574">
        <v>2014</v>
      </c>
      <c r="C174" s="574" t="s">
        <v>28</v>
      </c>
      <c r="D174" s="574" t="s">
        <v>298</v>
      </c>
      <c r="E174" s="574">
        <f t="shared" si="7"/>
        <v>81.511499999999998</v>
      </c>
      <c r="F174" s="116" t="str">
        <f t="shared" si="6"/>
        <v/>
      </c>
    </row>
    <row r="175" spans="1:7" x14ac:dyDescent="0.3">
      <c r="A175" s="574">
        <v>9.0299999999999994</v>
      </c>
      <c r="B175" s="574">
        <v>2014</v>
      </c>
      <c r="C175" s="574" t="s">
        <v>4</v>
      </c>
      <c r="D175" s="574" t="s">
        <v>300</v>
      </c>
      <c r="E175" s="574">
        <f t="shared" si="7"/>
        <v>9.0299999999999994</v>
      </c>
      <c r="F175" s="116" t="str">
        <f t="shared" si="6"/>
        <v/>
      </c>
    </row>
    <row r="176" spans="1:7" x14ac:dyDescent="0.3">
      <c r="A176" s="574">
        <v>65.599800000000002</v>
      </c>
      <c r="B176" s="574">
        <v>2014</v>
      </c>
      <c r="C176" s="574" t="s">
        <v>0</v>
      </c>
      <c r="D176" s="574" t="s">
        <v>303</v>
      </c>
      <c r="E176" s="574">
        <f t="shared" si="7"/>
        <v>65.599800000000002</v>
      </c>
      <c r="F176" s="116" t="str">
        <f t="shared" si="6"/>
        <v/>
      </c>
    </row>
    <row r="177" spans="1:6" x14ac:dyDescent="0.3">
      <c r="A177" s="574">
        <v>0.17849999999999999</v>
      </c>
      <c r="B177" s="574">
        <v>2014</v>
      </c>
      <c r="C177" s="574" t="s">
        <v>10</v>
      </c>
      <c r="D177" s="574" t="s">
        <v>564</v>
      </c>
      <c r="E177" s="574">
        <f t="shared" si="7"/>
        <v>0.17849999999999999</v>
      </c>
      <c r="F177" s="116" t="str">
        <f t="shared" si="6"/>
        <v/>
      </c>
    </row>
    <row r="178" spans="1:6" x14ac:dyDescent="0.3">
      <c r="A178" s="574">
        <v>3.9375</v>
      </c>
      <c r="B178" s="574">
        <v>2014</v>
      </c>
      <c r="C178" s="574" t="s">
        <v>0</v>
      </c>
      <c r="D178" s="574" t="s">
        <v>386</v>
      </c>
      <c r="E178" s="574">
        <f t="shared" si="7"/>
        <v>3.9375</v>
      </c>
      <c r="F178" s="116" t="str">
        <f t="shared" si="6"/>
        <v/>
      </c>
    </row>
    <row r="179" spans="1:6" x14ac:dyDescent="0.3">
      <c r="A179" s="574">
        <v>1.0500000000000001E-2</v>
      </c>
      <c r="B179" s="574">
        <v>2014</v>
      </c>
      <c r="C179" s="574" t="s">
        <v>10</v>
      </c>
      <c r="D179" s="574" t="s">
        <v>565</v>
      </c>
      <c r="E179" s="574">
        <f t="shared" si="7"/>
        <v>1.0500000000000001E-2</v>
      </c>
      <c r="F179" s="116" t="str">
        <f t="shared" si="6"/>
        <v/>
      </c>
    </row>
    <row r="180" spans="1:6" x14ac:dyDescent="0.3">
      <c r="A180" s="574">
        <v>1.722</v>
      </c>
      <c r="B180" s="574">
        <v>2014</v>
      </c>
      <c r="C180" s="574" t="s">
        <v>11</v>
      </c>
      <c r="D180" s="574" t="s">
        <v>306</v>
      </c>
      <c r="E180" s="574">
        <f t="shared" si="7"/>
        <v>1.722</v>
      </c>
      <c r="F180" s="116" t="str">
        <f t="shared" si="6"/>
        <v/>
      </c>
    </row>
    <row r="181" spans="1:6" x14ac:dyDescent="0.3">
      <c r="A181" s="574">
        <v>95.283299999999997</v>
      </c>
      <c r="B181" s="574">
        <v>2014</v>
      </c>
      <c r="C181" s="574" t="s">
        <v>40</v>
      </c>
      <c r="D181" s="574" t="s">
        <v>307</v>
      </c>
      <c r="E181" s="574">
        <f t="shared" si="7"/>
        <v>95.283299999999997</v>
      </c>
      <c r="F181" s="116" t="str">
        <f t="shared" si="6"/>
        <v/>
      </c>
    </row>
    <row r="182" spans="1:6" x14ac:dyDescent="0.3">
      <c r="A182" s="574">
        <v>0.51870000000000005</v>
      </c>
      <c r="B182" s="574">
        <v>2014</v>
      </c>
      <c r="C182" s="574" t="s">
        <v>10</v>
      </c>
      <c r="D182" s="574" t="s">
        <v>308</v>
      </c>
      <c r="E182" s="574">
        <f t="shared" si="7"/>
        <v>0.51870000000000005</v>
      </c>
      <c r="F182" s="116" t="str">
        <f t="shared" si="6"/>
        <v/>
      </c>
    </row>
    <row r="183" spans="1:6" x14ac:dyDescent="0.3">
      <c r="A183" s="574">
        <v>11.243399999999999</v>
      </c>
      <c r="B183" s="574">
        <v>2014</v>
      </c>
      <c r="C183" s="574" t="s">
        <v>32</v>
      </c>
      <c r="D183" s="574" t="s">
        <v>308</v>
      </c>
      <c r="E183" s="574">
        <f t="shared" si="7"/>
        <v>11.243399999999999</v>
      </c>
      <c r="F183" s="116" t="str">
        <f t="shared" si="6"/>
        <v/>
      </c>
    </row>
    <row r="184" spans="1:6" x14ac:dyDescent="0.3">
      <c r="A184" s="574">
        <v>6.4617000000000004</v>
      </c>
      <c r="B184" s="574">
        <v>2014</v>
      </c>
      <c r="C184" s="574" t="s">
        <v>10</v>
      </c>
      <c r="D184" s="574" t="s">
        <v>566</v>
      </c>
      <c r="E184" s="574">
        <f t="shared" si="7"/>
        <v>6.4617000000000004</v>
      </c>
      <c r="F184" s="116" t="str">
        <f t="shared" si="6"/>
        <v/>
      </c>
    </row>
    <row r="185" spans="1:6" x14ac:dyDescent="0.3">
      <c r="A185" s="574">
        <v>29.761199999999999</v>
      </c>
      <c r="B185" s="574">
        <v>2014</v>
      </c>
      <c r="C185" s="574" t="s">
        <v>28</v>
      </c>
      <c r="D185" s="574" t="s">
        <v>310</v>
      </c>
      <c r="E185" s="574">
        <f t="shared" si="7"/>
        <v>29.761199999999999</v>
      </c>
      <c r="F185" s="116" t="str">
        <f t="shared" si="6"/>
        <v/>
      </c>
    </row>
    <row r="186" spans="1:6" x14ac:dyDescent="0.3">
      <c r="A186" s="574">
        <v>56.823900000000002</v>
      </c>
      <c r="B186" s="574">
        <v>2014</v>
      </c>
      <c r="C186" s="574" t="s">
        <v>0</v>
      </c>
      <c r="D186" s="574" t="s">
        <v>311</v>
      </c>
      <c r="E186" s="574">
        <f t="shared" si="7"/>
        <v>56.823900000000002</v>
      </c>
      <c r="F186" s="116" t="str">
        <f t="shared" si="6"/>
        <v/>
      </c>
    </row>
    <row r="187" spans="1:6" x14ac:dyDescent="0.3">
      <c r="A187" s="574">
        <v>10.9053</v>
      </c>
      <c r="B187" s="574">
        <v>2014</v>
      </c>
      <c r="C187" s="574" t="s">
        <v>49</v>
      </c>
      <c r="D187" s="574" t="s">
        <v>312</v>
      </c>
      <c r="E187" s="574">
        <f t="shared" si="7"/>
        <v>10.9053</v>
      </c>
      <c r="F187" s="116" t="str">
        <f t="shared" si="6"/>
        <v/>
      </c>
    </row>
    <row r="188" spans="1:6" x14ac:dyDescent="0.3">
      <c r="A188" s="574">
        <v>36.290100000000002</v>
      </c>
      <c r="B188" s="574">
        <v>2014</v>
      </c>
      <c r="C188" s="574" t="s">
        <v>38</v>
      </c>
      <c r="D188" s="574" t="s">
        <v>313</v>
      </c>
      <c r="E188" s="574">
        <f t="shared" si="7"/>
        <v>36.290100000000002</v>
      </c>
      <c r="F188" s="116" t="str">
        <f t="shared" si="6"/>
        <v/>
      </c>
    </row>
    <row r="189" spans="1:6" x14ac:dyDescent="0.3">
      <c r="A189" s="574">
        <v>1.0310999999999999</v>
      </c>
      <c r="B189" s="574">
        <v>2014</v>
      </c>
      <c r="C189" s="574" t="s">
        <v>32</v>
      </c>
      <c r="D189" s="574" t="s">
        <v>314</v>
      </c>
      <c r="E189" s="574">
        <f t="shared" si="7"/>
        <v>1.0310999999999999</v>
      </c>
      <c r="F189" s="116" t="str">
        <f t="shared" si="6"/>
        <v/>
      </c>
    </row>
    <row r="190" spans="1:6" x14ac:dyDescent="0.3">
      <c r="A190" s="574">
        <v>38.988599999999998</v>
      </c>
      <c r="B190" s="574">
        <v>2014</v>
      </c>
      <c r="C190" s="574" t="s">
        <v>42</v>
      </c>
      <c r="D190" s="574" t="s">
        <v>314</v>
      </c>
      <c r="E190" s="574">
        <f t="shared" si="7"/>
        <v>38.988599999999998</v>
      </c>
      <c r="F190" s="116" t="str">
        <f t="shared" si="6"/>
        <v/>
      </c>
    </row>
    <row r="191" spans="1:6" x14ac:dyDescent="0.3">
      <c r="A191" s="574">
        <v>9.0342000000000002</v>
      </c>
      <c r="B191" s="574">
        <v>2014</v>
      </c>
      <c r="C191" s="574" t="s">
        <v>49</v>
      </c>
      <c r="D191" s="574" t="s">
        <v>315</v>
      </c>
      <c r="E191" s="574">
        <f t="shared" si="7"/>
        <v>9.0342000000000002</v>
      </c>
      <c r="F191" s="116" t="str">
        <f t="shared" si="6"/>
        <v/>
      </c>
    </row>
    <row r="192" spans="1:6" x14ac:dyDescent="0.3">
      <c r="A192" s="574">
        <v>8.2887000000000004</v>
      </c>
      <c r="B192" s="574">
        <v>2014</v>
      </c>
      <c r="C192" s="574" t="s">
        <v>36</v>
      </c>
      <c r="D192" s="574" t="s">
        <v>316</v>
      </c>
      <c r="E192" s="574">
        <f t="shared" si="7"/>
        <v>8.2887000000000004</v>
      </c>
      <c r="F192" s="116" t="str">
        <f t="shared" si="6"/>
        <v/>
      </c>
    </row>
    <row r="193" spans="1:6" x14ac:dyDescent="0.3">
      <c r="A193" s="574">
        <v>58.113299999999903</v>
      </c>
      <c r="B193" s="574">
        <v>2014</v>
      </c>
      <c r="C193" s="574" t="s">
        <v>7</v>
      </c>
      <c r="D193" s="574" t="s">
        <v>317</v>
      </c>
      <c r="E193" s="574">
        <f t="shared" si="7"/>
        <v>58.113299999999903</v>
      </c>
      <c r="F193" s="116" t="str">
        <f t="shared" si="6"/>
        <v/>
      </c>
    </row>
    <row r="194" spans="1:6" x14ac:dyDescent="0.3">
      <c r="A194" s="574">
        <v>0.67200000000000004</v>
      </c>
      <c r="B194" s="574">
        <v>2014</v>
      </c>
      <c r="C194" s="574" t="s">
        <v>10</v>
      </c>
      <c r="D194" s="574" t="s">
        <v>317</v>
      </c>
      <c r="E194" s="574">
        <f t="shared" si="7"/>
        <v>0.67200000000000004</v>
      </c>
      <c r="F194" s="116" t="str">
        <f t="shared" si="6"/>
        <v/>
      </c>
    </row>
    <row r="195" spans="1:6" x14ac:dyDescent="0.3">
      <c r="A195" s="574">
        <v>1.1906999999999901</v>
      </c>
      <c r="B195" s="574">
        <v>2014</v>
      </c>
      <c r="C195" s="574" t="s">
        <v>103</v>
      </c>
      <c r="D195" s="574" t="s">
        <v>321</v>
      </c>
      <c r="E195" s="574">
        <f t="shared" si="7"/>
        <v>1.1906999999999901</v>
      </c>
      <c r="F195" s="116" t="str">
        <f t="shared" si="6"/>
        <v/>
      </c>
    </row>
    <row r="196" spans="1:6" x14ac:dyDescent="0.3">
      <c r="A196" s="574">
        <v>86.625</v>
      </c>
      <c r="B196" s="574">
        <v>2014</v>
      </c>
      <c r="C196" s="574" t="s">
        <v>39</v>
      </c>
      <c r="D196" s="574" t="s">
        <v>322</v>
      </c>
      <c r="E196" s="574">
        <f t="shared" si="7"/>
        <v>86.625</v>
      </c>
      <c r="F196" s="116" t="str">
        <f t="shared" ref="F196:F227" si="8">IF(E196=A196,"","Y")</f>
        <v/>
      </c>
    </row>
    <row r="197" spans="1:6" x14ac:dyDescent="0.3">
      <c r="A197" s="574">
        <v>582.21400000000006</v>
      </c>
      <c r="B197" s="574">
        <v>2014</v>
      </c>
      <c r="C197" s="574" t="s">
        <v>52</v>
      </c>
      <c r="D197" s="574" t="s">
        <v>325</v>
      </c>
      <c r="E197" s="574">
        <f t="shared" si="7"/>
        <v>582.21400000000006</v>
      </c>
      <c r="F197" s="116" t="str">
        <f t="shared" si="8"/>
        <v/>
      </c>
    </row>
    <row r="198" spans="1:6" x14ac:dyDescent="0.3">
      <c r="A198" s="574">
        <v>3.3369</v>
      </c>
      <c r="B198" s="574">
        <v>2014</v>
      </c>
      <c r="C198" s="574" t="s">
        <v>0</v>
      </c>
      <c r="D198" s="574" t="s">
        <v>326</v>
      </c>
      <c r="E198" s="574">
        <f t="shared" si="7"/>
        <v>3.3369</v>
      </c>
      <c r="F198" s="116" t="str">
        <f t="shared" si="8"/>
        <v/>
      </c>
    </row>
    <row r="199" spans="1:6" x14ac:dyDescent="0.3">
      <c r="A199" s="574">
        <v>1.0983000000000001</v>
      </c>
      <c r="B199" s="574">
        <v>2014</v>
      </c>
      <c r="C199" s="574" t="s">
        <v>14</v>
      </c>
      <c r="D199" s="574" t="s">
        <v>326</v>
      </c>
      <c r="E199" s="574">
        <f t="shared" si="7"/>
        <v>1.0983000000000001</v>
      </c>
      <c r="F199" s="116" t="str">
        <f t="shared" si="8"/>
        <v/>
      </c>
    </row>
    <row r="200" spans="1:6" x14ac:dyDescent="0.3">
      <c r="A200" s="574">
        <v>4.8216000000000001</v>
      </c>
      <c r="B200" s="574">
        <v>2014</v>
      </c>
      <c r="C200" s="574" t="s">
        <v>20</v>
      </c>
      <c r="D200" s="574" t="s">
        <v>326</v>
      </c>
      <c r="E200" s="574">
        <f t="shared" si="7"/>
        <v>4.8216000000000001</v>
      </c>
      <c r="F200" s="116" t="str">
        <f t="shared" si="8"/>
        <v/>
      </c>
    </row>
    <row r="201" spans="1:6" x14ac:dyDescent="0.3">
      <c r="A201" s="574">
        <v>32.003999999999998</v>
      </c>
      <c r="B201" s="574">
        <v>2014</v>
      </c>
      <c r="C201" s="574" t="s">
        <v>40</v>
      </c>
      <c r="D201" s="574" t="s">
        <v>327</v>
      </c>
      <c r="E201" s="574">
        <f t="shared" si="7"/>
        <v>32.003999999999998</v>
      </c>
      <c r="F201" s="116" t="str">
        <f t="shared" si="8"/>
        <v/>
      </c>
    </row>
    <row r="202" spans="1:6" x14ac:dyDescent="0.3">
      <c r="A202" s="574">
        <v>9.9077999999999999</v>
      </c>
      <c r="B202" s="574">
        <v>2014</v>
      </c>
      <c r="C202" s="574" t="s">
        <v>11</v>
      </c>
      <c r="D202" s="574" t="s">
        <v>328</v>
      </c>
      <c r="E202" s="574">
        <f t="shared" si="7"/>
        <v>9.9077999999999999</v>
      </c>
      <c r="F202" s="116" t="str">
        <f t="shared" si="8"/>
        <v/>
      </c>
    </row>
    <row r="203" spans="1:6" x14ac:dyDescent="0.3">
      <c r="A203" s="574">
        <v>2.6985000000000001</v>
      </c>
      <c r="B203" s="574">
        <v>2014</v>
      </c>
      <c r="C203" s="574" t="s">
        <v>31</v>
      </c>
      <c r="D203" s="574" t="s">
        <v>329</v>
      </c>
      <c r="E203" s="574">
        <f t="shared" si="7"/>
        <v>2.6985000000000001</v>
      </c>
      <c r="F203" s="116" t="str">
        <f t="shared" si="8"/>
        <v/>
      </c>
    </row>
    <row r="204" spans="1:6" x14ac:dyDescent="0.3">
      <c r="A204" s="574">
        <v>0.99329999999999996</v>
      </c>
      <c r="B204" s="574">
        <v>2014</v>
      </c>
      <c r="C204" s="574" t="s">
        <v>14</v>
      </c>
      <c r="D204" s="574" t="s">
        <v>330</v>
      </c>
      <c r="E204" s="574">
        <f t="shared" si="7"/>
        <v>0.99329999999999996</v>
      </c>
      <c r="F204" s="116" t="str">
        <f t="shared" si="8"/>
        <v/>
      </c>
    </row>
    <row r="205" spans="1:6" x14ac:dyDescent="0.3">
      <c r="A205" s="574">
        <v>33.297600000000003</v>
      </c>
      <c r="B205" s="574">
        <v>2014</v>
      </c>
      <c r="C205" s="574" t="s">
        <v>37</v>
      </c>
      <c r="D205" s="574" t="s">
        <v>331</v>
      </c>
      <c r="E205" s="574">
        <f t="shared" si="7"/>
        <v>33.297600000000003</v>
      </c>
      <c r="F205" s="116" t="str">
        <f t="shared" si="8"/>
        <v/>
      </c>
    </row>
    <row r="206" spans="1:6" x14ac:dyDescent="0.3">
      <c r="A206" s="574">
        <v>41.651400000000002</v>
      </c>
      <c r="B206" s="574">
        <v>2014</v>
      </c>
      <c r="C206" s="574" t="s">
        <v>28</v>
      </c>
      <c r="D206" s="574" t="s">
        <v>332</v>
      </c>
      <c r="E206" s="574">
        <f t="shared" si="7"/>
        <v>41.651400000000002</v>
      </c>
      <c r="F206" s="116" t="str">
        <f t="shared" si="8"/>
        <v/>
      </c>
    </row>
    <row r="207" spans="1:6" x14ac:dyDescent="0.3">
      <c r="A207" s="574">
        <v>0.30659999999999998</v>
      </c>
      <c r="B207" s="574">
        <v>2014</v>
      </c>
      <c r="C207" s="574" t="s">
        <v>4</v>
      </c>
      <c r="D207" s="574" t="s">
        <v>333</v>
      </c>
      <c r="E207" s="574">
        <f t="shared" si="7"/>
        <v>0.30659999999999998</v>
      </c>
      <c r="F207" s="116" t="str">
        <f t="shared" si="8"/>
        <v/>
      </c>
    </row>
    <row r="208" spans="1:6" x14ac:dyDescent="0.3">
      <c r="A208" s="574">
        <v>85.140299999999996</v>
      </c>
      <c r="B208" s="574">
        <v>2014</v>
      </c>
      <c r="C208" s="574" t="s">
        <v>26</v>
      </c>
      <c r="D208" s="574" t="s">
        <v>333</v>
      </c>
      <c r="E208" s="574">
        <f t="shared" si="7"/>
        <v>85.140299999999996</v>
      </c>
      <c r="F208" s="116" t="str">
        <f t="shared" si="8"/>
        <v/>
      </c>
    </row>
    <row r="209" spans="1:6" x14ac:dyDescent="0.3">
      <c r="A209" s="574">
        <v>0.37380000000000002</v>
      </c>
      <c r="B209" s="574">
        <v>2014</v>
      </c>
      <c r="C209" s="574" t="s">
        <v>4</v>
      </c>
      <c r="D209" s="574" t="s">
        <v>334</v>
      </c>
      <c r="E209" s="574">
        <f t="shared" si="7"/>
        <v>0.37380000000000002</v>
      </c>
      <c r="F209" s="116" t="str">
        <f t="shared" si="8"/>
        <v/>
      </c>
    </row>
    <row r="210" spans="1:6" x14ac:dyDescent="0.3">
      <c r="A210" s="574">
        <v>49.253399999999999</v>
      </c>
      <c r="B210" s="574">
        <v>2014</v>
      </c>
      <c r="C210" s="574" t="s">
        <v>28</v>
      </c>
      <c r="D210" s="574" t="s">
        <v>336</v>
      </c>
      <c r="E210" s="574">
        <f t="shared" si="7"/>
        <v>49.253399999999999</v>
      </c>
      <c r="F210" s="116" t="str">
        <f t="shared" si="8"/>
        <v/>
      </c>
    </row>
    <row r="211" spans="1:6" x14ac:dyDescent="0.3">
      <c r="A211" s="574">
        <v>53.1006</v>
      </c>
      <c r="B211" s="574">
        <v>2014</v>
      </c>
      <c r="C211" s="574" t="s">
        <v>40</v>
      </c>
      <c r="D211" s="574" t="s">
        <v>337</v>
      </c>
      <c r="E211" s="574">
        <f t="shared" si="7"/>
        <v>53.1006</v>
      </c>
      <c r="F211" s="116" t="str">
        <f t="shared" si="8"/>
        <v/>
      </c>
    </row>
    <row r="212" spans="1:6" x14ac:dyDescent="0.3">
      <c r="A212" s="574">
        <v>85.304100000000005</v>
      </c>
      <c r="B212" s="574">
        <v>2014</v>
      </c>
      <c r="C212" s="574" t="s">
        <v>37</v>
      </c>
      <c r="D212" s="574" t="s">
        <v>338</v>
      </c>
      <c r="E212" s="574">
        <f t="shared" si="7"/>
        <v>85.304100000000005</v>
      </c>
      <c r="F212" s="116" t="str">
        <f t="shared" si="8"/>
        <v/>
      </c>
    </row>
    <row r="213" spans="1:6" x14ac:dyDescent="0.3">
      <c r="A213" s="574">
        <v>13.156499999999999</v>
      </c>
      <c r="B213" s="574">
        <v>2014</v>
      </c>
      <c r="C213" s="574" t="s">
        <v>51</v>
      </c>
      <c r="D213" s="574" t="s">
        <v>339</v>
      </c>
      <c r="E213" s="574">
        <f t="shared" si="7"/>
        <v>13.156499999999999</v>
      </c>
      <c r="F213" s="116" t="str">
        <f t="shared" si="8"/>
        <v/>
      </c>
    </row>
    <row r="214" spans="1:6" x14ac:dyDescent="0.3">
      <c r="A214" s="574">
        <v>36.264899999999997</v>
      </c>
      <c r="B214" s="574">
        <v>2014</v>
      </c>
      <c r="C214" s="574" t="s">
        <v>28</v>
      </c>
      <c r="D214" s="574" t="s">
        <v>342</v>
      </c>
      <c r="E214" s="574">
        <f t="shared" si="7"/>
        <v>36.264899999999997</v>
      </c>
      <c r="F214" s="116" t="str">
        <f t="shared" si="8"/>
        <v/>
      </c>
    </row>
    <row r="215" spans="1:6" x14ac:dyDescent="0.3">
      <c r="A215" s="574">
        <v>0.189</v>
      </c>
      <c r="B215" s="574">
        <v>2014</v>
      </c>
      <c r="C215" s="574" t="s">
        <v>17</v>
      </c>
      <c r="D215" s="574" t="s">
        <v>578</v>
      </c>
      <c r="E215" s="574">
        <f t="shared" si="7"/>
        <v>0.189</v>
      </c>
      <c r="F215" s="116" t="str">
        <f t="shared" si="8"/>
        <v/>
      </c>
    </row>
    <row r="216" spans="1:6" x14ac:dyDescent="0.3">
      <c r="A216" s="574">
        <v>12.6084</v>
      </c>
      <c r="B216" s="574">
        <v>2014</v>
      </c>
      <c r="C216" s="574" t="s">
        <v>12</v>
      </c>
      <c r="D216" s="574" t="s">
        <v>344</v>
      </c>
      <c r="E216" s="574">
        <f t="shared" si="7"/>
        <v>12.6084</v>
      </c>
      <c r="F216" s="116" t="str">
        <f t="shared" si="8"/>
        <v/>
      </c>
    </row>
    <row r="217" spans="1:6" x14ac:dyDescent="0.3">
      <c r="A217" s="574">
        <v>10.428599999999999</v>
      </c>
      <c r="B217" s="574">
        <v>2014</v>
      </c>
      <c r="C217" s="574" t="s">
        <v>12</v>
      </c>
      <c r="D217" s="574" t="s">
        <v>345</v>
      </c>
      <c r="E217" s="574">
        <f t="shared" si="7"/>
        <v>10.428599999999999</v>
      </c>
      <c r="F217" s="116" t="str">
        <f t="shared" si="8"/>
        <v/>
      </c>
    </row>
    <row r="218" spans="1:6" x14ac:dyDescent="0.3">
      <c r="A218" s="574">
        <v>9.4352999999999998</v>
      </c>
      <c r="B218" s="574">
        <v>2014</v>
      </c>
      <c r="C218" s="574" t="s">
        <v>2</v>
      </c>
      <c r="D218" s="574" t="s">
        <v>346</v>
      </c>
      <c r="E218" s="581">
        <f>A218/5</f>
        <v>1.88706</v>
      </c>
      <c r="F218" s="116" t="str">
        <f t="shared" si="8"/>
        <v>Y</v>
      </c>
    </row>
    <row r="219" spans="1:6" x14ac:dyDescent="0.3">
      <c r="A219" s="574">
        <v>20.4267</v>
      </c>
      <c r="B219" s="574">
        <v>2014</v>
      </c>
      <c r="C219" s="574" t="s">
        <v>68</v>
      </c>
      <c r="D219" s="574" t="s">
        <v>347</v>
      </c>
      <c r="E219" s="574">
        <f t="shared" si="7"/>
        <v>20.4267</v>
      </c>
      <c r="F219" s="116" t="str">
        <f t="shared" si="8"/>
        <v/>
      </c>
    </row>
    <row r="220" spans="1:6" x14ac:dyDescent="0.3">
      <c r="A220" s="574">
        <v>70.297499999999999</v>
      </c>
      <c r="B220" s="574">
        <v>2014</v>
      </c>
      <c r="C220" s="574" t="s">
        <v>37</v>
      </c>
      <c r="D220" s="574" t="s">
        <v>348</v>
      </c>
      <c r="E220" s="574">
        <f t="shared" si="7"/>
        <v>70.297499999999999</v>
      </c>
      <c r="F220" s="116" t="str">
        <f t="shared" si="8"/>
        <v/>
      </c>
    </row>
    <row r="221" spans="1:6" x14ac:dyDescent="0.3">
      <c r="A221" s="574">
        <v>46.183199999999999</v>
      </c>
      <c r="B221" s="574">
        <v>2014</v>
      </c>
      <c r="C221" s="574" t="s">
        <v>36</v>
      </c>
      <c r="D221" s="574" t="s">
        <v>349</v>
      </c>
      <c r="E221" s="574">
        <f t="shared" si="7"/>
        <v>46.183199999999999</v>
      </c>
      <c r="F221" s="116" t="str">
        <f t="shared" si="8"/>
        <v/>
      </c>
    </row>
    <row r="222" spans="1:6" x14ac:dyDescent="0.3">
      <c r="A222" s="574">
        <v>2.226</v>
      </c>
      <c r="B222" s="574">
        <v>2014</v>
      </c>
      <c r="C222" s="574" t="s">
        <v>4</v>
      </c>
      <c r="D222" s="574" t="s">
        <v>562</v>
      </c>
      <c r="E222" s="574">
        <f t="shared" si="7"/>
        <v>2.226</v>
      </c>
      <c r="F222" s="116" t="str">
        <f t="shared" si="8"/>
        <v/>
      </c>
    </row>
    <row r="223" spans="1:6" x14ac:dyDescent="0.3">
      <c r="A223" s="574">
        <v>4.3596000000000004</v>
      </c>
      <c r="B223" s="574">
        <v>2014</v>
      </c>
      <c r="C223" s="574" t="s">
        <v>20</v>
      </c>
      <c r="D223" s="574" t="s">
        <v>353</v>
      </c>
      <c r="E223" s="574">
        <f t="shared" si="7"/>
        <v>4.3596000000000004</v>
      </c>
      <c r="F223" s="116" t="str">
        <f t="shared" si="8"/>
        <v/>
      </c>
    </row>
    <row r="224" spans="1:6" x14ac:dyDescent="0.3">
      <c r="A224" s="574">
        <v>86.339399999999998</v>
      </c>
      <c r="B224" s="574">
        <v>2014</v>
      </c>
      <c r="C224" s="574" t="s">
        <v>36</v>
      </c>
      <c r="D224" s="574" t="s">
        <v>355</v>
      </c>
      <c r="E224" s="574">
        <f t="shared" si="7"/>
        <v>86.339399999999998</v>
      </c>
      <c r="F224" s="116" t="str">
        <f t="shared" si="8"/>
        <v/>
      </c>
    </row>
    <row r="225" spans="1:6" x14ac:dyDescent="0.3">
      <c r="A225" s="574">
        <v>4.7439</v>
      </c>
      <c r="B225" s="574">
        <v>2014</v>
      </c>
      <c r="C225" s="574" t="s">
        <v>28</v>
      </c>
      <c r="D225" s="574" t="s">
        <v>356</v>
      </c>
      <c r="E225" s="574">
        <f t="shared" si="7"/>
        <v>4.7439</v>
      </c>
      <c r="F225" s="116" t="str">
        <f t="shared" si="8"/>
        <v/>
      </c>
    </row>
    <row r="226" spans="1:6" x14ac:dyDescent="0.3">
      <c r="A226" s="574">
        <v>0.94499999999999995</v>
      </c>
      <c r="B226" s="574">
        <v>2014</v>
      </c>
      <c r="C226" s="574" t="s">
        <v>14</v>
      </c>
      <c r="D226" s="574" t="s">
        <v>357</v>
      </c>
      <c r="E226" s="574">
        <f t="shared" si="7"/>
        <v>0.94499999999999995</v>
      </c>
      <c r="F226" s="116" t="str">
        <f t="shared" si="8"/>
        <v/>
      </c>
    </row>
    <row r="227" spans="1:6" x14ac:dyDescent="0.3">
      <c r="A227" s="574">
        <v>1.0038</v>
      </c>
      <c r="B227" s="574">
        <v>2014</v>
      </c>
      <c r="C227" s="574" t="s">
        <v>14</v>
      </c>
      <c r="D227" s="574" t="s">
        <v>358</v>
      </c>
      <c r="E227" s="574">
        <f t="shared" ref="E227" si="9">A227</f>
        <v>1.0038</v>
      </c>
      <c r="F227" s="116" t="str">
        <f t="shared" si="8"/>
        <v/>
      </c>
    </row>
    <row r="228" spans="1:6" x14ac:dyDescent="0.3">
      <c r="A228" s="174"/>
      <c r="B228" s="174"/>
      <c r="C228" s="174"/>
      <c r="D228" s="174"/>
      <c r="E228" s="174"/>
    </row>
    <row r="229" spans="1:6" x14ac:dyDescent="0.3">
      <c r="A229" s="174"/>
      <c r="B229" s="174"/>
      <c r="C229" s="174"/>
      <c r="D229" s="174"/>
      <c r="E229" s="174"/>
    </row>
    <row r="230" spans="1:6" x14ac:dyDescent="0.3">
      <c r="A230" s="174"/>
      <c r="B230" s="174"/>
      <c r="C230" s="174"/>
      <c r="D230" s="174"/>
      <c r="E230" s="174"/>
    </row>
    <row r="231" spans="1:6" x14ac:dyDescent="0.3">
      <c r="A231" s="174"/>
      <c r="B231" s="174"/>
      <c r="C231" s="174"/>
      <c r="D231" s="174"/>
      <c r="E231" s="174"/>
    </row>
    <row r="232" spans="1:6" x14ac:dyDescent="0.3">
      <c r="A232" s="174"/>
      <c r="B232" s="174"/>
      <c r="C232" s="174"/>
      <c r="D232" s="174"/>
      <c r="E232" s="174"/>
    </row>
    <row r="233" spans="1:6" x14ac:dyDescent="0.3">
      <c r="A233" s="174"/>
      <c r="B233" s="174"/>
      <c r="C233" s="174"/>
      <c r="D233" s="174"/>
      <c r="E233" s="174"/>
    </row>
    <row r="234" spans="1:6" x14ac:dyDescent="0.3">
      <c r="A234" s="174"/>
      <c r="B234" s="174"/>
      <c r="C234" s="174"/>
      <c r="D234" s="174"/>
      <c r="E234" s="174"/>
    </row>
    <row r="235" spans="1:6" x14ac:dyDescent="0.3">
      <c r="A235" s="174"/>
      <c r="B235" s="174"/>
      <c r="C235" s="174"/>
      <c r="D235" s="174"/>
      <c r="E235" s="174"/>
    </row>
    <row r="236" spans="1:6" x14ac:dyDescent="0.3">
      <c r="A236" s="174"/>
      <c r="B236" s="174"/>
      <c r="C236" s="174"/>
      <c r="D236" s="174"/>
      <c r="E236" s="174"/>
    </row>
    <row r="237" spans="1:6" x14ac:dyDescent="0.3">
      <c r="A237" s="174"/>
      <c r="B237" s="174"/>
      <c r="C237" s="174"/>
      <c r="D237" s="174"/>
      <c r="E237" s="174"/>
    </row>
    <row r="238" spans="1:6" x14ac:dyDescent="0.3">
      <c r="A238" s="174"/>
      <c r="B238" s="174"/>
      <c r="C238" s="174"/>
      <c r="D238" s="174"/>
      <c r="E238" s="174"/>
    </row>
    <row r="239" spans="1:6" x14ac:dyDescent="0.3">
      <c r="A239" s="174"/>
      <c r="B239" s="174"/>
      <c r="C239" s="174"/>
      <c r="D239" s="174"/>
      <c r="E239" s="174"/>
    </row>
    <row r="240" spans="1:6" x14ac:dyDescent="0.3">
      <c r="A240" s="174"/>
      <c r="B240" s="174"/>
      <c r="C240" s="174"/>
      <c r="D240" s="174"/>
      <c r="E240" s="174"/>
    </row>
    <row r="241" spans="1:5" x14ac:dyDescent="0.3">
      <c r="A241" s="174"/>
      <c r="B241" s="174"/>
      <c r="C241" s="174"/>
      <c r="D241" s="174"/>
      <c r="E241" s="174"/>
    </row>
    <row r="242" spans="1:5" x14ac:dyDescent="0.3">
      <c r="A242" s="174"/>
      <c r="B242" s="174"/>
      <c r="C242" s="174"/>
      <c r="D242" s="174"/>
      <c r="E242" s="174"/>
    </row>
    <row r="243" spans="1:5" x14ac:dyDescent="0.3">
      <c r="A243" s="174"/>
      <c r="B243" s="174"/>
      <c r="C243" s="174"/>
      <c r="D243" s="174"/>
      <c r="E243" s="174"/>
    </row>
    <row r="244" spans="1:5" x14ac:dyDescent="0.3">
      <c r="A244" s="174"/>
      <c r="B244" s="174"/>
      <c r="C244" s="174"/>
      <c r="D244" s="174"/>
      <c r="E244" s="174"/>
    </row>
    <row r="245" spans="1:5" x14ac:dyDescent="0.3">
      <c r="A245" s="174"/>
      <c r="B245" s="174"/>
      <c r="C245" s="174"/>
      <c r="D245" s="174"/>
      <c r="E245" s="174"/>
    </row>
    <row r="246" spans="1:5" x14ac:dyDescent="0.3">
      <c r="A246" s="174"/>
      <c r="B246" s="174"/>
      <c r="C246" s="174"/>
      <c r="D246" s="174"/>
      <c r="E246" s="174"/>
    </row>
    <row r="247" spans="1:5" x14ac:dyDescent="0.3">
      <c r="A247" s="174"/>
      <c r="B247" s="174"/>
      <c r="C247" s="174"/>
      <c r="D247" s="174"/>
      <c r="E247" s="174"/>
    </row>
    <row r="248" spans="1:5" x14ac:dyDescent="0.3">
      <c r="A248" s="174"/>
      <c r="B248" s="174"/>
      <c r="C248" s="174"/>
      <c r="D248" s="174"/>
      <c r="E248" s="174"/>
    </row>
    <row r="249" spans="1:5" x14ac:dyDescent="0.3">
      <c r="A249" s="174"/>
      <c r="B249" s="174"/>
      <c r="C249" s="174"/>
      <c r="D249" s="174"/>
      <c r="E249" s="174"/>
    </row>
    <row r="250" spans="1:5" x14ac:dyDescent="0.3">
      <c r="A250" s="174"/>
      <c r="B250" s="174"/>
      <c r="C250" s="174"/>
      <c r="D250" s="174"/>
      <c r="E250" s="174"/>
    </row>
    <row r="251" spans="1:5" x14ac:dyDescent="0.3">
      <c r="A251" s="174"/>
      <c r="B251" s="174"/>
      <c r="C251" s="174"/>
      <c r="D251" s="174"/>
      <c r="E251" s="174"/>
    </row>
    <row r="252" spans="1:5" x14ac:dyDescent="0.3">
      <c r="A252" s="174"/>
      <c r="B252" s="174"/>
      <c r="C252" s="174"/>
      <c r="D252" s="174"/>
      <c r="E252" s="174"/>
    </row>
    <row r="253" spans="1:5" x14ac:dyDescent="0.3">
      <c r="A253" s="174"/>
      <c r="B253" s="174"/>
      <c r="C253" s="174"/>
      <c r="D253" s="174"/>
      <c r="E253" s="174"/>
    </row>
    <row r="254" spans="1:5" x14ac:dyDescent="0.3">
      <c r="A254" s="174"/>
      <c r="B254" s="174"/>
      <c r="C254" s="174"/>
      <c r="D254" s="174"/>
      <c r="E254" s="174"/>
    </row>
    <row r="255" spans="1:5" x14ac:dyDescent="0.3">
      <c r="A255" s="174"/>
      <c r="B255" s="174"/>
      <c r="C255" s="174"/>
      <c r="D255" s="174"/>
      <c r="E255" s="174"/>
    </row>
    <row r="256" spans="1:5" x14ac:dyDescent="0.3">
      <c r="A256" s="174"/>
      <c r="B256" s="174"/>
      <c r="C256" s="174"/>
      <c r="D256" s="174"/>
      <c r="E256" s="174"/>
    </row>
    <row r="257" spans="1:5" x14ac:dyDescent="0.3">
      <c r="A257" s="174"/>
      <c r="B257" s="174"/>
      <c r="C257" s="174"/>
      <c r="D257" s="174"/>
      <c r="E257" s="174"/>
    </row>
    <row r="258" spans="1:5" x14ac:dyDescent="0.3">
      <c r="A258" s="174"/>
      <c r="B258" s="174"/>
      <c r="C258" s="174"/>
      <c r="D258" s="174"/>
      <c r="E258" s="174"/>
    </row>
    <row r="259" spans="1:5" x14ac:dyDescent="0.3">
      <c r="A259" s="174"/>
      <c r="B259" s="174"/>
      <c r="C259" s="174"/>
      <c r="D259" s="174"/>
      <c r="E259" s="174"/>
    </row>
    <row r="260" spans="1:5" x14ac:dyDescent="0.3">
      <c r="A260" s="174"/>
      <c r="B260" s="174"/>
      <c r="C260" s="174"/>
      <c r="D260" s="174"/>
      <c r="E260" s="174"/>
    </row>
    <row r="261" spans="1:5" x14ac:dyDescent="0.3">
      <c r="A261" s="174"/>
      <c r="B261" s="174"/>
      <c r="C261" s="174"/>
      <c r="D261" s="174"/>
      <c r="E261" s="174"/>
    </row>
    <row r="262" spans="1:5" x14ac:dyDescent="0.3">
      <c r="A262" s="174"/>
      <c r="B262" s="174"/>
      <c r="C262" s="174"/>
      <c r="D262" s="174"/>
      <c r="E262" s="174"/>
    </row>
    <row r="263" spans="1:5" x14ac:dyDescent="0.3">
      <c r="A263" s="174"/>
      <c r="B263" s="174"/>
      <c r="C263" s="174"/>
      <c r="D263" s="174"/>
      <c r="E263" s="174"/>
    </row>
    <row r="264" spans="1:5" x14ac:dyDescent="0.3">
      <c r="A264" s="174"/>
      <c r="B264" s="174"/>
      <c r="C264" s="174"/>
      <c r="D264" s="174"/>
      <c r="E264" s="174"/>
    </row>
    <row r="265" spans="1:5" x14ac:dyDescent="0.3">
      <c r="A265" s="174"/>
      <c r="B265" s="174"/>
      <c r="C265" s="174"/>
      <c r="D265" s="174"/>
      <c r="E265" s="174"/>
    </row>
    <row r="266" spans="1:5" x14ac:dyDescent="0.3">
      <c r="A266" s="174"/>
      <c r="B266" s="174"/>
      <c r="C266" s="174"/>
      <c r="D266" s="174"/>
      <c r="E266" s="174"/>
    </row>
    <row r="267" spans="1:5" x14ac:dyDescent="0.3">
      <c r="A267" s="174"/>
      <c r="B267" s="174"/>
      <c r="C267" s="174"/>
      <c r="D267" s="174"/>
      <c r="E267" s="174"/>
    </row>
    <row r="268" spans="1:5" x14ac:dyDescent="0.3">
      <c r="A268" s="174"/>
      <c r="B268" s="174"/>
      <c r="C268" s="174"/>
      <c r="D268" s="174"/>
      <c r="E268" s="174"/>
    </row>
    <row r="269" spans="1:5" x14ac:dyDescent="0.3">
      <c r="A269" s="174"/>
      <c r="B269" s="174"/>
      <c r="C269" s="174"/>
      <c r="D269" s="174"/>
      <c r="E269" s="174"/>
    </row>
    <row r="270" spans="1:5" x14ac:dyDescent="0.3">
      <c r="A270" s="174"/>
      <c r="B270" s="174"/>
      <c r="C270" s="174"/>
      <c r="D270" s="174"/>
      <c r="E270" s="174"/>
    </row>
    <row r="271" spans="1:5" x14ac:dyDescent="0.3">
      <c r="A271" s="174"/>
      <c r="B271" s="174"/>
      <c r="C271" s="174"/>
      <c r="D271" s="174"/>
      <c r="E271" s="174"/>
    </row>
    <row r="272" spans="1:5" x14ac:dyDescent="0.3">
      <c r="A272" s="174"/>
      <c r="B272" s="174"/>
      <c r="C272" s="174"/>
      <c r="D272" s="174"/>
      <c r="E272" s="174"/>
    </row>
    <row r="273" spans="1:5" x14ac:dyDescent="0.3">
      <c r="A273" s="174"/>
      <c r="B273" s="174"/>
      <c r="C273" s="174"/>
      <c r="D273" s="174"/>
      <c r="E273" s="174"/>
    </row>
    <row r="274" spans="1:5" x14ac:dyDescent="0.3">
      <c r="A274" s="174"/>
      <c r="B274" s="174"/>
      <c r="C274" s="174"/>
      <c r="D274" s="174"/>
      <c r="E274" s="174"/>
    </row>
    <row r="275" spans="1:5" x14ac:dyDescent="0.3">
      <c r="A275" s="174"/>
      <c r="B275" s="174"/>
      <c r="C275" s="174"/>
      <c r="D275" s="174"/>
      <c r="E275" s="174"/>
    </row>
    <row r="276" spans="1:5" x14ac:dyDescent="0.3">
      <c r="A276" s="174"/>
      <c r="B276" s="174"/>
      <c r="C276" s="174"/>
      <c r="D276" s="174"/>
      <c r="E276" s="174"/>
    </row>
    <row r="277" spans="1:5" x14ac:dyDescent="0.3">
      <c r="A277" s="174"/>
      <c r="B277" s="174"/>
      <c r="C277" s="174"/>
      <c r="D277" s="174"/>
      <c r="E277" s="174"/>
    </row>
    <row r="278" spans="1:5" x14ac:dyDescent="0.3">
      <c r="A278" s="174"/>
      <c r="B278" s="174"/>
      <c r="C278" s="174"/>
      <c r="D278" s="174"/>
      <c r="E278" s="174"/>
    </row>
    <row r="279" spans="1:5" x14ac:dyDescent="0.3">
      <c r="A279" s="174"/>
      <c r="B279" s="174"/>
      <c r="C279" s="174"/>
      <c r="D279" s="174"/>
      <c r="E279" s="174"/>
    </row>
    <row r="280" spans="1:5" x14ac:dyDescent="0.3">
      <c r="A280" s="174"/>
      <c r="B280" s="174"/>
      <c r="C280" s="174"/>
      <c r="D280" s="174"/>
      <c r="E280" s="174"/>
    </row>
    <row r="281" spans="1:5" x14ac:dyDescent="0.3">
      <c r="A281" s="174"/>
      <c r="B281" s="174"/>
      <c r="C281" s="174"/>
      <c r="D281" s="174"/>
      <c r="E281" s="174"/>
    </row>
    <row r="282" spans="1:5" x14ac:dyDescent="0.3">
      <c r="A282" s="174"/>
      <c r="B282" s="174"/>
      <c r="C282" s="174"/>
      <c r="D282" s="174"/>
      <c r="E282" s="174"/>
    </row>
    <row r="283" spans="1:5" x14ac:dyDescent="0.3">
      <c r="A283" s="174"/>
      <c r="B283" s="174"/>
      <c r="C283" s="174"/>
      <c r="D283" s="174"/>
      <c r="E283" s="174"/>
    </row>
    <row r="284" spans="1:5" x14ac:dyDescent="0.3">
      <c r="A284" s="174"/>
      <c r="B284" s="174"/>
      <c r="C284" s="174"/>
      <c r="D284" s="174"/>
      <c r="E284" s="174"/>
    </row>
    <row r="285" spans="1:5" x14ac:dyDescent="0.3">
      <c r="A285" s="174"/>
      <c r="B285" s="174"/>
      <c r="C285" s="174"/>
      <c r="D285" s="174"/>
      <c r="E285" s="174"/>
    </row>
    <row r="286" spans="1:5" x14ac:dyDescent="0.3">
      <c r="A286" s="174"/>
      <c r="B286" s="174"/>
      <c r="C286" s="174"/>
      <c r="D286" s="174"/>
      <c r="E286" s="174"/>
    </row>
    <row r="287" spans="1:5" x14ac:dyDescent="0.3">
      <c r="A287" s="174"/>
      <c r="B287" s="174"/>
      <c r="C287" s="174"/>
      <c r="D287" s="174"/>
      <c r="E287" s="174"/>
    </row>
    <row r="288" spans="1:5" x14ac:dyDescent="0.3">
      <c r="A288" s="174"/>
      <c r="B288" s="174"/>
      <c r="C288" s="174"/>
      <c r="D288" s="174"/>
      <c r="E288" s="174"/>
    </row>
    <row r="289" spans="1:5" x14ac:dyDescent="0.3">
      <c r="A289" s="174"/>
      <c r="B289" s="174"/>
      <c r="C289" s="174"/>
      <c r="D289" s="174"/>
      <c r="E289" s="174"/>
    </row>
    <row r="290" spans="1:5" x14ac:dyDescent="0.3">
      <c r="A290" s="174"/>
      <c r="B290" s="174"/>
      <c r="C290" s="174"/>
      <c r="D290" s="174"/>
      <c r="E290" s="174"/>
    </row>
    <row r="291" spans="1:5" x14ac:dyDescent="0.3">
      <c r="A291" s="174"/>
      <c r="B291" s="174"/>
      <c r="C291" s="174"/>
      <c r="D291" s="174"/>
      <c r="E291" s="174"/>
    </row>
    <row r="292" spans="1:5" x14ac:dyDescent="0.3">
      <c r="A292" s="174"/>
      <c r="B292" s="174"/>
      <c r="C292" s="174"/>
      <c r="D292" s="174"/>
      <c r="E292" s="174"/>
    </row>
    <row r="293" spans="1:5" x14ac:dyDescent="0.3">
      <c r="A293" s="174"/>
      <c r="B293" s="174"/>
      <c r="C293" s="174"/>
      <c r="D293" s="174"/>
      <c r="E293" s="174"/>
    </row>
    <row r="294" spans="1:5" x14ac:dyDescent="0.3">
      <c r="A294" s="174"/>
      <c r="B294" s="174"/>
      <c r="C294" s="174"/>
      <c r="D294" s="174"/>
      <c r="E294" s="174"/>
    </row>
    <row r="295" spans="1:5" x14ac:dyDescent="0.3">
      <c r="A295" s="174"/>
      <c r="B295" s="174"/>
      <c r="C295" s="174"/>
      <c r="D295" s="174"/>
      <c r="E295" s="174"/>
    </row>
    <row r="296" spans="1:5" x14ac:dyDescent="0.3">
      <c r="A296" s="174"/>
      <c r="B296" s="174"/>
      <c r="C296" s="174"/>
      <c r="D296" s="174"/>
      <c r="E296" s="174"/>
    </row>
    <row r="297" spans="1:5" x14ac:dyDescent="0.3">
      <c r="A297" s="174"/>
      <c r="B297" s="174"/>
      <c r="C297" s="174"/>
      <c r="D297" s="174"/>
      <c r="E297" s="174"/>
    </row>
    <row r="298" spans="1:5" x14ac:dyDescent="0.3">
      <c r="A298" s="174"/>
      <c r="B298" s="174"/>
      <c r="C298" s="174"/>
      <c r="D298" s="174"/>
      <c r="E298" s="174"/>
    </row>
    <row r="299" spans="1:5" x14ac:dyDescent="0.3">
      <c r="A299" s="174"/>
      <c r="B299" s="174"/>
      <c r="C299" s="174"/>
      <c r="D299" s="174"/>
      <c r="E299" s="174"/>
    </row>
    <row r="300" spans="1:5" x14ac:dyDescent="0.3">
      <c r="A300" s="174"/>
      <c r="B300" s="174"/>
      <c r="C300" s="174"/>
      <c r="D300" s="174"/>
      <c r="E300" s="174"/>
    </row>
    <row r="301" spans="1:5" x14ac:dyDescent="0.3">
      <c r="A301" s="174"/>
      <c r="B301" s="174"/>
      <c r="C301" s="174"/>
      <c r="D301" s="174"/>
      <c r="E301" s="174"/>
    </row>
    <row r="302" spans="1:5" x14ac:dyDescent="0.3">
      <c r="A302" s="174"/>
      <c r="B302" s="174"/>
      <c r="C302" s="174"/>
      <c r="D302" s="174"/>
      <c r="E302" s="174"/>
    </row>
    <row r="303" spans="1:5" x14ac:dyDescent="0.3">
      <c r="A303" s="174"/>
      <c r="B303" s="174"/>
      <c r="C303" s="174"/>
      <c r="D303" s="174"/>
      <c r="E303" s="174"/>
    </row>
    <row r="304" spans="1:5" x14ac:dyDescent="0.3">
      <c r="A304" s="174"/>
      <c r="B304" s="174"/>
      <c r="C304" s="174"/>
      <c r="D304" s="174"/>
      <c r="E304" s="174"/>
    </row>
    <row r="305" spans="1:5" x14ac:dyDescent="0.3">
      <c r="A305" s="174"/>
      <c r="B305" s="174"/>
      <c r="C305" s="174"/>
      <c r="D305" s="174"/>
      <c r="E305" s="174"/>
    </row>
    <row r="306" spans="1:5" x14ac:dyDescent="0.3">
      <c r="A306" s="174"/>
      <c r="B306" s="174"/>
      <c r="C306" s="174"/>
      <c r="D306" s="174"/>
      <c r="E306" s="174"/>
    </row>
    <row r="307" spans="1:5" x14ac:dyDescent="0.3">
      <c r="A307" s="174"/>
      <c r="B307" s="174"/>
      <c r="C307" s="174"/>
      <c r="D307" s="174"/>
      <c r="E307" s="174"/>
    </row>
    <row r="308" spans="1:5" x14ac:dyDescent="0.3">
      <c r="A308" s="174"/>
      <c r="B308" s="174"/>
      <c r="C308" s="174"/>
      <c r="D308" s="174"/>
      <c r="E308" s="174"/>
    </row>
    <row r="309" spans="1:5" x14ac:dyDescent="0.3">
      <c r="A309" s="174"/>
      <c r="B309" s="174"/>
      <c r="C309" s="174"/>
      <c r="D309" s="174"/>
      <c r="E309" s="174"/>
    </row>
    <row r="310" spans="1:5" x14ac:dyDescent="0.3">
      <c r="A310" s="174"/>
      <c r="B310" s="174"/>
      <c r="C310" s="174"/>
      <c r="D310" s="174"/>
      <c r="E310" s="174"/>
    </row>
    <row r="311" spans="1:5" x14ac:dyDescent="0.3">
      <c r="A311" s="174"/>
      <c r="B311" s="174"/>
      <c r="C311" s="174"/>
      <c r="D311" s="174"/>
      <c r="E311" s="174"/>
    </row>
    <row r="312" spans="1:5" x14ac:dyDescent="0.3">
      <c r="A312" s="174"/>
      <c r="B312" s="174"/>
      <c r="C312" s="174"/>
      <c r="D312" s="174"/>
      <c r="E312" s="174"/>
    </row>
    <row r="313" spans="1:5" x14ac:dyDescent="0.3">
      <c r="A313" s="174"/>
      <c r="B313" s="174"/>
      <c r="C313" s="174"/>
      <c r="D313" s="174"/>
      <c r="E313" s="174"/>
    </row>
    <row r="314" spans="1:5" x14ac:dyDescent="0.3">
      <c r="A314" s="174"/>
      <c r="B314" s="174"/>
      <c r="C314" s="174"/>
      <c r="D314" s="174"/>
      <c r="E314" s="174"/>
    </row>
    <row r="315" spans="1:5" x14ac:dyDescent="0.3">
      <c r="A315" s="174"/>
      <c r="B315" s="174"/>
      <c r="C315" s="174"/>
      <c r="D315" s="174"/>
      <c r="E315" s="174"/>
    </row>
    <row r="316" spans="1:5" x14ac:dyDescent="0.3">
      <c r="A316" s="174"/>
      <c r="B316" s="174"/>
      <c r="C316" s="174"/>
      <c r="D316" s="174"/>
      <c r="E316" s="174"/>
    </row>
    <row r="317" spans="1:5" x14ac:dyDescent="0.3">
      <c r="A317" s="174"/>
      <c r="B317" s="174"/>
      <c r="C317" s="174"/>
      <c r="D317" s="174"/>
      <c r="E317" s="174"/>
    </row>
    <row r="318" spans="1:5" x14ac:dyDescent="0.3">
      <c r="A318" s="174"/>
      <c r="B318" s="174"/>
      <c r="C318" s="174"/>
      <c r="D318" s="174"/>
      <c r="E318" s="174"/>
    </row>
    <row r="319" spans="1:5" x14ac:dyDescent="0.3">
      <c r="A319" s="174"/>
      <c r="B319" s="174"/>
      <c r="C319" s="174"/>
      <c r="D319" s="174"/>
      <c r="E319" s="174"/>
    </row>
    <row r="320" spans="1:5" x14ac:dyDescent="0.3">
      <c r="A320" s="174"/>
      <c r="B320" s="174"/>
      <c r="C320" s="174"/>
      <c r="D320" s="174"/>
      <c r="E320" s="174"/>
    </row>
    <row r="321" spans="1:5" x14ac:dyDescent="0.3">
      <c r="A321" s="174"/>
      <c r="B321" s="174"/>
      <c r="C321" s="174"/>
      <c r="D321" s="174"/>
      <c r="E321" s="174"/>
    </row>
    <row r="322" spans="1:5" x14ac:dyDescent="0.3">
      <c r="A322" s="174"/>
      <c r="B322" s="174"/>
      <c r="C322" s="174"/>
      <c r="D322" s="174"/>
      <c r="E322" s="174"/>
    </row>
    <row r="323" spans="1:5" x14ac:dyDescent="0.3">
      <c r="A323" s="174"/>
      <c r="B323" s="174"/>
      <c r="C323" s="174"/>
      <c r="D323" s="174"/>
      <c r="E323" s="174"/>
    </row>
    <row r="324" spans="1:5" x14ac:dyDescent="0.3">
      <c r="A324" s="174"/>
      <c r="B324" s="174"/>
      <c r="C324" s="174"/>
      <c r="D324" s="174"/>
      <c r="E324" s="174"/>
    </row>
    <row r="325" spans="1:5" x14ac:dyDescent="0.3">
      <c r="A325" s="174"/>
      <c r="B325" s="174"/>
      <c r="C325" s="174"/>
      <c r="D325" s="174"/>
      <c r="E325" s="174"/>
    </row>
    <row r="326" spans="1:5" x14ac:dyDescent="0.3">
      <c r="A326" s="174"/>
      <c r="B326" s="174"/>
      <c r="C326" s="174"/>
      <c r="D326" s="174"/>
      <c r="E326" s="174"/>
    </row>
    <row r="327" spans="1:5" x14ac:dyDescent="0.3">
      <c r="A327" s="174"/>
      <c r="B327" s="174"/>
      <c r="C327" s="174"/>
      <c r="D327" s="174"/>
      <c r="E327" s="174"/>
    </row>
    <row r="328" spans="1:5" x14ac:dyDescent="0.3">
      <c r="A328" s="174"/>
      <c r="B328" s="174"/>
      <c r="C328" s="174"/>
      <c r="D328" s="174"/>
      <c r="E328" s="174"/>
    </row>
    <row r="329" spans="1:5" x14ac:dyDescent="0.3">
      <c r="A329" s="174"/>
      <c r="B329" s="174"/>
      <c r="C329" s="174"/>
      <c r="D329" s="174"/>
      <c r="E329" s="174"/>
    </row>
    <row r="330" spans="1:5" x14ac:dyDescent="0.3">
      <c r="A330" s="174"/>
      <c r="B330" s="174"/>
      <c r="C330" s="174"/>
      <c r="D330" s="174"/>
      <c r="E330" s="174"/>
    </row>
    <row r="331" spans="1:5" x14ac:dyDescent="0.3">
      <c r="A331" s="174"/>
      <c r="B331" s="174"/>
      <c r="C331" s="174"/>
      <c r="D331" s="174"/>
      <c r="E331" s="174"/>
    </row>
    <row r="332" spans="1:5" x14ac:dyDescent="0.3">
      <c r="A332" s="174"/>
      <c r="B332" s="174"/>
      <c r="C332" s="174"/>
      <c r="D332" s="174"/>
      <c r="E332" s="174"/>
    </row>
    <row r="333" spans="1:5" x14ac:dyDescent="0.3">
      <c r="A333" s="174"/>
      <c r="B333" s="174"/>
      <c r="C333" s="174"/>
      <c r="D333" s="174"/>
      <c r="E333" s="174"/>
    </row>
    <row r="334" spans="1:5" x14ac:dyDescent="0.3">
      <c r="A334" s="174"/>
      <c r="B334" s="174"/>
      <c r="C334" s="174"/>
      <c r="D334" s="174"/>
      <c r="E334" s="174"/>
    </row>
    <row r="335" spans="1:5" x14ac:dyDescent="0.3">
      <c r="A335" s="174"/>
      <c r="B335" s="174"/>
      <c r="C335" s="174"/>
      <c r="D335" s="174"/>
      <c r="E335" s="174"/>
    </row>
    <row r="336" spans="1:5" x14ac:dyDescent="0.3">
      <c r="A336" s="174"/>
      <c r="B336" s="174"/>
      <c r="C336" s="174"/>
      <c r="D336" s="174"/>
      <c r="E336" s="174"/>
    </row>
    <row r="337" spans="1:5" x14ac:dyDescent="0.3">
      <c r="A337" s="174"/>
      <c r="B337" s="174"/>
      <c r="C337" s="174"/>
      <c r="D337" s="174"/>
      <c r="E337" s="174"/>
    </row>
    <row r="338" spans="1:5" x14ac:dyDescent="0.3">
      <c r="A338" s="174"/>
      <c r="B338" s="174"/>
      <c r="C338" s="174"/>
      <c r="D338" s="174"/>
      <c r="E338" s="174"/>
    </row>
    <row r="339" spans="1:5" x14ac:dyDescent="0.3">
      <c r="A339" s="174"/>
      <c r="B339" s="174"/>
      <c r="C339" s="174"/>
      <c r="D339" s="174"/>
      <c r="E339" s="174"/>
    </row>
    <row r="340" spans="1:5" x14ac:dyDescent="0.3">
      <c r="A340" s="174"/>
      <c r="B340" s="174"/>
      <c r="C340" s="174"/>
      <c r="D340" s="174"/>
      <c r="E340" s="174"/>
    </row>
    <row r="341" spans="1:5" x14ac:dyDescent="0.3">
      <c r="A341" s="174"/>
      <c r="B341" s="174"/>
      <c r="C341" s="174"/>
      <c r="D341" s="174"/>
      <c r="E341" s="174"/>
    </row>
    <row r="342" spans="1:5" x14ac:dyDescent="0.3">
      <c r="A342" s="174"/>
      <c r="B342" s="174"/>
      <c r="C342" s="174"/>
      <c r="D342" s="174"/>
      <c r="E342" s="174"/>
    </row>
    <row r="343" spans="1:5" x14ac:dyDescent="0.3">
      <c r="A343" s="174"/>
      <c r="B343" s="174"/>
      <c r="C343" s="174"/>
      <c r="D343" s="174"/>
      <c r="E343" s="174"/>
    </row>
    <row r="344" spans="1:5" x14ac:dyDescent="0.3">
      <c r="A344" s="174"/>
      <c r="B344" s="174"/>
      <c r="C344" s="174"/>
      <c r="D344" s="174"/>
      <c r="E344" s="174"/>
    </row>
    <row r="345" spans="1:5" x14ac:dyDescent="0.3">
      <c r="A345" s="174"/>
      <c r="B345" s="174"/>
      <c r="C345" s="174"/>
      <c r="D345" s="174"/>
      <c r="E345" s="174"/>
    </row>
    <row r="346" spans="1:5" x14ac:dyDescent="0.3">
      <c r="A346" s="174"/>
      <c r="B346" s="174"/>
      <c r="C346" s="174"/>
      <c r="D346" s="174"/>
      <c r="E346" s="174"/>
    </row>
    <row r="347" spans="1:5" x14ac:dyDescent="0.3">
      <c r="A347" s="174"/>
      <c r="B347" s="174"/>
      <c r="C347" s="174"/>
      <c r="D347" s="174"/>
      <c r="E347" s="174"/>
    </row>
    <row r="348" spans="1:5" x14ac:dyDescent="0.3">
      <c r="A348" s="174"/>
      <c r="B348" s="174"/>
      <c r="C348" s="174"/>
      <c r="D348" s="174"/>
      <c r="E348" s="174"/>
    </row>
    <row r="349" spans="1:5" x14ac:dyDescent="0.3">
      <c r="A349" s="174"/>
      <c r="B349" s="174"/>
      <c r="C349" s="174"/>
      <c r="D349" s="174"/>
      <c r="E349" s="174"/>
    </row>
    <row r="350" spans="1:5" x14ac:dyDescent="0.3">
      <c r="A350" s="174"/>
      <c r="B350" s="174"/>
      <c r="C350" s="174"/>
      <c r="D350" s="174"/>
      <c r="E350" s="174"/>
    </row>
    <row r="351" spans="1:5" x14ac:dyDescent="0.3">
      <c r="A351" s="174"/>
      <c r="B351" s="174"/>
      <c r="C351" s="174"/>
      <c r="D351" s="174"/>
      <c r="E351" s="174"/>
    </row>
    <row r="352" spans="1:5" x14ac:dyDescent="0.3">
      <c r="A352" s="174"/>
      <c r="B352" s="174"/>
      <c r="C352" s="174"/>
      <c r="D352" s="174"/>
      <c r="E352" s="174"/>
    </row>
    <row r="353" spans="1:5" x14ac:dyDescent="0.3">
      <c r="A353" s="174"/>
      <c r="B353" s="174"/>
      <c r="C353" s="174"/>
      <c r="D353" s="174"/>
      <c r="E353" s="174"/>
    </row>
    <row r="354" spans="1:5" x14ac:dyDescent="0.3">
      <c r="A354" s="174"/>
      <c r="B354" s="174"/>
      <c r="C354" s="174"/>
      <c r="D354" s="174"/>
      <c r="E354" s="174"/>
    </row>
    <row r="355" spans="1:5" x14ac:dyDescent="0.3">
      <c r="A355" s="174"/>
      <c r="B355" s="174"/>
      <c r="C355" s="174"/>
      <c r="D355" s="174"/>
      <c r="E355" s="174"/>
    </row>
    <row r="356" spans="1:5" x14ac:dyDescent="0.3">
      <c r="A356" s="174"/>
      <c r="B356" s="174"/>
      <c r="C356" s="174"/>
      <c r="D356" s="174"/>
      <c r="E356" s="174"/>
    </row>
    <row r="357" spans="1:5" x14ac:dyDescent="0.3">
      <c r="A357" s="174"/>
      <c r="B357" s="174"/>
      <c r="C357" s="174"/>
      <c r="D357" s="174"/>
      <c r="E357" s="174"/>
    </row>
    <row r="358" spans="1:5" x14ac:dyDescent="0.3">
      <c r="A358" s="174"/>
      <c r="B358" s="174"/>
      <c r="C358" s="174"/>
      <c r="D358" s="174"/>
      <c r="E358" s="174"/>
    </row>
    <row r="359" spans="1:5" x14ac:dyDescent="0.3">
      <c r="A359" s="174"/>
      <c r="B359" s="174"/>
      <c r="C359" s="174"/>
      <c r="D359" s="174"/>
      <c r="E359" s="174"/>
    </row>
    <row r="360" spans="1:5" x14ac:dyDescent="0.3">
      <c r="A360" s="174"/>
      <c r="B360" s="174"/>
      <c r="C360" s="174"/>
      <c r="D360" s="174"/>
      <c r="E360" s="174"/>
    </row>
    <row r="361" spans="1:5" x14ac:dyDescent="0.3">
      <c r="A361" s="174"/>
      <c r="B361" s="174"/>
      <c r="C361" s="174"/>
      <c r="D361" s="174"/>
      <c r="E361" s="174"/>
    </row>
    <row r="362" spans="1:5" x14ac:dyDescent="0.3">
      <c r="A362" s="174"/>
      <c r="B362" s="174"/>
      <c r="C362" s="174"/>
      <c r="D362" s="174"/>
      <c r="E362" s="174"/>
    </row>
    <row r="363" spans="1:5" x14ac:dyDescent="0.3">
      <c r="A363" s="174"/>
      <c r="B363" s="174"/>
      <c r="C363" s="174"/>
      <c r="D363" s="174"/>
      <c r="E363" s="174"/>
    </row>
    <row r="364" spans="1:5" x14ac:dyDescent="0.3">
      <c r="A364" s="174"/>
      <c r="B364" s="174"/>
      <c r="C364" s="174"/>
      <c r="D364" s="174"/>
      <c r="E364" s="174"/>
    </row>
    <row r="365" spans="1:5" x14ac:dyDescent="0.3">
      <c r="A365" s="174"/>
      <c r="B365" s="174"/>
      <c r="C365" s="174"/>
      <c r="D365" s="174"/>
      <c r="E365" s="174"/>
    </row>
    <row r="366" spans="1:5" x14ac:dyDescent="0.3">
      <c r="A366" s="174"/>
      <c r="B366" s="174"/>
      <c r="C366" s="174"/>
      <c r="D366" s="174"/>
      <c r="E366" s="174"/>
    </row>
    <row r="367" spans="1:5" x14ac:dyDescent="0.3">
      <c r="A367" s="174"/>
      <c r="B367" s="174"/>
      <c r="C367" s="174"/>
      <c r="D367" s="174"/>
      <c r="E367" s="174"/>
    </row>
    <row r="368" spans="1:5" x14ac:dyDescent="0.3">
      <c r="A368" s="174"/>
      <c r="B368" s="174"/>
      <c r="C368" s="174"/>
      <c r="D368" s="174"/>
      <c r="E368" s="174"/>
    </row>
    <row r="369" spans="1:5" x14ac:dyDescent="0.3">
      <c r="A369" s="174"/>
      <c r="B369" s="174"/>
      <c r="C369" s="174"/>
      <c r="D369" s="174"/>
      <c r="E369" s="174"/>
    </row>
    <row r="370" spans="1:5" x14ac:dyDescent="0.3">
      <c r="A370" s="174"/>
      <c r="B370" s="174"/>
      <c r="C370" s="174"/>
      <c r="D370" s="174"/>
      <c r="E370" s="174"/>
    </row>
    <row r="371" spans="1:5" x14ac:dyDescent="0.3">
      <c r="A371" s="174"/>
      <c r="B371" s="174"/>
      <c r="C371" s="174"/>
      <c r="D371" s="174"/>
      <c r="E371" s="174"/>
    </row>
    <row r="372" spans="1:5" x14ac:dyDescent="0.3">
      <c r="A372" s="174"/>
      <c r="B372" s="174"/>
      <c r="C372" s="174"/>
      <c r="D372" s="174"/>
      <c r="E372" s="174"/>
    </row>
    <row r="373" spans="1:5" x14ac:dyDescent="0.3">
      <c r="A373" s="174"/>
      <c r="B373" s="174"/>
      <c r="C373" s="174"/>
      <c r="D373" s="174"/>
      <c r="E373" s="174"/>
    </row>
    <row r="374" spans="1:5" x14ac:dyDescent="0.3">
      <c r="A374" s="174"/>
      <c r="B374" s="174"/>
      <c r="C374" s="174"/>
      <c r="D374" s="174"/>
      <c r="E374" s="174"/>
    </row>
    <row r="375" spans="1:5" x14ac:dyDescent="0.3">
      <c r="A375" s="174"/>
      <c r="B375" s="174"/>
      <c r="C375" s="174"/>
      <c r="D375" s="174"/>
      <c r="E375" s="174"/>
    </row>
    <row r="376" spans="1:5" x14ac:dyDescent="0.3">
      <c r="A376" s="174"/>
      <c r="B376" s="174"/>
      <c r="C376" s="174"/>
      <c r="D376" s="174"/>
      <c r="E376" s="174"/>
    </row>
    <row r="377" spans="1:5" x14ac:dyDescent="0.3">
      <c r="A377" s="174"/>
      <c r="B377" s="174"/>
      <c r="C377" s="174"/>
      <c r="D377" s="174"/>
      <c r="E377" s="174"/>
    </row>
    <row r="378" spans="1:5" x14ac:dyDescent="0.3">
      <c r="A378" s="174"/>
      <c r="B378" s="174"/>
      <c r="C378" s="174"/>
      <c r="D378" s="174"/>
      <c r="E378" s="174"/>
    </row>
    <row r="379" spans="1:5" x14ac:dyDescent="0.3">
      <c r="A379" s="174"/>
      <c r="B379" s="174"/>
      <c r="C379" s="174"/>
      <c r="D379" s="174"/>
      <c r="E379" s="174"/>
    </row>
    <row r="380" spans="1:5" x14ac:dyDescent="0.3">
      <c r="A380" s="174"/>
      <c r="B380" s="174"/>
      <c r="C380" s="174"/>
      <c r="D380" s="174"/>
      <c r="E380" s="174"/>
    </row>
    <row r="381" spans="1:5" x14ac:dyDescent="0.3">
      <c r="A381" s="174"/>
      <c r="B381" s="174"/>
      <c r="C381" s="174"/>
      <c r="D381" s="174"/>
      <c r="E381" s="174"/>
    </row>
    <row r="382" spans="1:5" x14ac:dyDescent="0.3">
      <c r="A382" s="174"/>
      <c r="B382" s="174"/>
      <c r="C382" s="174"/>
      <c r="D382" s="174"/>
      <c r="E382" s="174"/>
    </row>
    <row r="383" spans="1:5" x14ac:dyDescent="0.3">
      <c r="A383" s="174"/>
      <c r="B383" s="174"/>
      <c r="C383" s="174"/>
      <c r="D383" s="174"/>
      <c r="E383" s="174"/>
    </row>
    <row r="384" spans="1:5" x14ac:dyDescent="0.3">
      <c r="A384" s="174"/>
      <c r="B384" s="174"/>
      <c r="C384" s="174"/>
      <c r="D384" s="174"/>
      <c r="E384" s="174"/>
    </row>
    <row r="385" spans="1:5" x14ac:dyDescent="0.3">
      <c r="A385" s="174"/>
      <c r="B385" s="174"/>
      <c r="C385" s="174"/>
      <c r="D385" s="174"/>
      <c r="E385" s="174"/>
    </row>
    <row r="386" spans="1:5" x14ac:dyDescent="0.3">
      <c r="A386" s="174"/>
      <c r="B386" s="174"/>
      <c r="C386" s="174"/>
      <c r="D386" s="174"/>
      <c r="E386" s="174"/>
    </row>
    <row r="387" spans="1:5" x14ac:dyDescent="0.3">
      <c r="A387" s="174"/>
      <c r="B387" s="174"/>
      <c r="C387" s="174"/>
      <c r="D387" s="174"/>
      <c r="E387" s="174"/>
    </row>
    <row r="388" spans="1:5" x14ac:dyDescent="0.3">
      <c r="A388" s="174"/>
      <c r="B388" s="174"/>
      <c r="C388" s="174"/>
      <c r="D388" s="174"/>
      <c r="E388" s="174"/>
    </row>
    <row r="389" spans="1:5" x14ac:dyDescent="0.3">
      <c r="A389" s="174"/>
      <c r="B389" s="174"/>
      <c r="C389" s="174"/>
      <c r="D389" s="174"/>
      <c r="E389" s="174"/>
    </row>
    <row r="390" spans="1:5" x14ac:dyDescent="0.3">
      <c r="A390" s="174"/>
      <c r="B390" s="174"/>
      <c r="C390" s="174"/>
      <c r="D390" s="174"/>
      <c r="E390" s="174"/>
    </row>
    <row r="391" spans="1:5" x14ac:dyDescent="0.3">
      <c r="A391" s="174"/>
      <c r="B391" s="174"/>
      <c r="C391" s="174"/>
      <c r="D391" s="174"/>
      <c r="E391" s="174"/>
    </row>
    <row r="392" spans="1:5" x14ac:dyDescent="0.3">
      <c r="A392" s="174"/>
      <c r="B392" s="174"/>
      <c r="C392" s="174"/>
      <c r="D392" s="174"/>
      <c r="E392" s="174"/>
    </row>
    <row r="393" spans="1:5" x14ac:dyDescent="0.3">
      <c r="A393" s="174"/>
      <c r="B393" s="174"/>
      <c r="C393" s="174"/>
      <c r="D393" s="174"/>
      <c r="E393" s="174"/>
    </row>
    <row r="394" spans="1:5" x14ac:dyDescent="0.3">
      <c r="A394" s="174"/>
      <c r="B394" s="174"/>
      <c r="C394" s="174"/>
      <c r="D394" s="174"/>
      <c r="E394" s="174"/>
    </row>
    <row r="395" spans="1:5" x14ac:dyDescent="0.3">
      <c r="A395" s="174"/>
      <c r="B395" s="174"/>
      <c r="C395" s="174"/>
      <c r="D395" s="174"/>
      <c r="E395" s="174"/>
    </row>
    <row r="396" spans="1:5" x14ac:dyDescent="0.3">
      <c r="A396" s="174"/>
      <c r="B396" s="174"/>
      <c r="C396" s="174"/>
      <c r="D396" s="174"/>
      <c r="E396" s="174"/>
    </row>
    <row r="397" spans="1:5" x14ac:dyDescent="0.3">
      <c r="A397" s="174"/>
      <c r="B397" s="174"/>
      <c r="C397" s="174"/>
      <c r="D397" s="174"/>
      <c r="E397" s="174"/>
    </row>
    <row r="398" spans="1:5" x14ac:dyDescent="0.3">
      <c r="A398" s="174"/>
      <c r="B398" s="174"/>
      <c r="C398" s="174"/>
      <c r="D398" s="174"/>
      <c r="E398" s="174"/>
    </row>
    <row r="399" spans="1:5" x14ac:dyDescent="0.3">
      <c r="A399" s="174"/>
      <c r="B399" s="174"/>
      <c r="C399" s="174"/>
      <c r="D399" s="174"/>
      <c r="E399" s="174"/>
    </row>
    <row r="400" spans="1:5" x14ac:dyDescent="0.3">
      <c r="A400" s="174"/>
      <c r="B400" s="174"/>
      <c r="C400" s="174"/>
      <c r="D400" s="174"/>
      <c r="E400" s="174"/>
    </row>
    <row r="401" spans="1:5" x14ac:dyDescent="0.3">
      <c r="A401" s="174"/>
      <c r="B401" s="174"/>
      <c r="C401" s="174"/>
      <c r="D401" s="174"/>
      <c r="E401" s="174"/>
    </row>
    <row r="402" spans="1:5" x14ac:dyDescent="0.3">
      <c r="A402" s="174"/>
      <c r="B402" s="174"/>
      <c r="C402" s="174"/>
      <c r="D402" s="174"/>
      <c r="E402" s="174"/>
    </row>
    <row r="403" spans="1:5" x14ac:dyDescent="0.3">
      <c r="A403" s="174"/>
      <c r="B403" s="174"/>
      <c r="C403" s="174"/>
      <c r="D403" s="174"/>
      <c r="E403" s="174"/>
    </row>
    <row r="404" spans="1:5" x14ac:dyDescent="0.3">
      <c r="A404" s="174"/>
      <c r="B404" s="174"/>
      <c r="C404" s="174"/>
      <c r="D404" s="174"/>
      <c r="E404" s="174"/>
    </row>
    <row r="405" spans="1:5" x14ac:dyDescent="0.3">
      <c r="A405" s="174"/>
      <c r="B405" s="174"/>
      <c r="C405" s="174"/>
      <c r="D405" s="174"/>
      <c r="E405" s="174"/>
    </row>
    <row r="406" spans="1:5" x14ac:dyDescent="0.3">
      <c r="A406" s="174"/>
      <c r="B406" s="174"/>
      <c r="C406" s="174"/>
      <c r="D406" s="174"/>
      <c r="E406" s="174"/>
    </row>
    <row r="407" spans="1:5" x14ac:dyDescent="0.3">
      <c r="A407" s="174"/>
      <c r="B407" s="174"/>
      <c r="C407" s="174"/>
      <c r="D407" s="174"/>
      <c r="E407" s="174"/>
    </row>
    <row r="408" spans="1:5" x14ac:dyDescent="0.3">
      <c r="A408" s="174"/>
      <c r="B408" s="174"/>
      <c r="C408" s="174"/>
      <c r="D408" s="174"/>
      <c r="E408" s="174"/>
    </row>
    <row r="409" spans="1:5" x14ac:dyDescent="0.3">
      <c r="A409" s="174"/>
      <c r="B409" s="174"/>
      <c r="C409" s="174"/>
      <c r="D409" s="174"/>
      <c r="E409" s="174"/>
    </row>
    <row r="410" spans="1:5" x14ac:dyDescent="0.3">
      <c r="A410" s="174"/>
      <c r="B410" s="174"/>
      <c r="C410" s="174"/>
      <c r="D410" s="174"/>
      <c r="E410" s="174"/>
    </row>
    <row r="411" spans="1:5" x14ac:dyDescent="0.3">
      <c r="A411" s="174"/>
      <c r="B411" s="174"/>
      <c r="C411" s="174"/>
      <c r="D411" s="174"/>
      <c r="E411" s="174"/>
    </row>
    <row r="412" spans="1:5" x14ac:dyDescent="0.3">
      <c r="A412" s="174"/>
      <c r="B412" s="174"/>
      <c r="C412" s="174"/>
      <c r="D412" s="174"/>
      <c r="E412" s="174"/>
    </row>
    <row r="413" spans="1:5" x14ac:dyDescent="0.3">
      <c r="A413" s="174"/>
      <c r="B413" s="174"/>
      <c r="C413" s="174"/>
      <c r="D413" s="174"/>
      <c r="E413" s="174"/>
    </row>
    <row r="414" spans="1:5" x14ac:dyDescent="0.3">
      <c r="A414" s="174"/>
      <c r="B414" s="174"/>
      <c r="C414" s="174"/>
      <c r="D414" s="174"/>
      <c r="E414" s="174"/>
    </row>
    <row r="415" spans="1:5" x14ac:dyDescent="0.3">
      <c r="A415" s="174"/>
      <c r="B415" s="174"/>
      <c r="C415" s="174"/>
      <c r="D415" s="174"/>
      <c r="E415" s="174"/>
    </row>
    <row r="416" spans="1:5" x14ac:dyDescent="0.3">
      <c r="A416" s="174"/>
      <c r="B416" s="174"/>
      <c r="C416" s="174"/>
      <c r="D416" s="174"/>
      <c r="E416" s="174"/>
    </row>
    <row r="417" spans="1:5" x14ac:dyDescent="0.3">
      <c r="A417" s="174"/>
      <c r="B417" s="174"/>
      <c r="C417" s="174"/>
      <c r="D417" s="174"/>
      <c r="E417" s="174"/>
    </row>
    <row r="418" spans="1:5" x14ac:dyDescent="0.3">
      <c r="A418" s="174"/>
      <c r="B418" s="174"/>
      <c r="C418" s="174"/>
      <c r="D418" s="174"/>
      <c r="E418" s="174"/>
    </row>
    <row r="419" spans="1:5" x14ac:dyDescent="0.3">
      <c r="A419" s="174"/>
      <c r="B419" s="174"/>
      <c r="C419" s="174"/>
      <c r="D419" s="174"/>
      <c r="E419" s="174"/>
    </row>
    <row r="420" spans="1:5" x14ac:dyDescent="0.3">
      <c r="A420" s="174"/>
      <c r="B420" s="174"/>
      <c r="C420" s="174"/>
      <c r="D420" s="174"/>
      <c r="E420" s="174"/>
    </row>
    <row r="421" spans="1:5" x14ac:dyDescent="0.3">
      <c r="A421" s="174"/>
      <c r="B421" s="174"/>
      <c r="C421" s="174"/>
      <c r="D421" s="174"/>
      <c r="E421" s="174"/>
    </row>
    <row r="422" spans="1:5" x14ac:dyDescent="0.3">
      <c r="A422" s="174"/>
      <c r="B422" s="174"/>
      <c r="C422" s="174"/>
      <c r="D422" s="174"/>
      <c r="E422" s="174"/>
    </row>
    <row r="423" spans="1:5" x14ac:dyDescent="0.3">
      <c r="A423" s="174"/>
      <c r="B423" s="174"/>
      <c r="C423" s="174"/>
      <c r="D423" s="174"/>
      <c r="E423" s="174"/>
    </row>
    <row r="424" spans="1:5" x14ac:dyDescent="0.3">
      <c r="A424" s="174"/>
      <c r="B424" s="174"/>
      <c r="C424" s="174"/>
      <c r="D424" s="174"/>
      <c r="E424" s="174"/>
    </row>
    <row r="425" spans="1:5" x14ac:dyDescent="0.3">
      <c r="A425" s="174"/>
      <c r="B425" s="174"/>
      <c r="C425" s="174"/>
      <c r="D425" s="174"/>
      <c r="E425" s="174"/>
    </row>
    <row r="426" spans="1:5" x14ac:dyDescent="0.3">
      <c r="A426" s="174"/>
      <c r="B426" s="174"/>
      <c r="C426" s="174"/>
      <c r="D426" s="174"/>
      <c r="E426" s="174"/>
    </row>
    <row r="427" spans="1:5" x14ac:dyDescent="0.3">
      <c r="A427" s="174"/>
      <c r="B427" s="174"/>
      <c r="C427" s="174"/>
      <c r="D427" s="174"/>
      <c r="E427" s="174"/>
    </row>
    <row r="428" spans="1:5" x14ac:dyDescent="0.3">
      <c r="A428" s="174"/>
      <c r="B428" s="174"/>
      <c r="C428" s="174"/>
      <c r="D428" s="174"/>
      <c r="E428" s="174"/>
    </row>
    <row r="429" spans="1:5" x14ac:dyDescent="0.3">
      <c r="A429" s="174"/>
      <c r="B429" s="174"/>
      <c r="C429" s="174"/>
      <c r="D429" s="174"/>
      <c r="E429" s="174"/>
    </row>
    <row r="430" spans="1:5" x14ac:dyDescent="0.3">
      <c r="A430" s="174"/>
      <c r="B430" s="174"/>
      <c r="C430" s="174"/>
      <c r="D430" s="174"/>
      <c r="E430" s="174"/>
    </row>
    <row r="431" spans="1:5" x14ac:dyDescent="0.3">
      <c r="A431" s="174"/>
      <c r="B431" s="174"/>
      <c r="C431" s="174"/>
      <c r="D431" s="174"/>
      <c r="E431" s="174"/>
    </row>
    <row r="432" spans="1:5" x14ac:dyDescent="0.3">
      <c r="A432" s="174"/>
      <c r="B432" s="174"/>
      <c r="C432" s="174"/>
      <c r="D432" s="174"/>
      <c r="E432" s="174"/>
    </row>
    <row r="433" spans="1:5" x14ac:dyDescent="0.3">
      <c r="A433" s="174"/>
      <c r="B433" s="174"/>
      <c r="C433" s="174"/>
      <c r="D433" s="174"/>
      <c r="E433" s="174"/>
    </row>
    <row r="434" spans="1:5" x14ac:dyDescent="0.3">
      <c r="A434" s="174"/>
      <c r="B434" s="174"/>
      <c r="C434" s="174"/>
      <c r="D434" s="174"/>
      <c r="E434" s="174"/>
    </row>
    <row r="435" spans="1:5" x14ac:dyDescent="0.3">
      <c r="A435" s="174"/>
      <c r="B435" s="174"/>
      <c r="C435" s="174"/>
      <c r="D435" s="174"/>
      <c r="E435" s="174"/>
    </row>
    <row r="436" spans="1:5" x14ac:dyDescent="0.3">
      <c r="A436" s="174"/>
      <c r="B436" s="174"/>
      <c r="C436" s="174"/>
      <c r="D436" s="174"/>
      <c r="E436" s="174"/>
    </row>
    <row r="437" spans="1:5" x14ac:dyDescent="0.3">
      <c r="A437" s="174"/>
      <c r="B437" s="174"/>
      <c r="C437" s="174"/>
      <c r="D437" s="174"/>
      <c r="E437" s="174"/>
    </row>
    <row r="438" spans="1:5" x14ac:dyDescent="0.3">
      <c r="A438" s="174"/>
      <c r="B438" s="174"/>
      <c r="C438" s="174"/>
      <c r="D438" s="174"/>
      <c r="E438" s="174"/>
    </row>
    <row r="439" spans="1:5" x14ac:dyDescent="0.3">
      <c r="A439" s="174"/>
      <c r="B439" s="174"/>
      <c r="C439" s="174"/>
      <c r="D439" s="174"/>
      <c r="E439" s="174"/>
    </row>
    <row r="440" spans="1:5" x14ac:dyDescent="0.3">
      <c r="A440" s="174"/>
      <c r="B440" s="174"/>
      <c r="C440" s="174"/>
      <c r="D440" s="174"/>
      <c r="E440" s="174"/>
    </row>
    <row r="441" spans="1:5" x14ac:dyDescent="0.3">
      <c r="A441" s="174"/>
      <c r="B441" s="174"/>
      <c r="C441" s="174"/>
      <c r="D441" s="174"/>
      <c r="E441" s="174"/>
    </row>
    <row r="442" spans="1:5" x14ac:dyDescent="0.3">
      <c r="A442" s="174"/>
      <c r="B442" s="174"/>
      <c r="C442" s="174"/>
      <c r="D442" s="174"/>
      <c r="E442" s="174"/>
    </row>
    <row r="443" spans="1:5" x14ac:dyDescent="0.3">
      <c r="A443" s="174"/>
      <c r="B443" s="174"/>
      <c r="C443" s="174"/>
      <c r="D443" s="174"/>
      <c r="E443" s="174"/>
    </row>
    <row r="444" spans="1:5" x14ac:dyDescent="0.3">
      <c r="A444" s="174"/>
      <c r="B444" s="174"/>
      <c r="C444" s="174"/>
      <c r="D444" s="174"/>
      <c r="E444" s="174"/>
    </row>
    <row r="445" spans="1:5" x14ac:dyDescent="0.3">
      <c r="A445" s="174"/>
      <c r="B445" s="174"/>
      <c r="C445" s="174"/>
      <c r="D445" s="174"/>
      <c r="E445" s="174"/>
    </row>
    <row r="446" spans="1:5" x14ac:dyDescent="0.3">
      <c r="A446" s="174"/>
      <c r="B446" s="174"/>
      <c r="C446" s="174"/>
      <c r="D446" s="174"/>
      <c r="E446" s="174"/>
    </row>
    <row r="447" spans="1:5" x14ac:dyDescent="0.3">
      <c r="A447" s="174"/>
      <c r="B447" s="174"/>
      <c r="C447" s="174"/>
      <c r="D447" s="174"/>
      <c r="E447" s="174"/>
    </row>
    <row r="448" spans="1:5" x14ac:dyDescent="0.3">
      <c r="A448" s="174"/>
      <c r="B448" s="174"/>
      <c r="C448" s="174"/>
      <c r="D448" s="174"/>
      <c r="E448" s="174"/>
    </row>
    <row r="449" spans="1:5" x14ac:dyDescent="0.3">
      <c r="A449" s="174"/>
      <c r="B449" s="174"/>
      <c r="C449" s="174"/>
      <c r="D449" s="174"/>
      <c r="E449" s="174"/>
    </row>
    <row r="450" spans="1:5" x14ac:dyDescent="0.3">
      <c r="A450" s="174"/>
      <c r="B450" s="174"/>
      <c r="C450" s="174"/>
      <c r="D450" s="174"/>
      <c r="E450" s="174"/>
    </row>
    <row r="451" spans="1:5" x14ac:dyDescent="0.3">
      <c r="A451" s="174"/>
      <c r="B451" s="174"/>
      <c r="C451" s="174"/>
      <c r="D451" s="174"/>
      <c r="E451" s="174"/>
    </row>
    <row r="452" spans="1:5" x14ac:dyDescent="0.3">
      <c r="A452" s="174"/>
      <c r="B452" s="174"/>
      <c r="C452" s="174"/>
      <c r="D452" s="174"/>
      <c r="E452" s="174"/>
    </row>
    <row r="453" spans="1:5" x14ac:dyDescent="0.3">
      <c r="A453" s="174"/>
      <c r="B453" s="174"/>
      <c r="C453" s="174"/>
      <c r="D453" s="174"/>
      <c r="E453" s="174"/>
    </row>
    <row r="454" spans="1:5" x14ac:dyDescent="0.3">
      <c r="A454" s="174"/>
      <c r="B454" s="174"/>
      <c r="C454" s="174"/>
      <c r="D454" s="174"/>
      <c r="E454" s="174"/>
    </row>
    <row r="455" spans="1:5" x14ac:dyDescent="0.3">
      <c r="A455" s="174"/>
      <c r="B455" s="174"/>
      <c r="C455" s="174"/>
      <c r="D455" s="174"/>
      <c r="E455" s="174"/>
    </row>
    <row r="456" spans="1:5" x14ac:dyDescent="0.3">
      <c r="A456" s="174"/>
      <c r="B456" s="174"/>
      <c r="C456" s="174"/>
      <c r="D456" s="174"/>
      <c r="E456" s="174"/>
    </row>
    <row r="457" spans="1:5" x14ac:dyDescent="0.3">
      <c r="A457" s="174"/>
      <c r="B457" s="174"/>
      <c r="C457" s="174"/>
      <c r="D457" s="174"/>
      <c r="E457" s="174"/>
    </row>
    <row r="458" spans="1:5" x14ac:dyDescent="0.3">
      <c r="A458" s="174"/>
      <c r="B458" s="174"/>
      <c r="C458" s="174"/>
      <c r="D458" s="174"/>
      <c r="E458" s="174"/>
    </row>
    <row r="459" spans="1:5" x14ac:dyDescent="0.3">
      <c r="A459" s="174"/>
      <c r="B459" s="174"/>
      <c r="C459" s="174"/>
      <c r="D459" s="174"/>
      <c r="E459" s="174"/>
    </row>
    <row r="460" spans="1:5" x14ac:dyDescent="0.3">
      <c r="A460" s="174"/>
      <c r="B460" s="174"/>
      <c r="C460" s="174"/>
      <c r="D460" s="174"/>
      <c r="E460" s="174"/>
    </row>
    <row r="461" spans="1:5" x14ac:dyDescent="0.3">
      <c r="A461" s="174"/>
      <c r="B461" s="174"/>
      <c r="C461" s="174"/>
      <c r="D461" s="174"/>
      <c r="E461" s="174"/>
    </row>
    <row r="462" spans="1:5" x14ac:dyDescent="0.3">
      <c r="A462" s="174"/>
      <c r="B462" s="174"/>
      <c r="C462" s="174"/>
      <c r="D462" s="174"/>
      <c r="E462" s="174"/>
    </row>
    <row r="463" spans="1:5" x14ac:dyDescent="0.3">
      <c r="A463" s="174"/>
      <c r="B463" s="174"/>
      <c r="C463" s="174"/>
      <c r="D463" s="174"/>
      <c r="E463" s="174"/>
    </row>
    <row r="464" spans="1:5" x14ac:dyDescent="0.3">
      <c r="A464" s="174"/>
      <c r="B464" s="174"/>
      <c r="C464" s="174"/>
      <c r="D464" s="174"/>
      <c r="E464" s="174"/>
    </row>
    <row r="465" spans="1:5" x14ac:dyDescent="0.3">
      <c r="A465" s="174"/>
      <c r="B465" s="174"/>
      <c r="C465" s="174"/>
      <c r="D465" s="174"/>
      <c r="E465" s="174"/>
    </row>
    <row r="466" spans="1:5" x14ac:dyDescent="0.3">
      <c r="A466" s="174"/>
      <c r="B466" s="174"/>
      <c r="C466" s="174"/>
      <c r="D466" s="174"/>
      <c r="E466" s="174"/>
    </row>
    <row r="467" spans="1:5" x14ac:dyDescent="0.3">
      <c r="A467" s="174"/>
      <c r="B467" s="174"/>
      <c r="C467" s="174"/>
      <c r="D467" s="174"/>
      <c r="E467" s="174"/>
    </row>
    <row r="468" spans="1:5" x14ac:dyDescent="0.3">
      <c r="A468" s="174"/>
      <c r="B468" s="174"/>
      <c r="C468" s="174"/>
      <c r="D468" s="174"/>
      <c r="E468" s="174"/>
    </row>
    <row r="469" spans="1:5" x14ac:dyDescent="0.3">
      <c r="A469" s="174"/>
      <c r="B469" s="174"/>
      <c r="C469" s="174"/>
      <c r="D469" s="174"/>
      <c r="E469" s="174"/>
    </row>
    <row r="470" spans="1:5" x14ac:dyDescent="0.3">
      <c r="A470" s="174"/>
      <c r="B470" s="174"/>
      <c r="C470" s="174"/>
      <c r="D470" s="174"/>
      <c r="E470" s="174"/>
    </row>
    <row r="471" spans="1:5" x14ac:dyDescent="0.3">
      <c r="A471" s="174"/>
      <c r="B471" s="174"/>
      <c r="C471" s="174"/>
      <c r="D471" s="174"/>
      <c r="E471" s="174"/>
    </row>
    <row r="472" spans="1:5" x14ac:dyDescent="0.3">
      <c r="A472" s="174"/>
      <c r="B472" s="174"/>
      <c r="C472" s="174"/>
      <c r="D472" s="174"/>
      <c r="E472" s="174"/>
    </row>
    <row r="473" spans="1:5" x14ac:dyDescent="0.3">
      <c r="A473" s="174"/>
      <c r="B473" s="174"/>
      <c r="C473" s="174"/>
      <c r="D473" s="174"/>
      <c r="E473" s="174"/>
    </row>
    <row r="474" spans="1:5" x14ac:dyDescent="0.3">
      <c r="A474" s="174"/>
      <c r="B474" s="174"/>
      <c r="C474" s="174"/>
      <c r="D474" s="174"/>
      <c r="E474" s="174"/>
    </row>
    <row r="475" spans="1:5" x14ac:dyDescent="0.3">
      <c r="A475" s="174"/>
      <c r="B475" s="174"/>
      <c r="C475" s="174"/>
      <c r="D475" s="174"/>
      <c r="E475" s="174"/>
    </row>
    <row r="476" spans="1:5" x14ac:dyDescent="0.3">
      <c r="A476" s="174"/>
      <c r="B476" s="174"/>
      <c r="C476" s="174"/>
      <c r="D476" s="174"/>
      <c r="E476" s="174"/>
    </row>
    <row r="477" spans="1:5" x14ac:dyDescent="0.3">
      <c r="A477" s="174"/>
      <c r="B477" s="174"/>
      <c r="C477" s="174"/>
      <c r="D477" s="174"/>
      <c r="E477" s="174"/>
    </row>
    <row r="478" spans="1:5" x14ac:dyDescent="0.3">
      <c r="A478" s="174"/>
      <c r="B478" s="174"/>
      <c r="C478" s="174"/>
      <c r="D478" s="174"/>
      <c r="E478" s="174"/>
    </row>
    <row r="479" spans="1:5" x14ac:dyDescent="0.3">
      <c r="A479" s="174"/>
      <c r="B479" s="174"/>
      <c r="C479" s="174"/>
      <c r="D479" s="174"/>
      <c r="E479" s="174"/>
    </row>
    <row r="480" spans="1:5" x14ac:dyDescent="0.3">
      <c r="A480" s="174"/>
      <c r="B480" s="174"/>
      <c r="C480" s="174"/>
      <c r="D480" s="174"/>
      <c r="E480" s="174"/>
    </row>
    <row r="481" spans="1:5" x14ac:dyDescent="0.3">
      <c r="A481" s="174"/>
      <c r="B481" s="174"/>
      <c r="C481" s="174"/>
      <c r="D481" s="174"/>
      <c r="E481" s="174"/>
    </row>
    <row r="482" spans="1:5" x14ac:dyDescent="0.3">
      <c r="A482" s="174"/>
      <c r="B482" s="174"/>
      <c r="C482" s="174"/>
      <c r="D482" s="174"/>
      <c r="E482" s="174"/>
    </row>
    <row r="483" spans="1:5" x14ac:dyDescent="0.3">
      <c r="A483" s="174"/>
      <c r="B483" s="174"/>
      <c r="C483" s="174"/>
      <c r="D483" s="174"/>
      <c r="E483" s="174"/>
    </row>
    <row r="484" spans="1:5" x14ac:dyDescent="0.3">
      <c r="A484" s="174"/>
      <c r="B484" s="174"/>
      <c r="C484" s="174"/>
      <c r="D484" s="174"/>
      <c r="E484" s="174"/>
    </row>
    <row r="485" spans="1:5" x14ac:dyDescent="0.3">
      <c r="A485" s="174"/>
      <c r="B485" s="174"/>
      <c r="C485" s="174"/>
      <c r="D485" s="174"/>
      <c r="E485" s="174"/>
    </row>
    <row r="486" spans="1:5" x14ac:dyDescent="0.3">
      <c r="A486" s="174"/>
      <c r="B486" s="174"/>
      <c r="C486" s="174"/>
      <c r="D486" s="174"/>
      <c r="E486" s="174"/>
    </row>
    <row r="487" spans="1:5" x14ac:dyDescent="0.3">
      <c r="A487" s="174"/>
      <c r="B487" s="174"/>
      <c r="C487" s="174"/>
      <c r="D487" s="174"/>
      <c r="E487" s="174"/>
    </row>
    <row r="488" spans="1:5" x14ac:dyDescent="0.3">
      <c r="A488" s="174"/>
      <c r="B488" s="174"/>
      <c r="C488" s="174"/>
      <c r="D488" s="174"/>
      <c r="E488" s="174"/>
    </row>
    <row r="489" spans="1:5" x14ac:dyDescent="0.3">
      <c r="A489" s="174"/>
      <c r="B489" s="174"/>
      <c r="C489" s="174"/>
      <c r="D489" s="174"/>
      <c r="E489" s="174"/>
    </row>
    <row r="490" spans="1:5" x14ac:dyDescent="0.3">
      <c r="A490" s="174"/>
      <c r="B490" s="174"/>
      <c r="C490" s="174"/>
      <c r="D490" s="174"/>
      <c r="E490" s="174"/>
    </row>
    <row r="491" spans="1:5" x14ac:dyDescent="0.3">
      <c r="A491" s="174"/>
      <c r="B491" s="174"/>
      <c r="C491" s="174"/>
      <c r="D491" s="174"/>
      <c r="E491" s="174"/>
    </row>
    <row r="492" spans="1:5" x14ac:dyDescent="0.3">
      <c r="A492" s="174"/>
      <c r="B492" s="174"/>
      <c r="C492" s="174"/>
      <c r="D492" s="174"/>
      <c r="E492" s="174"/>
    </row>
    <row r="493" spans="1:5" x14ac:dyDescent="0.3">
      <c r="A493" s="174"/>
      <c r="B493" s="174"/>
      <c r="C493" s="174"/>
      <c r="D493" s="174"/>
      <c r="E493" s="174"/>
    </row>
    <row r="494" spans="1:5" x14ac:dyDescent="0.3">
      <c r="A494" s="174"/>
      <c r="B494" s="174"/>
      <c r="C494" s="174"/>
      <c r="D494" s="174"/>
      <c r="E494" s="174"/>
    </row>
    <row r="495" spans="1:5" x14ac:dyDescent="0.3">
      <c r="A495" s="174"/>
      <c r="B495" s="174"/>
      <c r="C495" s="174"/>
      <c r="D495" s="174"/>
      <c r="E495" s="174"/>
    </row>
    <row r="496" spans="1:5" x14ac:dyDescent="0.3">
      <c r="A496" s="174"/>
      <c r="B496" s="174"/>
      <c r="C496" s="174"/>
      <c r="D496" s="174"/>
      <c r="E496" s="174"/>
    </row>
    <row r="497" spans="1:5" x14ac:dyDescent="0.3">
      <c r="A497" s="174"/>
      <c r="B497" s="174"/>
      <c r="C497" s="174"/>
      <c r="D497" s="174"/>
      <c r="E497" s="174"/>
    </row>
    <row r="498" spans="1:5" x14ac:dyDescent="0.3">
      <c r="A498" s="174"/>
      <c r="B498" s="174"/>
      <c r="C498" s="174"/>
      <c r="D498" s="174"/>
      <c r="E498" s="174"/>
    </row>
    <row r="499" spans="1:5" x14ac:dyDescent="0.3">
      <c r="A499" s="174"/>
      <c r="B499" s="174"/>
      <c r="C499" s="174"/>
      <c r="D499" s="174"/>
      <c r="E499" s="174"/>
    </row>
    <row r="500" spans="1:5" x14ac:dyDescent="0.3">
      <c r="A500" s="174"/>
      <c r="B500" s="174"/>
      <c r="C500" s="174"/>
      <c r="D500" s="174"/>
      <c r="E500" s="174"/>
    </row>
    <row r="501" spans="1:5" x14ac:dyDescent="0.3">
      <c r="A501" s="174"/>
      <c r="B501" s="174"/>
      <c r="C501" s="174"/>
      <c r="D501" s="174"/>
      <c r="E501" s="174"/>
    </row>
    <row r="502" spans="1:5" x14ac:dyDescent="0.3">
      <c r="A502" s="174"/>
      <c r="B502" s="174"/>
      <c r="C502" s="174"/>
      <c r="D502" s="174"/>
      <c r="E502" s="174"/>
    </row>
    <row r="503" spans="1:5" x14ac:dyDescent="0.3">
      <c r="A503" s="174"/>
      <c r="B503" s="174"/>
      <c r="C503" s="174"/>
      <c r="D503" s="174"/>
      <c r="E503" s="174"/>
    </row>
    <row r="504" spans="1:5" x14ac:dyDescent="0.3">
      <c r="A504" s="174"/>
      <c r="B504" s="174"/>
      <c r="C504" s="174"/>
      <c r="D504" s="174"/>
      <c r="E504" s="174"/>
    </row>
    <row r="505" spans="1:5" x14ac:dyDescent="0.3">
      <c r="A505" s="174"/>
      <c r="B505" s="174"/>
      <c r="C505" s="174"/>
      <c r="D505" s="174"/>
      <c r="E505" s="174"/>
    </row>
    <row r="506" spans="1:5" x14ac:dyDescent="0.3">
      <c r="A506" s="174"/>
      <c r="B506" s="174"/>
      <c r="C506" s="174"/>
      <c r="D506" s="174"/>
      <c r="E506" s="174"/>
    </row>
    <row r="507" spans="1:5" x14ac:dyDescent="0.3">
      <c r="A507" s="174"/>
      <c r="B507" s="174"/>
      <c r="C507" s="174"/>
      <c r="D507" s="174"/>
      <c r="E507" s="174"/>
    </row>
    <row r="508" spans="1:5" x14ac:dyDescent="0.3">
      <c r="A508" s="174"/>
      <c r="B508" s="174"/>
      <c r="C508" s="174"/>
      <c r="D508" s="174"/>
      <c r="E508" s="174"/>
    </row>
    <row r="509" spans="1:5" x14ac:dyDescent="0.3">
      <c r="A509" s="174"/>
      <c r="B509" s="174"/>
      <c r="C509" s="174"/>
      <c r="D509" s="174"/>
      <c r="E509" s="174"/>
    </row>
    <row r="510" spans="1:5" x14ac:dyDescent="0.3">
      <c r="A510" s="174"/>
      <c r="B510" s="174"/>
      <c r="C510" s="174"/>
      <c r="D510" s="174"/>
      <c r="E510" s="174"/>
    </row>
    <row r="511" spans="1:5" x14ac:dyDescent="0.3">
      <c r="A511" s="174"/>
      <c r="B511" s="174"/>
      <c r="C511" s="174"/>
      <c r="D511" s="174"/>
      <c r="E511" s="174"/>
    </row>
    <row r="512" spans="1:5" x14ac:dyDescent="0.3">
      <c r="A512" s="174"/>
      <c r="B512" s="174"/>
      <c r="C512" s="174"/>
      <c r="D512" s="174"/>
      <c r="E512" s="174"/>
    </row>
    <row r="513" spans="1:5" x14ac:dyDescent="0.3">
      <c r="A513" s="174"/>
      <c r="B513" s="174"/>
      <c r="C513" s="174"/>
      <c r="D513" s="174"/>
      <c r="E513" s="174"/>
    </row>
    <row r="514" spans="1:5" x14ac:dyDescent="0.3">
      <c r="A514" s="174"/>
      <c r="B514" s="174"/>
      <c r="C514" s="174"/>
      <c r="D514" s="174"/>
      <c r="E514" s="174"/>
    </row>
    <row r="515" spans="1:5" x14ac:dyDescent="0.3">
      <c r="A515" s="174"/>
      <c r="B515" s="174"/>
      <c r="C515" s="174"/>
      <c r="D515" s="174"/>
      <c r="E515" s="174"/>
    </row>
    <row r="516" spans="1:5" x14ac:dyDescent="0.3">
      <c r="A516" s="174"/>
      <c r="B516" s="174"/>
      <c r="C516" s="174"/>
      <c r="D516" s="174"/>
      <c r="E516" s="174"/>
    </row>
    <row r="517" spans="1:5" x14ac:dyDescent="0.3">
      <c r="A517" s="174"/>
      <c r="B517" s="174"/>
      <c r="C517" s="174"/>
      <c r="D517" s="174"/>
      <c r="E517" s="174"/>
    </row>
    <row r="518" spans="1:5" x14ac:dyDescent="0.3">
      <c r="A518" s="174"/>
      <c r="B518" s="174"/>
      <c r="C518" s="174"/>
      <c r="D518" s="174"/>
      <c r="E518" s="174"/>
    </row>
    <row r="519" spans="1:5" x14ac:dyDescent="0.3">
      <c r="A519" s="174"/>
      <c r="B519" s="174"/>
      <c r="C519" s="174"/>
      <c r="D519" s="174"/>
      <c r="E519" s="174"/>
    </row>
    <row r="520" spans="1:5" x14ac:dyDescent="0.3">
      <c r="A520" s="174"/>
      <c r="B520" s="174"/>
      <c r="C520" s="174"/>
      <c r="D520" s="174"/>
      <c r="E520" s="174"/>
    </row>
    <row r="521" spans="1:5" x14ac:dyDescent="0.3">
      <c r="A521" s="174"/>
      <c r="B521" s="174"/>
      <c r="C521" s="174"/>
      <c r="D521" s="174"/>
      <c r="E521" s="174"/>
    </row>
    <row r="522" spans="1:5" x14ac:dyDescent="0.3">
      <c r="A522" s="174"/>
      <c r="B522" s="174"/>
      <c r="C522" s="174"/>
      <c r="D522" s="174"/>
      <c r="E522" s="174"/>
    </row>
    <row r="523" spans="1:5" x14ac:dyDescent="0.3">
      <c r="A523" s="174"/>
      <c r="B523" s="174"/>
      <c r="C523" s="174"/>
      <c r="D523" s="174"/>
      <c r="E523" s="174"/>
    </row>
    <row r="524" spans="1:5" x14ac:dyDescent="0.3">
      <c r="A524" s="174"/>
      <c r="B524" s="174"/>
      <c r="C524" s="174"/>
      <c r="D524" s="174"/>
      <c r="E524" s="174"/>
    </row>
    <row r="525" spans="1:5" x14ac:dyDescent="0.3">
      <c r="A525" s="174"/>
      <c r="B525" s="174"/>
      <c r="C525" s="174"/>
      <c r="D525" s="174"/>
      <c r="E525" s="174"/>
    </row>
    <row r="526" spans="1:5" x14ac:dyDescent="0.3">
      <c r="A526" s="174"/>
      <c r="B526" s="174"/>
      <c r="C526" s="174"/>
      <c r="D526" s="174"/>
      <c r="E526" s="174"/>
    </row>
    <row r="527" spans="1:5" x14ac:dyDescent="0.3">
      <c r="A527" s="174"/>
      <c r="B527" s="174"/>
      <c r="C527" s="174"/>
      <c r="D527" s="174"/>
      <c r="E527" s="174"/>
    </row>
    <row r="528" spans="1:5" x14ac:dyDescent="0.3">
      <c r="A528" s="174"/>
      <c r="B528" s="174"/>
      <c r="C528" s="174"/>
      <c r="D528" s="174"/>
      <c r="E528" s="174"/>
    </row>
    <row r="529" spans="1:5" x14ac:dyDescent="0.3">
      <c r="A529" s="174"/>
      <c r="B529" s="174"/>
      <c r="C529" s="174"/>
      <c r="D529" s="174"/>
      <c r="E529" s="174"/>
    </row>
    <row r="530" spans="1:5" x14ac:dyDescent="0.3">
      <c r="A530" s="174"/>
      <c r="B530" s="174"/>
      <c r="C530" s="174"/>
      <c r="D530" s="174"/>
      <c r="E530" s="174"/>
    </row>
    <row r="531" spans="1:5" x14ac:dyDescent="0.3">
      <c r="A531" s="174"/>
      <c r="B531" s="174"/>
      <c r="C531" s="174"/>
      <c r="D531" s="174"/>
      <c r="E531" s="174"/>
    </row>
    <row r="532" spans="1:5" x14ac:dyDescent="0.3">
      <c r="A532" s="174"/>
      <c r="B532" s="174"/>
      <c r="C532" s="174"/>
      <c r="D532" s="174"/>
      <c r="E532" s="174"/>
    </row>
    <row r="533" spans="1:5" x14ac:dyDescent="0.3">
      <c r="A533" s="174"/>
      <c r="B533" s="174"/>
      <c r="C533" s="174"/>
      <c r="D533" s="174"/>
      <c r="E533" s="174"/>
    </row>
    <row r="534" spans="1:5" x14ac:dyDescent="0.3">
      <c r="A534" s="174"/>
      <c r="B534" s="174"/>
      <c r="C534" s="174"/>
      <c r="D534" s="174"/>
      <c r="E534" s="174"/>
    </row>
    <row r="535" spans="1:5" x14ac:dyDescent="0.3">
      <c r="A535" s="174"/>
      <c r="B535" s="174"/>
      <c r="C535" s="174"/>
      <c r="D535" s="174"/>
      <c r="E535" s="174"/>
    </row>
    <row r="536" spans="1:5" x14ac:dyDescent="0.3">
      <c r="A536" s="174"/>
      <c r="B536" s="174"/>
      <c r="C536" s="174"/>
      <c r="D536" s="174"/>
      <c r="E536" s="174"/>
    </row>
    <row r="537" spans="1:5" x14ac:dyDescent="0.3">
      <c r="A537" s="174"/>
      <c r="B537" s="174"/>
      <c r="C537" s="174"/>
      <c r="D537" s="174"/>
      <c r="E537" s="174"/>
    </row>
    <row r="538" spans="1:5" x14ac:dyDescent="0.3">
      <c r="A538" s="174"/>
      <c r="B538" s="174"/>
      <c r="C538" s="174"/>
      <c r="D538" s="174"/>
      <c r="E538" s="174"/>
    </row>
    <row r="539" spans="1:5" x14ac:dyDescent="0.3">
      <c r="A539" s="174"/>
      <c r="B539" s="174"/>
      <c r="C539" s="174"/>
      <c r="D539" s="174"/>
      <c r="E539" s="174"/>
    </row>
    <row r="540" spans="1:5" x14ac:dyDescent="0.3">
      <c r="A540" s="174"/>
      <c r="B540" s="174"/>
      <c r="C540" s="174"/>
      <c r="D540" s="174"/>
      <c r="E540" s="174"/>
    </row>
    <row r="541" spans="1:5" x14ac:dyDescent="0.3">
      <c r="A541" s="174"/>
      <c r="B541" s="174"/>
      <c r="C541" s="174"/>
      <c r="D541" s="174"/>
      <c r="E541" s="174"/>
    </row>
    <row r="542" spans="1:5" x14ac:dyDescent="0.3">
      <c r="A542" s="174"/>
      <c r="B542" s="174"/>
      <c r="C542" s="174"/>
      <c r="D542" s="174"/>
      <c r="E542" s="174"/>
    </row>
    <row r="543" spans="1:5" x14ac:dyDescent="0.3">
      <c r="A543" s="174"/>
      <c r="B543" s="174"/>
      <c r="C543" s="174"/>
      <c r="D543" s="174"/>
      <c r="E543" s="174"/>
    </row>
    <row r="544" spans="1:5" x14ac:dyDescent="0.3">
      <c r="A544" s="174"/>
      <c r="B544" s="174"/>
      <c r="C544" s="174"/>
      <c r="D544" s="174"/>
      <c r="E544" s="174"/>
    </row>
    <row r="545" spans="1:5" x14ac:dyDescent="0.3">
      <c r="A545" s="174"/>
      <c r="B545" s="174"/>
      <c r="C545" s="174"/>
      <c r="D545" s="174"/>
      <c r="E545" s="174"/>
    </row>
    <row r="546" spans="1:5" x14ac:dyDescent="0.3">
      <c r="A546" s="174"/>
      <c r="B546" s="174"/>
      <c r="C546" s="174"/>
      <c r="D546" s="174"/>
      <c r="E546" s="174"/>
    </row>
    <row r="547" spans="1:5" x14ac:dyDescent="0.3">
      <c r="A547" s="174"/>
      <c r="B547" s="174"/>
      <c r="C547" s="174"/>
      <c r="D547" s="174"/>
      <c r="E547" s="174"/>
    </row>
    <row r="548" spans="1:5" x14ac:dyDescent="0.3">
      <c r="A548" s="174"/>
      <c r="B548" s="174"/>
      <c r="C548" s="174"/>
      <c r="D548" s="174"/>
      <c r="E548" s="174"/>
    </row>
    <row r="549" spans="1:5" x14ac:dyDescent="0.3">
      <c r="A549" s="174"/>
      <c r="B549" s="174"/>
      <c r="C549" s="174"/>
      <c r="D549" s="174"/>
      <c r="E549" s="174"/>
    </row>
    <row r="550" spans="1:5" x14ac:dyDescent="0.3">
      <c r="A550" s="174"/>
      <c r="B550" s="174"/>
      <c r="C550" s="174"/>
      <c r="D550" s="174"/>
      <c r="E550" s="174"/>
    </row>
    <row r="551" spans="1:5" x14ac:dyDescent="0.3">
      <c r="A551" s="174"/>
      <c r="B551" s="174"/>
      <c r="C551" s="174"/>
      <c r="D551" s="174"/>
      <c r="E551" s="174"/>
    </row>
    <row r="552" spans="1:5" x14ac:dyDescent="0.3">
      <c r="A552" s="174"/>
      <c r="B552" s="174"/>
      <c r="C552" s="174"/>
      <c r="D552" s="174"/>
      <c r="E552" s="174"/>
    </row>
    <row r="553" spans="1:5" x14ac:dyDescent="0.3">
      <c r="A553" s="174"/>
      <c r="B553" s="174"/>
      <c r="C553" s="174"/>
      <c r="D553" s="174"/>
      <c r="E553" s="174"/>
    </row>
    <row r="554" spans="1:5" x14ac:dyDescent="0.3">
      <c r="A554" s="174"/>
      <c r="B554" s="174"/>
      <c r="C554" s="174"/>
      <c r="D554" s="174"/>
      <c r="E554" s="174"/>
    </row>
    <row r="555" spans="1:5" x14ac:dyDescent="0.3">
      <c r="A555" s="174"/>
      <c r="B555" s="174"/>
      <c r="C555" s="174"/>
      <c r="D555" s="174"/>
      <c r="E555" s="174"/>
    </row>
    <row r="556" spans="1:5" x14ac:dyDescent="0.3">
      <c r="A556" s="174"/>
      <c r="B556" s="174"/>
      <c r="C556" s="174"/>
      <c r="D556" s="174"/>
      <c r="E556" s="174"/>
    </row>
    <row r="557" spans="1:5" x14ac:dyDescent="0.3">
      <c r="A557" s="174"/>
      <c r="B557" s="174"/>
      <c r="C557" s="174"/>
      <c r="D557" s="174"/>
      <c r="E557" s="174"/>
    </row>
    <row r="558" spans="1:5" x14ac:dyDescent="0.3">
      <c r="A558" s="174"/>
      <c r="B558" s="174"/>
      <c r="C558" s="174"/>
      <c r="D558" s="174"/>
      <c r="E558" s="174"/>
    </row>
    <row r="559" spans="1:5" x14ac:dyDescent="0.3">
      <c r="A559" s="174"/>
      <c r="B559" s="174"/>
      <c r="C559" s="174"/>
      <c r="D559" s="174"/>
      <c r="E559" s="174"/>
    </row>
    <row r="560" spans="1:5" x14ac:dyDescent="0.3">
      <c r="A560" s="174"/>
      <c r="B560" s="174"/>
      <c r="C560" s="174"/>
      <c r="D560" s="174"/>
      <c r="E560" s="174"/>
    </row>
    <row r="561" spans="1:5" x14ac:dyDescent="0.3">
      <c r="A561" s="174"/>
      <c r="B561" s="174"/>
      <c r="C561" s="174"/>
      <c r="D561" s="174"/>
      <c r="E561" s="174"/>
    </row>
    <row r="562" spans="1:5" x14ac:dyDescent="0.3">
      <c r="A562" s="174"/>
      <c r="B562" s="174"/>
      <c r="C562" s="174"/>
      <c r="D562" s="174"/>
      <c r="E562" s="174"/>
    </row>
    <row r="563" spans="1:5" x14ac:dyDescent="0.3">
      <c r="A563" s="174"/>
      <c r="B563" s="174"/>
      <c r="C563" s="174"/>
      <c r="D563" s="174"/>
      <c r="E563" s="174"/>
    </row>
    <row r="564" spans="1:5" x14ac:dyDescent="0.3">
      <c r="A564" s="174"/>
      <c r="B564" s="174"/>
      <c r="C564" s="174"/>
      <c r="D564" s="174"/>
      <c r="E564" s="174"/>
    </row>
    <row r="565" spans="1:5" x14ac:dyDescent="0.3">
      <c r="A565" s="174"/>
      <c r="B565" s="174"/>
      <c r="C565" s="174"/>
      <c r="D565" s="174"/>
      <c r="E565" s="174"/>
    </row>
    <row r="566" spans="1:5" x14ac:dyDescent="0.3">
      <c r="A566" s="174"/>
      <c r="B566" s="174"/>
      <c r="C566" s="174"/>
      <c r="D566" s="174"/>
      <c r="E566" s="174"/>
    </row>
    <row r="567" spans="1:5" x14ac:dyDescent="0.3">
      <c r="A567" s="174"/>
      <c r="B567" s="174"/>
      <c r="C567" s="174"/>
      <c r="D567" s="174"/>
      <c r="E567" s="174"/>
    </row>
    <row r="568" spans="1:5" x14ac:dyDescent="0.3">
      <c r="A568" s="174"/>
      <c r="B568" s="174"/>
      <c r="C568" s="174"/>
      <c r="D568" s="174"/>
      <c r="E568" s="174"/>
    </row>
    <row r="569" spans="1:5" x14ac:dyDescent="0.3">
      <c r="A569" s="174"/>
      <c r="B569" s="174"/>
      <c r="C569" s="174"/>
      <c r="D569" s="174"/>
      <c r="E569" s="174"/>
    </row>
    <row r="570" spans="1:5" x14ac:dyDescent="0.3">
      <c r="A570" s="174"/>
      <c r="B570" s="174"/>
      <c r="C570" s="174"/>
      <c r="D570" s="174"/>
      <c r="E570" s="174"/>
    </row>
    <row r="571" spans="1:5" x14ac:dyDescent="0.3">
      <c r="A571" s="174"/>
      <c r="B571" s="174"/>
      <c r="C571" s="174"/>
      <c r="D571" s="174"/>
      <c r="E571" s="174"/>
    </row>
    <row r="572" spans="1:5" x14ac:dyDescent="0.3">
      <c r="A572" s="174"/>
      <c r="B572" s="174"/>
      <c r="C572" s="174"/>
      <c r="D572" s="174"/>
      <c r="E572" s="174"/>
    </row>
    <row r="573" spans="1:5" x14ac:dyDescent="0.3">
      <c r="A573" s="174"/>
      <c r="B573" s="174"/>
      <c r="C573" s="174"/>
      <c r="D573" s="174"/>
      <c r="E573" s="174"/>
    </row>
    <row r="574" spans="1:5" x14ac:dyDescent="0.3">
      <c r="A574" s="174"/>
      <c r="B574" s="174"/>
      <c r="C574" s="174"/>
      <c r="D574" s="174"/>
      <c r="E574" s="174"/>
    </row>
    <row r="575" spans="1:5" x14ac:dyDescent="0.3">
      <c r="A575" s="174"/>
      <c r="B575" s="174"/>
      <c r="C575" s="174"/>
      <c r="D575" s="174"/>
      <c r="E575" s="174"/>
    </row>
    <row r="576" spans="1:5" x14ac:dyDescent="0.3">
      <c r="A576" s="174"/>
      <c r="B576" s="174"/>
      <c r="C576" s="174"/>
      <c r="D576" s="174"/>
      <c r="E576" s="174"/>
    </row>
    <row r="577" spans="1:5" x14ac:dyDescent="0.3">
      <c r="A577" s="174"/>
      <c r="B577" s="174"/>
      <c r="C577" s="174"/>
      <c r="D577" s="174"/>
      <c r="E577" s="174"/>
    </row>
    <row r="578" spans="1:5" x14ac:dyDescent="0.3">
      <c r="A578" s="174"/>
      <c r="B578" s="174"/>
      <c r="C578" s="174"/>
      <c r="D578" s="174"/>
      <c r="E578" s="174"/>
    </row>
    <row r="579" spans="1:5" x14ac:dyDescent="0.3">
      <c r="A579" s="174"/>
      <c r="B579" s="174"/>
      <c r="C579" s="174"/>
      <c r="D579" s="174"/>
      <c r="E579" s="174"/>
    </row>
    <row r="580" spans="1:5" x14ac:dyDescent="0.3">
      <c r="A580" s="174"/>
      <c r="B580" s="174"/>
      <c r="C580" s="174"/>
      <c r="D580" s="174"/>
      <c r="E580" s="174"/>
    </row>
    <row r="581" spans="1:5" x14ac:dyDescent="0.3">
      <c r="A581" s="174"/>
      <c r="B581" s="174"/>
      <c r="C581" s="174"/>
      <c r="D581" s="174"/>
      <c r="E581" s="174"/>
    </row>
    <row r="582" spans="1:5" x14ac:dyDescent="0.3">
      <c r="A582" s="174"/>
      <c r="B582" s="174"/>
      <c r="C582" s="174"/>
      <c r="D582" s="174"/>
      <c r="E582" s="174"/>
    </row>
    <row r="583" spans="1:5" x14ac:dyDescent="0.3">
      <c r="A583" s="174"/>
      <c r="B583" s="174"/>
      <c r="C583" s="174"/>
      <c r="D583" s="174"/>
      <c r="E583" s="174"/>
    </row>
    <row r="584" spans="1:5" x14ac:dyDescent="0.3">
      <c r="A584" s="174"/>
      <c r="B584" s="174"/>
      <c r="C584" s="174"/>
      <c r="D584" s="174"/>
      <c r="E584" s="174"/>
    </row>
    <row r="585" spans="1:5" x14ac:dyDescent="0.3">
      <c r="A585" s="174"/>
      <c r="B585" s="174"/>
      <c r="C585" s="174"/>
      <c r="D585" s="174"/>
      <c r="E585" s="174"/>
    </row>
    <row r="586" spans="1:5" x14ac:dyDescent="0.3">
      <c r="A586" s="174"/>
      <c r="B586" s="174"/>
      <c r="C586" s="174"/>
      <c r="D586" s="174"/>
      <c r="E586" s="174"/>
    </row>
    <row r="587" spans="1:5" x14ac:dyDescent="0.3">
      <c r="A587" s="174"/>
      <c r="B587" s="174"/>
      <c r="C587" s="174"/>
      <c r="D587" s="174"/>
      <c r="E587" s="174"/>
    </row>
    <row r="588" spans="1:5" x14ac:dyDescent="0.3">
      <c r="A588" s="174"/>
      <c r="B588" s="174"/>
      <c r="C588" s="174"/>
      <c r="D588" s="174"/>
      <c r="E588" s="174"/>
    </row>
    <row r="589" spans="1:5" x14ac:dyDescent="0.3">
      <c r="A589" s="174"/>
      <c r="B589" s="174"/>
      <c r="C589" s="174"/>
      <c r="D589" s="174"/>
      <c r="E589" s="174"/>
    </row>
    <row r="590" spans="1:5" x14ac:dyDescent="0.3">
      <c r="A590" s="174"/>
      <c r="B590" s="174"/>
      <c r="C590" s="174"/>
      <c r="D590" s="174"/>
      <c r="E590" s="174"/>
    </row>
    <row r="591" spans="1:5" x14ac:dyDescent="0.3">
      <c r="A591" s="174"/>
      <c r="B591" s="174"/>
      <c r="C591" s="174"/>
      <c r="D591" s="174"/>
      <c r="E591" s="174"/>
    </row>
    <row r="592" spans="1:5" x14ac:dyDescent="0.3">
      <c r="A592" s="174"/>
      <c r="B592" s="174"/>
      <c r="C592" s="174"/>
      <c r="D592" s="174"/>
      <c r="E592" s="174"/>
    </row>
    <row r="593" spans="1:5" x14ac:dyDescent="0.3">
      <c r="A593" s="174"/>
      <c r="B593" s="174"/>
      <c r="C593" s="174"/>
      <c r="D593" s="174"/>
      <c r="E593" s="174"/>
    </row>
    <row r="594" spans="1:5" x14ac:dyDescent="0.3">
      <c r="A594" s="174"/>
      <c r="B594" s="174"/>
      <c r="C594" s="174"/>
      <c r="D594" s="174"/>
      <c r="E594" s="174"/>
    </row>
    <row r="595" spans="1:5" x14ac:dyDescent="0.3">
      <c r="A595" s="174"/>
      <c r="B595" s="174"/>
      <c r="C595" s="174"/>
      <c r="D595" s="174"/>
      <c r="E595" s="174"/>
    </row>
    <row r="596" spans="1:5" x14ac:dyDescent="0.3">
      <c r="A596" s="174"/>
      <c r="B596" s="174"/>
      <c r="C596" s="174"/>
      <c r="D596" s="174"/>
      <c r="E596" s="174"/>
    </row>
    <row r="597" spans="1:5" x14ac:dyDescent="0.3">
      <c r="A597" s="174"/>
      <c r="B597" s="174"/>
      <c r="C597" s="174"/>
      <c r="D597" s="174"/>
      <c r="E597" s="174"/>
    </row>
    <row r="598" spans="1:5" x14ac:dyDescent="0.3">
      <c r="A598" s="174"/>
      <c r="B598" s="174"/>
      <c r="C598" s="174"/>
      <c r="D598" s="174"/>
      <c r="E598" s="174"/>
    </row>
    <row r="599" spans="1:5" x14ac:dyDescent="0.3">
      <c r="A599" s="174"/>
      <c r="B599" s="174"/>
      <c r="C599" s="174"/>
      <c r="D599" s="174"/>
      <c r="E599" s="174"/>
    </row>
    <row r="600" spans="1:5" x14ac:dyDescent="0.3">
      <c r="A600" s="174"/>
      <c r="B600" s="174"/>
      <c r="C600" s="174"/>
      <c r="D600" s="174"/>
      <c r="E600" s="174"/>
    </row>
    <row r="601" spans="1:5" x14ac:dyDescent="0.3">
      <c r="A601" s="174"/>
      <c r="B601" s="174"/>
      <c r="C601" s="174"/>
      <c r="D601" s="174"/>
      <c r="E601" s="174"/>
    </row>
    <row r="602" spans="1:5" x14ac:dyDescent="0.3">
      <c r="A602" s="174"/>
      <c r="B602" s="174"/>
      <c r="C602" s="174"/>
      <c r="D602" s="174"/>
      <c r="E602" s="174"/>
    </row>
    <row r="603" spans="1:5" x14ac:dyDescent="0.3">
      <c r="A603" s="174"/>
      <c r="B603" s="174"/>
      <c r="C603" s="174"/>
      <c r="D603" s="174"/>
      <c r="E603" s="174"/>
    </row>
    <row r="604" spans="1:5" x14ac:dyDescent="0.3">
      <c r="A604" s="174"/>
      <c r="B604" s="174"/>
      <c r="C604" s="174"/>
      <c r="D604" s="174"/>
      <c r="E604" s="174"/>
    </row>
    <row r="605" spans="1:5" x14ac:dyDescent="0.3">
      <c r="A605" s="174"/>
      <c r="B605" s="174"/>
      <c r="C605" s="174"/>
      <c r="D605" s="174"/>
      <c r="E605" s="174"/>
    </row>
    <row r="606" spans="1:5" x14ac:dyDescent="0.3">
      <c r="A606" s="174"/>
      <c r="B606" s="174"/>
      <c r="C606" s="174"/>
      <c r="D606" s="174"/>
      <c r="E606" s="174"/>
    </row>
    <row r="607" spans="1:5" x14ac:dyDescent="0.3">
      <c r="A607" s="174"/>
      <c r="B607" s="174"/>
      <c r="C607" s="174"/>
      <c r="D607" s="174"/>
      <c r="E607" s="174"/>
    </row>
    <row r="608" spans="1:5" x14ac:dyDescent="0.3">
      <c r="A608" s="174"/>
      <c r="B608" s="174"/>
      <c r="C608" s="174"/>
      <c r="D608" s="174"/>
      <c r="E608" s="174"/>
    </row>
    <row r="609" spans="1:5" x14ac:dyDescent="0.3">
      <c r="A609" s="174"/>
      <c r="B609" s="174"/>
      <c r="C609" s="174"/>
      <c r="D609" s="174"/>
      <c r="E609" s="174"/>
    </row>
    <row r="610" spans="1:5" x14ac:dyDescent="0.3">
      <c r="A610" s="174"/>
      <c r="B610" s="174"/>
      <c r="C610" s="174"/>
      <c r="D610" s="174"/>
      <c r="E610" s="174"/>
    </row>
    <row r="611" spans="1:5" x14ac:dyDescent="0.3">
      <c r="A611" s="174"/>
      <c r="B611" s="174"/>
      <c r="C611" s="174"/>
      <c r="D611" s="174"/>
      <c r="E611" s="174"/>
    </row>
    <row r="612" spans="1:5" x14ac:dyDescent="0.3">
      <c r="A612" s="174"/>
      <c r="B612" s="174"/>
      <c r="C612" s="174"/>
      <c r="D612" s="174"/>
      <c r="E612" s="174"/>
    </row>
    <row r="613" spans="1:5" x14ac:dyDescent="0.3">
      <c r="A613" s="174"/>
      <c r="B613" s="174"/>
      <c r="C613" s="174"/>
      <c r="D613" s="174"/>
      <c r="E613" s="174"/>
    </row>
    <row r="614" spans="1:5" x14ac:dyDescent="0.3">
      <c r="A614" s="174"/>
      <c r="B614" s="174"/>
      <c r="C614" s="174"/>
      <c r="D614" s="174"/>
      <c r="E614" s="174"/>
    </row>
    <row r="615" spans="1:5" x14ac:dyDescent="0.3">
      <c r="A615" s="174"/>
      <c r="B615" s="174"/>
      <c r="C615" s="174"/>
      <c r="D615" s="174"/>
      <c r="E615" s="174"/>
    </row>
    <row r="616" spans="1:5" x14ac:dyDescent="0.3">
      <c r="A616" s="174"/>
      <c r="B616" s="174"/>
      <c r="C616" s="174"/>
      <c r="D616" s="174"/>
      <c r="E616" s="174"/>
    </row>
    <row r="617" spans="1:5" x14ac:dyDescent="0.3">
      <c r="A617" s="174"/>
      <c r="B617" s="174"/>
      <c r="C617" s="174"/>
      <c r="D617" s="174"/>
      <c r="E617" s="174"/>
    </row>
    <row r="618" spans="1:5" x14ac:dyDescent="0.3">
      <c r="A618" s="174"/>
      <c r="B618" s="174"/>
      <c r="C618" s="174"/>
      <c r="D618" s="174"/>
      <c r="E618" s="174"/>
    </row>
    <row r="619" spans="1:5" x14ac:dyDescent="0.3">
      <c r="A619" s="174"/>
      <c r="B619" s="174"/>
      <c r="C619" s="174"/>
      <c r="D619" s="174"/>
      <c r="E619" s="174"/>
    </row>
    <row r="620" spans="1:5" x14ac:dyDescent="0.3">
      <c r="A620" s="85"/>
      <c r="B620" s="174"/>
      <c r="C620" s="174"/>
      <c r="D620" s="174"/>
      <c r="E620" s="174"/>
    </row>
    <row r="621" spans="1:5" x14ac:dyDescent="0.3">
      <c r="A621" s="85"/>
      <c r="B621" s="174"/>
      <c r="C621" s="174"/>
      <c r="D621" s="174"/>
      <c r="E621" s="174"/>
    </row>
    <row r="622" spans="1:5" x14ac:dyDescent="0.3">
      <c r="A622" s="174"/>
      <c r="B622" s="174"/>
      <c r="C622" s="174"/>
      <c r="D622" s="174"/>
      <c r="E622" s="174"/>
    </row>
    <row r="623" spans="1:5" x14ac:dyDescent="0.3">
      <c r="A623" s="174"/>
      <c r="B623" s="174"/>
      <c r="C623" s="174"/>
      <c r="D623" s="174"/>
      <c r="E623" s="174"/>
    </row>
    <row r="624" spans="1:5" x14ac:dyDescent="0.3">
      <c r="A624" s="174"/>
      <c r="B624" s="174"/>
      <c r="C624" s="174"/>
      <c r="D624" s="174"/>
      <c r="E624" s="174"/>
    </row>
    <row r="625" spans="1:5" x14ac:dyDescent="0.3">
      <c r="A625" s="174"/>
      <c r="B625" s="174"/>
      <c r="C625" s="174"/>
      <c r="D625" s="174"/>
      <c r="E625" s="174"/>
    </row>
    <row r="626" spans="1:5" x14ac:dyDescent="0.3">
      <c r="A626" s="174"/>
      <c r="B626" s="174"/>
      <c r="C626" s="174"/>
      <c r="D626" s="174"/>
      <c r="E626" s="174"/>
    </row>
    <row r="627" spans="1:5" x14ac:dyDescent="0.3">
      <c r="A627" s="174"/>
      <c r="B627" s="174"/>
      <c r="C627" s="174"/>
      <c r="D627" s="174"/>
      <c r="E627" s="174"/>
    </row>
    <row r="628" spans="1:5" x14ac:dyDescent="0.3">
      <c r="A628" s="174"/>
      <c r="B628" s="174"/>
      <c r="C628" s="174"/>
      <c r="D628" s="174"/>
      <c r="E628" s="174"/>
    </row>
    <row r="629" spans="1:5" x14ac:dyDescent="0.3">
      <c r="A629" s="174"/>
      <c r="B629" s="174"/>
      <c r="C629" s="174"/>
      <c r="D629" s="174"/>
      <c r="E629" s="174"/>
    </row>
    <row r="630" spans="1:5" x14ac:dyDescent="0.3">
      <c r="A630" s="174"/>
      <c r="B630" s="174"/>
      <c r="C630" s="174"/>
      <c r="D630" s="174"/>
      <c r="E630" s="174"/>
    </row>
    <row r="631" spans="1:5" x14ac:dyDescent="0.3">
      <c r="A631" s="174"/>
      <c r="B631" s="174"/>
      <c r="C631" s="174"/>
      <c r="D631" s="174"/>
      <c r="E631" s="174"/>
    </row>
    <row r="632" spans="1:5" x14ac:dyDescent="0.3">
      <c r="A632" s="174"/>
      <c r="B632" s="174"/>
      <c r="C632" s="174"/>
      <c r="D632" s="174"/>
      <c r="E632" s="174"/>
    </row>
    <row r="633" spans="1:5" x14ac:dyDescent="0.3">
      <c r="A633" s="174"/>
      <c r="B633" s="174"/>
      <c r="C633" s="174"/>
      <c r="D633" s="174"/>
      <c r="E633" s="174"/>
    </row>
    <row r="634" spans="1:5" x14ac:dyDescent="0.3">
      <c r="A634" s="174"/>
      <c r="B634" s="174"/>
      <c r="C634" s="174"/>
      <c r="D634" s="174"/>
      <c r="E634" s="174"/>
    </row>
    <row r="635" spans="1:5" x14ac:dyDescent="0.3">
      <c r="A635" s="174"/>
      <c r="B635" s="174"/>
      <c r="C635" s="174"/>
      <c r="D635" s="174"/>
      <c r="E635" s="174"/>
    </row>
    <row r="636" spans="1:5" x14ac:dyDescent="0.3">
      <c r="A636" s="174"/>
      <c r="B636" s="174"/>
      <c r="C636" s="174"/>
      <c r="D636" s="174"/>
      <c r="E636" s="174"/>
    </row>
    <row r="637" spans="1:5" x14ac:dyDescent="0.3">
      <c r="A637" s="174"/>
      <c r="B637" s="174"/>
      <c r="C637" s="174"/>
      <c r="D637" s="174"/>
      <c r="E637" s="174"/>
    </row>
    <row r="638" spans="1:5" x14ac:dyDescent="0.3">
      <c r="A638" s="174"/>
      <c r="B638" s="174"/>
      <c r="C638" s="174"/>
      <c r="D638" s="174"/>
      <c r="E638" s="174"/>
    </row>
    <row r="639" spans="1:5" x14ac:dyDescent="0.3">
      <c r="A639" s="174"/>
      <c r="B639" s="174"/>
      <c r="C639" s="174"/>
      <c r="D639" s="174"/>
      <c r="E639" s="174"/>
    </row>
    <row r="640" spans="1:5" x14ac:dyDescent="0.3">
      <c r="A640" s="174"/>
      <c r="B640" s="174"/>
      <c r="C640" s="174"/>
      <c r="D640" s="174"/>
      <c r="E640" s="174"/>
    </row>
    <row r="641" spans="1:5" x14ac:dyDescent="0.3">
      <c r="A641" s="174"/>
      <c r="B641" s="174"/>
      <c r="C641" s="174"/>
      <c r="D641" s="174"/>
      <c r="E641" s="174"/>
    </row>
    <row r="642" spans="1:5" x14ac:dyDescent="0.3">
      <c r="A642" s="174"/>
      <c r="B642" s="174"/>
      <c r="C642" s="174"/>
      <c r="D642" s="174"/>
      <c r="E642" s="174"/>
    </row>
    <row r="643" spans="1:5" x14ac:dyDescent="0.3">
      <c r="A643" s="174"/>
      <c r="B643" s="174"/>
      <c r="C643" s="174"/>
      <c r="D643" s="174"/>
      <c r="E643" s="174"/>
    </row>
    <row r="644" spans="1:5" x14ac:dyDescent="0.3">
      <c r="A644" s="174"/>
      <c r="B644" s="174"/>
      <c r="C644" s="174"/>
      <c r="D644" s="174"/>
      <c r="E644" s="174"/>
    </row>
    <row r="645" spans="1:5" x14ac:dyDescent="0.3">
      <c r="A645" s="174"/>
      <c r="B645" s="174"/>
      <c r="C645" s="174"/>
      <c r="D645" s="174"/>
      <c r="E645" s="174"/>
    </row>
    <row r="646" spans="1:5" x14ac:dyDescent="0.3">
      <c r="A646" s="174"/>
      <c r="B646" s="174"/>
      <c r="C646" s="174"/>
      <c r="D646" s="174"/>
      <c r="E646" s="174"/>
    </row>
    <row r="647" spans="1:5" x14ac:dyDescent="0.3">
      <c r="A647" s="174"/>
      <c r="B647" s="174"/>
      <c r="C647" s="174"/>
      <c r="D647" s="174"/>
      <c r="E647" s="174"/>
    </row>
    <row r="648" spans="1:5" x14ac:dyDescent="0.3">
      <c r="A648" s="174"/>
      <c r="B648" s="174"/>
      <c r="C648" s="174"/>
      <c r="D648" s="174"/>
      <c r="E648" s="174"/>
    </row>
    <row r="649" spans="1:5" x14ac:dyDescent="0.3">
      <c r="A649" s="174"/>
      <c r="B649" s="174"/>
      <c r="C649" s="174"/>
      <c r="D649" s="174"/>
      <c r="E649" s="174"/>
    </row>
    <row r="650" spans="1:5" x14ac:dyDescent="0.3">
      <c r="A650" s="174"/>
      <c r="B650" s="174"/>
      <c r="C650" s="174"/>
      <c r="D650" s="174"/>
      <c r="E650" s="174"/>
    </row>
    <row r="651" spans="1:5" x14ac:dyDescent="0.3">
      <c r="A651" s="174"/>
      <c r="B651" s="174"/>
      <c r="C651" s="174"/>
      <c r="D651" s="174"/>
      <c r="E651" s="174"/>
    </row>
    <row r="652" spans="1:5" x14ac:dyDescent="0.3">
      <c r="A652" s="174"/>
      <c r="B652" s="174"/>
      <c r="C652" s="174"/>
      <c r="D652" s="174"/>
      <c r="E652" s="174"/>
    </row>
    <row r="653" spans="1:5" x14ac:dyDescent="0.3">
      <c r="A653" s="174"/>
      <c r="B653" s="174"/>
      <c r="C653" s="174"/>
      <c r="D653" s="174"/>
      <c r="E653" s="174"/>
    </row>
    <row r="654" spans="1:5" x14ac:dyDescent="0.3">
      <c r="A654" s="174"/>
      <c r="B654" s="174"/>
      <c r="C654" s="174"/>
      <c r="D654" s="174"/>
      <c r="E654" s="174"/>
    </row>
    <row r="655" spans="1:5" x14ac:dyDescent="0.3">
      <c r="A655" s="174"/>
      <c r="B655" s="174"/>
      <c r="C655" s="174"/>
      <c r="D655" s="174"/>
      <c r="E655" s="174"/>
    </row>
    <row r="656" spans="1:5" x14ac:dyDescent="0.3">
      <c r="A656" s="174"/>
      <c r="B656" s="174"/>
      <c r="C656" s="174"/>
      <c r="D656" s="174"/>
      <c r="E656" s="174"/>
    </row>
    <row r="657" spans="1:5" x14ac:dyDescent="0.3">
      <c r="A657" s="174"/>
      <c r="B657" s="174"/>
      <c r="C657" s="174"/>
      <c r="D657" s="174"/>
      <c r="E657" s="174"/>
    </row>
    <row r="658" spans="1:5" x14ac:dyDescent="0.3">
      <c r="A658" s="174"/>
      <c r="B658" s="174"/>
      <c r="C658" s="174"/>
      <c r="D658" s="174"/>
      <c r="E658" s="174"/>
    </row>
    <row r="659" spans="1:5" x14ac:dyDescent="0.3">
      <c r="A659" s="174"/>
      <c r="B659" s="174"/>
      <c r="C659" s="174"/>
      <c r="D659" s="174"/>
      <c r="E659" s="174"/>
    </row>
    <row r="660" spans="1:5" x14ac:dyDescent="0.3">
      <c r="A660" s="174"/>
      <c r="B660" s="174"/>
      <c r="C660" s="174"/>
      <c r="D660" s="174"/>
      <c r="E660" s="174"/>
    </row>
    <row r="661" spans="1:5" x14ac:dyDescent="0.3">
      <c r="A661" s="174"/>
      <c r="B661" s="174"/>
      <c r="C661" s="174"/>
      <c r="D661" s="174"/>
      <c r="E661" s="174"/>
    </row>
    <row r="662" spans="1:5" x14ac:dyDescent="0.3">
      <c r="A662" s="174"/>
      <c r="B662" s="174"/>
      <c r="C662" s="174"/>
      <c r="D662" s="174"/>
      <c r="E662" s="174"/>
    </row>
    <row r="663" spans="1:5" x14ac:dyDescent="0.3">
      <c r="A663" s="174"/>
      <c r="B663" s="174"/>
      <c r="C663" s="174"/>
      <c r="D663" s="174"/>
      <c r="E663" s="174"/>
    </row>
    <row r="664" spans="1:5" x14ac:dyDescent="0.3">
      <c r="A664" s="174"/>
      <c r="B664" s="174"/>
      <c r="C664" s="174"/>
      <c r="D664" s="174"/>
      <c r="E664" s="174"/>
    </row>
    <row r="665" spans="1:5" x14ac:dyDescent="0.3">
      <c r="A665" s="174"/>
      <c r="B665" s="174"/>
      <c r="C665" s="174"/>
      <c r="D665" s="174"/>
      <c r="E665" s="174"/>
    </row>
    <row r="666" spans="1:5" x14ac:dyDescent="0.3">
      <c r="A666" s="174"/>
      <c r="B666" s="174"/>
      <c r="C666" s="174"/>
      <c r="D666" s="174"/>
      <c r="E666" s="174"/>
    </row>
    <row r="667" spans="1:5" x14ac:dyDescent="0.3">
      <c r="A667" s="174"/>
      <c r="B667" s="174"/>
      <c r="C667" s="174"/>
      <c r="D667" s="174"/>
      <c r="E667" s="174"/>
    </row>
    <row r="668" spans="1:5" x14ac:dyDescent="0.3">
      <c r="A668" s="174"/>
      <c r="B668" s="174"/>
      <c r="C668" s="174"/>
      <c r="D668" s="174"/>
      <c r="E668" s="174"/>
    </row>
    <row r="669" spans="1:5" x14ac:dyDescent="0.3">
      <c r="A669" s="174"/>
      <c r="B669" s="174"/>
      <c r="C669" s="174"/>
      <c r="D669" s="174"/>
      <c r="E669" s="174"/>
    </row>
    <row r="670" spans="1:5" x14ac:dyDescent="0.3">
      <c r="A670" s="174"/>
      <c r="B670" s="174"/>
      <c r="C670" s="174"/>
      <c r="D670" s="174"/>
      <c r="E670" s="174"/>
    </row>
    <row r="671" spans="1:5" x14ac:dyDescent="0.3">
      <c r="A671" s="174"/>
      <c r="B671" s="174"/>
      <c r="C671" s="174"/>
      <c r="D671" s="174"/>
      <c r="E671" s="174"/>
    </row>
    <row r="672" spans="1:5" x14ac:dyDescent="0.3">
      <c r="A672" s="174"/>
      <c r="B672" s="174"/>
      <c r="C672" s="174"/>
      <c r="D672" s="174"/>
      <c r="E672" s="174"/>
    </row>
    <row r="673" spans="1:5" x14ac:dyDescent="0.3">
      <c r="A673" s="174"/>
      <c r="B673" s="174"/>
      <c r="C673" s="174"/>
      <c r="D673" s="174"/>
      <c r="E673" s="174"/>
    </row>
    <row r="674" spans="1:5" x14ac:dyDescent="0.3">
      <c r="A674" s="174"/>
      <c r="B674" s="174"/>
      <c r="C674" s="174"/>
      <c r="D674" s="174"/>
      <c r="E674" s="174"/>
    </row>
    <row r="675" spans="1:5" x14ac:dyDescent="0.3">
      <c r="A675" s="174"/>
      <c r="B675" s="174"/>
      <c r="C675" s="174"/>
      <c r="D675" s="174"/>
      <c r="E675" s="174"/>
    </row>
    <row r="676" spans="1:5" x14ac:dyDescent="0.3">
      <c r="A676" s="174"/>
      <c r="B676" s="174"/>
      <c r="C676" s="174"/>
      <c r="D676" s="174"/>
      <c r="E676" s="174"/>
    </row>
    <row r="677" spans="1:5" x14ac:dyDescent="0.3">
      <c r="A677" s="174"/>
      <c r="B677" s="174"/>
      <c r="C677" s="174"/>
      <c r="D677" s="174"/>
      <c r="E677" s="174"/>
    </row>
    <row r="678" spans="1:5" x14ac:dyDescent="0.3">
      <c r="A678" s="174"/>
      <c r="B678" s="174"/>
      <c r="C678" s="174"/>
      <c r="D678" s="174"/>
      <c r="E678" s="174"/>
    </row>
    <row r="679" spans="1:5" x14ac:dyDescent="0.3">
      <c r="A679" s="174"/>
      <c r="B679" s="174"/>
      <c r="C679" s="174"/>
      <c r="D679" s="174"/>
      <c r="E679" s="174"/>
    </row>
    <row r="680" spans="1:5" x14ac:dyDescent="0.3">
      <c r="A680" s="174"/>
      <c r="B680" s="174"/>
      <c r="C680" s="174"/>
      <c r="D680" s="174"/>
      <c r="E680" s="174"/>
    </row>
    <row r="681" spans="1:5" x14ac:dyDescent="0.3">
      <c r="A681" s="174"/>
      <c r="B681" s="174"/>
      <c r="C681" s="174"/>
      <c r="D681" s="174"/>
      <c r="E681" s="174"/>
    </row>
    <row r="682" spans="1:5" x14ac:dyDescent="0.3">
      <c r="A682" s="174"/>
      <c r="B682" s="174"/>
      <c r="C682" s="174"/>
      <c r="D682" s="174"/>
      <c r="E682" s="174"/>
    </row>
    <row r="683" spans="1:5" x14ac:dyDescent="0.3">
      <c r="A683" s="174"/>
      <c r="B683" s="174"/>
      <c r="C683" s="174"/>
      <c r="D683" s="174"/>
      <c r="E683" s="174"/>
    </row>
    <row r="684" spans="1:5" x14ac:dyDescent="0.3">
      <c r="A684" s="174"/>
      <c r="B684" s="174"/>
      <c r="C684" s="174"/>
      <c r="D684" s="174"/>
      <c r="E684" s="174"/>
    </row>
    <row r="685" spans="1:5" x14ac:dyDescent="0.3">
      <c r="A685" s="174"/>
      <c r="B685" s="174"/>
      <c r="C685" s="174"/>
      <c r="D685" s="174"/>
      <c r="E685" s="174"/>
    </row>
    <row r="686" spans="1:5" x14ac:dyDescent="0.3">
      <c r="A686" s="174"/>
      <c r="B686" s="174"/>
      <c r="C686" s="174"/>
      <c r="D686" s="174"/>
      <c r="E686" s="174"/>
    </row>
    <row r="687" spans="1:5" x14ac:dyDescent="0.3">
      <c r="A687" s="174"/>
      <c r="B687" s="174"/>
      <c r="C687" s="174"/>
      <c r="D687" s="174"/>
      <c r="E687" s="174"/>
    </row>
    <row r="688" spans="1:5" x14ac:dyDescent="0.3">
      <c r="A688" s="174"/>
      <c r="B688" s="174"/>
      <c r="C688" s="174"/>
      <c r="D688" s="174"/>
      <c r="E688" s="174"/>
    </row>
    <row r="689" spans="1:5" x14ac:dyDescent="0.3">
      <c r="A689" s="174"/>
      <c r="B689" s="174"/>
      <c r="C689" s="174"/>
      <c r="D689" s="174"/>
      <c r="E689" s="174"/>
    </row>
    <row r="690" spans="1:5" x14ac:dyDescent="0.3">
      <c r="A690" s="174"/>
      <c r="B690" s="174"/>
      <c r="C690" s="174"/>
      <c r="D690" s="174"/>
      <c r="E690" s="174"/>
    </row>
    <row r="691" spans="1:5" x14ac:dyDescent="0.3">
      <c r="A691" s="174"/>
      <c r="B691" s="174"/>
      <c r="C691" s="174"/>
      <c r="D691" s="174"/>
      <c r="E691" s="174"/>
    </row>
    <row r="692" spans="1:5" x14ac:dyDescent="0.3">
      <c r="A692" s="174"/>
      <c r="B692" s="174"/>
      <c r="C692" s="174"/>
      <c r="D692" s="174"/>
      <c r="E692" s="174"/>
    </row>
    <row r="693" spans="1:5" x14ac:dyDescent="0.3">
      <c r="A693" s="174"/>
      <c r="B693" s="174"/>
      <c r="C693" s="174"/>
      <c r="D693" s="174"/>
      <c r="E693" s="174"/>
    </row>
    <row r="694" spans="1:5" x14ac:dyDescent="0.3">
      <c r="A694" s="174"/>
      <c r="B694" s="174"/>
      <c r="C694" s="174"/>
      <c r="D694" s="174"/>
      <c r="E694" s="174"/>
    </row>
    <row r="695" spans="1:5" x14ac:dyDescent="0.3">
      <c r="A695" s="174"/>
      <c r="B695" s="174"/>
      <c r="C695" s="174"/>
      <c r="D695" s="174"/>
      <c r="E695" s="174"/>
    </row>
    <row r="696" spans="1:5" x14ac:dyDescent="0.3">
      <c r="A696" s="174"/>
      <c r="B696" s="174"/>
      <c r="C696" s="174"/>
      <c r="D696" s="174"/>
      <c r="E696" s="174"/>
    </row>
    <row r="697" spans="1:5" x14ac:dyDescent="0.3">
      <c r="A697" s="174"/>
      <c r="B697" s="174"/>
      <c r="C697" s="174"/>
      <c r="D697" s="174"/>
      <c r="E697" s="174"/>
    </row>
    <row r="698" spans="1:5" x14ac:dyDescent="0.3">
      <c r="A698" s="174"/>
      <c r="B698" s="174"/>
      <c r="C698" s="174"/>
      <c r="D698" s="174"/>
      <c r="E698" s="174"/>
    </row>
    <row r="699" spans="1:5" x14ac:dyDescent="0.3">
      <c r="A699" s="174"/>
      <c r="B699" s="174"/>
      <c r="C699" s="174"/>
      <c r="D699" s="174"/>
      <c r="E699" s="174"/>
    </row>
    <row r="700" spans="1:5" x14ac:dyDescent="0.3">
      <c r="A700" s="174"/>
      <c r="B700" s="174"/>
      <c r="C700" s="174"/>
      <c r="D700" s="174"/>
      <c r="E700" s="174"/>
    </row>
    <row r="701" spans="1:5" x14ac:dyDescent="0.3">
      <c r="A701" s="174"/>
      <c r="B701" s="174"/>
      <c r="C701" s="174"/>
      <c r="D701" s="174"/>
      <c r="E701" s="174"/>
    </row>
    <row r="702" spans="1:5" x14ac:dyDescent="0.3">
      <c r="A702" s="174"/>
      <c r="B702" s="174"/>
      <c r="C702" s="174"/>
      <c r="D702" s="174"/>
      <c r="E702" s="174"/>
    </row>
    <row r="703" spans="1:5" x14ac:dyDescent="0.3">
      <c r="A703" s="174"/>
      <c r="B703" s="174"/>
      <c r="C703" s="174"/>
      <c r="D703" s="174"/>
      <c r="E703" s="174"/>
    </row>
    <row r="704" spans="1:5" x14ac:dyDescent="0.3">
      <c r="A704" s="174"/>
      <c r="B704" s="174"/>
      <c r="C704" s="174"/>
      <c r="D704" s="174"/>
      <c r="E704" s="174"/>
    </row>
    <row r="705" spans="1:5" x14ac:dyDescent="0.3">
      <c r="A705" s="174"/>
      <c r="B705" s="174"/>
      <c r="C705" s="174"/>
      <c r="D705" s="174"/>
      <c r="E705" s="174"/>
    </row>
    <row r="706" spans="1:5" x14ac:dyDescent="0.3">
      <c r="A706" s="174"/>
      <c r="B706" s="174"/>
      <c r="C706" s="174"/>
      <c r="D706" s="174"/>
      <c r="E706" s="174"/>
    </row>
    <row r="707" spans="1:5" x14ac:dyDescent="0.3">
      <c r="A707" s="174"/>
      <c r="B707" s="174"/>
      <c r="C707" s="174"/>
      <c r="D707" s="174"/>
      <c r="E707" s="174"/>
    </row>
    <row r="708" spans="1:5" x14ac:dyDescent="0.3">
      <c r="A708" s="174"/>
      <c r="B708" s="174"/>
      <c r="C708" s="174"/>
      <c r="D708" s="174"/>
      <c r="E708" s="174"/>
    </row>
    <row r="709" spans="1:5" x14ac:dyDescent="0.3">
      <c r="A709" s="174"/>
      <c r="B709" s="174"/>
      <c r="C709" s="174"/>
      <c r="D709" s="174"/>
      <c r="E709" s="174"/>
    </row>
    <row r="710" spans="1:5" x14ac:dyDescent="0.3">
      <c r="A710" s="174"/>
      <c r="B710" s="174"/>
      <c r="C710" s="174"/>
      <c r="D710" s="174"/>
      <c r="E710" s="174"/>
    </row>
    <row r="711" spans="1:5" x14ac:dyDescent="0.3">
      <c r="A711" s="174"/>
      <c r="B711" s="174"/>
      <c r="C711" s="174"/>
      <c r="D711" s="174"/>
      <c r="E711" s="174"/>
    </row>
    <row r="712" spans="1:5" x14ac:dyDescent="0.3">
      <c r="A712" s="174"/>
      <c r="B712" s="174"/>
      <c r="C712" s="174"/>
      <c r="D712" s="174"/>
      <c r="E712" s="174"/>
    </row>
    <row r="713" spans="1:5" x14ac:dyDescent="0.3">
      <c r="A713" s="174"/>
      <c r="B713" s="174"/>
      <c r="C713" s="174"/>
      <c r="D713" s="174"/>
      <c r="E713" s="174"/>
    </row>
    <row r="714" spans="1:5" x14ac:dyDescent="0.3">
      <c r="A714" s="174"/>
      <c r="B714" s="174"/>
      <c r="C714" s="174"/>
      <c r="D714" s="174"/>
      <c r="E714" s="174"/>
    </row>
    <row r="715" spans="1:5" x14ac:dyDescent="0.3">
      <c r="A715" s="174"/>
      <c r="B715" s="174"/>
      <c r="C715" s="174"/>
      <c r="D715" s="174"/>
      <c r="E715" s="174"/>
    </row>
    <row r="716" spans="1:5" x14ac:dyDescent="0.3">
      <c r="A716" s="174"/>
      <c r="B716" s="174"/>
      <c r="C716" s="174"/>
      <c r="D716" s="174"/>
      <c r="E716" s="174"/>
    </row>
    <row r="717" spans="1:5" x14ac:dyDescent="0.3">
      <c r="A717" s="174"/>
      <c r="B717" s="174"/>
      <c r="C717" s="174"/>
      <c r="D717" s="174"/>
      <c r="E717" s="174"/>
    </row>
    <row r="718" spans="1:5" x14ac:dyDescent="0.3">
      <c r="A718" s="174"/>
      <c r="B718" s="174"/>
      <c r="C718" s="174"/>
      <c r="D718" s="174"/>
      <c r="E718" s="174"/>
    </row>
    <row r="719" spans="1:5" x14ac:dyDescent="0.3">
      <c r="A719" s="174"/>
      <c r="B719" s="174"/>
      <c r="C719" s="174"/>
      <c r="D719" s="174"/>
      <c r="E719" s="174"/>
    </row>
    <row r="720" spans="1:5" x14ac:dyDescent="0.3">
      <c r="A720" s="174"/>
      <c r="B720" s="174"/>
      <c r="C720" s="174"/>
      <c r="D720" s="174"/>
      <c r="E720" s="174"/>
    </row>
    <row r="721" spans="1:5" x14ac:dyDescent="0.3">
      <c r="A721" s="174"/>
      <c r="B721" s="174"/>
      <c r="C721" s="174"/>
      <c r="D721" s="174"/>
      <c r="E721" s="174"/>
    </row>
    <row r="722" spans="1:5" x14ac:dyDescent="0.3">
      <c r="A722" s="174"/>
      <c r="B722" s="174"/>
      <c r="C722" s="174"/>
      <c r="D722" s="174"/>
      <c r="E722" s="174"/>
    </row>
    <row r="723" spans="1:5" x14ac:dyDescent="0.3">
      <c r="A723" s="174"/>
      <c r="B723" s="174"/>
      <c r="C723" s="174"/>
      <c r="D723" s="174"/>
      <c r="E723" s="174"/>
    </row>
    <row r="724" spans="1:5" x14ac:dyDescent="0.3">
      <c r="A724" s="174"/>
      <c r="B724" s="174"/>
      <c r="C724" s="174"/>
      <c r="D724" s="174"/>
      <c r="E724" s="174"/>
    </row>
    <row r="725" spans="1:5" x14ac:dyDescent="0.3">
      <c r="A725" s="174"/>
      <c r="B725" s="174"/>
      <c r="C725" s="174"/>
      <c r="D725" s="174"/>
      <c r="E725" s="174"/>
    </row>
    <row r="726" spans="1:5" x14ac:dyDescent="0.3">
      <c r="A726" s="174"/>
      <c r="B726" s="174"/>
      <c r="C726" s="174"/>
      <c r="D726" s="174"/>
      <c r="E726" s="174"/>
    </row>
    <row r="727" spans="1:5" x14ac:dyDescent="0.3">
      <c r="A727" s="174"/>
      <c r="B727" s="174"/>
      <c r="C727" s="174"/>
      <c r="D727" s="174"/>
      <c r="E727" s="174"/>
    </row>
    <row r="728" spans="1:5" x14ac:dyDescent="0.3">
      <c r="A728" s="174"/>
      <c r="B728" s="174"/>
      <c r="C728" s="174"/>
      <c r="D728" s="174"/>
      <c r="E728" s="174"/>
    </row>
    <row r="729" spans="1:5" x14ac:dyDescent="0.3">
      <c r="A729" s="174"/>
      <c r="B729" s="174"/>
      <c r="C729" s="174"/>
      <c r="D729" s="174"/>
      <c r="E729" s="174"/>
    </row>
    <row r="730" spans="1:5" x14ac:dyDescent="0.3">
      <c r="A730" s="174"/>
      <c r="B730" s="174"/>
      <c r="C730" s="174"/>
      <c r="D730" s="174"/>
      <c r="E730" s="174"/>
    </row>
    <row r="731" spans="1:5" x14ac:dyDescent="0.3">
      <c r="A731" s="174"/>
      <c r="B731" s="174"/>
      <c r="C731" s="174"/>
      <c r="D731" s="174"/>
      <c r="E731" s="174"/>
    </row>
    <row r="732" spans="1:5" x14ac:dyDescent="0.3">
      <c r="A732" s="174"/>
      <c r="B732" s="174"/>
      <c r="C732" s="174"/>
      <c r="D732" s="174"/>
      <c r="E732" s="174"/>
    </row>
    <row r="733" spans="1:5" x14ac:dyDescent="0.3">
      <c r="A733" s="174"/>
      <c r="B733" s="174"/>
      <c r="C733" s="174"/>
      <c r="D733" s="174"/>
      <c r="E733" s="174"/>
    </row>
    <row r="734" spans="1:5" x14ac:dyDescent="0.3">
      <c r="A734" s="174"/>
      <c r="B734" s="174"/>
      <c r="C734" s="174"/>
      <c r="D734" s="174"/>
      <c r="E734" s="174"/>
    </row>
    <row r="735" spans="1:5" x14ac:dyDescent="0.3">
      <c r="A735" s="174"/>
      <c r="B735" s="174"/>
      <c r="C735" s="174"/>
      <c r="D735" s="174"/>
      <c r="E735" s="174"/>
    </row>
    <row r="736" spans="1:5" x14ac:dyDescent="0.3">
      <c r="A736" s="174"/>
      <c r="B736" s="174"/>
      <c r="C736" s="174"/>
      <c r="D736" s="174"/>
      <c r="E736" s="174"/>
    </row>
    <row r="737" spans="1:5" x14ac:dyDescent="0.3">
      <c r="A737" s="174"/>
      <c r="B737" s="174"/>
      <c r="C737" s="174"/>
      <c r="D737" s="174"/>
      <c r="E737" s="174"/>
    </row>
    <row r="738" spans="1:5" x14ac:dyDescent="0.3">
      <c r="A738" s="174"/>
      <c r="B738" s="174"/>
      <c r="C738" s="174"/>
      <c r="D738" s="174"/>
      <c r="E738" s="174"/>
    </row>
    <row r="739" spans="1:5" x14ac:dyDescent="0.3">
      <c r="A739" s="174"/>
      <c r="B739" s="174"/>
      <c r="C739" s="174"/>
      <c r="D739" s="174"/>
      <c r="E739" s="174"/>
    </row>
    <row r="740" spans="1:5" x14ac:dyDescent="0.3">
      <c r="A740" s="174"/>
      <c r="B740" s="174"/>
      <c r="C740" s="174"/>
      <c r="D740" s="174"/>
      <c r="E740" s="174"/>
    </row>
    <row r="741" spans="1:5" x14ac:dyDescent="0.3">
      <c r="A741" s="174"/>
      <c r="B741" s="174"/>
      <c r="C741" s="174"/>
      <c r="D741" s="174"/>
      <c r="E741" s="174"/>
    </row>
    <row r="742" spans="1:5" x14ac:dyDescent="0.3">
      <c r="A742" s="174"/>
      <c r="B742" s="174"/>
      <c r="C742" s="174"/>
      <c r="D742" s="174"/>
      <c r="E742" s="174"/>
    </row>
    <row r="743" spans="1:5" x14ac:dyDescent="0.3">
      <c r="A743" s="174"/>
      <c r="B743" s="174"/>
      <c r="C743" s="174"/>
      <c r="D743" s="174"/>
      <c r="E743" s="174"/>
    </row>
    <row r="744" spans="1:5" x14ac:dyDescent="0.3">
      <c r="A744" s="174"/>
      <c r="B744" s="174"/>
      <c r="C744" s="174"/>
      <c r="D744" s="174"/>
      <c r="E744" s="174"/>
    </row>
    <row r="745" spans="1:5" x14ac:dyDescent="0.3">
      <c r="A745" s="174"/>
      <c r="B745" s="174"/>
      <c r="C745" s="174"/>
      <c r="D745" s="174"/>
      <c r="E745" s="174"/>
    </row>
    <row r="746" spans="1:5" x14ac:dyDescent="0.3">
      <c r="A746" s="174"/>
      <c r="B746" s="174"/>
      <c r="C746" s="174"/>
      <c r="D746" s="174"/>
      <c r="E746" s="174"/>
    </row>
    <row r="747" spans="1:5" x14ac:dyDescent="0.3">
      <c r="A747" s="174"/>
      <c r="B747" s="174"/>
      <c r="C747" s="174"/>
      <c r="D747" s="174"/>
      <c r="E747" s="174"/>
    </row>
    <row r="748" spans="1:5" x14ac:dyDescent="0.3">
      <c r="A748" s="174"/>
      <c r="B748" s="174"/>
      <c r="C748" s="174"/>
      <c r="D748" s="174"/>
      <c r="E748" s="174"/>
    </row>
    <row r="749" spans="1:5" x14ac:dyDescent="0.3">
      <c r="A749" s="174"/>
      <c r="B749" s="174"/>
      <c r="C749" s="174"/>
      <c r="D749" s="174"/>
      <c r="E749" s="174"/>
    </row>
    <row r="750" spans="1:5" x14ac:dyDescent="0.3">
      <c r="A750" s="174"/>
      <c r="B750" s="174"/>
      <c r="C750" s="174"/>
      <c r="D750" s="174"/>
      <c r="E750" s="174"/>
    </row>
    <row r="751" spans="1:5" x14ac:dyDescent="0.3">
      <c r="A751" s="174"/>
      <c r="B751" s="174"/>
      <c r="C751" s="174"/>
      <c r="D751" s="174"/>
      <c r="E751" s="174"/>
    </row>
    <row r="752" spans="1:5" x14ac:dyDescent="0.3">
      <c r="A752" s="174"/>
      <c r="B752" s="174"/>
      <c r="C752" s="174"/>
      <c r="D752" s="174"/>
      <c r="E752" s="174"/>
    </row>
    <row r="753" spans="1:5" x14ac:dyDescent="0.3">
      <c r="A753" s="174"/>
      <c r="B753" s="174"/>
      <c r="C753" s="174"/>
      <c r="D753" s="174"/>
      <c r="E753" s="174"/>
    </row>
    <row r="754" spans="1:5" x14ac:dyDescent="0.3">
      <c r="A754" s="174"/>
      <c r="B754" s="174"/>
      <c r="C754" s="174"/>
      <c r="D754" s="174"/>
      <c r="E754" s="174"/>
    </row>
    <row r="755" spans="1:5" x14ac:dyDescent="0.3">
      <c r="A755" s="174"/>
      <c r="B755" s="174"/>
      <c r="C755" s="174"/>
      <c r="D755" s="174"/>
      <c r="E755" s="174"/>
    </row>
    <row r="756" spans="1:5" x14ac:dyDescent="0.3">
      <c r="A756" s="174"/>
      <c r="B756" s="174"/>
      <c r="C756" s="174"/>
      <c r="D756" s="174"/>
      <c r="E756" s="174"/>
    </row>
    <row r="757" spans="1:5" x14ac:dyDescent="0.3">
      <c r="A757" s="174"/>
      <c r="B757" s="174"/>
      <c r="C757" s="174"/>
      <c r="D757" s="174"/>
      <c r="E757" s="174"/>
    </row>
    <row r="758" spans="1:5" x14ac:dyDescent="0.3">
      <c r="A758" s="174"/>
      <c r="B758" s="174"/>
      <c r="C758" s="174"/>
      <c r="D758" s="174"/>
      <c r="E758" s="174"/>
    </row>
    <row r="759" spans="1:5" x14ac:dyDescent="0.3">
      <c r="A759" s="174"/>
      <c r="B759" s="174"/>
      <c r="C759" s="174"/>
      <c r="D759" s="174"/>
      <c r="E759" s="174"/>
    </row>
    <row r="760" spans="1:5" x14ac:dyDescent="0.3">
      <c r="A760" s="174"/>
      <c r="B760" s="174"/>
      <c r="C760" s="174"/>
      <c r="D760" s="174"/>
      <c r="E760" s="174"/>
    </row>
    <row r="761" spans="1:5" x14ac:dyDescent="0.3">
      <c r="A761" s="174"/>
      <c r="B761" s="174"/>
      <c r="C761" s="174"/>
      <c r="D761" s="174"/>
      <c r="E761" s="174"/>
    </row>
    <row r="762" spans="1:5" x14ac:dyDescent="0.3">
      <c r="A762" s="174"/>
      <c r="B762" s="174"/>
      <c r="C762" s="174"/>
      <c r="D762" s="174"/>
      <c r="E762" s="174"/>
    </row>
    <row r="763" spans="1:5" x14ac:dyDescent="0.3">
      <c r="A763" s="174"/>
      <c r="B763" s="174"/>
      <c r="C763" s="174"/>
      <c r="D763" s="174"/>
      <c r="E763" s="174"/>
    </row>
    <row r="764" spans="1:5" x14ac:dyDescent="0.3">
      <c r="A764" s="174"/>
      <c r="B764" s="174"/>
      <c r="C764" s="174"/>
      <c r="D764" s="174"/>
      <c r="E764" s="174"/>
    </row>
    <row r="765" spans="1:5" x14ac:dyDescent="0.3">
      <c r="A765" s="174"/>
      <c r="B765" s="174"/>
      <c r="C765" s="174"/>
      <c r="D765" s="174"/>
      <c r="E765" s="174"/>
    </row>
    <row r="766" spans="1:5" x14ac:dyDescent="0.3">
      <c r="A766" s="174"/>
      <c r="B766" s="174"/>
      <c r="C766" s="174"/>
      <c r="D766" s="174"/>
      <c r="E766" s="174"/>
    </row>
    <row r="767" spans="1:5" x14ac:dyDescent="0.3">
      <c r="A767" s="174"/>
      <c r="B767" s="174"/>
      <c r="C767" s="174"/>
      <c r="D767" s="174"/>
      <c r="E767" s="174"/>
    </row>
    <row r="768" spans="1:5" x14ac:dyDescent="0.3">
      <c r="A768" s="174"/>
      <c r="B768" s="174"/>
      <c r="C768" s="174"/>
      <c r="D768" s="174"/>
      <c r="E768" s="174"/>
    </row>
    <row r="769" spans="1:5" x14ac:dyDescent="0.3">
      <c r="A769" s="174"/>
      <c r="B769" s="174"/>
      <c r="C769" s="174"/>
      <c r="D769" s="174"/>
      <c r="E769" s="174"/>
    </row>
    <row r="770" spans="1:5" x14ac:dyDescent="0.3">
      <c r="A770" s="174"/>
      <c r="B770" s="174"/>
      <c r="C770" s="174"/>
      <c r="D770" s="174"/>
      <c r="E770" s="174"/>
    </row>
    <row r="771" spans="1:5" x14ac:dyDescent="0.3">
      <c r="A771" s="174"/>
      <c r="B771" s="174"/>
      <c r="C771" s="174"/>
      <c r="D771" s="174"/>
      <c r="E771" s="174"/>
    </row>
    <row r="772" spans="1:5" x14ac:dyDescent="0.3">
      <c r="A772" s="174"/>
      <c r="B772" s="174"/>
      <c r="C772" s="174"/>
      <c r="D772" s="174"/>
      <c r="E772" s="174"/>
    </row>
    <row r="773" spans="1:5" x14ac:dyDescent="0.3">
      <c r="A773" s="174"/>
      <c r="B773" s="174"/>
      <c r="C773" s="174"/>
      <c r="D773" s="174"/>
      <c r="E773" s="174"/>
    </row>
    <row r="774" spans="1:5" x14ac:dyDescent="0.3">
      <c r="A774" s="174"/>
      <c r="B774" s="174"/>
      <c r="C774" s="174"/>
      <c r="D774" s="174"/>
      <c r="E774" s="174"/>
    </row>
    <row r="775" spans="1:5" x14ac:dyDescent="0.3">
      <c r="A775" s="174"/>
      <c r="B775" s="174"/>
      <c r="C775" s="174"/>
      <c r="D775" s="174"/>
      <c r="E775" s="174"/>
    </row>
    <row r="776" spans="1:5" x14ac:dyDescent="0.3">
      <c r="A776" s="174"/>
      <c r="B776" s="174"/>
      <c r="C776" s="174"/>
      <c r="D776" s="174"/>
      <c r="E776" s="174"/>
    </row>
    <row r="777" spans="1:5" x14ac:dyDescent="0.3">
      <c r="A777" s="174"/>
      <c r="B777" s="174"/>
      <c r="C777" s="174"/>
      <c r="D777" s="174"/>
      <c r="E777" s="174"/>
    </row>
    <row r="778" spans="1:5" x14ac:dyDescent="0.3">
      <c r="A778" s="174"/>
      <c r="B778" s="174"/>
      <c r="C778" s="174"/>
      <c r="D778" s="174"/>
      <c r="E778" s="174"/>
    </row>
    <row r="779" spans="1:5" x14ac:dyDescent="0.3">
      <c r="A779" s="174"/>
      <c r="B779" s="174"/>
      <c r="C779" s="174"/>
      <c r="D779" s="174"/>
      <c r="E779" s="174"/>
    </row>
    <row r="780" spans="1:5" x14ac:dyDescent="0.3">
      <c r="A780" s="174"/>
      <c r="B780" s="174"/>
      <c r="C780" s="174"/>
      <c r="D780" s="174"/>
      <c r="E780" s="174"/>
    </row>
    <row r="781" spans="1:5" x14ac:dyDescent="0.3">
      <c r="A781" s="174"/>
      <c r="B781" s="174"/>
      <c r="C781" s="174"/>
      <c r="D781" s="174"/>
      <c r="E781" s="174"/>
    </row>
    <row r="782" spans="1:5" x14ac:dyDescent="0.3">
      <c r="A782" s="174"/>
      <c r="B782" s="174"/>
      <c r="C782" s="174"/>
      <c r="D782" s="174"/>
      <c r="E782" s="174"/>
    </row>
    <row r="783" spans="1:5" x14ac:dyDescent="0.3">
      <c r="A783" s="174"/>
      <c r="B783" s="174"/>
      <c r="C783" s="174"/>
      <c r="D783" s="174"/>
      <c r="E783" s="174"/>
    </row>
    <row r="784" spans="1:5" x14ac:dyDescent="0.3">
      <c r="A784" s="174"/>
      <c r="B784" s="174"/>
      <c r="C784" s="174"/>
      <c r="D784" s="174"/>
      <c r="E784" s="174"/>
    </row>
    <row r="785" spans="1:5" x14ac:dyDescent="0.3">
      <c r="A785" s="174"/>
      <c r="B785" s="174"/>
      <c r="C785" s="174"/>
      <c r="D785" s="174"/>
      <c r="E785" s="174"/>
    </row>
    <row r="786" spans="1:5" x14ac:dyDescent="0.3">
      <c r="A786" s="174"/>
      <c r="B786" s="174"/>
      <c r="C786" s="174"/>
      <c r="D786" s="174"/>
      <c r="E786" s="174"/>
    </row>
    <row r="787" spans="1:5" x14ac:dyDescent="0.3">
      <c r="A787" s="174"/>
      <c r="B787" s="174"/>
      <c r="C787" s="174"/>
      <c r="D787" s="174"/>
      <c r="E787" s="174"/>
    </row>
    <row r="788" spans="1:5" x14ac:dyDescent="0.3">
      <c r="A788" s="174"/>
      <c r="B788" s="174"/>
      <c r="C788" s="174"/>
      <c r="D788" s="174"/>
      <c r="E788" s="174"/>
    </row>
    <row r="789" spans="1:5" x14ac:dyDescent="0.3">
      <c r="A789" s="174"/>
      <c r="B789" s="174"/>
      <c r="C789" s="174"/>
      <c r="D789" s="174"/>
      <c r="E789" s="174"/>
    </row>
    <row r="790" spans="1:5" x14ac:dyDescent="0.3">
      <c r="A790" s="174"/>
      <c r="B790" s="174"/>
      <c r="C790" s="174"/>
      <c r="D790" s="174"/>
      <c r="E790" s="174"/>
    </row>
    <row r="791" spans="1:5" x14ac:dyDescent="0.3">
      <c r="A791" s="174"/>
      <c r="B791" s="174"/>
      <c r="C791" s="174"/>
      <c r="D791" s="174"/>
      <c r="E791" s="174"/>
    </row>
    <row r="792" spans="1:5" x14ac:dyDescent="0.3">
      <c r="A792" s="174"/>
      <c r="B792" s="174"/>
      <c r="C792" s="174"/>
      <c r="D792" s="174"/>
      <c r="E792" s="174"/>
    </row>
    <row r="793" spans="1:5" x14ac:dyDescent="0.3">
      <c r="A793" s="174"/>
      <c r="B793" s="174"/>
      <c r="C793" s="174"/>
      <c r="D793" s="174"/>
      <c r="E793" s="174"/>
    </row>
    <row r="794" spans="1:5" x14ac:dyDescent="0.3">
      <c r="A794" s="174"/>
      <c r="B794" s="174"/>
      <c r="C794" s="174"/>
      <c r="D794" s="174"/>
      <c r="E794" s="174"/>
    </row>
    <row r="795" spans="1:5" x14ac:dyDescent="0.3">
      <c r="A795" s="174"/>
      <c r="B795" s="174"/>
      <c r="C795" s="174"/>
      <c r="D795" s="174"/>
      <c r="E795" s="174"/>
    </row>
    <row r="796" spans="1:5" x14ac:dyDescent="0.3">
      <c r="A796" s="174"/>
      <c r="B796" s="174"/>
      <c r="C796" s="174"/>
      <c r="D796" s="174"/>
      <c r="E796" s="174"/>
    </row>
    <row r="797" spans="1:5" x14ac:dyDescent="0.3">
      <c r="A797" s="174"/>
      <c r="B797" s="174"/>
      <c r="C797" s="174"/>
      <c r="D797" s="174"/>
      <c r="E797" s="174"/>
    </row>
    <row r="798" spans="1:5" x14ac:dyDescent="0.3">
      <c r="A798" s="174"/>
      <c r="B798" s="174"/>
      <c r="C798" s="174"/>
      <c r="D798" s="174"/>
      <c r="E798" s="174"/>
    </row>
    <row r="799" spans="1:5" x14ac:dyDescent="0.3">
      <c r="A799" s="174"/>
      <c r="B799" s="174"/>
      <c r="C799" s="174"/>
      <c r="D799" s="174"/>
      <c r="E799" s="174"/>
    </row>
    <row r="800" spans="1:5" x14ac:dyDescent="0.3">
      <c r="A800" s="174"/>
      <c r="B800" s="174"/>
      <c r="C800" s="174"/>
      <c r="D800" s="174"/>
      <c r="E800" s="174"/>
    </row>
    <row r="801" spans="1:5" x14ac:dyDescent="0.3">
      <c r="A801" s="174"/>
      <c r="B801" s="174"/>
      <c r="C801" s="174"/>
      <c r="D801" s="174"/>
      <c r="E801" s="174"/>
    </row>
    <row r="802" spans="1:5" x14ac:dyDescent="0.3">
      <c r="A802" s="174"/>
      <c r="B802" s="174"/>
      <c r="C802" s="174"/>
      <c r="D802" s="174"/>
      <c r="E802" s="174"/>
    </row>
    <row r="803" spans="1:5" x14ac:dyDescent="0.3">
      <c r="A803" s="174"/>
      <c r="B803" s="174"/>
      <c r="C803" s="174"/>
      <c r="D803" s="174"/>
      <c r="E803" s="174"/>
    </row>
    <row r="804" spans="1:5" x14ac:dyDescent="0.3">
      <c r="A804" s="174"/>
      <c r="B804" s="174"/>
      <c r="C804" s="174"/>
      <c r="D804" s="174"/>
      <c r="E804" s="174"/>
    </row>
    <row r="805" spans="1:5" x14ac:dyDescent="0.3">
      <c r="A805" s="174"/>
      <c r="B805" s="174"/>
      <c r="C805" s="174"/>
      <c r="D805" s="174"/>
      <c r="E805" s="174"/>
    </row>
    <row r="806" spans="1:5" x14ac:dyDescent="0.3">
      <c r="A806" s="174"/>
      <c r="B806" s="174"/>
      <c r="C806" s="174"/>
      <c r="D806" s="174"/>
      <c r="E806" s="174"/>
    </row>
    <row r="807" spans="1:5" x14ac:dyDescent="0.3">
      <c r="A807" s="174"/>
      <c r="B807" s="174"/>
      <c r="C807" s="174"/>
      <c r="D807" s="174"/>
      <c r="E807" s="174"/>
    </row>
    <row r="808" spans="1:5" x14ac:dyDescent="0.3">
      <c r="A808" s="174"/>
      <c r="B808" s="174"/>
      <c r="C808" s="174"/>
      <c r="D808" s="174"/>
      <c r="E808" s="174"/>
    </row>
    <row r="809" spans="1:5" x14ac:dyDescent="0.3">
      <c r="A809" s="174"/>
      <c r="B809" s="174"/>
      <c r="C809" s="174"/>
      <c r="D809" s="174"/>
      <c r="E809" s="174"/>
    </row>
    <row r="810" spans="1:5" x14ac:dyDescent="0.3">
      <c r="A810" s="174"/>
      <c r="B810" s="174"/>
      <c r="C810" s="174"/>
      <c r="D810" s="174"/>
      <c r="E810" s="174"/>
    </row>
    <row r="811" spans="1:5" x14ac:dyDescent="0.3">
      <c r="A811" s="174"/>
      <c r="B811" s="174"/>
      <c r="C811" s="174"/>
      <c r="D811" s="174"/>
      <c r="E811" s="174"/>
    </row>
    <row r="812" spans="1:5" x14ac:dyDescent="0.3">
      <c r="A812" s="174"/>
      <c r="B812" s="174"/>
      <c r="C812" s="174"/>
      <c r="D812" s="174"/>
      <c r="E812" s="174"/>
    </row>
    <row r="813" spans="1:5" x14ac:dyDescent="0.3">
      <c r="A813" s="174"/>
      <c r="B813" s="174"/>
      <c r="C813" s="174"/>
      <c r="D813" s="174"/>
      <c r="E813" s="174"/>
    </row>
    <row r="814" spans="1:5" x14ac:dyDescent="0.3">
      <c r="A814" s="174"/>
      <c r="B814" s="174"/>
      <c r="C814" s="174"/>
      <c r="D814" s="174"/>
      <c r="E814" s="174"/>
    </row>
    <row r="815" spans="1:5" x14ac:dyDescent="0.3">
      <c r="A815" s="174"/>
      <c r="B815" s="174"/>
      <c r="C815" s="174"/>
      <c r="D815" s="174"/>
      <c r="E815" s="174"/>
    </row>
    <row r="816" spans="1:5" x14ac:dyDescent="0.3">
      <c r="A816" s="174"/>
      <c r="B816" s="174"/>
      <c r="C816" s="174"/>
      <c r="D816" s="174"/>
      <c r="E816" s="174"/>
    </row>
    <row r="817" spans="1:5" x14ac:dyDescent="0.3">
      <c r="A817" s="174"/>
      <c r="B817" s="174"/>
      <c r="C817" s="174"/>
      <c r="D817" s="174"/>
      <c r="E817" s="174"/>
    </row>
    <row r="818" spans="1:5" x14ac:dyDescent="0.3">
      <c r="A818" s="174"/>
      <c r="B818" s="174"/>
      <c r="C818" s="174"/>
      <c r="D818" s="174"/>
      <c r="E818" s="174"/>
    </row>
    <row r="819" spans="1:5" x14ac:dyDescent="0.3">
      <c r="A819" s="174"/>
      <c r="B819" s="174"/>
      <c r="C819" s="174"/>
      <c r="D819" s="174"/>
      <c r="E819" s="174"/>
    </row>
    <row r="820" spans="1:5" x14ac:dyDescent="0.3">
      <c r="A820" s="174"/>
      <c r="B820" s="174"/>
      <c r="C820" s="174"/>
      <c r="D820" s="174"/>
      <c r="E820" s="174"/>
    </row>
    <row r="821" spans="1:5" x14ac:dyDescent="0.3">
      <c r="A821" s="174"/>
      <c r="B821" s="174"/>
      <c r="C821" s="174"/>
      <c r="D821" s="174"/>
      <c r="E821" s="174"/>
    </row>
    <row r="822" spans="1:5" x14ac:dyDescent="0.3">
      <c r="A822" s="174"/>
      <c r="B822" s="174"/>
      <c r="C822" s="174"/>
      <c r="D822" s="174"/>
      <c r="E822" s="174"/>
    </row>
    <row r="823" spans="1:5" x14ac:dyDescent="0.3">
      <c r="A823" s="174"/>
      <c r="B823" s="174"/>
      <c r="C823" s="174"/>
      <c r="D823" s="174"/>
      <c r="E823" s="174"/>
    </row>
    <row r="824" spans="1:5" x14ac:dyDescent="0.3">
      <c r="A824" s="174"/>
      <c r="B824" s="174"/>
      <c r="C824" s="174"/>
      <c r="D824" s="174"/>
      <c r="E824" s="174"/>
    </row>
    <row r="825" spans="1:5" x14ac:dyDescent="0.3">
      <c r="A825" s="174"/>
      <c r="B825" s="174"/>
      <c r="C825" s="174"/>
      <c r="D825" s="174"/>
      <c r="E825" s="174"/>
    </row>
    <row r="826" spans="1:5" x14ac:dyDescent="0.3">
      <c r="A826" s="174"/>
      <c r="B826" s="174"/>
      <c r="C826" s="174"/>
      <c r="D826" s="174"/>
      <c r="E826" s="174"/>
    </row>
    <row r="827" spans="1:5" x14ac:dyDescent="0.3">
      <c r="A827" s="174"/>
      <c r="B827" s="174"/>
      <c r="C827" s="174"/>
      <c r="D827" s="174"/>
      <c r="E827" s="174"/>
    </row>
    <row r="828" spans="1:5" x14ac:dyDescent="0.3">
      <c r="A828" s="174"/>
      <c r="B828" s="174"/>
      <c r="C828" s="174"/>
      <c r="D828" s="174"/>
      <c r="E828" s="174"/>
    </row>
    <row r="829" spans="1:5" x14ac:dyDescent="0.3">
      <c r="A829" s="174"/>
      <c r="B829" s="174"/>
      <c r="C829" s="174"/>
      <c r="D829" s="174"/>
      <c r="E829" s="174"/>
    </row>
    <row r="830" spans="1:5" x14ac:dyDescent="0.3">
      <c r="A830" s="174"/>
      <c r="B830" s="174"/>
      <c r="C830" s="174"/>
      <c r="D830" s="174"/>
      <c r="E830" s="174"/>
    </row>
    <row r="831" spans="1:5" x14ac:dyDescent="0.3">
      <c r="A831" s="174"/>
      <c r="B831" s="174"/>
      <c r="C831" s="174"/>
      <c r="D831" s="174"/>
      <c r="E831" s="174"/>
    </row>
    <row r="832" spans="1:5" x14ac:dyDescent="0.3">
      <c r="A832" s="174"/>
      <c r="B832" s="174"/>
      <c r="C832" s="174"/>
      <c r="D832" s="174"/>
      <c r="E832" s="174"/>
    </row>
    <row r="833" spans="1:5" x14ac:dyDescent="0.3">
      <c r="A833" s="174"/>
      <c r="B833" s="174"/>
      <c r="C833" s="174"/>
      <c r="D833" s="174"/>
      <c r="E833" s="174"/>
    </row>
    <row r="834" spans="1:5" x14ac:dyDescent="0.3">
      <c r="A834" s="174"/>
      <c r="B834" s="174"/>
      <c r="C834" s="174"/>
      <c r="D834" s="174"/>
      <c r="E834" s="174"/>
    </row>
    <row r="835" spans="1:5" x14ac:dyDescent="0.3">
      <c r="A835" s="174"/>
      <c r="B835" s="174"/>
      <c r="C835" s="174"/>
      <c r="D835" s="174"/>
      <c r="E835" s="174"/>
    </row>
    <row r="836" spans="1:5" x14ac:dyDescent="0.3">
      <c r="A836" s="174"/>
      <c r="B836" s="174"/>
      <c r="C836" s="174"/>
      <c r="D836" s="174"/>
      <c r="E836" s="174"/>
    </row>
    <row r="837" spans="1:5" x14ac:dyDescent="0.3">
      <c r="A837" s="174"/>
      <c r="B837" s="174"/>
      <c r="C837" s="174"/>
      <c r="D837" s="174"/>
      <c r="E837" s="174"/>
    </row>
    <row r="838" spans="1:5" x14ac:dyDescent="0.3">
      <c r="A838" s="174"/>
      <c r="B838" s="174"/>
      <c r="C838" s="174"/>
      <c r="D838" s="174"/>
      <c r="E838" s="174"/>
    </row>
    <row r="839" spans="1:5" x14ac:dyDescent="0.3">
      <c r="A839" s="174"/>
      <c r="B839" s="174"/>
      <c r="C839" s="174"/>
      <c r="D839" s="174"/>
      <c r="E839" s="174"/>
    </row>
    <row r="840" spans="1:5" x14ac:dyDescent="0.3">
      <c r="A840" s="174"/>
      <c r="B840" s="174"/>
      <c r="C840" s="174"/>
      <c r="D840" s="174"/>
      <c r="E840" s="174"/>
    </row>
    <row r="841" spans="1:5" x14ac:dyDescent="0.3">
      <c r="A841" s="174"/>
      <c r="B841" s="174"/>
      <c r="C841" s="174"/>
      <c r="D841" s="174"/>
      <c r="E841" s="174"/>
    </row>
    <row r="842" spans="1:5" x14ac:dyDescent="0.3">
      <c r="A842" s="174"/>
      <c r="B842" s="174"/>
      <c r="C842" s="174"/>
      <c r="D842" s="174"/>
      <c r="E842" s="174"/>
    </row>
    <row r="843" spans="1:5" x14ac:dyDescent="0.3">
      <c r="A843" s="174"/>
      <c r="B843" s="174"/>
      <c r="C843" s="174"/>
      <c r="D843" s="174"/>
      <c r="E843" s="174"/>
    </row>
    <row r="844" spans="1:5" x14ac:dyDescent="0.3">
      <c r="A844" s="174"/>
      <c r="B844" s="174"/>
      <c r="C844" s="174"/>
      <c r="D844" s="174"/>
      <c r="E844" s="174"/>
    </row>
    <row r="845" spans="1:5" x14ac:dyDescent="0.3">
      <c r="A845" s="174"/>
      <c r="B845" s="174"/>
      <c r="C845" s="174"/>
      <c r="D845" s="174"/>
      <c r="E845" s="174"/>
    </row>
    <row r="846" spans="1:5" x14ac:dyDescent="0.3">
      <c r="A846" s="174"/>
      <c r="B846" s="174"/>
      <c r="C846" s="174"/>
      <c r="D846" s="174"/>
      <c r="E846" s="174"/>
    </row>
    <row r="847" spans="1:5" x14ac:dyDescent="0.3">
      <c r="A847" s="174"/>
      <c r="B847" s="174"/>
      <c r="C847" s="174"/>
      <c r="D847" s="174"/>
      <c r="E847" s="174"/>
    </row>
    <row r="848" spans="1:5" x14ac:dyDescent="0.3">
      <c r="A848" s="174"/>
      <c r="B848" s="174"/>
      <c r="C848" s="174"/>
      <c r="D848" s="174"/>
      <c r="E848" s="174"/>
    </row>
    <row r="849" spans="1:5" x14ac:dyDescent="0.3">
      <c r="A849" s="174"/>
      <c r="B849" s="174"/>
      <c r="C849" s="174"/>
      <c r="D849" s="174"/>
      <c r="E849" s="174"/>
    </row>
    <row r="850" spans="1:5" x14ac:dyDescent="0.3">
      <c r="A850" s="174"/>
      <c r="B850" s="174"/>
      <c r="C850" s="174"/>
      <c r="D850" s="174"/>
      <c r="E850" s="174"/>
    </row>
    <row r="851" spans="1:5" x14ac:dyDescent="0.3">
      <c r="A851" s="174"/>
      <c r="B851" s="174"/>
      <c r="C851" s="174"/>
      <c r="D851" s="174"/>
      <c r="E851" s="174"/>
    </row>
    <row r="852" spans="1:5" x14ac:dyDescent="0.3">
      <c r="A852" s="174"/>
      <c r="B852" s="174"/>
      <c r="C852" s="174"/>
      <c r="D852" s="174"/>
      <c r="E852" s="174"/>
    </row>
    <row r="853" spans="1:5" x14ac:dyDescent="0.3">
      <c r="A853" s="174"/>
      <c r="B853" s="174"/>
      <c r="C853" s="174"/>
      <c r="D853" s="174"/>
      <c r="E853" s="174"/>
    </row>
    <row r="854" spans="1:5" x14ac:dyDescent="0.3">
      <c r="A854" s="174"/>
      <c r="B854" s="174"/>
      <c r="C854" s="174"/>
      <c r="D854" s="174"/>
      <c r="E854" s="174"/>
    </row>
    <row r="855" spans="1:5" x14ac:dyDescent="0.3">
      <c r="A855" s="174"/>
      <c r="B855" s="174"/>
      <c r="C855" s="174"/>
      <c r="D855" s="174"/>
      <c r="E855" s="174"/>
    </row>
    <row r="856" spans="1:5" x14ac:dyDescent="0.3">
      <c r="A856" s="174"/>
      <c r="B856" s="174"/>
      <c r="C856" s="174"/>
      <c r="D856" s="174"/>
      <c r="E856" s="174"/>
    </row>
    <row r="857" spans="1:5" x14ac:dyDescent="0.3">
      <c r="A857" s="174"/>
      <c r="B857" s="174"/>
      <c r="C857" s="174"/>
      <c r="D857" s="174"/>
      <c r="E857" s="174"/>
    </row>
    <row r="858" spans="1:5" x14ac:dyDescent="0.3">
      <c r="A858" s="174"/>
      <c r="B858" s="174"/>
      <c r="C858" s="174"/>
      <c r="D858" s="174"/>
      <c r="E858" s="174"/>
    </row>
    <row r="859" spans="1:5" x14ac:dyDescent="0.3">
      <c r="A859" s="174"/>
      <c r="B859" s="174"/>
      <c r="C859" s="174"/>
      <c r="D859" s="174"/>
      <c r="E859" s="174"/>
    </row>
    <row r="860" spans="1:5" x14ac:dyDescent="0.3">
      <c r="A860" s="174"/>
      <c r="B860" s="174"/>
      <c r="C860" s="174"/>
      <c r="D860" s="174"/>
      <c r="E860" s="174"/>
    </row>
    <row r="861" spans="1:5" x14ac:dyDescent="0.3">
      <c r="A861" s="174"/>
      <c r="B861" s="174"/>
      <c r="C861" s="174"/>
      <c r="D861" s="174"/>
      <c r="E861" s="174"/>
    </row>
    <row r="862" spans="1:5" x14ac:dyDescent="0.3">
      <c r="A862" s="174"/>
      <c r="B862" s="174"/>
      <c r="C862" s="174"/>
      <c r="D862" s="174"/>
      <c r="E862" s="174"/>
    </row>
    <row r="863" spans="1:5" x14ac:dyDescent="0.3">
      <c r="A863" s="174"/>
      <c r="B863" s="174"/>
      <c r="C863" s="174"/>
      <c r="D863" s="174"/>
      <c r="E863" s="174"/>
    </row>
    <row r="864" spans="1:5" x14ac:dyDescent="0.3">
      <c r="A864" s="174"/>
      <c r="B864" s="174"/>
      <c r="C864" s="174"/>
      <c r="D864" s="174"/>
      <c r="E864" s="174"/>
    </row>
    <row r="865" spans="1:5" x14ac:dyDescent="0.3">
      <c r="A865" s="174"/>
      <c r="B865" s="174"/>
      <c r="C865" s="174"/>
      <c r="D865" s="174"/>
      <c r="E865" s="174"/>
    </row>
    <row r="866" spans="1:5" x14ac:dyDescent="0.3">
      <c r="A866" s="174"/>
      <c r="B866" s="174"/>
      <c r="C866" s="174"/>
      <c r="D866" s="174"/>
      <c r="E866" s="174"/>
    </row>
    <row r="867" spans="1:5" x14ac:dyDescent="0.3">
      <c r="A867" s="174"/>
      <c r="B867" s="174"/>
      <c r="C867" s="174"/>
      <c r="D867" s="174"/>
      <c r="E867" s="174"/>
    </row>
    <row r="868" spans="1:5" x14ac:dyDescent="0.3">
      <c r="A868" s="174"/>
      <c r="B868" s="174"/>
      <c r="C868" s="174"/>
      <c r="D868" s="174"/>
      <c r="E868" s="174"/>
    </row>
    <row r="869" spans="1:5" x14ac:dyDescent="0.3">
      <c r="A869" s="174"/>
      <c r="B869" s="174"/>
      <c r="C869" s="174"/>
      <c r="D869" s="174"/>
      <c r="E869" s="174"/>
    </row>
    <row r="870" spans="1:5" x14ac:dyDescent="0.3">
      <c r="A870" s="174"/>
      <c r="B870" s="174"/>
      <c r="C870" s="174"/>
      <c r="D870" s="174"/>
      <c r="E870" s="174"/>
    </row>
    <row r="871" spans="1:5" x14ac:dyDescent="0.3">
      <c r="A871" s="174"/>
      <c r="B871" s="174"/>
      <c r="C871" s="174"/>
      <c r="D871" s="174"/>
      <c r="E871" s="174"/>
    </row>
    <row r="872" spans="1:5" x14ac:dyDescent="0.3">
      <c r="A872" s="174"/>
      <c r="B872" s="174"/>
      <c r="C872" s="174"/>
      <c r="D872" s="174"/>
      <c r="E872" s="174"/>
    </row>
    <row r="873" spans="1:5" x14ac:dyDescent="0.3">
      <c r="A873" s="174"/>
      <c r="B873" s="174"/>
      <c r="C873" s="174"/>
      <c r="D873" s="174"/>
      <c r="E873" s="174"/>
    </row>
    <row r="874" spans="1:5" x14ac:dyDescent="0.3">
      <c r="A874" s="174"/>
      <c r="B874" s="174"/>
      <c r="C874" s="174"/>
      <c r="D874" s="174"/>
      <c r="E874" s="174"/>
    </row>
    <row r="875" spans="1:5" x14ac:dyDescent="0.3">
      <c r="A875" s="174"/>
      <c r="B875" s="174"/>
      <c r="C875" s="174"/>
      <c r="D875" s="174"/>
      <c r="E875" s="174"/>
    </row>
    <row r="876" spans="1:5" x14ac:dyDescent="0.3">
      <c r="A876" s="174"/>
      <c r="B876" s="174"/>
      <c r="C876" s="174"/>
      <c r="D876" s="174"/>
      <c r="E876" s="174"/>
    </row>
    <row r="877" spans="1:5" x14ac:dyDescent="0.3">
      <c r="A877" s="174"/>
      <c r="B877" s="174"/>
      <c r="C877" s="174"/>
      <c r="D877" s="174"/>
      <c r="E877" s="174"/>
    </row>
    <row r="878" spans="1:5" x14ac:dyDescent="0.3">
      <c r="A878" s="174"/>
      <c r="B878" s="174"/>
      <c r="C878" s="174"/>
      <c r="D878" s="174"/>
      <c r="E878" s="174"/>
    </row>
    <row r="879" spans="1:5" x14ac:dyDescent="0.3">
      <c r="A879" s="174"/>
      <c r="B879" s="174"/>
      <c r="C879" s="174"/>
      <c r="D879" s="174"/>
      <c r="E879" s="174"/>
    </row>
    <row r="880" spans="1:5" x14ac:dyDescent="0.3">
      <c r="A880" s="174"/>
      <c r="B880" s="174"/>
      <c r="C880" s="174"/>
      <c r="D880" s="174"/>
      <c r="E880" s="174"/>
    </row>
    <row r="881" spans="1:5" x14ac:dyDescent="0.3">
      <c r="A881" s="174"/>
      <c r="B881" s="174"/>
      <c r="C881" s="174"/>
      <c r="D881" s="174"/>
      <c r="E881" s="174"/>
    </row>
    <row r="882" spans="1:5" x14ac:dyDescent="0.3">
      <c r="A882" s="174"/>
      <c r="B882" s="174"/>
      <c r="C882" s="174"/>
      <c r="D882" s="174"/>
      <c r="E882" s="174"/>
    </row>
    <row r="883" spans="1:5" x14ac:dyDescent="0.3">
      <c r="A883" s="174"/>
      <c r="B883" s="174"/>
      <c r="C883" s="174"/>
      <c r="D883" s="174"/>
      <c r="E883" s="174"/>
    </row>
    <row r="884" spans="1:5" x14ac:dyDescent="0.3">
      <c r="A884" s="174"/>
      <c r="B884" s="174"/>
      <c r="C884" s="174"/>
      <c r="D884" s="174"/>
      <c r="E884" s="174"/>
    </row>
    <row r="885" spans="1:5" x14ac:dyDescent="0.3">
      <c r="A885" s="174"/>
      <c r="B885" s="174"/>
      <c r="C885" s="174"/>
      <c r="D885" s="174"/>
      <c r="E885" s="174"/>
    </row>
    <row r="886" spans="1:5" x14ac:dyDescent="0.3">
      <c r="A886" s="174"/>
      <c r="B886" s="174"/>
      <c r="C886" s="174"/>
      <c r="D886" s="174"/>
      <c r="E886" s="174"/>
    </row>
    <row r="887" spans="1:5" x14ac:dyDescent="0.3">
      <c r="A887" s="174"/>
      <c r="B887" s="174"/>
      <c r="C887" s="174"/>
      <c r="D887" s="174"/>
      <c r="E887" s="174"/>
    </row>
    <row r="888" spans="1:5" x14ac:dyDescent="0.3">
      <c r="A888" s="174"/>
      <c r="B888" s="174"/>
      <c r="C888" s="174"/>
      <c r="D888" s="174"/>
      <c r="E888" s="174"/>
    </row>
    <row r="889" spans="1:5" x14ac:dyDescent="0.3">
      <c r="A889" s="174"/>
      <c r="B889" s="174"/>
      <c r="C889" s="174"/>
      <c r="D889" s="174"/>
      <c r="E889" s="174"/>
    </row>
    <row r="890" spans="1:5" x14ac:dyDescent="0.3">
      <c r="A890" s="174"/>
      <c r="B890" s="174"/>
      <c r="C890" s="174"/>
      <c r="D890" s="174"/>
      <c r="E890" s="174"/>
    </row>
    <row r="891" spans="1:5" x14ac:dyDescent="0.3">
      <c r="A891" s="174"/>
      <c r="B891" s="174"/>
      <c r="C891" s="174"/>
      <c r="D891" s="174"/>
      <c r="E891" s="174"/>
    </row>
    <row r="892" spans="1:5" x14ac:dyDescent="0.3">
      <c r="A892" s="174"/>
      <c r="B892" s="174"/>
      <c r="C892" s="174"/>
      <c r="D892" s="174"/>
      <c r="E892" s="174"/>
    </row>
    <row r="893" spans="1:5" x14ac:dyDescent="0.3">
      <c r="A893" s="174"/>
      <c r="B893" s="174"/>
      <c r="C893" s="174"/>
      <c r="D893" s="174"/>
      <c r="E893" s="174"/>
    </row>
    <row r="894" spans="1:5" x14ac:dyDescent="0.3">
      <c r="A894" s="174"/>
      <c r="B894" s="174"/>
      <c r="C894" s="174"/>
      <c r="D894" s="174"/>
      <c r="E894" s="174"/>
    </row>
    <row r="895" spans="1:5" x14ac:dyDescent="0.3">
      <c r="A895" s="174"/>
      <c r="B895" s="174"/>
      <c r="C895" s="174"/>
      <c r="D895" s="174"/>
      <c r="E895" s="174"/>
    </row>
    <row r="896" spans="1:5" x14ac:dyDescent="0.3">
      <c r="A896" s="174"/>
      <c r="B896" s="174"/>
      <c r="C896" s="174"/>
      <c r="D896" s="174"/>
      <c r="E896" s="174"/>
    </row>
    <row r="897" spans="1:5" x14ac:dyDescent="0.3">
      <c r="A897" s="174"/>
      <c r="B897" s="174"/>
      <c r="C897" s="174"/>
      <c r="D897" s="174"/>
      <c r="E897" s="174"/>
    </row>
    <row r="898" spans="1:5" x14ac:dyDescent="0.3">
      <c r="A898" s="174"/>
      <c r="B898" s="174"/>
      <c r="C898" s="174"/>
      <c r="D898" s="174"/>
      <c r="E898" s="174"/>
    </row>
    <row r="899" spans="1:5" x14ac:dyDescent="0.3">
      <c r="A899" s="174"/>
      <c r="B899" s="174"/>
      <c r="C899" s="174"/>
      <c r="D899" s="174"/>
      <c r="E899" s="174"/>
    </row>
    <row r="900" spans="1:5" x14ac:dyDescent="0.3">
      <c r="A900" s="174"/>
      <c r="B900" s="174"/>
      <c r="C900" s="174"/>
      <c r="D900" s="174"/>
      <c r="E900" s="174"/>
    </row>
    <row r="901" spans="1:5" x14ac:dyDescent="0.3">
      <c r="A901" s="174"/>
      <c r="B901" s="174"/>
      <c r="C901" s="174"/>
      <c r="D901" s="174"/>
      <c r="E901" s="174"/>
    </row>
    <row r="902" spans="1:5" x14ac:dyDescent="0.3">
      <c r="A902" s="174"/>
      <c r="B902" s="174"/>
      <c r="C902" s="174"/>
      <c r="D902" s="174"/>
      <c r="E902" s="174"/>
    </row>
    <row r="903" spans="1:5" x14ac:dyDescent="0.3">
      <c r="A903" s="174"/>
      <c r="B903" s="174"/>
      <c r="C903" s="174"/>
      <c r="D903" s="174"/>
      <c r="E903" s="174"/>
    </row>
    <row r="904" spans="1:5" x14ac:dyDescent="0.3">
      <c r="A904" s="174"/>
      <c r="B904" s="174"/>
      <c r="C904" s="174"/>
      <c r="D904" s="174"/>
      <c r="E904" s="174"/>
    </row>
    <row r="905" spans="1:5" x14ac:dyDescent="0.3">
      <c r="A905" s="174"/>
      <c r="B905" s="174"/>
      <c r="C905" s="174"/>
      <c r="D905" s="174"/>
      <c r="E905" s="174"/>
    </row>
    <row r="906" spans="1:5" x14ac:dyDescent="0.3">
      <c r="A906" s="174"/>
      <c r="B906" s="174"/>
      <c r="C906" s="174"/>
      <c r="D906" s="174"/>
      <c r="E906" s="174"/>
    </row>
    <row r="907" spans="1:5" x14ac:dyDescent="0.3">
      <c r="A907" s="174"/>
      <c r="B907" s="174"/>
      <c r="C907" s="174"/>
      <c r="D907" s="174"/>
      <c r="E907" s="174"/>
    </row>
    <row r="908" spans="1:5" x14ac:dyDescent="0.3">
      <c r="A908" s="174"/>
      <c r="B908" s="174"/>
      <c r="C908" s="174"/>
      <c r="D908" s="174"/>
      <c r="E908" s="174"/>
    </row>
    <row r="909" spans="1:5" x14ac:dyDescent="0.3">
      <c r="A909" s="174"/>
      <c r="B909" s="174"/>
      <c r="C909" s="174"/>
      <c r="D909" s="174"/>
      <c r="E909" s="174"/>
    </row>
    <row r="910" spans="1:5" x14ac:dyDescent="0.3">
      <c r="A910" s="174"/>
      <c r="B910" s="174"/>
      <c r="C910" s="174"/>
      <c r="D910" s="174"/>
      <c r="E910" s="174"/>
    </row>
    <row r="911" spans="1:5" x14ac:dyDescent="0.3">
      <c r="A911" s="174"/>
      <c r="B911" s="174"/>
      <c r="C911" s="174"/>
      <c r="D911" s="174"/>
      <c r="E911" s="174"/>
    </row>
    <row r="912" spans="1:5" x14ac:dyDescent="0.3">
      <c r="A912" s="174"/>
      <c r="B912" s="174"/>
      <c r="C912" s="174"/>
      <c r="D912" s="174"/>
      <c r="E912" s="174"/>
    </row>
    <row r="913" spans="1:5" x14ac:dyDescent="0.3">
      <c r="A913" s="174"/>
      <c r="B913" s="174"/>
      <c r="C913" s="174"/>
      <c r="D913" s="174"/>
      <c r="E913" s="174"/>
    </row>
    <row r="914" spans="1:5" x14ac:dyDescent="0.3">
      <c r="A914" s="174"/>
      <c r="B914" s="174"/>
      <c r="C914" s="174"/>
      <c r="D914" s="174"/>
      <c r="E914" s="174"/>
    </row>
    <row r="915" spans="1:5" x14ac:dyDescent="0.3">
      <c r="A915" s="174"/>
      <c r="B915" s="174"/>
      <c r="C915" s="174"/>
      <c r="D915" s="174"/>
      <c r="E915" s="174"/>
    </row>
    <row r="916" spans="1:5" x14ac:dyDescent="0.3">
      <c r="A916" s="174"/>
      <c r="B916" s="174"/>
      <c r="C916" s="174"/>
      <c r="D916" s="174"/>
      <c r="E916" s="174"/>
    </row>
    <row r="917" spans="1:5" x14ac:dyDescent="0.3">
      <c r="A917" s="174"/>
      <c r="B917" s="174"/>
      <c r="C917" s="174"/>
      <c r="D917" s="174"/>
      <c r="E917" s="174"/>
    </row>
    <row r="918" spans="1:5" x14ac:dyDescent="0.3">
      <c r="A918" s="174"/>
      <c r="B918" s="174"/>
      <c r="C918" s="174"/>
      <c r="D918" s="174"/>
      <c r="E918" s="174"/>
    </row>
    <row r="919" spans="1:5" x14ac:dyDescent="0.3">
      <c r="A919" s="174"/>
      <c r="B919" s="174"/>
      <c r="C919" s="174"/>
      <c r="D919" s="174"/>
      <c r="E919" s="174"/>
    </row>
    <row r="920" spans="1:5" x14ac:dyDescent="0.3">
      <c r="A920" s="174"/>
      <c r="B920" s="174"/>
      <c r="C920" s="174"/>
      <c r="D920" s="174"/>
      <c r="E920" s="174"/>
    </row>
    <row r="921" spans="1:5" x14ac:dyDescent="0.3">
      <c r="A921" s="174"/>
      <c r="B921" s="174"/>
      <c r="C921" s="174"/>
      <c r="D921" s="174"/>
      <c r="E921" s="174"/>
    </row>
    <row r="922" spans="1:5" x14ac:dyDescent="0.3">
      <c r="A922" s="174"/>
      <c r="B922" s="174"/>
      <c r="C922" s="174"/>
      <c r="D922" s="174"/>
      <c r="E922" s="174"/>
    </row>
    <row r="923" spans="1:5" x14ac:dyDescent="0.3">
      <c r="A923" s="174"/>
      <c r="B923" s="174"/>
      <c r="C923" s="174"/>
      <c r="D923" s="174"/>
      <c r="E923" s="174"/>
    </row>
    <row r="924" spans="1:5" x14ac:dyDescent="0.3">
      <c r="A924" s="174"/>
      <c r="B924" s="174"/>
      <c r="C924" s="174"/>
      <c r="D924" s="174"/>
      <c r="E924" s="174"/>
    </row>
    <row r="925" spans="1:5" x14ac:dyDescent="0.3">
      <c r="A925" s="174"/>
      <c r="B925" s="174"/>
      <c r="C925" s="174"/>
      <c r="D925" s="174"/>
      <c r="E925" s="174"/>
    </row>
    <row r="926" spans="1:5" x14ac:dyDescent="0.3">
      <c r="A926" s="174"/>
      <c r="B926" s="174"/>
      <c r="C926" s="174"/>
      <c r="D926" s="174"/>
      <c r="E926" s="174"/>
    </row>
    <row r="927" spans="1:5" x14ac:dyDescent="0.3">
      <c r="A927" s="174"/>
      <c r="B927" s="174"/>
      <c r="C927" s="174"/>
      <c r="D927" s="174"/>
      <c r="E927" s="174"/>
    </row>
    <row r="928" spans="1:5" x14ac:dyDescent="0.3">
      <c r="A928" s="174"/>
      <c r="B928" s="174"/>
      <c r="C928" s="174"/>
      <c r="D928" s="174"/>
      <c r="E928" s="174"/>
    </row>
    <row r="929" spans="1:5" x14ac:dyDescent="0.3">
      <c r="A929" s="174"/>
      <c r="B929" s="174"/>
      <c r="C929" s="174"/>
      <c r="D929" s="174"/>
      <c r="E929" s="174"/>
    </row>
    <row r="930" spans="1:5" x14ac:dyDescent="0.3">
      <c r="A930" s="174"/>
      <c r="B930" s="174"/>
      <c r="C930" s="174"/>
      <c r="D930" s="174"/>
      <c r="E930" s="174"/>
    </row>
    <row r="931" spans="1:5" x14ac:dyDescent="0.3">
      <c r="A931" s="174"/>
      <c r="B931" s="174"/>
      <c r="C931" s="174"/>
      <c r="D931" s="174"/>
      <c r="E931" s="174"/>
    </row>
    <row r="932" spans="1:5" x14ac:dyDescent="0.3">
      <c r="A932" s="174"/>
      <c r="B932" s="174"/>
      <c r="C932" s="174"/>
      <c r="D932" s="174"/>
      <c r="E932" s="174"/>
    </row>
    <row r="933" spans="1:5" x14ac:dyDescent="0.3">
      <c r="A933" s="174"/>
      <c r="B933" s="174"/>
      <c r="C933" s="174"/>
      <c r="D933" s="174"/>
      <c r="E933" s="174"/>
    </row>
    <row r="934" spans="1:5" x14ac:dyDescent="0.3">
      <c r="A934" s="174"/>
      <c r="B934" s="174"/>
      <c r="C934" s="174"/>
      <c r="D934" s="174"/>
      <c r="E934" s="174"/>
    </row>
    <row r="935" spans="1:5" x14ac:dyDescent="0.3">
      <c r="A935" s="174"/>
      <c r="B935" s="174"/>
      <c r="C935" s="174"/>
      <c r="D935" s="174"/>
      <c r="E935" s="174"/>
    </row>
    <row r="936" spans="1:5" x14ac:dyDescent="0.3">
      <c r="A936" s="174"/>
      <c r="B936" s="174"/>
      <c r="C936" s="174"/>
      <c r="D936" s="174"/>
      <c r="E936" s="174"/>
    </row>
    <row r="937" spans="1:5" x14ac:dyDescent="0.3">
      <c r="A937" s="174"/>
      <c r="B937" s="174"/>
      <c r="C937" s="174"/>
      <c r="D937" s="174"/>
      <c r="E937" s="174"/>
    </row>
    <row r="938" spans="1:5" x14ac:dyDescent="0.3">
      <c r="A938" s="174"/>
      <c r="B938" s="174"/>
      <c r="C938" s="174"/>
      <c r="D938" s="174"/>
      <c r="E938" s="174"/>
    </row>
    <row r="939" spans="1:5" x14ac:dyDescent="0.3">
      <c r="A939" s="174"/>
      <c r="B939" s="174"/>
      <c r="C939" s="174"/>
      <c r="D939" s="174"/>
      <c r="E939" s="174"/>
    </row>
    <row r="940" spans="1:5" x14ac:dyDescent="0.3">
      <c r="A940" s="174"/>
      <c r="B940" s="174"/>
      <c r="C940" s="174"/>
      <c r="D940" s="174"/>
      <c r="E940" s="174"/>
    </row>
    <row r="941" spans="1:5" x14ac:dyDescent="0.3">
      <c r="A941" s="174"/>
      <c r="B941" s="174"/>
      <c r="C941" s="174"/>
      <c r="D941" s="174"/>
      <c r="E941" s="174"/>
    </row>
    <row r="942" spans="1:5" x14ac:dyDescent="0.3">
      <c r="A942" s="174"/>
      <c r="B942" s="174"/>
      <c r="C942" s="174"/>
      <c r="D942" s="174"/>
      <c r="E942" s="174"/>
    </row>
    <row r="943" spans="1:5" x14ac:dyDescent="0.3">
      <c r="A943" s="174"/>
      <c r="B943" s="174"/>
      <c r="C943" s="174"/>
      <c r="D943" s="174"/>
      <c r="E943" s="174"/>
    </row>
    <row r="944" spans="1:5" x14ac:dyDescent="0.3">
      <c r="A944" s="174"/>
      <c r="B944" s="174"/>
      <c r="C944" s="174"/>
      <c r="D944" s="174"/>
      <c r="E944" s="174"/>
    </row>
    <row r="945" spans="1:5" x14ac:dyDescent="0.3">
      <c r="A945" s="174"/>
      <c r="B945" s="174"/>
      <c r="C945" s="174"/>
      <c r="D945" s="174"/>
      <c r="E945" s="174"/>
    </row>
    <row r="946" spans="1:5" x14ac:dyDescent="0.3">
      <c r="A946" s="174"/>
      <c r="B946" s="174"/>
      <c r="C946" s="174"/>
      <c r="D946" s="174"/>
      <c r="E946" s="174"/>
    </row>
    <row r="947" spans="1:5" x14ac:dyDescent="0.3">
      <c r="A947" s="174"/>
      <c r="B947" s="174"/>
      <c r="C947" s="174"/>
      <c r="D947" s="174"/>
      <c r="E947" s="174"/>
    </row>
    <row r="948" spans="1:5" x14ac:dyDescent="0.3">
      <c r="A948" s="174"/>
      <c r="B948" s="174"/>
      <c r="C948" s="174"/>
      <c r="D948" s="174"/>
      <c r="E948" s="174"/>
    </row>
    <row r="949" spans="1:5" x14ac:dyDescent="0.3">
      <c r="A949" s="174"/>
      <c r="B949" s="174"/>
      <c r="C949" s="174"/>
      <c r="D949" s="174"/>
      <c r="E949" s="174"/>
    </row>
    <row r="950" spans="1:5" x14ac:dyDescent="0.3">
      <c r="A950" s="174"/>
      <c r="B950" s="174"/>
      <c r="C950" s="174"/>
      <c r="D950" s="174"/>
      <c r="E950" s="174"/>
    </row>
    <row r="951" spans="1:5" x14ac:dyDescent="0.3">
      <c r="A951" s="174"/>
      <c r="B951" s="174"/>
      <c r="C951" s="174"/>
      <c r="D951" s="174"/>
      <c r="E951" s="174"/>
    </row>
    <row r="952" spans="1:5" x14ac:dyDescent="0.3">
      <c r="A952" s="174"/>
      <c r="B952" s="174"/>
      <c r="C952" s="174"/>
      <c r="D952" s="174"/>
      <c r="E952" s="174"/>
    </row>
    <row r="953" spans="1:5" x14ac:dyDescent="0.3">
      <c r="A953" s="174"/>
      <c r="B953" s="174"/>
      <c r="C953" s="174"/>
      <c r="D953" s="174"/>
      <c r="E953" s="174"/>
    </row>
    <row r="954" spans="1:5" x14ac:dyDescent="0.3">
      <c r="A954" s="174"/>
      <c r="B954" s="174"/>
      <c r="C954" s="174"/>
      <c r="D954" s="174"/>
      <c r="E954" s="174"/>
    </row>
    <row r="955" spans="1:5" x14ac:dyDescent="0.3">
      <c r="A955" s="174"/>
      <c r="B955" s="174"/>
      <c r="C955" s="174"/>
      <c r="D955" s="174"/>
      <c r="E955" s="174"/>
    </row>
    <row r="956" spans="1:5" x14ac:dyDescent="0.3">
      <c r="A956" s="174"/>
      <c r="B956" s="174"/>
      <c r="C956" s="174"/>
      <c r="D956" s="174"/>
      <c r="E956" s="174"/>
    </row>
    <row r="957" spans="1:5" x14ac:dyDescent="0.3">
      <c r="A957" s="174"/>
      <c r="B957" s="174"/>
      <c r="C957" s="174"/>
      <c r="D957" s="174"/>
      <c r="E957" s="174"/>
    </row>
    <row r="958" spans="1:5" x14ac:dyDescent="0.3">
      <c r="A958" s="174"/>
      <c r="B958" s="174"/>
      <c r="C958" s="174"/>
      <c r="D958" s="174"/>
      <c r="E958" s="174"/>
    </row>
    <row r="959" spans="1:5" x14ac:dyDescent="0.3">
      <c r="A959" s="174"/>
      <c r="B959" s="174"/>
      <c r="C959" s="174"/>
      <c r="D959" s="174"/>
      <c r="E959" s="174"/>
    </row>
    <row r="960" spans="1:5" x14ac:dyDescent="0.3">
      <c r="A960" s="174"/>
      <c r="B960" s="174"/>
      <c r="C960" s="174"/>
      <c r="D960" s="174"/>
      <c r="E960" s="174"/>
    </row>
    <row r="961" spans="1:5" x14ac:dyDescent="0.3">
      <c r="A961" s="174"/>
      <c r="B961" s="174"/>
      <c r="C961" s="174"/>
      <c r="D961" s="174"/>
      <c r="E961" s="174"/>
    </row>
    <row r="962" spans="1:5" x14ac:dyDescent="0.3">
      <c r="A962" s="174"/>
      <c r="B962" s="174"/>
      <c r="C962" s="174"/>
      <c r="D962" s="174"/>
      <c r="E962" s="174"/>
    </row>
    <row r="963" spans="1:5" x14ac:dyDescent="0.3">
      <c r="A963" s="174"/>
      <c r="B963" s="174"/>
      <c r="C963" s="174"/>
      <c r="D963" s="174"/>
      <c r="E963" s="174"/>
    </row>
    <row r="964" spans="1:5" x14ac:dyDescent="0.3">
      <c r="A964" s="174"/>
      <c r="B964" s="174"/>
      <c r="C964" s="174"/>
      <c r="D964" s="174"/>
      <c r="E964" s="174"/>
    </row>
    <row r="965" spans="1:5" x14ac:dyDescent="0.3">
      <c r="A965" s="174"/>
      <c r="B965" s="174"/>
      <c r="C965" s="174"/>
      <c r="D965" s="174"/>
      <c r="E965" s="174"/>
    </row>
    <row r="966" spans="1:5" x14ac:dyDescent="0.3">
      <c r="A966" s="174"/>
      <c r="B966" s="174"/>
      <c r="C966" s="174"/>
      <c r="D966" s="174"/>
      <c r="E966" s="174"/>
    </row>
    <row r="967" spans="1:5" x14ac:dyDescent="0.3">
      <c r="A967" s="174"/>
      <c r="B967" s="174"/>
      <c r="C967" s="174"/>
      <c r="D967" s="174"/>
      <c r="E967" s="174"/>
    </row>
    <row r="968" spans="1:5" x14ac:dyDescent="0.3">
      <c r="A968" s="174"/>
      <c r="B968" s="174"/>
      <c r="C968" s="174"/>
      <c r="D968" s="174"/>
      <c r="E968" s="174"/>
    </row>
    <row r="969" spans="1:5" x14ac:dyDescent="0.3">
      <c r="A969" s="174"/>
      <c r="B969" s="174"/>
      <c r="C969" s="174"/>
      <c r="D969" s="174"/>
      <c r="E969" s="174"/>
    </row>
    <row r="970" spans="1:5" x14ac:dyDescent="0.3">
      <c r="A970" s="174"/>
      <c r="B970" s="174"/>
      <c r="C970" s="174"/>
      <c r="D970" s="174"/>
      <c r="E970" s="174"/>
    </row>
    <row r="971" spans="1:5" x14ac:dyDescent="0.3">
      <c r="A971" s="174"/>
      <c r="B971" s="174"/>
      <c r="C971" s="174"/>
      <c r="D971" s="174"/>
      <c r="E971" s="174"/>
    </row>
    <row r="972" spans="1:5" x14ac:dyDescent="0.3">
      <c r="A972" s="174"/>
      <c r="B972" s="174"/>
      <c r="C972" s="174"/>
      <c r="D972" s="174"/>
      <c r="E972" s="174"/>
    </row>
    <row r="973" spans="1:5" x14ac:dyDescent="0.3">
      <c r="A973" s="174"/>
      <c r="B973" s="174"/>
      <c r="C973" s="174"/>
      <c r="D973" s="174"/>
      <c r="E973" s="174"/>
    </row>
    <row r="974" spans="1:5" x14ac:dyDescent="0.3">
      <c r="A974" s="174"/>
      <c r="B974" s="174"/>
      <c r="C974" s="174"/>
      <c r="D974" s="174"/>
      <c r="E974" s="174"/>
    </row>
    <row r="975" spans="1:5" x14ac:dyDescent="0.3">
      <c r="A975" s="174"/>
      <c r="B975" s="174"/>
      <c r="C975" s="174"/>
      <c r="D975" s="174"/>
      <c r="E975" s="174"/>
    </row>
    <row r="976" spans="1:5" x14ac:dyDescent="0.3">
      <c r="A976" s="174"/>
      <c r="B976" s="174"/>
      <c r="C976" s="174"/>
      <c r="D976" s="174"/>
      <c r="E976" s="174"/>
    </row>
    <row r="977" spans="1:5" x14ac:dyDescent="0.3">
      <c r="A977" s="174"/>
      <c r="B977" s="174"/>
      <c r="C977" s="174"/>
      <c r="D977" s="174"/>
      <c r="E977" s="174"/>
    </row>
    <row r="978" spans="1:5" x14ac:dyDescent="0.3">
      <c r="A978" s="174"/>
      <c r="B978" s="174"/>
      <c r="C978" s="174"/>
      <c r="D978" s="174"/>
      <c r="E978" s="174"/>
    </row>
    <row r="979" spans="1:5" x14ac:dyDescent="0.3">
      <c r="A979" s="174"/>
      <c r="B979" s="174"/>
      <c r="C979" s="174"/>
      <c r="D979" s="174"/>
      <c r="E979" s="174"/>
    </row>
    <row r="980" spans="1:5" x14ac:dyDescent="0.3">
      <c r="A980" s="174"/>
      <c r="B980" s="174"/>
      <c r="C980" s="174"/>
      <c r="D980" s="174"/>
      <c r="E980" s="174"/>
    </row>
    <row r="981" spans="1:5" x14ac:dyDescent="0.3">
      <c r="A981" s="174"/>
      <c r="B981" s="174"/>
      <c r="C981" s="174"/>
      <c r="D981" s="174"/>
      <c r="E981" s="174"/>
    </row>
    <row r="982" spans="1:5" x14ac:dyDescent="0.3">
      <c r="A982" s="174"/>
      <c r="B982" s="174"/>
      <c r="C982" s="174"/>
      <c r="D982" s="174"/>
      <c r="E982" s="174"/>
    </row>
    <row r="983" spans="1:5" x14ac:dyDescent="0.3">
      <c r="A983" s="174"/>
      <c r="B983" s="174"/>
      <c r="C983" s="174"/>
      <c r="D983" s="174"/>
      <c r="E983" s="174"/>
    </row>
    <row r="984" spans="1:5" x14ac:dyDescent="0.3">
      <c r="A984" s="174"/>
      <c r="B984" s="174"/>
      <c r="C984" s="174"/>
      <c r="D984" s="174"/>
      <c r="E984" s="174"/>
    </row>
    <row r="985" spans="1:5" x14ac:dyDescent="0.3">
      <c r="A985" s="174"/>
      <c r="B985" s="174"/>
      <c r="C985" s="174"/>
      <c r="D985" s="174"/>
      <c r="E985" s="174"/>
    </row>
    <row r="986" spans="1:5" x14ac:dyDescent="0.3">
      <c r="A986" s="174"/>
      <c r="B986" s="174"/>
      <c r="C986" s="174"/>
      <c r="D986" s="174"/>
      <c r="E986" s="174"/>
    </row>
    <row r="987" spans="1:5" x14ac:dyDescent="0.3">
      <c r="A987" s="174"/>
      <c r="B987" s="174"/>
      <c r="C987" s="174"/>
      <c r="D987" s="174"/>
      <c r="E987" s="174"/>
    </row>
    <row r="988" spans="1:5" x14ac:dyDescent="0.3">
      <c r="A988" s="174"/>
      <c r="B988" s="174"/>
      <c r="C988" s="174"/>
      <c r="D988" s="174"/>
      <c r="E988" s="174"/>
    </row>
    <row r="989" spans="1:5" x14ac:dyDescent="0.3">
      <c r="A989" s="174"/>
      <c r="B989" s="174"/>
      <c r="C989" s="174"/>
      <c r="D989" s="174"/>
      <c r="E989" s="174"/>
    </row>
    <row r="990" spans="1:5" x14ac:dyDescent="0.3">
      <c r="A990" s="174"/>
      <c r="B990" s="174"/>
      <c r="C990" s="174"/>
      <c r="D990" s="174"/>
      <c r="E990" s="174"/>
    </row>
    <row r="991" spans="1:5" x14ac:dyDescent="0.3">
      <c r="A991" s="174"/>
      <c r="B991" s="174"/>
      <c r="C991" s="174"/>
      <c r="D991" s="174"/>
      <c r="E991" s="174"/>
    </row>
    <row r="992" spans="1:5" x14ac:dyDescent="0.3">
      <c r="A992" s="174"/>
      <c r="B992" s="174"/>
      <c r="C992" s="174"/>
      <c r="D992" s="174"/>
      <c r="E992" s="174"/>
    </row>
    <row r="993" spans="1:5" x14ac:dyDescent="0.3">
      <c r="A993" s="174"/>
      <c r="B993" s="174"/>
      <c r="C993" s="174"/>
      <c r="D993" s="174"/>
      <c r="E993" s="174"/>
    </row>
    <row r="994" spans="1:5" x14ac:dyDescent="0.3">
      <c r="A994" s="174"/>
      <c r="B994" s="174"/>
      <c r="C994" s="174"/>
      <c r="D994" s="174"/>
      <c r="E994" s="174"/>
    </row>
    <row r="995" spans="1:5" x14ac:dyDescent="0.3">
      <c r="A995" s="174"/>
      <c r="B995" s="174"/>
      <c r="C995" s="174"/>
      <c r="D995" s="174"/>
      <c r="E995" s="174"/>
    </row>
    <row r="996" spans="1:5" x14ac:dyDescent="0.3">
      <c r="A996" s="174"/>
      <c r="B996" s="174"/>
      <c r="C996" s="174"/>
      <c r="D996" s="174"/>
      <c r="E996" s="174"/>
    </row>
    <row r="997" spans="1:5" x14ac:dyDescent="0.3">
      <c r="A997" s="174"/>
      <c r="B997" s="174"/>
      <c r="C997" s="174"/>
      <c r="D997" s="174"/>
      <c r="E997" s="174"/>
    </row>
    <row r="998" spans="1:5" x14ac:dyDescent="0.3">
      <c r="A998" s="174"/>
      <c r="B998" s="174"/>
      <c r="C998" s="174"/>
      <c r="D998" s="174"/>
      <c r="E998" s="174"/>
    </row>
    <row r="999" spans="1:5" x14ac:dyDescent="0.3">
      <c r="A999" s="174"/>
      <c r="B999" s="174"/>
      <c r="C999" s="174"/>
      <c r="D999" s="174"/>
      <c r="E999" s="174"/>
    </row>
    <row r="1000" spans="1:5" x14ac:dyDescent="0.3">
      <c r="A1000" s="174"/>
      <c r="B1000" s="174"/>
      <c r="C1000" s="174"/>
      <c r="D1000" s="174"/>
      <c r="E1000" s="174"/>
    </row>
    <row r="1001" spans="1:5" x14ac:dyDescent="0.3">
      <c r="A1001" s="174"/>
      <c r="B1001" s="174"/>
      <c r="C1001" s="174"/>
      <c r="D1001" s="174"/>
      <c r="E1001" s="174"/>
    </row>
    <row r="1002" spans="1:5" x14ac:dyDescent="0.3">
      <c r="A1002" s="174"/>
      <c r="B1002" s="174"/>
      <c r="C1002" s="174"/>
      <c r="D1002" s="174"/>
      <c r="E1002" s="174"/>
    </row>
    <row r="1003" spans="1:5" x14ac:dyDescent="0.3">
      <c r="A1003" s="174"/>
      <c r="B1003" s="174"/>
      <c r="C1003" s="174"/>
      <c r="D1003" s="174"/>
      <c r="E1003" s="174"/>
    </row>
    <row r="1004" spans="1:5" x14ac:dyDescent="0.3">
      <c r="A1004" s="174"/>
      <c r="B1004" s="174"/>
      <c r="C1004" s="174"/>
      <c r="D1004" s="174"/>
      <c r="E1004" s="174"/>
    </row>
    <row r="1005" spans="1:5" x14ac:dyDescent="0.3">
      <c r="A1005" s="174"/>
      <c r="B1005" s="174"/>
      <c r="C1005" s="174"/>
      <c r="D1005" s="174"/>
      <c r="E1005" s="174"/>
    </row>
    <row r="1006" spans="1:5" x14ac:dyDescent="0.3">
      <c r="A1006" s="174"/>
      <c r="B1006" s="174"/>
      <c r="C1006" s="174"/>
      <c r="D1006" s="174"/>
      <c r="E1006" s="174"/>
    </row>
    <row r="1007" spans="1:5" x14ac:dyDescent="0.3">
      <c r="A1007" s="174"/>
      <c r="B1007" s="174"/>
      <c r="C1007" s="174"/>
      <c r="D1007" s="174"/>
      <c r="E1007" s="174"/>
    </row>
    <row r="1008" spans="1:5" x14ac:dyDescent="0.3">
      <c r="A1008" s="174"/>
      <c r="B1008" s="174"/>
      <c r="C1008" s="174"/>
      <c r="D1008" s="174"/>
      <c r="E1008" s="174"/>
    </row>
    <row r="1009" spans="1:5" x14ac:dyDescent="0.3">
      <c r="A1009" s="174"/>
      <c r="B1009" s="174"/>
      <c r="C1009" s="174"/>
      <c r="D1009" s="174"/>
      <c r="E1009" s="174"/>
    </row>
    <row r="1010" spans="1:5" x14ac:dyDescent="0.3">
      <c r="A1010" s="174"/>
      <c r="B1010" s="174"/>
      <c r="C1010" s="174"/>
      <c r="D1010" s="174"/>
      <c r="E1010" s="174"/>
    </row>
    <row r="1011" spans="1:5" x14ac:dyDescent="0.3">
      <c r="A1011" s="174"/>
      <c r="B1011" s="174"/>
      <c r="C1011" s="174"/>
      <c r="D1011" s="174"/>
      <c r="E1011" s="174"/>
    </row>
    <row r="1012" spans="1:5" x14ac:dyDescent="0.3">
      <c r="A1012" s="174"/>
      <c r="B1012" s="174"/>
      <c r="C1012" s="174"/>
      <c r="D1012" s="174"/>
      <c r="E1012" s="174"/>
    </row>
    <row r="1013" spans="1:5" x14ac:dyDescent="0.3">
      <c r="A1013" s="174"/>
      <c r="B1013" s="174"/>
      <c r="C1013" s="174"/>
      <c r="D1013" s="174"/>
      <c r="E1013" s="174"/>
    </row>
    <row r="1014" spans="1:5" x14ac:dyDescent="0.3">
      <c r="A1014" s="174"/>
      <c r="B1014" s="174"/>
      <c r="C1014" s="174"/>
      <c r="D1014" s="174"/>
      <c r="E1014" s="174"/>
    </row>
    <row r="1015" spans="1:5" x14ac:dyDescent="0.3">
      <c r="A1015" s="174"/>
      <c r="B1015" s="174"/>
      <c r="C1015" s="174"/>
      <c r="D1015" s="174"/>
      <c r="E1015" s="174"/>
    </row>
    <row r="1016" spans="1:5" x14ac:dyDescent="0.3">
      <c r="A1016" s="174"/>
      <c r="B1016" s="174"/>
      <c r="C1016" s="174"/>
      <c r="D1016" s="174"/>
      <c r="E1016" s="174"/>
    </row>
    <row r="1017" spans="1:5" x14ac:dyDescent="0.3">
      <c r="A1017" s="174"/>
      <c r="B1017" s="174"/>
      <c r="C1017" s="174"/>
      <c r="D1017" s="174"/>
      <c r="E1017" s="174"/>
    </row>
    <row r="1018" spans="1:5" x14ac:dyDescent="0.3">
      <c r="A1018" s="174"/>
      <c r="B1018" s="174"/>
      <c r="C1018" s="174"/>
      <c r="D1018" s="174"/>
      <c r="E1018" s="174"/>
    </row>
    <row r="1019" spans="1:5" x14ac:dyDescent="0.3">
      <c r="A1019" s="174"/>
      <c r="B1019" s="174"/>
      <c r="C1019" s="174"/>
      <c r="D1019" s="174"/>
      <c r="E1019" s="174"/>
    </row>
    <row r="1020" spans="1:5" x14ac:dyDescent="0.3">
      <c r="A1020" s="174"/>
      <c r="B1020" s="174"/>
      <c r="C1020" s="174"/>
      <c r="D1020" s="174"/>
      <c r="E1020" s="174"/>
    </row>
    <row r="1021" spans="1:5" x14ac:dyDescent="0.3">
      <c r="A1021" s="174"/>
      <c r="B1021" s="174"/>
      <c r="C1021" s="174"/>
      <c r="D1021" s="174"/>
      <c r="E1021" s="174"/>
    </row>
    <row r="1022" spans="1:5" x14ac:dyDescent="0.3">
      <c r="A1022" s="174"/>
      <c r="B1022" s="174"/>
      <c r="C1022" s="174"/>
      <c r="D1022" s="174"/>
      <c r="E1022" s="174"/>
    </row>
    <row r="1023" spans="1:5" x14ac:dyDescent="0.3">
      <c r="A1023" s="174"/>
      <c r="B1023" s="174"/>
      <c r="C1023" s="174"/>
      <c r="D1023" s="174"/>
      <c r="E1023" s="174"/>
    </row>
    <row r="1024" spans="1:5" x14ac:dyDescent="0.3">
      <c r="A1024" s="174"/>
      <c r="B1024" s="174"/>
      <c r="C1024" s="174"/>
      <c r="D1024" s="174"/>
      <c r="E1024" s="174"/>
    </row>
    <row r="1025" spans="1:5" x14ac:dyDescent="0.3">
      <c r="A1025" s="174"/>
      <c r="B1025" s="174"/>
      <c r="C1025" s="174"/>
      <c r="D1025" s="174"/>
      <c r="E1025" s="174"/>
    </row>
    <row r="1026" spans="1:5" x14ac:dyDescent="0.3">
      <c r="A1026" s="174"/>
      <c r="B1026" s="174"/>
      <c r="C1026" s="174"/>
      <c r="D1026" s="174"/>
      <c r="E1026" s="174"/>
    </row>
    <row r="1027" spans="1:5" x14ac:dyDescent="0.3">
      <c r="A1027" s="174"/>
      <c r="B1027" s="174"/>
      <c r="C1027" s="174"/>
      <c r="D1027" s="174"/>
      <c r="E1027" s="174"/>
    </row>
    <row r="1028" spans="1:5" x14ac:dyDescent="0.3">
      <c r="A1028" s="174"/>
      <c r="B1028" s="174"/>
      <c r="C1028" s="174"/>
      <c r="D1028" s="174"/>
      <c r="E1028" s="174"/>
    </row>
    <row r="1029" spans="1:5" x14ac:dyDescent="0.3">
      <c r="A1029" s="174"/>
      <c r="B1029" s="174"/>
      <c r="C1029" s="174"/>
      <c r="D1029" s="174"/>
      <c r="E1029" s="174"/>
    </row>
    <row r="1030" spans="1:5" x14ac:dyDescent="0.3">
      <c r="A1030" s="174"/>
      <c r="B1030" s="174"/>
      <c r="C1030" s="174"/>
      <c r="D1030" s="174"/>
      <c r="E1030" s="174"/>
    </row>
    <row r="1031" spans="1:5" x14ac:dyDescent="0.3">
      <c r="A1031" s="174"/>
      <c r="B1031" s="174"/>
      <c r="C1031" s="174"/>
      <c r="D1031" s="174"/>
      <c r="E1031" s="174"/>
    </row>
    <row r="1032" spans="1:5" x14ac:dyDescent="0.3">
      <c r="A1032" s="174"/>
      <c r="B1032" s="174"/>
      <c r="C1032" s="174"/>
      <c r="D1032" s="174"/>
      <c r="E1032" s="174"/>
    </row>
    <row r="1033" spans="1:5" x14ac:dyDescent="0.3">
      <c r="A1033" s="174"/>
      <c r="B1033" s="174"/>
      <c r="C1033" s="174"/>
      <c r="D1033" s="174"/>
      <c r="E1033" s="174"/>
    </row>
    <row r="1034" spans="1:5" x14ac:dyDescent="0.3">
      <c r="A1034" s="174"/>
      <c r="B1034" s="174"/>
      <c r="C1034" s="174"/>
      <c r="D1034" s="174"/>
      <c r="E1034" s="174"/>
    </row>
    <row r="1035" spans="1:5" x14ac:dyDescent="0.3">
      <c r="A1035" s="174"/>
      <c r="B1035" s="174"/>
      <c r="C1035" s="174"/>
      <c r="D1035" s="174"/>
      <c r="E1035" s="174"/>
    </row>
    <row r="1036" spans="1:5" x14ac:dyDescent="0.3">
      <c r="A1036" s="174"/>
      <c r="B1036" s="174"/>
      <c r="C1036" s="174"/>
      <c r="D1036" s="174"/>
      <c r="E1036" s="174"/>
    </row>
    <row r="1037" spans="1:5" x14ac:dyDescent="0.3">
      <c r="A1037" s="174"/>
      <c r="B1037" s="174"/>
      <c r="C1037" s="174"/>
      <c r="D1037" s="174"/>
      <c r="E1037" s="174"/>
    </row>
    <row r="1038" spans="1:5" x14ac:dyDescent="0.3">
      <c r="A1038" s="174"/>
      <c r="B1038" s="174"/>
      <c r="C1038" s="174"/>
      <c r="D1038" s="174"/>
      <c r="E1038" s="174"/>
    </row>
    <row r="1039" spans="1:5" x14ac:dyDescent="0.3">
      <c r="A1039" s="174"/>
      <c r="B1039" s="174"/>
      <c r="C1039" s="174"/>
      <c r="D1039" s="174"/>
      <c r="E1039" s="174"/>
    </row>
    <row r="1040" spans="1:5" x14ac:dyDescent="0.3">
      <c r="A1040" s="174"/>
      <c r="B1040" s="174"/>
      <c r="C1040" s="174"/>
      <c r="D1040" s="174"/>
      <c r="E1040" s="174"/>
    </row>
    <row r="1041" spans="1:5" x14ac:dyDescent="0.3">
      <c r="A1041" s="174"/>
      <c r="B1041" s="174"/>
      <c r="C1041" s="174"/>
      <c r="D1041" s="174"/>
      <c r="E1041" s="174"/>
    </row>
    <row r="1042" spans="1:5" x14ac:dyDescent="0.3">
      <c r="A1042" s="174"/>
      <c r="B1042" s="174"/>
      <c r="C1042" s="174"/>
      <c r="D1042" s="174"/>
      <c r="E1042" s="174"/>
    </row>
    <row r="1043" spans="1:5" x14ac:dyDescent="0.3">
      <c r="A1043" s="174"/>
      <c r="B1043" s="174"/>
      <c r="C1043" s="174"/>
      <c r="D1043" s="174"/>
      <c r="E1043" s="174"/>
    </row>
    <row r="1044" spans="1:5" x14ac:dyDescent="0.3">
      <c r="A1044" s="174"/>
      <c r="B1044" s="174"/>
      <c r="C1044" s="174"/>
      <c r="D1044" s="174"/>
      <c r="E1044" s="174"/>
    </row>
    <row r="1045" spans="1:5" x14ac:dyDescent="0.3">
      <c r="A1045" s="174"/>
      <c r="B1045" s="174"/>
      <c r="C1045" s="174"/>
      <c r="D1045" s="174"/>
      <c r="E1045" s="174"/>
    </row>
    <row r="1046" spans="1:5" x14ac:dyDescent="0.3">
      <c r="A1046" s="174"/>
      <c r="B1046" s="174"/>
      <c r="C1046" s="174"/>
      <c r="D1046" s="174"/>
      <c r="E1046" s="174"/>
    </row>
    <row r="1047" spans="1:5" x14ac:dyDescent="0.3">
      <c r="A1047" s="174"/>
      <c r="B1047" s="174"/>
      <c r="C1047" s="174"/>
      <c r="D1047" s="174"/>
      <c r="E1047" s="174"/>
    </row>
    <row r="1048" spans="1:5" x14ac:dyDescent="0.3">
      <c r="A1048" s="174"/>
      <c r="B1048" s="174"/>
      <c r="C1048" s="174"/>
      <c r="D1048" s="174"/>
      <c r="E1048" s="174"/>
    </row>
    <row r="1049" spans="1:5" x14ac:dyDescent="0.3">
      <c r="A1049" s="174"/>
      <c r="B1049" s="174"/>
      <c r="C1049" s="174"/>
      <c r="D1049" s="174"/>
      <c r="E1049" s="174"/>
    </row>
    <row r="1050" spans="1:5" x14ac:dyDescent="0.3">
      <c r="A1050" s="174"/>
      <c r="B1050" s="174"/>
      <c r="C1050" s="174"/>
      <c r="D1050" s="174"/>
      <c r="E1050" s="174"/>
    </row>
    <row r="1051" spans="1:5" x14ac:dyDescent="0.3">
      <c r="A1051" s="174"/>
      <c r="B1051" s="174"/>
      <c r="C1051" s="174"/>
      <c r="D1051" s="174"/>
      <c r="E1051" s="174"/>
    </row>
    <row r="1052" spans="1:5" x14ac:dyDescent="0.3">
      <c r="A1052" s="174"/>
      <c r="B1052" s="174"/>
      <c r="C1052" s="174"/>
      <c r="D1052" s="174"/>
      <c r="E1052" s="174"/>
    </row>
    <row r="1053" spans="1:5" x14ac:dyDescent="0.3">
      <c r="A1053" s="174"/>
      <c r="B1053" s="174"/>
      <c r="C1053" s="174"/>
      <c r="D1053" s="174"/>
      <c r="E1053" s="174"/>
    </row>
    <row r="1054" spans="1:5" x14ac:dyDescent="0.3">
      <c r="A1054" s="174"/>
      <c r="B1054" s="174"/>
      <c r="C1054" s="174"/>
      <c r="D1054" s="174"/>
      <c r="E1054" s="174"/>
    </row>
    <row r="1055" spans="1:5" x14ac:dyDescent="0.3">
      <c r="A1055" s="174"/>
      <c r="B1055" s="174"/>
      <c r="C1055" s="174"/>
      <c r="D1055" s="174"/>
      <c r="E1055" s="174"/>
    </row>
    <row r="1056" spans="1:5" x14ac:dyDescent="0.3">
      <c r="A1056" s="174"/>
      <c r="B1056" s="174"/>
      <c r="C1056" s="174"/>
      <c r="D1056" s="174"/>
      <c r="E1056" s="174"/>
    </row>
    <row r="1057" spans="1:5" x14ac:dyDescent="0.3">
      <c r="A1057" s="174"/>
      <c r="B1057" s="174"/>
      <c r="C1057" s="174"/>
      <c r="D1057" s="174"/>
      <c r="E1057" s="174"/>
    </row>
    <row r="1058" spans="1:5" x14ac:dyDescent="0.3">
      <c r="A1058" s="174"/>
      <c r="B1058" s="174"/>
      <c r="C1058" s="174"/>
      <c r="D1058" s="174"/>
      <c r="E1058" s="174"/>
    </row>
    <row r="1059" spans="1:5" x14ac:dyDescent="0.3">
      <c r="A1059" s="174"/>
      <c r="B1059" s="174"/>
      <c r="C1059" s="174"/>
      <c r="D1059" s="174"/>
      <c r="E1059" s="174"/>
    </row>
    <row r="1060" spans="1:5" x14ac:dyDescent="0.3">
      <c r="A1060" s="174"/>
      <c r="B1060" s="174"/>
      <c r="C1060" s="174"/>
      <c r="D1060" s="174"/>
      <c r="E1060" s="174"/>
    </row>
    <row r="1061" spans="1:5" x14ac:dyDescent="0.3">
      <c r="A1061" s="174"/>
      <c r="B1061" s="174"/>
      <c r="C1061" s="174"/>
      <c r="D1061" s="174"/>
      <c r="E1061" s="174"/>
    </row>
    <row r="1062" spans="1:5" x14ac:dyDescent="0.3">
      <c r="A1062" s="174"/>
      <c r="B1062" s="174"/>
      <c r="C1062" s="174"/>
      <c r="D1062" s="174"/>
      <c r="E1062" s="174"/>
    </row>
    <row r="1063" spans="1:5" x14ac:dyDescent="0.3">
      <c r="A1063" s="174"/>
      <c r="B1063" s="174"/>
      <c r="C1063" s="174"/>
      <c r="D1063" s="174"/>
      <c r="E1063" s="174"/>
    </row>
    <row r="1064" spans="1:5" x14ac:dyDescent="0.3">
      <c r="A1064" s="174"/>
      <c r="B1064" s="174"/>
      <c r="C1064" s="174"/>
      <c r="D1064" s="174"/>
      <c r="E1064" s="174"/>
    </row>
    <row r="1065" spans="1:5" x14ac:dyDescent="0.3">
      <c r="A1065" s="174"/>
      <c r="B1065" s="174"/>
      <c r="C1065" s="174"/>
      <c r="D1065" s="174"/>
      <c r="E1065" s="174"/>
    </row>
    <row r="1066" spans="1:5" x14ac:dyDescent="0.3">
      <c r="A1066" s="174"/>
      <c r="B1066" s="174"/>
      <c r="C1066" s="174"/>
      <c r="D1066" s="174"/>
      <c r="E1066" s="174"/>
    </row>
    <row r="1067" spans="1:5" x14ac:dyDescent="0.3">
      <c r="A1067" s="174"/>
      <c r="B1067" s="174"/>
      <c r="C1067" s="174"/>
      <c r="D1067" s="174"/>
      <c r="E1067" s="174"/>
    </row>
    <row r="1068" spans="1:5" x14ac:dyDescent="0.3">
      <c r="A1068" s="174"/>
      <c r="B1068" s="174"/>
      <c r="C1068" s="174"/>
      <c r="D1068" s="174"/>
      <c r="E1068" s="174"/>
    </row>
    <row r="1069" spans="1:5" x14ac:dyDescent="0.3">
      <c r="A1069" s="174"/>
      <c r="B1069" s="174"/>
      <c r="C1069" s="174"/>
      <c r="D1069" s="174"/>
      <c r="E1069" s="174"/>
    </row>
    <row r="1070" spans="1:5" x14ac:dyDescent="0.3">
      <c r="A1070" s="174"/>
      <c r="B1070" s="174"/>
      <c r="C1070" s="174"/>
      <c r="D1070" s="174"/>
      <c r="E1070" s="174"/>
    </row>
    <row r="1071" spans="1:5" x14ac:dyDescent="0.3">
      <c r="A1071" s="174"/>
      <c r="B1071" s="174"/>
      <c r="C1071" s="174"/>
      <c r="D1071" s="174"/>
      <c r="E1071" s="174"/>
    </row>
    <row r="1072" spans="1:5" x14ac:dyDescent="0.3">
      <c r="A1072" s="174"/>
      <c r="B1072" s="174"/>
      <c r="C1072" s="174"/>
      <c r="D1072" s="174"/>
      <c r="E1072" s="174"/>
    </row>
    <row r="1073" spans="1:5" x14ac:dyDescent="0.3">
      <c r="A1073" s="174"/>
      <c r="B1073" s="174"/>
      <c r="C1073" s="174"/>
      <c r="D1073" s="174"/>
      <c r="E1073" s="174"/>
    </row>
    <row r="1074" spans="1:5" x14ac:dyDescent="0.3">
      <c r="A1074" s="174"/>
      <c r="B1074" s="174"/>
      <c r="C1074" s="174"/>
      <c r="D1074" s="174"/>
      <c r="E1074" s="174"/>
    </row>
    <row r="1075" spans="1:5" x14ac:dyDescent="0.3">
      <c r="A1075" s="174"/>
      <c r="B1075" s="174"/>
      <c r="C1075" s="174"/>
      <c r="D1075" s="174"/>
      <c r="E1075" s="174"/>
    </row>
    <row r="1076" spans="1:5" x14ac:dyDescent="0.3">
      <c r="A1076" s="174"/>
      <c r="B1076" s="174"/>
      <c r="C1076" s="174"/>
      <c r="D1076" s="174"/>
      <c r="E1076" s="174"/>
    </row>
    <row r="1077" spans="1:5" x14ac:dyDescent="0.3">
      <c r="A1077" s="174"/>
      <c r="B1077" s="174"/>
      <c r="C1077" s="174"/>
      <c r="D1077" s="174"/>
      <c r="E1077" s="174"/>
    </row>
    <row r="1078" spans="1:5" x14ac:dyDescent="0.3">
      <c r="A1078" s="174"/>
      <c r="B1078" s="174"/>
      <c r="C1078" s="174"/>
      <c r="D1078" s="174"/>
      <c r="E1078" s="174"/>
    </row>
    <row r="1079" spans="1:5" x14ac:dyDescent="0.3">
      <c r="A1079" s="174"/>
      <c r="B1079" s="174"/>
      <c r="C1079" s="174"/>
      <c r="D1079" s="174"/>
      <c r="E1079" s="174"/>
    </row>
    <row r="1080" spans="1:5" x14ac:dyDescent="0.3">
      <c r="A1080" s="174"/>
      <c r="B1080" s="174"/>
      <c r="C1080" s="174"/>
      <c r="D1080" s="174"/>
      <c r="E1080" s="174"/>
    </row>
    <row r="1081" spans="1:5" x14ac:dyDescent="0.3">
      <c r="A1081" s="174"/>
      <c r="B1081" s="174"/>
      <c r="C1081" s="174"/>
      <c r="D1081" s="174"/>
      <c r="E1081" s="174"/>
    </row>
    <row r="1082" spans="1:5" x14ac:dyDescent="0.3">
      <c r="A1082" s="174"/>
      <c r="B1082" s="174"/>
      <c r="C1082" s="174"/>
      <c r="D1082" s="174"/>
      <c r="E1082" s="174"/>
    </row>
    <row r="1083" spans="1:5" x14ac:dyDescent="0.3">
      <c r="A1083" s="174"/>
      <c r="B1083" s="174"/>
      <c r="C1083" s="174"/>
      <c r="D1083" s="174"/>
      <c r="E1083" s="174"/>
    </row>
    <row r="1084" spans="1:5" x14ac:dyDescent="0.3">
      <c r="A1084" s="174"/>
      <c r="B1084" s="174"/>
      <c r="C1084" s="174"/>
      <c r="D1084" s="174"/>
      <c r="E1084" s="174"/>
    </row>
    <row r="1085" spans="1:5" x14ac:dyDescent="0.3">
      <c r="A1085" s="174"/>
      <c r="B1085" s="174"/>
      <c r="C1085" s="174"/>
      <c r="D1085" s="174"/>
      <c r="E1085" s="174"/>
    </row>
    <row r="1086" spans="1:5" x14ac:dyDescent="0.3">
      <c r="A1086" s="174"/>
      <c r="B1086" s="174"/>
      <c r="C1086" s="174"/>
      <c r="D1086" s="174"/>
      <c r="E1086" s="174"/>
    </row>
    <row r="1087" spans="1:5" x14ac:dyDescent="0.3">
      <c r="A1087" s="174"/>
      <c r="B1087" s="174"/>
      <c r="C1087" s="174"/>
      <c r="D1087" s="174"/>
      <c r="E1087" s="174"/>
    </row>
    <row r="1088" spans="1:5" x14ac:dyDescent="0.3">
      <c r="A1088" s="174"/>
      <c r="B1088" s="174"/>
      <c r="C1088" s="174"/>
      <c r="D1088" s="174"/>
      <c r="E1088" s="174"/>
    </row>
    <row r="1089" spans="1:5" x14ac:dyDescent="0.3">
      <c r="A1089" s="174"/>
      <c r="B1089" s="174"/>
      <c r="C1089" s="174"/>
      <c r="D1089" s="174"/>
      <c r="E1089" s="174"/>
    </row>
    <row r="1090" spans="1:5" x14ac:dyDescent="0.3">
      <c r="A1090" s="174"/>
      <c r="B1090" s="174"/>
      <c r="C1090" s="174"/>
      <c r="D1090" s="174"/>
      <c r="E1090" s="174"/>
    </row>
    <row r="1091" spans="1:5" x14ac:dyDescent="0.3">
      <c r="A1091" s="174"/>
      <c r="B1091" s="174"/>
      <c r="C1091" s="174"/>
      <c r="D1091" s="174"/>
      <c r="E1091" s="174"/>
    </row>
    <row r="1092" spans="1:5" x14ac:dyDescent="0.3">
      <c r="A1092" s="174"/>
      <c r="B1092" s="174"/>
      <c r="C1092" s="174"/>
      <c r="D1092" s="174"/>
      <c r="E1092" s="174"/>
    </row>
    <row r="1093" spans="1:5" x14ac:dyDescent="0.3">
      <c r="A1093" s="174"/>
      <c r="B1093" s="174"/>
      <c r="C1093" s="174"/>
      <c r="D1093" s="174"/>
      <c r="E1093" s="174"/>
    </row>
    <row r="1094" spans="1:5" x14ac:dyDescent="0.3">
      <c r="A1094" s="174"/>
      <c r="B1094" s="174"/>
      <c r="C1094" s="174"/>
      <c r="D1094" s="174"/>
      <c r="E1094" s="174"/>
    </row>
    <row r="1095" spans="1:5" x14ac:dyDescent="0.3">
      <c r="A1095" s="174"/>
      <c r="B1095" s="174"/>
      <c r="C1095" s="174"/>
      <c r="D1095" s="174"/>
      <c r="E1095" s="174"/>
    </row>
    <row r="1096" spans="1:5" x14ac:dyDescent="0.3">
      <c r="A1096" s="174"/>
      <c r="B1096" s="174"/>
      <c r="C1096" s="174"/>
      <c r="D1096" s="174"/>
      <c r="E1096" s="174"/>
    </row>
    <row r="1097" spans="1:5" x14ac:dyDescent="0.3">
      <c r="A1097" s="174"/>
      <c r="B1097" s="174"/>
      <c r="C1097" s="174"/>
      <c r="D1097" s="174"/>
      <c r="E1097" s="174"/>
    </row>
    <row r="1098" spans="1:5" x14ac:dyDescent="0.3">
      <c r="A1098" s="174"/>
      <c r="B1098" s="174"/>
      <c r="C1098" s="174"/>
      <c r="D1098" s="174"/>
      <c r="E1098" s="174"/>
    </row>
    <row r="1099" spans="1:5" x14ac:dyDescent="0.3">
      <c r="A1099" s="174"/>
      <c r="B1099" s="174"/>
      <c r="C1099" s="174"/>
      <c r="D1099" s="174"/>
      <c r="E1099" s="174"/>
    </row>
    <row r="1100" spans="1:5" x14ac:dyDescent="0.3">
      <c r="A1100" s="174"/>
      <c r="B1100" s="174"/>
      <c r="C1100" s="174"/>
      <c r="D1100" s="174"/>
      <c r="E1100" s="174"/>
    </row>
    <row r="1101" spans="1:5" x14ac:dyDescent="0.3">
      <c r="A1101" s="174"/>
      <c r="B1101" s="174"/>
      <c r="C1101" s="174"/>
      <c r="D1101" s="174"/>
      <c r="E1101" s="174"/>
    </row>
    <row r="1102" spans="1:5" x14ac:dyDescent="0.3">
      <c r="A1102" s="174"/>
      <c r="B1102" s="174"/>
      <c r="C1102" s="174"/>
      <c r="D1102" s="174"/>
      <c r="E1102" s="174"/>
    </row>
    <row r="1103" spans="1:5" x14ac:dyDescent="0.3">
      <c r="A1103" s="174"/>
      <c r="B1103" s="174"/>
      <c r="C1103" s="174"/>
      <c r="D1103" s="174"/>
      <c r="E1103" s="174"/>
    </row>
    <row r="1104" spans="1:5" x14ac:dyDescent="0.3">
      <c r="A1104" s="174"/>
      <c r="B1104" s="174"/>
      <c r="C1104" s="174"/>
      <c r="D1104" s="174"/>
      <c r="E1104" s="174"/>
    </row>
    <row r="1105" spans="1:5" x14ac:dyDescent="0.3">
      <c r="A1105" s="174"/>
      <c r="B1105" s="174"/>
      <c r="C1105" s="174"/>
      <c r="D1105" s="174"/>
      <c r="E1105" s="174"/>
    </row>
    <row r="1106" spans="1:5" x14ac:dyDescent="0.3">
      <c r="A1106" s="174"/>
      <c r="B1106" s="174"/>
      <c r="C1106" s="174"/>
      <c r="D1106" s="174"/>
      <c r="E1106" s="174"/>
    </row>
    <row r="1107" spans="1:5" x14ac:dyDescent="0.3">
      <c r="A1107" s="174"/>
      <c r="B1107" s="174"/>
      <c r="C1107" s="174"/>
      <c r="D1107" s="174"/>
      <c r="E1107" s="174"/>
    </row>
    <row r="1108" spans="1:5" x14ac:dyDescent="0.3">
      <c r="A1108" s="174"/>
      <c r="B1108" s="174"/>
      <c r="C1108" s="174"/>
      <c r="D1108" s="174"/>
      <c r="E1108" s="174"/>
    </row>
    <row r="1109" spans="1:5" x14ac:dyDescent="0.3">
      <c r="A1109" s="174"/>
      <c r="B1109" s="174"/>
      <c r="C1109" s="174"/>
      <c r="D1109" s="174"/>
      <c r="E1109" s="174"/>
    </row>
    <row r="1110" spans="1:5" x14ac:dyDescent="0.3">
      <c r="A1110" s="174"/>
      <c r="B1110" s="174"/>
      <c r="C1110" s="174"/>
      <c r="D1110" s="174"/>
      <c r="E1110" s="174"/>
    </row>
    <row r="1111" spans="1:5" x14ac:dyDescent="0.3">
      <c r="A1111" s="174"/>
      <c r="B1111" s="174"/>
      <c r="C1111" s="174"/>
      <c r="D1111" s="174"/>
      <c r="E1111" s="174"/>
    </row>
    <row r="1112" spans="1:5" x14ac:dyDescent="0.3">
      <c r="A1112" s="174"/>
      <c r="B1112" s="174"/>
      <c r="C1112" s="174"/>
      <c r="D1112" s="174"/>
      <c r="E1112" s="174"/>
    </row>
    <row r="1113" spans="1:5" x14ac:dyDescent="0.3">
      <c r="A1113" s="174"/>
      <c r="B1113" s="174"/>
      <c r="C1113" s="174"/>
      <c r="D1113" s="174"/>
      <c r="E1113" s="174"/>
    </row>
    <row r="1114" spans="1:5" x14ac:dyDescent="0.3">
      <c r="A1114" s="174"/>
      <c r="B1114" s="174"/>
      <c r="C1114" s="174"/>
      <c r="D1114" s="174"/>
      <c r="E1114" s="174"/>
    </row>
    <row r="1115" spans="1:5" x14ac:dyDescent="0.3">
      <c r="A1115" s="174"/>
      <c r="B1115" s="174"/>
      <c r="C1115" s="174"/>
      <c r="D1115" s="174"/>
      <c r="E1115" s="174"/>
    </row>
    <row r="1116" spans="1:5" x14ac:dyDescent="0.3">
      <c r="A1116" s="174"/>
      <c r="B1116" s="174"/>
      <c r="C1116" s="174"/>
      <c r="D1116" s="174"/>
      <c r="E1116" s="174"/>
    </row>
    <row r="1117" spans="1:5" x14ac:dyDescent="0.3">
      <c r="A1117" s="174"/>
      <c r="B1117" s="174"/>
      <c r="C1117" s="174"/>
      <c r="D1117" s="174"/>
      <c r="E1117" s="174"/>
    </row>
    <row r="1118" spans="1:5" x14ac:dyDescent="0.3">
      <c r="A1118" s="174"/>
      <c r="B1118" s="174"/>
      <c r="C1118" s="174"/>
      <c r="D1118" s="174"/>
      <c r="E1118" s="174"/>
    </row>
    <row r="1119" spans="1:5" x14ac:dyDescent="0.3">
      <c r="A1119" s="174"/>
      <c r="B1119" s="174"/>
      <c r="C1119" s="174"/>
      <c r="D1119" s="174"/>
      <c r="E1119" s="174"/>
    </row>
    <row r="1120" spans="1:5" x14ac:dyDescent="0.3">
      <c r="A1120" s="174"/>
      <c r="B1120" s="174"/>
      <c r="C1120" s="174"/>
      <c r="D1120" s="174"/>
      <c r="E1120" s="174"/>
    </row>
    <row r="1121" spans="1:5" x14ac:dyDescent="0.3">
      <c r="A1121" s="174"/>
      <c r="B1121" s="174"/>
      <c r="C1121" s="174"/>
      <c r="D1121" s="174"/>
      <c r="E1121" s="174"/>
    </row>
    <row r="1122" spans="1:5" x14ac:dyDescent="0.3">
      <c r="A1122" s="174"/>
      <c r="B1122" s="174"/>
      <c r="C1122" s="174"/>
      <c r="D1122" s="174"/>
      <c r="E1122" s="174"/>
    </row>
    <row r="1123" spans="1:5" x14ac:dyDescent="0.3">
      <c r="A1123" s="174"/>
      <c r="B1123" s="174"/>
      <c r="C1123" s="174"/>
      <c r="D1123" s="174"/>
      <c r="E1123" s="174"/>
    </row>
    <row r="1124" spans="1:5" x14ac:dyDescent="0.3">
      <c r="A1124" s="174"/>
      <c r="B1124" s="174"/>
      <c r="C1124" s="174"/>
      <c r="D1124" s="174"/>
      <c r="E1124" s="174"/>
    </row>
    <row r="1125" spans="1:5" x14ac:dyDescent="0.3">
      <c r="A1125" s="174"/>
      <c r="B1125" s="174"/>
      <c r="C1125" s="174"/>
      <c r="D1125" s="174"/>
      <c r="E1125" s="174"/>
    </row>
    <row r="1126" spans="1:5" x14ac:dyDescent="0.3">
      <c r="A1126" s="174"/>
      <c r="B1126" s="174"/>
      <c r="C1126" s="174"/>
      <c r="D1126" s="174"/>
      <c r="E1126" s="174"/>
    </row>
    <row r="1127" spans="1:5" x14ac:dyDescent="0.3">
      <c r="A1127" s="174"/>
      <c r="B1127" s="174"/>
      <c r="C1127" s="174"/>
      <c r="D1127" s="174"/>
      <c r="E1127" s="174"/>
    </row>
    <row r="1128" spans="1:5" x14ac:dyDescent="0.3">
      <c r="A1128" s="174"/>
      <c r="B1128" s="174"/>
      <c r="C1128" s="174"/>
      <c r="D1128" s="174"/>
      <c r="E1128" s="174"/>
    </row>
    <row r="1129" spans="1:5" x14ac:dyDescent="0.3">
      <c r="A1129" s="174"/>
      <c r="B1129" s="174"/>
      <c r="C1129" s="174"/>
      <c r="D1129" s="174"/>
      <c r="E1129" s="174"/>
    </row>
    <row r="1130" spans="1:5" x14ac:dyDescent="0.3">
      <c r="A1130" s="174"/>
      <c r="B1130" s="174"/>
      <c r="C1130" s="174"/>
      <c r="D1130" s="174"/>
      <c r="E1130" s="174"/>
    </row>
    <row r="1131" spans="1:5" x14ac:dyDescent="0.3">
      <c r="A1131" s="174"/>
      <c r="B1131" s="174"/>
      <c r="C1131" s="174"/>
      <c r="D1131" s="174"/>
      <c r="E1131" s="174"/>
    </row>
    <row r="1132" spans="1:5" x14ac:dyDescent="0.3">
      <c r="A1132" s="174"/>
      <c r="B1132" s="174"/>
      <c r="C1132" s="174"/>
      <c r="D1132" s="174"/>
      <c r="E1132" s="174"/>
    </row>
    <row r="1133" spans="1:5" x14ac:dyDescent="0.3">
      <c r="A1133" s="174"/>
      <c r="B1133" s="174"/>
      <c r="C1133" s="174"/>
      <c r="D1133" s="174"/>
      <c r="E1133" s="174"/>
    </row>
    <row r="1134" spans="1:5" x14ac:dyDescent="0.3">
      <c r="A1134" s="174"/>
      <c r="B1134" s="174"/>
      <c r="C1134" s="174"/>
      <c r="D1134" s="174"/>
      <c r="E1134" s="174"/>
    </row>
    <row r="1135" spans="1:5" x14ac:dyDescent="0.3">
      <c r="A1135" s="174"/>
      <c r="B1135" s="174"/>
      <c r="C1135" s="174"/>
      <c r="D1135" s="174"/>
      <c r="E1135" s="174"/>
    </row>
    <row r="1136" spans="1:5" x14ac:dyDescent="0.3">
      <c r="A1136" s="174"/>
      <c r="B1136" s="174"/>
      <c r="C1136" s="174"/>
      <c r="D1136" s="174"/>
      <c r="E1136" s="174"/>
    </row>
    <row r="1137" spans="1:5" x14ac:dyDescent="0.3">
      <c r="A1137" s="174"/>
      <c r="B1137" s="174"/>
      <c r="C1137" s="174"/>
      <c r="D1137" s="174"/>
      <c r="E1137" s="174"/>
    </row>
    <row r="1138" spans="1:5" x14ac:dyDescent="0.3">
      <c r="A1138" s="174"/>
      <c r="B1138" s="174"/>
      <c r="C1138" s="174"/>
      <c r="D1138" s="174"/>
      <c r="E1138" s="174"/>
    </row>
    <row r="1139" spans="1:5" x14ac:dyDescent="0.3">
      <c r="A1139" s="174"/>
      <c r="B1139" s="174"/>
      <c r="C1139" s="174"/>
      <c r="D1139" s="174"/>
      <c r="E1139" s="174"/>
    </row>
    <row r="1140" spans="1:5" x14ac:dyDescent="0.3">
      <c r="A1140" s="174"/>
      <c r="B1140" s="174"/>
      <c r="C1140" s="174"/>
      <c r="D1140" s="174"/>
      <c r="E1140" s="174"/>
    </row>
    <row r="1141" spans="1:5" x14ac:dyDescent="0.3">
      <c r="A1141" s="174"/>
      <c r="B1141" s="174"/>
      <c r="C1141" s="174"/>
      <c r="D1141" s="174"/>
      <c r="E1141" s="174"/>
    </row>
    <row r="1142" spans="1:5" x14ac:dyDescent="0.3">
      <c r="A1142" s="174"/>
      <c r="B1142" s="174"/>
      <c r="C1142" s="174"/>
      <c r="D1142" s="174"/>
      <c r="E1142" s="174"/>
    </row>
    <row r="1143" spans="1:5" x14ac:dyDescent="0.3">
      <c r="A1143" s="174"/>
      <c r="B1143" s="174"/>
      <c r="C1143" s="174"/>
      <c r="D1143" s="174"/>
      <c r="E1143" s="174"/>
    </row>
    <row r="1144" spans="1:5" x14ac:dyDescent="0.3">
      <c r="A1144" s="174"/>
      <c r="B1144" s="174"/>
      <c r="C1144" s="174"/>
      <c r="D1144" s="174"/>
      <c r="E1144" s="174"/>
    </row>
    <row r="1145" spans="1:5" x14ac:dyDescent="0.3">
      <c r="A1145" s="174"/>
      <c r="B1145" s="174"/>
      <c r="C1145" s="174"/>
      <c r="D1145" s="174"/>
      <c r="E1145" s="174"/>
    </row>
    <row r="1146" spans="1:5" x14ac:dyDescent="0.3">
      <c r="A1146" s="174"/>
      <c r="B1146" s="174"/>
      <c r="C1146" s="174"/>
      <c r="D1146" s="174"/>
      <c r="E1146" s="174"/>
    </row>
    <row r="1147" spans="1:5" x14ac:dyDescent="0.3">
      <c r="A1147" s="174"/>
      <c r="B1147" s="174"/>
      <c r="C1147" s="174"/>
      <c r="D1147" s="174"/>
      <c r="E1147" s="174"/>
    </row>
    <row r="1148" spans="1:5" x14ac:dyDescent="0.3">
      <c r="A1148" s="174"/>
      <c r="B1148" s="174"/>
      <c r="C1148" s="174"/>
      <c r="D1148" s="174"/>
      <c r="E1148" s="174"/>
    </row>
    <row r="1149" spans="1:5" x14ac:dyDescent="0.3">
      <c r="A1149" s="174"/>
      <c r="B1149" s="174"/>
      <c r="C1149" s="174"/>
      <c r="D1149" s="174"/>
      <c r="E1149" s="174"/>
    </row>
    <row r="1150" spans="1:5" x14ac:dyDescent="0.3">
      <c r="A1150" s="174"/>
      <c r="B1150" s="174"/>
      <c r="C1150" s="174"/>
      <c r="D1150" s="174"/>
      <c r="E1150" s="174"/>
    </row>
    <row r="1151" spans="1:5" x14ac:dyDescent="0.3">
      <c r="A1151" s="174"/>
      <c r="B1151" s="174"/>
      <c r="C1151" s="174"/>
      <c r="D1151" s="174"/>
      <c r="E1151" s="174"/>
    </row>
    <row r="1152" spans="1:5" x14ac:dyDescent="0.3">
      <c r="A1152" s="174"/>
      <c r="B1152" s="174"/>
      <c r="C1152" s="174"/>
      <c r="D1152" s="174"/>
      <c r="E1152" s="174"/>
    </row>
    <row r="1153" spans="1:5" x14ac:dyDescent="0.3">
      <c r="A1153" s="174"/>
      <c r="B1153" s="174"/>
      <c r="C1153" s="174"/>
      <c r="D1153" s="174"/>
      <c r="E1153" s="174"/>
    </row>
    <row r="1154" spans="1:5" x14ac:dyDescent="0.3">
      <c r="A1154" s="174"/>
      <c r="B1154" s="174"/>
      <c r="C1154" s="174"/>
      <c r="D1154" s="174"/>
      <c r="E1154" s="174"/>
    </row>
    <row r="1155" spans="1:5" x14ac:dyDescent="0.3">
      <c r="A1155" s="174"/>
      <c r="B1155" s="174"/>
      <c r="C1155" s="174"/>
      <c r="D1155" s="174"/>
      <c r="E1155" s="174"/>
    </row>
    <row r="1156" spans="1:5" x14ac:dyDescent="0.3">
      <c r="A1156" s="174"/>
      <c r="B1156" s="174"/>
      <c r="C1156" s="174"/>
      <c r="D1156" s="174"/>
      <c r="E1156" s="174"/>
    </row>
    <row r="1157" spans="1:5" x14ac:dyDescent="0.3">
      <c r="A1157" s="174"/>
      <c r="B1157" s="174"/>
      <c r="C1157" s="174"/>
      <c r="D1157" s="174"/>
      <c r="E1157" s="174"/>
    </row>
    <row r="1158" spans="1:5" x14ac:dyDescent="0.3">
      <c r="A1158" s="174"/>
      <c r="B1158" s="174"/>
      <c r="C1158" s="174"/>
      <c r="D1158" s="174"/>
      <c r="E1158" s="174"/>
    </row>
    <row r="1159" spans="1:5" x14ac:dyDescent="0.3">
      <c r="A1159" s="174"/>
      <c r="B1159" s="174"/>
      <c r="C1159" s="174"/>
      <c r="D1159" s="174"/>
      <c r="E1159" s="174"/>
    </row>
    <row r="1160" spans="1:5" x14ac:dyDescent="0.3">
      <c r="A1160" s="174"/>
      <c r="B1160" s="174"/>
      <c r="C1160" s="174"/>
      <c r="D1160" s="174"/>
      <c r="E1160" s="174"/>
    </row>
    <row r="1161" spans="1:5" x14ac:dyDescent="0.3">
      <c r="A1161" s="174"/>
      <c r="B1161" s="174"/>
      <c r="C1161" s="174"/>
      <c r="D1161" s="174"/>
      <c r="E1161" s="174"/>
    </row>
    <row r="1162" spans="1:5" x14ac:dyDescent="0.3">
      <c r="A1162" s="174"/>
      <c r="B1162" s="174"/>
      <c r="C1162" s="174"/>
      <c r="D1162" s="174"/>
      <c r="E1162" s="174"/>
    </row>
    <row r="1163" spans="1:5" x14ac:dyDescent="0.3">
      <c r="A1163" s="174"/>
      <c r="B1163" s="174"/>
      <c r="C1163" s="174"/>
      <c r="D1163" s="174"/>
      <c r="E1163" s="174"/>
    </row>
    <row r="1164" spans="1:5" x14ac:dyDescent="0.3">
      <c r="A1164" s="174"/>
      <c r="B1164" s="174"/>
      <c r="C1164" s="174"/>
      <c r="D1164" s="174"/>
      <c r="E1164" s="174"/>
    </row>
    <row r="1165" spans="1:5" x14ac:dyDescent="0.3">
      <c r="A1165" s="174"/>
      <c r="B1165" s="174"/>
      <c r="C1165" s="174"/>
      <c r="D1165" s="174"/>
      <c r="E1165" s="174"/>
    </row>
    <row r="1166" spans="1:5" x14ac:dyDescent="0.3">
      <c r="A1166" s="174"/>
      <c r="B1166" s="174"/>
      <c r="C1166" s="174"/>
      <c r="D1166" s="174"/>
      <c r="E1166" s="174"/>
    </row>
    <row r="1167" spans="1:5" x14ac:dyDescent="0.3">
      <c r="A1167" s="174"/>
      <c r="B1167" s="174"/>
      <c r="C1167" s="174"/>
      <c r="D1167" s="174"/>
      <c r="E1167" s="174"/>
    </row>
    <row r="1168" spans="1:5" x14ac:dyDescent="0.3">
      <c r="A1168" s="174"/>
      <c r="B1168" s="174"/>
      <c r="C1168" s="174"/>
      <c r="D1168" s="174"/>
      <c r="E1168" s="174"/>
    </row>
    <row r="1169" spans="1:5" x14ac:dyDescent="0.3">
      <c r="A1169" s="174"/>
      <c r="B1169" s="174"/>
      <c r="C1169" s="174"/>
      <c r="D1169" s="174"/>
      <c r="E1169" s="174"/>
    </row>
    <row r="1170" spans="1:5" x14ac:dyDescent="0.3">
      <c r="A1170" s="174"/>
      <c r="B1170" s="174"/>
      <c r="C1170" s="174"/>
      <c r="D1170" s="174"/>
      <c r="E1170" s="174"/>
    </row>
    <row r="1171" spans="1:5" x14ac:dyDescent="0.3">
      <c r="A1171" s="174"/>
      <c r="B1171" s="174"/>
      <c r="C1171" s="174"/>
      <c r="D1171" s="174"/>
      <c r="E1171" s="174"/>
    </row>
    <row r="1172" spans="1:5" x14ac:dyDescent="0.3">
      <c r="A1172" s="174"/>
      <c r="B1172" s="174"/>
      <c r="C1172" s="174"/>
      <c r="D1172" s="174"/>
      <c r="E1172" s="174"/>
    </row>
    <row r="1173" spans="1:5" x14ac:dyDescent="0.3">
      <c r="A1173" s="174"/>
      <c r="B1173" s="174"/>
      <c r="C1173" s="174"/>
      <c r="D1173" s="174"/>
      <c r="E1173" s="174"/>
    </row>
    <row r="1174" spans="1:5" x14ac:dyDescent="0.3">
      <c r="A1174" s="174"/>
      <c r="B1174" s="174"/>
      <c r="C1174" s="174"/>
      <c r="D1174" s="174"/>
      <c r="E1174" s="174"/>
    </row>
    <row r="1175" spans="1:5" x14ac:dyDescent="0.3">
      <c r="A1175" s="174"/>
      <c r="B1175" s="174"/>
      <c r="C1175" s="174"/>
      <c r="D1175" s="174"/>
      <c r="E1175" s="174"/>
    </row>
    <row r="1176" spans="1:5" x14ac:dyDescent="0.3">
      <c r="A1176" s="174"/>
      <c r="B1176" s="174"/>
      <c r="C1176" s="174"/>
      <c r="D1176" s="174"/>
      <c r="E1176" s="174"/>
    </row>
    <row r="1177" spans="1:5" x14ac:dyDescent="0.3">
      <c r="A1177" s="174"/>
      <c r="B1177" s="174"/>
      <c r="C1177" s="174"/>
      <c r="D1177" s="174"/>
      <c r="E1177" s="174"/>
    </row>
    <row r="1178" spans="1:5" x14ac:dyDescent="0.3">
      <c r="A1178" s="174"/>
      <c r="B1178" s="174"/>
      <c r="C1178" s="174"/>
      <c r="D1178" s="174"/>
      <c r="E1178" s="174"/>
    </row>
    <row r="1179" spans="1:5" x14ac:dyDescent="0.3">
      <c r="A1179" s="174"/>
      <c r="B1179" s="174"/>
      <c r="C1179" s="174"/>
      <c r="D1179" s="174"/>
      <c r="E1179" s="174"/>
    </row>
    <row r="1180" spans="1:5" x14ac:dyDescent="0.3">
      <c r="A1180" s="174"/>
      <c r="B1180" s="174"/>
      <c r="C1180" s="174"/>
      <c r="D1180" s="174"/>
      <c r="E1180" s="174"/>
    </row>
    <row r="1181" spans="1:5" x14ac:dyDescent="0.3">
      <c r="A1181" s="174"/>
      <c r="B1181" s="174"/>
      <c r="C1181" s="174"/>
      <c r="D1181" s="174"/>
      <c r="E1181" s="174"/>
    </row>
    <row r="1182" spans="1:5" x14ac:dyDescent="0.3">
      <c r="A1182" s="174"/>
      <c r="B1182" s="174"/>
      <c r="C1182" s="174"/>
      <c r="D1182" s="174"/>
      <c r="E1182" s="174"/>
    </row>
    <row r="1183" spans="1:5" x14ac:dyDescent="0.3">
      <c r="A1183" s="174"/>
      <c r="B1183" s="174"/>
      <c r="C1183" s="174"/>
      <c r="D1183" s="174"/>
      <c r="E1183" s="174"/>
    </row>
    <row r="1184" spans="1:5" x14ac:dyDescent="0.3">
      <c r="A1184" s="174"/>
      <c r="B1184" s="174"/>
      <c r="C1184" s="174"/>
      <c r="D1184" s="174"/>
      <c r="E1184" s="174"/>
    </row>
    <row r="1185" spans="1:5" x14ac:dyDescent="0.3">
      <c r="A1185" s="174"/>
      <c r="B1185" s="174"/>
      <c r="C1185" s="174"/>
      <c r="D1185" s="174"/>
      <c r="E1185" s="174"/>
    </row>
    <row r="1186" spans="1:5" x14ac:dyDescent="0.3">
      <c r="A1186" s="174"/>
      <c r="B1186" s="174"/>
      <c r="C1186" s="174"/>
      <c r="D1186" s="174"/>
      <c r="E1186" s="174"/>
    </row>
    <row r="1187" spans="1:5" x14ac:dyDescent="0.3">
      <c r="A1187" s="174"/>
      <c r="B1187" s="174"/>
      <c r="C1187" s="174"/>
      <c r="D1187" s="174"/>
      <c r="E1187" s="174"/>
    </row>
    <row r="1188" spans="1:5" x14ac:dyDescent="0.3">
      <c r="A1188" s="174"/>
      <c r="B1188" s="174"/>
      <c r="C1188" s="174"/>
      <c r="D1188" s="174"/>
      <c r="E1188" s="174"/>
    </row>
    <row r="1189" spans="1:5" x14ac:dyDescent="0.3">
      <c r="A1189" s="174"/>
      <c r="B1189" s="174"/>
      <c r="C1189" s="174"/>
      <c r="D1189" s="174"/>
      <c r="E1189" s="174"/>
    </row>
    <row r="1190" spans="1:5" x14ac:dyDescent="0.3">
      <c r="A1190" s="174"/>
      <c r="B1190" s="174"/>
      <c r="C1190" s="174"/>
      <c r="D1190" s="174"/>
      <c r="E1190" s="174"/>
    </row>
    <row r="1191" spans="1:5" x14ac:dyDescent="0.3">
      <c r="A1191" s="174"/>
      <c r="B1191" s="174"/>
      <c r="C1191" s="174"/>
      <c r="D1191" s="174"/>
      <c r="E1191" s="174"/>
    </row>
    <row r="1192" spans="1:5" x14ac:dyDescent="0.3">
      <c r="A1192" s="174"/>
      <c r="B1192" s="174"/>
      <c r="C1192" s="174"/>
      <c r="D1192" s="174"/>
      <c r="E1192" s="174"/>
    </row>
    <row r="1193" spans="1:5" x14ac:dyDescent="0.3">
      <c r="A1193" s="174"/>
      <c r="B1193" s="174"/>
      <c r="C1193" s="174"/>
      <c r="D1193" s="174"/>
      <c r="E1193" s="174"/>
    </row>
    <row r="1194" spans="1:5" x14ac:dyDescent="0.3">
      <c r="A1194" s="174"/>
      <c r="B1194" s="174"/>
      <c r="C1194" s="174"/>
      <c r="D1194" s="174"/>
      <c r="E1194" s="174"/>
    </row>
    <row r="1195" spans="1:5" x14ac:dyDescent="0.3">
      <c r="A1195" s="174"/>
      <c r="B1195" s="174"/>
      <c r="C1195" s="174"/>
      <c r="D1195" s="174"/>
      <c r="E1195" s="174"/>
    </row>
    <row r="1196" spans="1:5" x14ac:dyDescent="0.3">
      <c r="A1196" s="174"/>
      <c r="B1196" s="174"/>
      <c r="C1196" s="174"/>
      <c r="D1196" s="174"/>
      <c r="E1196" s="174"/>
    </row>
    <row r="1197" spans="1:5" x14ac:dyDescent="0.3">
      <c r="A1197" s="174"/>
      <c r="B1197" s="174"/>
      <c r="C1197" s="174"/>
      <c r="D1197" s="174"/>
      <c r="E1197" s="174"/>
    </row>
    <row r="1198" spans="1:5" x14ac:dyDescent="0.3">
      <c r="A1198" s="174"/>
      <c r="B1198" s="174"/>
      <c r="C1198" s="174"/>
      <c r="D1198" s="174"/>
      <c r="E1198" s="174"/>
    </row>
    <row r="1199" spans="1:5" x14ac:dyDescent="0.3">
      <c r="A1199" s="174"/>
      <c r="B1199" s="174"/>
      <c r="C1199" s="174"/>
      <c r="D1199" s="174"/>
      <c r="E1199" s="174"/>
    </row>
    <row r="1200" spans="1:5" x14ac:dyDescent="0.3">
      <c r="A1200" s="174"/>
      <c r="B1200" s="174"/>
      <c r="C1200" s="174"/>
      <c r="D1200" s="174"/>
      <c r="E1200" s="174"/>
    </row>
    <row r="1201" spans="1:5" x14ac:dyDescent="0.3">
      <c r="A1201" s="174"/>
      <c r="B1201" s="174"/>
      <c r="C1201" s="174"/>
      <c r="D1201" s="174"/>
      <c r="E1201" s="174"/>
    </row>
    <row r="1202" spans="1:5" x14ac:dyDescent="0.3">
      <c r="A1202" s="174"/>
      <c r="B1202" s="174"/>
      <c r="C1202" s="174"/>
      <c r="D1202" s="174"/>
      <c r="E1202" s="174"/>
    </row>
    <row r="1203" spans="1:5" x14ac:dyDescent="0.3">
      <c r="A1203" s="174"/>
      <c r="B1203" s="174"/>
      <c r="C1203" s="174"/>
      <c r="D1203" s="174"/>
      <c r="E1203" s="174"/>
    </row>
    <row r="1204" spans="1:5" x14ac:dyDescent="0.3">
      <c r="A1204" s="174"/>
      <c r="B1204" s="174"/>
      <c r="C1204" s="174"/>
      <c r="D1204" s="174"/>
      <c r="E1204" s="174"/>
    </row>
    <row r="1205" spans="1:5" x14ac:dyDescent="0.3">
      <c r="A1205" s="174"/>
      <c r="B1205" s="174"/>
      <c r="C1205" s="174"/>
      <c r="D1205" s="174"/>
      <c r="E1205" s="174"/>
    </row>
    <row r="1206" spans="1:5" x14ac:dyDescent="0.3">
      <c r="A1206" s="174"/>
      <c r="B1206" s="174"/>
      <c r="C1206" s="174"/>
      <c r="D1206" s="174"/>
      <c r="E1206" s="174"/>
    </row>
    <row r="1207" spans="1:5" x14ac:dyDescent="0.3">
      <c r="A1207" s="174"/>
      <c r="B1207" s="174"/>
      <c r="C1207" s="174"/>
      <c r="D1207" s="174"/>
      <c r="E1207" s="174"/>
    </row>
    <row r="1208" spans="1:5" x14ac:dyDescent="0.3">
      <c r="A1208" s="174"/>
      <c r="B1208" s="174"/>
      <c r="C1208" s="174"/>
      <c r="D1208" s="174"/>
      <c r="E1208" s="174"/>
    </row>
    <row r="1209" spans="1:5" x14ac:dyDescent="0.3">
      <c r="A1209" s="174"/>
      <c r="B1209" s="174"/>
      <c r="C1209" s="174"/>
      <c r="D1209" s="174"/>
      <c r="E1209" s="174"/>
    </row>
    <row r="1210" spans="1:5" x14ac:dyDescent="0.3">
      <c r="A1210" s="174"/>
      <c r="B1210" s="174"/>
      <c r="C1210" s="174"/>
      <c r="D1210" s="174"/>
      <c r="E1210" s="174"/>
    </row>
    <row r="1211" spans="1:5" x14ac:dyDescent="0.3">
      <c r="A1211" s="174"/>
      <c r="B1211" s="174"/>
      <c r="C1211" s="174"/>
      <c r="D1211" s="174"/>
      <c r="E1211" s="174"/>
    </row>
    <row r="1212" spans="1:5" x14ac:dyDescent="0.3">
      <c r="A1212" s="174"/>
      <c r="B1212" s="174"/>
      <c r="C1212" s="174"/>
      <c r="D1212" s="174"/>
      <c r="E1212" s="174"/>
    </row>
    <row r="1213" spans="1:5" x14ac:dyDescent="0.3">
      <c r="A1213" s="174"/>
      <c r="B1213" s="174"/>
      <c r="C1213" s="174"/>
      <c r="D1213" s="174"/>
      <c r="E1213" s="174"/>
    </row>
    <row r="1214" spans="1:5" x14ac:dyDescent="0.3">
      <c r="A1214" s="174"/>
      <c r="B1214" s="174"/>
      <c r="C1214" s="174"/>
      <c r="D1214" s="174"/>
      <c r="E1214" s="174"/>
    </row>
    <row r="1215" spans="1:5" x14ac:dyDescent="0.3">
      <c r="A1215" s="174"/>
      <c r="B1215" s="174"/>
      <c r="C1215" s="174"/>
      <c r="D1215" s="174"/>
      <c r="E1215" s="174"/>
    </row>
    <row r="1216" spans="1:5" x14ac:dyDescent="0.3">
      <c r="A1216" s="174"/>
      <c r="B1216" s="174"/>
      <c r="C1216" s="174"/>
      <c r="D1216" s="174"/>
      <c r="E1216" s="174"/>
    </row>
    <row r="1217" spans="1:5" x14ac:dyDescent="0.3">
      <c r="A1217" s="174"/>
      <c r="B1217" s="174"/>
      <c r="C1217" s="174"/>
      <c r="D1217" s="174"/>
      <c r="E1217" s="174"/>
    </row>
    <row r="1218" spans="1:5" x14ac:dyDescent="0.3">
      <c r="A1218" s="174"/>
      <c r="B1218" s="174"/>
      <c r="C1218" s="174"/>
      <c r="D1218" s="174"/>
      <c r="E1218" s="174"/>
    </row>
    <row r="1219" spans="1:5" x14ac:dyDescent="0.3">
      <c r="A1219" s="174"/>
      <c r="B1219" s="174"/>
      <c r="C1219" s="174"/>
      <c r="D1219" s="174"/>
      <c r="E1219" s="174"/>
    </row>
    <row r="1220" spans="1:5" x14ac:dyDescent="0.3">
      <c r="A1220" s="174"/>
      <c r="B1220" s="174"/>
      <c r="C1220" s="174"/>
      <c r="D1220" s="174"/>
      <c r="E1220" s="174"/>
    </row>
    <row r="1221" spans="1:5" x14ac:dyDescent="0.3">
      <c r="A1221" s="174"/>
      <c r="B1221" s="174"/>
      <c r="C1221" s="174"/>
      <c r="D1221" s="174"/>
      <c r="E1221" s="174"/>
    </row>
    <row r="1222" spans="1:5" x14ac:dyDescent="0.3">
      <c r="A1222" s="174"/>
      <c r="B1222" s="174"/>
      <c r="C1222" s="174"/>
      <c r="D1222" s="174"/>
      <c r="E1222" s="174"/>
    </row>
    <row r="1223" spans="1:5" x14ac:dyDescent="0.3">
      <c r="A1223" s="174"/>
      <c r="B1223" s="174"/>
      <c r="C1223" s="174"/>
      <c r="D1223" s="174"/>
      <c r="E1223" s="174"/>
    </row>
    <row r="1224" spans="1:5" x14ac:dyDescent="0.3">
      <c r="A1224" s="174"/>
      <c r="B1224" s="174"/>
      <c r="C1224" s="174"/>
      <c r="D1224" s="174"/>
      <c r="E1224" s="174"/>
    </row>
    <row r="1225" spans="1:5" x14ac:dyDescent="0.3">
      <c r="A1225" s="174"/>
      <c r="B1225" s="174"/>
      <c r="C1225" s="174"/>
      <c r="D1225" s="174"/>
      <c r="E1225" s="174"/>
    </row>
    <row r="1226" spans="1:5" x14ac:dyDescent="0.3">
      <c r="A1226" s="174"/>
      <c r="B1226" s="174"/>
      <c r="C1226" s="174"/>
      <c r="D1226" s="174"/>
      <c r="E1226" s="174"/>
    </row>
    <row r="1227" spans="1:5" x14ac:dyDescent="0.3">
      <c r="A1227" s="174"/>
      <c r="B1227" s="174"/>
      <c r="C1227" s="174"/>
      <c r="D1227" s="174"/>
      <c r="E1227" s="174"/>
    </row>
    <row r="1228" spans="1:5" x14ac:dyDescent="0.3">
      <c r="A1228" s="174"/>
      <c r="B1228" s="174"/>
      <c r="C1228" s="174"/>
      <c r="D1228" s="174"/>
      <c r="E1228" s="174"/>
    </row>
    <row r="1229" spans="1:5" x14ac:dyDescent="0.3">
      <c r="A1229" s="174"/>
      <c r="B1229" s="174"/>
      <c r="C1229" s="174"/>
      <c r="D1229" s="174"/>
      <c r="E1229" s="174"/>
    </row>
    <row r="1230" spans="1:5" x14ac:dyDescent="0.3">
      <c r="A1230" s="174"/>
      <c r="B1230" s="174"/>
      <c r="C1230" s="174"/>
      <c r="D1230" s="174"/>
      <c r="E1230" s="174"/>
    </row>
    <row r="1231" spans="1:5" x14ac:dyDescent="0.3">
      <c r="A1231" s="174"/>
      <c r="B1231" s="174"/>
      <c r="C1231" s="174"/>
      <c r="D1231" s="174"/>
      <c r="E1231" s="174"/>
    </row>
    <row r="1232" spans="1:5" x14ac:dyDescent="0.3">
      <c r="A1232" s="174"/>
      <c r="B1232" s="174"/>
      <c r="C1232" s="174"/>
      <c r="D1232" s="174"/>
      <c r="E1232" s="174"/>
    </row>
    <row r="1233" spans="1:5" x14ac:dyDescent="0.3">
      <c r="A1233" s="174"/>
      <c r="B1233" s="174"/>
      <c r="C1233" s="174"/>
      <c r="D1233" s="174"/>
      <c r="E1233" s="174"/>
    </row>
    <row r="1234" spans="1:5" x14ac:dyDescent="0.3">
      <c r="A1234" s="174"/>
      <c r="B1234" s="174"/>
      <c r="C1234" s="174"/>
      <c r="D1234" s="174"/>
      <c r="E1234" s="174"/>
    </row>
    <row r="1235" spans="1:5" x14ac:dyDescent="0.3">
      <c r="A1235" s="174"/>
      <c r="B1235" s="174"/>
      <c r="C1235" s="174"/>
      <c r="D1235" s="174"/>
      <c r="E1235" s="174"/>
    </row>
    <row r="1236" spans="1:5" x14ac:dyDescent="0.3">
      <c r="A1236" s="174"/>
      <c r="B1236" s="174"/>
      <c r="C1236" s="174"/>
      <c r="D1236" s="174"/>
      <c r="E1236" s="174"/>
    </row>
    <row r="1237" spans="1:5" x14ac:dyDescent="0.3">
      <c r="A1237" s="174"/>
      <c r="B1237" s="174"/>
      <c r="C1237" s="174"/>
      <c r="D1237" s="174"/>
      <c r="E1237" s="174"/>
    </row>
    <row r="1238" spans="1:5" x14ac:dyDescent="0.3">
      <c r="A1238" s="174"/>
      <c r="B1238" s="174"/>
      <c r="C1238" s="174"/>
      <c r="D1238" s="174"/>
      <c r="E1238" s="174"/>
    </row>
    <row r="1239" spans="1:5" x14ac:dyDescent="0.3">
      <c r="A1239" s="174"/>
      <c r="B1239" s="174"/>
      <c r="C1239" s="174"/>
      <c r="D1239" s="174"/>
      <c r="E1239" s="174"/>
    </row>
    <row r="1240" spans="1:5" x14ac:dyDescent="0.3">
      <c r="A1240" s="174"/>
      <c r="B1240" s="174"/>
      <c r="C1240" s="174"/>
      <c r="D1240" s="174"/>
      <c r="E1240" s="174"/>
    </row>
    <row r="1241" spans="1:5" x14ac:dyDescent="0.3">
      <c r="A1241" s="174"/>
      <c r="B1241" s="174"/>
      <c r="C1241" s="174"/>
      <c r="D1241" s="174"/>
      <c r="E1241" s="174"/>
    </row>
    <row r="1242" spans="1:5" x14ac:dyDescent="0.3">
      <c r="A1242" s="174"/>
      <c r="B1242" s="174"/>
      <c r="C1242" s="174"/>
      <c r="D1242" s="174"/>
      <c r="E1242" s="174"/>
    </row>
    <row r="1243" spans="1:5" x14ac:dyDescent="0.3">
      <c r="A1243" s="174"/>
      <c r="B1243" s="174"/>
      <c r="C1243" s="174"/>
      <c r="D1243" s="174"/>
      <c r="E1243" s="174"/>
    </row>
    <row r="1244" spans="1:5" x14ac:dyDescent="0.3">
      <c r="A1244" s="174"/>
      <c r="B1244" s="174"/>
      <c r="C1244" s="174"/>
      <c r="D1244" s="174"/>
      <c r="E1244" s="174"/>
    </row>
    <row r="1245" spans="1:5" x14ac:dyDescent="0.3">
      <c r="A1245" s="174"/>
      <c r="B1245" s="174"/>
      <c r="C1245" s="174"/>
      <c r="D1245" s="174"/>
      <c r="E1245" s="174"/>
    </row>
    <row r="1246" spans="1:5" x14ac:dyDescent="0.3">
      <c r="A1246" s="174"/>
      <c r="B1246" s="174"/>
      <c r="C1246" s="174"/>
      <c r="D1246" s="174"/>
      <c r="E1246" s="174"/>
    </row>
    <row r="1247" spans="1:5" x14ac:dyDescent="0.3">
      <c r="A1247" s="174"/>
      <c r="B1247" s="174"/>
      <c r="C1247" s="174"/>
      <c r="D1247" s="174"/>
      <c r="E1247" s="174"/>
    </row>
    <row r="1248" spans="1:5" x14ac:dyDescent="0.3">
      <c r="A1248" s="174"/>
      <c r="B1248" s="174"/>
      <c r="C1248" s="174"/>
      <c r="D1248" s="174"/>
      <c r="E1248" s="174"/>
    </row>
    <row r="1249" spans="1:5" x14ac:dyDescent="0.3">
      <c r="A1249" s="174"/>
      <c r="B1249" s="174"/>
      <c r="C1249" s="174"/>
      <c r="D1249" s="174"/>
      <c r="E1249" s="174"/>
    </row>
    <row r="1250" spans="1:5" x14ac:dyDescent="0.3">
      <c r="A1250" s="174"/>
      <c r="B1250" s="174"/>
      <c r="C1250" s="174"/>
      <c r="D1250" s="174"/>
      <c r="E1250" s="174"/>
    </row>
    <row r="1251" spans="1:5" x14ac:dyDescent="0.3">
      <c r="A1251" s="174"/>
      <c r="B1251" s="174"/>
      <c r="C1251" s="174"/>
      <c r="D1251" s="174"/>
      <c r="E1251" s="174"/>
    </row>
    <row r="1252" spans="1:5" x14ac:dyDescent="0.3">
      <c r="A1252" s="174"/>
      <c r="B1252" s="174"/>
      <c r="C1252" s="174"/>
      <c r="D1252" s="174"/>
      <c r="E1252" s="174"/>
    </row>
    <row r="1253" spans="1:5" x14ac:dyDescent="0.3">
      <c r="A1253" s="174"/>
      <c r="B1253" s="174"/>
      <c r="C1253" s="174"/>
      <c r="D1253" s="174"/>
      <c r="E1253" s="174"/>
    </row>
    <row r="1254" spans="1:5" x14ac:dyDescent="0.3">
      <c r="A1254" s="174"/>
      <c r="B1254" s="174"/>
      <c r="C1254" s="174"/>
      <c r="D1254" s="174"/>
      <c r="E1254" s="174"/>
    </row>
    <row r="1255" spans="1:5" x14ac:dyDescent="0.3">
      <c r="A1255" s="174"/>
      <c r="B1255" s="174"/>
      <c r="C1255" s="174"/>
      <c r="D1255" s="174"/>
      <c r="E1255" s="174"/>
    </row>
    <row r="1256" spans="1:5" x14ac:dyDescent="0.3">
      <c r="A1256" s="174"/>
      <c r="B1256" s="174"/>
      <c r="C1256" s="174"/>
      <c r="D1256" s="174"/>
      <c r="E1256" s="174"/>
    </row>
    <row r="1257" spans="1:5" x14ac:dyDescent="0.3">
      <c r="A1257" s="174"/>
      <c r="B1257" s="174"/>
      <c r="C1257" s="174"/>
      <c r="D1257" s="174"/>
      <c r="E1257" s="174"/>
    </row>
    <row r="1258" spans="1:5" x14ac:dyDescent="0.3">
      <c r="A1258" s="174"/>
      <c r="B1258" s="174"/>
      <c r="C1258" s="174"/>
      <c r="D1258" s="174"/>
      <c r="E1258" s="174"/>
    </row>
    <row r="1259" spans="1:5" x14ac:dyDescent="0.3">
      <c r="A1259" s="174"/>
      <c r="B1259" s="174"/>
      <c r="C1259" s="174"/>
      <c r="D1259" s="174"/>
      <c r="E1259" s="174"/>
    </row>
    <row r="1260" spans="1:5" x14ac:dyDescent="0.3">
      <c r="A1260" s="174"/>
      <c r="B1260" s="174"/>
      <c r="C1260" s="174"/>
      <c r="D1260" s="174"/>
      <c r="E1260" s="174"/>
    </row>
    <row r="1261" spans="1:5" x14ac:dyDescent="0.3">
      <c r="A1261" s="174"/>
      <c r="B1261" s="174"/>
      <c r="C1261" s="174"/>
      <c r="D1261" s="174"/>
      <c r="E1261" s="174"/>
    </row>
    <row r="1262" spans="1:5" x14ac:dyDescent="0.3">
      <c r="A1262" s="174"/>
      <c r="B1262" s="174"/>
      <c r="C1262" s="174"/>
      <c r="D1262" s="174"/>
      <c r="E1262" s="174"/>
    </row>
    <row r="1263" spans="1:5" x14ac:dyDescent="0.3">
      <c r="A1263" s="174"/>
      <c r="B1263" s="174"/>
      <c r="C1263" s="174"/>
      <c r="D1263" s="174"/>
      <c r="E1263" s="174"/>
    </row>
    <row r="1264" spans="1:5" x14ac:dyDescent="0.3">
      <c r="A1264" s="174"/>
      <c r="B1264" s="174"/>
      <c r="C1264" s="174"/>
      <c r="D1264" s="174"/>
      <c r="E1264" s="174"/>
    </row>
    <row r="1265" spans="1:5" x14ac:dyDescent="0.3">
      <c r="A1265" s="174"/>
      <c r="B1265" s="174"/>
      <c r="C1265" s="174"/>
      <c r="D1265" s="174"/>
      <c r="E1265" s="174"/>
    </row>
    <row r="1266" spans="1:5" x14ac:dyDescent="0.3">
      <c r="A1266" s="174"/>
      <c r="B1266" s="174"/>
      <c r="C1266" s="174"/>
      <c r="D1266" s="174"/>
      <c r="E1266" s="174"/>
    </row>
    <row r="1267" spans="1:5" x14ac:dyDescent="0.3">
      <c r="A1267" s="174"/>
      <c r="B1267" s="174"/>
      <c r="C1267" s="174"/>
      <c r="D1267" s="174"/>
      <c r="E1267" s="174"/>
    </row>
    <row r="1268" spans="1:5" x14ac:dyDescent="0.3">
      <c r="A1268" s="174"/>
      <c r="B1268" s="174"/>
      <c r="C1268" s="174"/>
      <c r="D1268" s="174"/>
      <c r="E1268" s="174"/>
    </row>
    <row r="1269" spans="1:5" x14ac:dyDescent="0.3">
      <c r="A1269" s="174"/>
      <c r="B1269" s="174"/>
      <c r="C1269" s="174"/>
      <c r="D1269" s="174"/>
      <c r="E1269" s="174"/>
    </row>
    <row r="1270" spans="1:5" x14ac:dyDescent="0.3">
      <c r="A1270" s="174"/>
      <c r="B1270" s="174"/>
      <c r="C1270" s="174"/>
      <c r="D1270" s="174"/>
      <c r="E1270" s="174"/>
    </row>
    <row r="1271" spans="1:5" x14ac:dyDescent="0.3">
      <c r="A1271" s="174"/>
      <c r="B1271" s="174"/>
      <c r="C1271" s="174"/>
      <c r="D1271" s="174"/>
      <c r="E1271" s="174"/>
    </row>
    <row r="1272" spans="1:5" x14ac:dyDescent="0.3">
      <c r="A1272" s="174"/>
      <c r="B1272" s="174"/>
      <c r="C1272" s="174"/>
      <c r="D1272" s="174"/>
      <c r="E1272" s="174"/>
    </row>
    <row r="1273" spans="1:5" x14ac:dyDescent="0.3">
      <c r="A1273" s="174"/>
      <c r="B1273" s="174"/>
      <c r="C1273" s="174"/>
      <c r="D1273" s="174"/>
      <c r="E1273" s="174"/>
    </row>
    <row r="1274" spans="1:5" x14ac:dyDescent="0.3">
      <c r="A1274" s="174"/>
      <c r="B1274" s="174"/>
      <c r="C1274" s="174"/>
      <c r="D1274" s="174"/>
      <c r="E1274" s="174"/>
    </row>
    <row r="1275" spans="1:5" x14ac:dyDescent="0.3">
      <c r="A1275" s="174"/>
      <c r="B1275" s="174"/>
      <c r="C1275" s="174"/>
      <c r="D1275" s="174"/>
      <c r="E1275" s="174"/>
    </row>
    <row r="1276" spans="1:5" x14ac:dyDescent="0.3">
      <c r="A1276" s="174"/>
      <c r="B1276" s="174"/>
      <c r="C1276" s="174"/>
      <c r="D1276" s="174"/>
      <c r="E1276" s="174"/>
    </row>
    <row r="1277" spans="1:5" x14ac:dyDescent="0.3">
      <c r="A1277" s="174"/>
      <c r="B1277" s="174"/>
      <c r="C1277" s="174"/>
      <c r="D1277" s="174"/>
      <c r="E1277" s="174"/>
    </row>
    <row r="1278" spans="1:5" x14ac:dyDescent="0.3">
      <c r="A1278" s="174"/>
      <c r="B1278" s="174"/>
      <c r="C1278" s="174"/>
      <c r="D1278" s="174"/>
      <c r="E1278" s="174"/>
    </row>
    <row r="1279" spans="1:5" x14ac:dyDescent="0.3">
      <c r="A1279" s="174"/>
      <c r="B1279" s="174"/>
      <c r="C1279" s="174"/>
      <c r="D1279" s="174"/>
      <c r="E1279" s="174"/>
    </row>
    <row r="1280" spans="1:5" x14ac:dyDescent="0.3">
      <c r="A1280" s="174"/>
      <c r="B1280" s="174"/>
      <c r="C1280" s="174"/>
      <c r="D1280" s="174"/>
      <c r="E1280" s="174"/>
    </row>
    <row r="1281" spans="1:5" x14ac:dyDescent="0.3">
      <c r="A1281" s="174"/>
      <c r="B1281" s="174"/>
      <c r="C1281" s="174"/>
      <c r="D1281" s="174"/>
      <c r="E1281" s="174"/>
    </row>
    <row r="1282" spans="1:5" x14ac:dyDescent="0.3">
      <c r="A1282" s="174"/>
      <c r="B1282" s="174"/>
      <c r="C1282" s="174"/>
      <c r="D1282" s="174"/>
      <c r="E1282" s="174"/>
    </row>
    <row r="1283" spans="1:5" x14ac:dyDescent="0.3">
      <c r="A1283" s="174"/>
      <c r="B1283" s="174"/>
      <c r="C1283" s="174"/>
      <c r="D1283" s="174"/>
      <c r="E1283" s="174"/>
    </row>
    <row r="1284" spans="1:5" x14ac:dyDescent="0.3">
      <c r="A1284" s="174"/>
      <c r="B1284" s="174"/>
      <c r="C1284" s="174"/>
      <c r="D1284" s="174"/>
      <c r="E1284" s="174"/>
    </row>
    <row r="1285" spans="1:5" x14ac:dyDescent="0.3">
      <c r="A1285" s="174"/>
      <c r="B1285" s="174"/>
      <c r="C1285" s="174"/>
      <c r="D1285" s="174"/>
      <c r="E1285" s="174"/>
    </row>
    <row r="1286" spans="1:5" x14ac:dyDescent="0.3">
      <c r="A1286" s="174"/>
      <c r="B1286" s="174"/>
      <c r="C1286" s="174"/>
      <c r="D1286" s="174"/>
      <c r="E1286" s="174"/>
    </row>
    <row r="1287" spans="1:5" x14ac:dyDescent="0.3">
      <c r="A1287" s="174"/>
      <c r="B1287" s="174"/>
      <c r="C1287" s="174"/>
      <c r="D1287" s="174"/>
      <c r="E1287" s="174"/>
    </row>
    <row r="1288" spans="1:5" x14ac:dyDescent="0.3">
      <c r="A1288" s="174"/>
      <c r="B1288" s="174"/>
      <c r="C1288" s="174"/>
      <c r="D1288" s="174"/>
      <c r="E1288" s="174"/>
    </row>
    <row r="1289" spans="1:5" x14ac:dyDescent="0.3">
      <c r="A1289" s="174"/>
      <c r="B1289" s="174"/>
      <c r="C1289" s="174"/>
      <c r="D1289" s="174"/>
      <c r="E1289" s="174"/>
    </row>
    <row r="1290" spans="1:5" x14ac:dyDescent="0.3">
      <c r="A1290" s="174"/>
      <c r="B1290" s="174"/>
      <c r="C1290" s="174"/>
      <c r="D1290" s="174"/>
      <c r="E1290" s="174"/>
    </row>
    <row r="1291" spans="1:5" x14ac:dyDescent="0.3">
      <c r="A1291" s="174"/>
      <c r="B1291" s="174"/>
      <c r="C1291" s="174"/>
      <c r="D1291" s="174"/>
      <c r="E1291" s="174"/>
    </row>
    <row r="1292" spans="1:5" x14ac:dyDescent="0.3">
      <c r="A1292" s="174"/>
      <c r="B1292" s="174"/>
      <c r="C1292" s="174"/>
      <c r="D1292" s="174"/>
      <c r="E1292" s="174"/>
    </row>
    <row r="1293" spans="1:5" x14ac:dyDescent="0.3">
      <c r="A1293" s="174"/>
      <c r="B1293" s="174"/>
      <c r="C1293" s="174"/>
      <c r="D1293" s="174"/>
      <c r="E1293" s="174"/>
    </row>
    <row r="1294" spans="1:5" x14ac:dyDescent="0.3">
      <c r="A1294" s="174"/>
      <c r="B1294" s="174"/>
      <c r="C1294" s="174"/>
      <c r="D1294" s="174"/>
      <c r="E1294" s="174"/>
    </row>
    <row r="1295" spans="1:5" x14ac:dyDescent="0.3">
      <c r="A1295" s="174"/>
      <c r="B1295" s="174"/>
      <c r="C1295" s="174"/>
      <c r="D1295" s="174"/>
      <c r="E1295" s="174"/>
    </row>
    <row r="1296" spans="1:5" x14ac:dyDescent="0.3">
      <c r="A1296" s="174"/>
      <c r="B1296" s="174"/>
      <c r="C1296" s="174"/>
      <c r="D1296" s="174"/>
      <c r="E1296" s="174"/>
    </row>
    <row r="1297" spans="1:5" x14ac:dyDescent="0.3">
      <c r="A1297" s="174"/>
      <c r="B1297" s="174"/>
      <c r="C1297" s="174"/>
      <c r="D1297" s="174"/>
      <c r="E1297" s="174"/>
    </row>
    <row r="1298" spans="1:5" x14ac:dyDescent="0.3">
      <c r="A1298" s="174"/>
      <c r="B1298" s="174"/>
      <c r="C1298" s="174"/>
      <c r="D1298" s="174"/>
      <c r="E1298" s="174"/>
    </row>
    <row r="1299" spans="1:5" x14ac:dyDescent="0.3">
      <c r="A1299" s="174"/>
      <c r="B1299" s="174"/>
      <c r="C1299" s="174"/>
      <c r="D1299" s="174"/>
      <c r="E1299" s="174"/>
    </row>
    <row r="1300" spans="1:5" x14ac:dyDescent="0.3">
      <c r="A1300" s="174"/>
      <c r="B1300" s="174"/>
      <c r="C1300" s="174"/>
      <c r="D1300" s="174"/>
      <c r="E1300" s="174"/>
    </row>
    <row r="1301" spans="1:5" x14ac:dyDescent="0.3">
      <c r="A1301" s="174"/>
      <c r="B1301" s="174"/>
      <c r="C1301" s="174"/>
      <c r="D1301" s="174"/>
      <c r="E1301" s="174"/>
    </row>
    <row r="1302" spans="1:5" x14ac:dyDescent="0.3">
      <c r="A1302" s="174"/>
      <c r="B1302" s="174"/>
      <c r="C1302" s="174"/>
      <c r="D1302" s="174"/>
      <c r="E1302" s="174"/>
    </row>
    <row r="1303" spans="1:5" x14ac:dyDescent="0.3">
      <c r="A1303" s="174"/>
      <c r="B1303" s="174"/>
      <c r="C1303" s="174"/>
      <c r="D1303" s="174"/>
      <c r="E1303" s="174"/>
    </row>
    <row r="1304" spans="1:5" x14ac:dyDescent="0.3">
      <c r="A1304" s="174"/>
      <c r="B1304" s="174"/>
      <c r="C1304" s="174"/>
      <c r="D1304" s="174"/>
      <c r="E1304" s="174"/>
    </row>
    <row r="1305" spans="1:5" x14ac:dyDescent="0.3">
      <c r="A1305" s="174"/>
      <c r="B1305" s="174"/>
      <c r="C1305" s="174"/>
      <c r="D1305" s="174"/>
      <c r="E1305" s="174"/>
    </row>
    <row r="1306" spans="1:5" x14ac:dyDescent="0.3">
      <c r="A1306" s="174"/>
      <c r="B1306" s="174"/>
      <c r="C1306" s="174"/>
      <c r="D1306" s="174"/>
      <c r="E1306" s="174"/>
    </row>
    <row r="1307" spans="1:5" x14ac:dyDescent="0.3">
      <c r="A1307" s="174"/>
      <c r="B1307" s="174"/>
      <c r="C1307" s="174"/>
      <c r="D1307" s="174"/>
      <c r="E1307" s="174"/>
    </row>
    <row r="1308" spans="1:5" x14ac:dyDescent="0.3">
      <c r="A1308" s="174"/>
      <c r="B1308" s="174"/>
      <c r="C1308" s="174"/>
      <c r="D1308" s="174"/>
      <c r="E1308" s="174"/>
    </row>
    <row r="1309" spans="1:5" x14ac:dyDescent="0.3">
      <c r="A1309" s="174"/>
      <c r="B1309" s="174"/>
      <c r="C1309" s="174"/>
      <c r="D1309" s="174"/>
      <c r="E1309" s="174"/>
    </row>
    <row r="1310" spans="1:5" x14ac:dyDescent="0.3">
      <c r="A1310" s="174"/>
      <c r="B1310" s="174"/>
      <c r="C1310" s="174"/>
      <c r="D1310" s="174"/>
      <c r="E1310" s="174"/>
    </row>
    <row r="1311" spans="1:5" x14ac:dyDescent="0.3">
      <c r="A1311" s="174"/>
      <c r="B1311" s="174"/>
      <c r="C1311" s="174"/>
      <c r="D1311" s="174"/>
      <c r="E1311" s="174"/>
    </row>
    <row r="1312" spans="1:5" x14ac:dyDescent="0.3">
      <c r="A1312" s="174"/>
      <c r="B1312" s="174"/>
      <c r="C1312" s="174"/>
      <c r="D1312" s="174"/>
      <c r="E1312" s="174"/>
    </row>
    <row r="1313" spans="1:5" x14ac:dyDescent="0.3">
      <c r="A1313" s="174"/>
      <c r="B1313" s="174"/>
      <c r="C1313" s="174"/>
      <c r="D1313" s="174"/>
      <c r="E1313" s="174"/>
    </row>
    <row r="1314" spans="1:5" x14ac:dyDescent="0.3">
      <c r="A1314" s="174"/>
      <c r="B1314" s="174"/>
      <c r="C1314" s="174"/>
      <c r="D1314" s="174"/>
      <c r="E1314" s="174"/>
    </row>
    <row r="1315" spans="1:5" x14ac:dyDescent="0.3">
      <c r="A1315" s="174"/>
      <c r="B1315" s="174"/>
      <c r="C1315" s="174"/>
      <c r="D1315" s="174"/>
      <c r="E1315" s="174"/>
    </row>
    <row r="1316" spans="1:5" x14ac:dyDescent="0.3">
      <c r="A1316" s="174"/>
      <c r="B1316" s="174"/>
      <c r="C1316" s="174"/>
      <c r="D1316" s="174"/>
      <c r="E1316" s="174"/>
    </row>
    <row r="1317" spans="1:5" x14ac:dyDescent="0.3">
      <c r="A1317" s="174"/>
      <c r="B1317" s="174"/>
      <c r="C1317" s="174"/>
      <c r="D1317" s="174"/>
      <c r="E1317" s="174"/>
    </row>
    <row r="1318" spans="1:5" x14ac:dyDescent="0.3">
      <c r="A1318" s="174"/>
      <c r="B1318" s="174"/>
      <c r="C1318" s="174"/>
      <c r="D1318" s="174"/>
      <c r="E1318" s="174"/>
    </row>
    <row r="1319" spans="1:5" x14ac:dyDescent="0.3">
      <c r="A1319" s="174"/>
      <c r="B1319" s="174"/>
      <c r="C1319" s="174"/>
      <c r="D1319" s="174"/>
      <c r="E1319" s="174"/>
    </row>
    <row r="1320" spans="1:5" x14ac:dyDescent="0.3">
      <c r="A1320" s="174"/>
      <c r="B1320" s="174"/>
      <c r="C1320" s="174"/>
      <c r="D1320" s="174"/>
      <c r="E1320" s="174"/>
    </row>
    <row r="1321" spans="1:5" x14ac:dyDescent="0.3">
      <c r="A1321" s="174"/>
      <c r="B1321" s="174"/>
      <c r="C1321" s="174"/>
      <c r="D1321" s="174"/>
      <c r="E1321" s="174"/>
    </row>
    <row r="1322" spans="1:5" x14ac:dyDescent="0.3">
      <c r="A1322" s="174"/>
      <c r="B1322" s="174"/>
      <c r="C1322" s="174"/>
      <c r="D1322" s="174"/>
      <c r="E1322" s="174"/>
    </row>
    <row r="1323" spans="1:5" x14ac:dyDescent="0.3">
      <c r="A1323" s="174"/>
      <c r="B1323" s="174"/>
      <c r="C1323" s="174"/>
      <c r="D1323" s="174"/>
      <c r="E1323" s="174"/>
    </row>
    <row r="1324" spans="1:5" x14ac:dyDescent="0.3">
      <c r="A1324" s="174"/>
      <c r="B1324" s="174"/>
      <c r="C1324" s="174"/>
      <c r="D1324" s="174"/>
      <c r="E1324" s="174"/>
    </row>
    <row r="1325" spans="1:5" x14ac:dyDescent="0.3">
      <c r="A1325" s="174"/>
      <c r="B1325" s="174"/>
      <c r="C1325" s="174"/>
      <c r="D1325" s="174"/>
      <c r="E1325" s="174"/>
    </row>
    <row r="1326" spans="1:5" x14ac:dyDescent="0.3">
      <c r="A1326" s="174"/>
      <c r="B1326" s="174"/>
      <c r="C1326" s="174"/>
      <c r="D1326" s="174"/>
      <c r="E1326" s="174"/>
    </row>
    <row r="1327" spans="1:5" x14ac:dyDescent="0.3">
      <c r="A1327" s="174"/>
      <c r="B1327" s="174"/>
      <c r="C1327" s="174"/>
      <c r="D1327" s="174"/>
      <c r="E1327" s="174"/>
    </row>
    <row r="1328" spans="1:5" x14ac:dyDescent="0.3">
      <c r="A1328" s="174"/>
      <c r="B1328" s="174"/>
      <c r="C1328" s="174"/>
      <c r="D1328" s="174"/>
      <c r="E1328" s="174"/>
    </row>
    <row r="1329" spans="1:5" x14ac:dyDescent="0.3">
      <c r="A1329" s="174"/>
      <c r="B1329" s="174"/>
      <c r="C1329" s="174"/>
      <c r="D1329" s="174"/>
      <c r="E1329" s="174"/>
    </row>
    <row r="1330" spans="1:5" x14ac:dyDescent="0.3">
      <c r="A1330" s="174"/>
      <c r="B1330" s="174"/>
      <c r="C1330" s="174"/>
      <c r="D1330" s="174"/>
      <c r="E1330" s="174"/>
    </row>
    <row r="1331" spans="1:5" x14ac:dyDescent="0.3">
      <c r="A1331" s="174"/>
      <c r="B1331" s="174"/>
      <c r="C1331" s="174"/>
      <c r="D1331" s="174"/>
      <c r="E1331" s="174"/>
    </row>
    <row r="1332" spans="1:5" x14ac:dyDescent="0.3">
      <c r="A1332" s="174"/>
      <c r="B1332" s="174"/>
      <c r="C1332" s="174"/>
      <c r="D1332" s="174"/>
      <c r="E1332" s="174"/>
    </row>
    <row r="1333" spans="1:5" x14ac:dyDescent="0.3">
      <c r="A1333" s="174"/>
      <c r="B1333" s="174"/>
      <c r="C1333" s="174"/>
      <c r="D1333" s="174"/>
      <c r="E1333" s="174"/>
    </row>
    <row r="1334" spans="1:5" x14ac:dyDescent="0.3">
      <c r="A1334" s="174"/>
      <c r="B1334" s="174"/>
      <c r="C1334" s="174"/>
      <c r="D1334" s="174"/>
      <c r="E1334" s="174"/>
    </row>
    <row r="1335" spans="1:5" x14ac:dyDescent="0.3">
      <c r="A1335" s="174"/>
      <c r="B1335" s="174"/>
      <c r="C1335" s="174"/>
      <c r="D1335" s="174"/>
      <c r="E1335" s="174"/>
    </row>
    <row r="1336" spans="1:5" x14ac:dyDescent="0.3">
      <c r="A1336" s="174"/>
      <c r="B1336" s="174"/>
      <c r="C1336" s="174"/>
      <c r="D1336" s="174"/>
      <c r="E1336" s="174"/>
    </row>
    <row r="1337" spans="1:5" x14ac:dyDescent="0.3">
      <c r="A1337" s="174"/>
      <c r="B1337" s="174"/>
      <c r="C1337" s="174"/>
      <c r="D1337" s="174"/>
      <c r="E1337" s="174"/>
    </row>
    <row r="1338" spans="1:5" x14ac:dyDescent="0.3">
      <c r="A1338" s="174"/>
      <c r="B1338" s="174"/>
      <c r="C1338" s="174"/>
      <c r="D1338" s="174"/>
      <c r="E1338" s="174"/>
    </row>
    <row r="1339" spans="1:5" x14ac:dyDescent="0.3">
      <c r="A1339" s="174"/>
      <c r="B1339" s="174"/>
      <c r="C1339" s="174"/>
      <c r="D1339" s="174"/>
      <c r="E1339" s="174"/>
    </row>
    <row r="1340" spans="1:5" x14ac:dyDescent="0.3">
      <c r="A1340" s="174"/>
      <c r="B1340" s="174"/>
      <c r="C1340" s="174"/>
      <c r="D1340" s="174"/>
      <c r="E1340" s="174"/>
    </row>
    <row r="1341" spans="1:5" x14ac:dyDescent="0.3">
      <c r="A1341" s="174"/>
      <c r="B1341" s="174"/>
      <c r="C1341" s="174"/>
      <c r="D1341" s="174"/>
      <c r="E1341" s="174"/>
    </row>
    <row r="1342" spans="1:5" x14ac:dyDescent="0.3">
      <c r="A1342" s="174"/>
      <c r="B1342" s="174"/>
      <c r="C1342" s="174"/>
      <c r="D1342" s="174"/>
      <c r="E1342" s="174"/>
    </row>
    <row r="1343" spans="1:5" x14ac:dyDescent="0.3">
      <c r="A1343" s="174"/>
      <c r="B1343" s="174"/>
      <c r="C1343" s="174"/>
      <c r="D1343" s="174"/>
      <c r="E1343" s="174"/>
    </row>
    <row r="1344" spans="1:5" x14ac:dyDescent="0.3">
      <c r="A1344" s="174"/>
      <c r="B1344" s="174"/>
      <c r="C1344" s="174"/>
      <c r="D1344" s="174"/>
      <c r="E1344" s="174"/>
    </row>
    <row r="1345" spans="1:5" x14ac:dyDescent="0.3">
      <c r="A1345" s="174"/>
      <c r="B1345" s="174"/>
      <c r="C1345" s="174"/>
      <c r="D1345" s="174"/>
      <c r="E1345" s="174"/>
    </row>
    <row r="1346" spans="1:5" x14ac:dyDescent="0.3">
      <c r="A1346" s="174"/>
      <c r="B1346" s="174"/>
      <c r="C1346" s="174"/>
      <c r="D1346" s="174"/>
      <c r="E1346" s="174"/>
    </row>
    <row r="1347" spans="1:5" x14ac:dyDescent="0.3">
      <c r="A1347" s="174"/>
      <c r="B1347" s="174"/>
      <c r="C1347" s="174"/>
      <c r="D1347" s="174"/>
      <c r="E1347" s="174"/>
    </row>
    <row r="1348" spans="1:5" x14ac:dyDescent="0.3">
      <c r="A1348" s="174"/>
      <c r="B1348" s="174"/>
      <c r="C1348" s="174"/>
      <c r="D1348" s="174"/>
      <c r="E1348" s="174"/>
    </row>
    <row r="1349" spans="1:5" x14ac:dyDescent="0.3">
      <c r="A1349" s="174"/>
      <c r="B1349" s="174"/>
      <c r="C1349" s="174"/>
      <c r="D1349" s="174"/>
      <c r="E1349" s="174"/>
    </row>
    <row r="1350" spans="1:5" x14ac:dyDescent="0.3">
      <c r="A1350" s="174"/>
      <c r="B1350" s="174"/>
      <c r="C1350" s="174"/>
      <c r="D1350" s="174"/>
      <c r="E1350" s="174"/>
    </row>
    <row r="1351" spans="1:5" x14ac:dyDescent="0.3">
      <c r="A1351" s="174"/>
      <c r="B1351" s="174"/>
      <c r="C1351" s="174"/>
      <c r="D1351" s="174"/>
      <c r="E1351" s="174"/>
    </row>
    <row r="1352" spans="1:5" x14ac:dyDescent="0.3">
      <c r="A1352" s="174"/>
      <c r="B1352" s="174"/>
      <c r="C1352" s="174"/>
      <c r="D1352" s="174"/>
      <c r="E1352" s="174"/>
    </row>
    <row r="1353" spans="1:5" x14ac:dyDescent="0.3">
      <c r="A1353" s="174"/>
      <c r="B1353" s="174"/>
      <c r="C1353" s="174"/>
      <c r="D1353" s="174"/>
      <c r="E1353" s="174"/>
    </row>
    <row r="1354" spans="1:5" x14ac:dyDescent="0.3">
      <c r="A1354" s="174"/>
      <c r="B1354" s="174"/>
      <c r="C1354" s="174"/>
      <c r="D1354" s="174"/>
      <c r="E1354" s="174"/>
    </row>
    <row r="1355" spans="1:5" x14ac:dyDescent="0.3">
      <c r="A1355" s="174"/>
      <c r="B1355" s="174"/>
      <c r="C1355" s="174"/>
      <c r="D1355" s="174"/>
      <c r="E1355" s="174"/>
    </row>
    <row r="1356" spans="1:5" x14ac:dyDescent="0.3">
      <c r="A1356" s="174"/>
      <c r="B1356" s="174"/>
      <c r="C1356" s="174"/>
      <c r="D1356" s="174"/>
      <c r="E1356" s="174"/>
    </row>
    <row r="1357" spans="1:5" x14ac:dyDescent="0.3">
      <c r="A1357" s="174"/>
      <c r="B1357" s="174"/>
      <c r="C1357" s="174"/>
      <c r="D1357" s="174"/>
      <c r="E1357" s="174"/>
    </row>
    <row r="1358" spans="1:5" x14ac:dyDescent="0.3">
      <c r="A1358" s="174"/>
      <c r="B1358" s="174"/>
      <c r="C1358" s="174"/>
      <c r="D1358" s="174"/>
      <c r="E1358" s="174"/>
    </row>
    <row r="1359" spans="1:5" x14ac:dyDescent="0.3">
      <c r="A1359" s="174"/>
      <c r="B1359" s="174"/>
      <c r="C1359" s="174"/>
      <c r="D1359" s="174"/>
      <c r="E1359" s="174"/>
    </row>
    <row r="1360" spans="1:5" x14ac:dyDescent="0.3">
      <c r="A1360" s="174"/>
      <c r="B1360" s="174"/>
      <c r="C1360" s="174"/>
      <c r="D1360" s="174"/>
      <c r="E1360" s="174"/>
    </row>
    <row r="1361" spans="1:5" x14ac:dyDescent="0.3">
      <c r="A1361" s="174"/>
      <c r="B1361" s="174"/>
      <c r="C1361" s="174"/>
      <c r="D1361" s="174"/>
      <c r="E1361" s="174"/>
    </row>
    <row r="1362" spans="1:5" x14ac:dyDescent="0.3">
      <c r="A1362" s="174"/>
      <c r="B1362" s="174"/>
      <c r="C1362" s="174"/>
      <c r="D1362" s="174"/>
      <c r="E1362" s="174"/>
    </row>
    <row r="1363" spans="1:5" x14ac:dyDescent="0.3">
      <c r="A1363" s="174"/>
      <c r="B1363" s="174"/>
      <c r="C1363" s="174"/>
      <c r="D1363" s="174"/>
      <c r="E1363" s="174"/>
    </row>
    <row r="1364" spans="1:5" x14ac:dyDescent="0.3">
      <c r="A1364" s="174"/>
      <c r="B1364" s="174"/>
      <c r="C1364" s="174"/>
      <c r="D1364" s="174"/>
      <c r="E1364" s="174"/>
    </row>
    <row r="1365" spans="1:5" x14ac:dyDescent="0.3">
      <c r="A1365" s="174"/>
      <c r="B1365" s="174"/>
      <c r="C1365" s="174"/>
      <c r="D1365" s="174"/>
      <c r="E1365" s="174"/>
    </row>
    <row r="1366" spans="1:5" x14ac:dyDescent="0.3">
      <c r="A1366" s="174"/>
      <c r="B1366" s="174"/>
      <c r="C1366" s="174"/>
      <c r="D1366" s="174"/>
      <c r="E1366" s="174"/>
    </row>
    <row r="1367" spans="1:5" x14ac:dyDescent="0.3">
      <c r="A1367" s="174"/>
      <c r="B1367" s="174"/>
      <c r="C1367" s="174"/>
      <c r="D1367" s="174"/>
      <c r="E1367" s="174"/>
    </row>
    <row r="1368" spans="1:5" x14ac:dyDescent="0.3">
      <c r="A1368" s="174"/>
      <c r="B1368" s="174"/>
      <c r="C1368" s="174"/>
      <c r="D1368" s="174"/>
      <c r="E1368" s="174"/>
    </row>
    <row r="1369" spans="1:5" x14ac:dyDescent="0.3">
      <c r="A1369" s="174"/>
      <c r="B1369" s="174"/>
      <c r="C1369" s="174"/>
      <c r="D1369" s="174"/>
      <c r="E1369" s="174"/>
    </row>
    <row r="1370" spans="1:5" x14ac:dyDescent="0.3">
      <c r="A1370" s="174"/>
      <c r="B1370" s="174"/>
      <c r="C1370" s="174"/>
      <c r="D1370" s="174"/>
      <c r="E1370" s="174"/>
    </row>
    <row r="1371" spans="1:5" x14ac:dyDescent="0.3">
      <c r="A1371" s="174"/>
      <c r="B1371" s="174"/>
      <c r="C1371" s="174"/>
      <c r="D1371" s="174"/>
      <c r="E1371" s="174"/>
    </row>
    <row r="1372" spans="1:5" x14ac:dyDescent="0.3">
      <c r="A1372" s="174"/>
      <c r="B1372" s="174"/>
      <c r="C1372" s="174"/>
      <c r="D1372" s="174"/>
      <c r="E1372" s="174"/>
    </row>
    <row r="1373" spans="1:5" x14ac:dyDescent="0.3">
      <c r="A1373" s="174"/>
      <c r="B1373" s="174"/>
      <c r="C1373" s="174"/>
      <c r="D1373" s="174"/>
      <c r="E1373" s="174"/>
    </row>
    <row r="1374" spans="1:5" x14ac:dyDescent="0.3">
      <c r="A1374" s="174"/>
      <c r="B1374" s="174"/>
      <c r="C1374" s="174"/>
      <c r="D1374" s="174"/>
      <c r="E1374" s="174"/>
    </row>
    <row r="1375" spans="1:5" x14ac:dyDescent="0.3">
      <c r="A1375" s="174"/>
      <c r="B1375" s="174"/>
      <c r="C1375" s="174"/>
      <c r="D1375" s="174"/>
      <c r="E1375" s="174"/>
    </row>
    <row r="1376" spans="1:5" x14ac:dyDescent="0.3">
      <c r="A1376" s="174"/>
      <c r="B1376" s="174"/>
      <c r="C1376" s="174"/>
      <c r="D1376" s="174"/>
      <c r="E1376" s="174"/>
    </row>
    <row r="1377" spans="1:5" x14ac:dyDescent="0.3">
      <c r="A1377" s="174"/>
      <c r="B1377" s="174"/>
      <c r="C1377" s="174"/>
      <c r="D1377" s="174"/>
      <c r="E1377" s="174"/>
    </row>
    <row r="1378" spans="1:5" x14ac:dyDescent="0.3">
      <c r="A1378" s="174"/>
      <c r="B1378" s="174"/>
      <c r="C1378" s="174"/>
      <c r="D1378" s="174"/>
      <c r="E1378" s="174"/>
    </row>
    <row r="1379" spans="1:5" x14ac:dyDescent="0.3">
      <c r="A1379" s="174"/>
      <c r="B1379" s="174"/>
      <c r="C1379" s="174"/>
      <c r="D1379" s="174"/>
      <c r="E1379" s="174"/>
    </row>
    <row r="1380" spans="1:5" x14ac:dyDescent="0.3">
      <c r="A1380" s="174"/>
      <c r="B1380" s="174"/>
      <c r="C1380" s="174"/>
      <c r="D1380" s="174"/>
      <c r="E1380" s="174"/>
    </row>
    <row r="1381" spans="1:5" x14ac:dyDescent="0.3">
      <c r="A1381" s="174"/>
      <c r="B1381" s="174"/>
      <c r="C1381" s="174"/>
      <c r="D1381" s="174"/>
      <c r="E1381" s="174"/>
    </row>
    <row r="1382" spans="1:5" x14ac:dyDescent="0.3">
      <c r="A1382" s="174"/>
      <c r="B1382" s="174"/>
      <c r="C1382" s="174"/>
      <c r="D1382" s="174"/>
      <c r="E1382" s="174"/>
    </row>
    <row r="1383" spans="1:5" x14ac:dyDescent="0.3">
      <c r="A1383" s="174"/>
      <c r="B1383" s="174"/>
      <c r="C1383" s="174"/>
      <c r="D1383" s="174"/>
      <c r="E1383" s="174"/>
    </row>
    <row r="1384" spans="1:5" x14ac:dyDescent="0.3">
      <c r="A1384" s="174"/>
      <c r="B1384" s="174"/>
      <c r="C1384" s="174"/>
      <c r="D1384" s="174"/>
      <c r="E1384" s="174"/>
    </row>
    <row r="1385" spans="1:5" x14ac:dyDescent="0.3">
      <c r="A1385" s="174"/>
      <c r="B1385" s="174"/>
      <c r="C1385" s="174"/>
      <c r="D1385" s="174"/>
      <c r="E1385" s="174"/>
    </row>
    <row r="1386" spans="1:5" x14ac:dyDescent="0.3">
      <c r="A1386" s="174"/>
      <c r="B1386" s="174"/>
      <c r="C1386" s="174"/>
      <c r="D1386" s="174"/>
      <c r="E1386" s="174"/>
    </row>
    <row r="1387" spans="1:5" x14ac:dyDescent="0.3">
      <c r="A1387" s="174"/>
      <c r="B1387" s="174"/>
      <c r="C1387" s="174"/>
      <c r="D1387" s="174"/>
      <c r="E1387" s="174"/>
    </row>
    <row r="1388" spans="1:5" x14ac:dyDescent="0.3">
      <c r="A1388" s="174"/>
      <c r="B1388" s="174"/>
      <c r="C1388" s="174"/>
      <c r="D1388" s="174"/>
      <c r="E1388" s="174"/>
    </row>
    <row r="1389" spans="1:5" x14ac:dyDescent="0.3">
      <c r="A1389" s="174"/>
      <c r="B1389" s="174"/>
      <c r="C1389" s="174"/>
      <c r="D1389" s="174"/>
      <c r="E1389" s="174"/>
    </row>
    <row r="1390" spans="1:5" x14ac:dyDescent="0.3">
      <c r="A1390" s="174"/>
      <c r="B1390" s="174"/>
      <c r="C1390" s="174"/>
      <c r="D1390" s="174"/>
      <c r="E1390" s="174"/>
    </row>
    <row r="1391" spans="1:5" x14ac:dyDescent="0.3">
      <c r="A1391" s="174"/>
      <c r="B1391" s="174"/>
      <c r="C1391" s="174"/>
      <c r="D1391" s="174"/>
      <c r="E1391" s="174"/>
    </row>
    <row r="1392" spans="1:5" x14ac:dyDescent="0.3">
      <c r="A1392" s="174"/>
      <c r="B1392" s="174"/>
      <c r="C1392" s="174"/>
      <c r="D1392" s="174"/>
      <c r="E1392" s="174"/>
    </row>
    <row r="1393" spans="1:5" x14ac:dyDescent="0.3">
      <c r="A1393" s="174"/>
      <c r="B1393" s="174"/>
      <c r="C1393" s="174"/>
      <c r="D1393" s="174"/>
      <c r="E1393" s="174"/>
    </row>
    <row r="1394" spans="1:5" x14ac:dyDescent="0.3">
      <c r="A1394" s="174"/>
      <c r="B1394" s="174"/>
      <c r="C1394" s="174"/>
      <c r="D1394" s="174"/>
      <c r="E1394" s="174"/>
    </row>
    <row r="1395" spans="1:5" x14ac:dyDescent="0.3">
      <c r="A1395" s="174"/>
      <c r="B1395" s="174"/>
      <c r="C1395" s="174"/>
      <c r="D1395" s="174"/>
      <c r="E1395" s="174"/>
    </row>
    <row r="1396" spans="1:5" x14ac:dyDescent="0.3">
      <c r="A1396" s="174"/>
      <c r="B1396" s="174"/>
      <c r="C1396" s="174"/>
      <c r="D1396" s="174"/>
      <c r="E1396" s="174"/>
    </row>
    <row r="1397" spans="1:5" x14ac:dyDescent="0.3">
      <c r="A1397" s="174"/>
      <c r="B1397" s="174"/>
      <c r="C1397" s="174"/>
      <c r="D1397" s="174"/>
      <c r="E1397" s="174"/>
    </row>
    <row r="1398" spans="1:5" x14ac:dyDescent="0.3">
      <c r="A1398" s="174"/>
      <c r="B1398" s="174"/>
      <c r="C1398" s="174"/>
      <c r="D1398" s="174"/>
      <c r="E1398" s="174"/>
    </row>
    <row r="1399" spans="1:5" x14ac:dyDescent="0.3">
      <c r="A1399" s="174"/>
      <c r="B1399" s="174"/>
      <c r="C1399" s="174"/>
      <c r="D1399" s="174"/>
      <c r="E1399" s="174"/>
    </row>
    <row r="1400" spans="1:5" x14ac:dyDescent="0.3">
      <c r="A1400" s="174"/>
      <c r="B1400" s="174"/>
      <c r="C1400" s="174"/>
      <c r="D1400" s="174"/>
      <c r="E1400" s="174"/>
    </row>
    <row r="1401" spans="1:5" x14ac:dyDescent="0.3">
      <c r="A1401" s="174"/>
      <c r="B1401" s="174"/>
      <c r="C1401" s="174"/>
      <c r="D1401" s="174"/>
      <c r="E1401" s="174"/>
    </row>
    <row r="1402" spans="1:5" x14ac:dyDescent="0.3">
      <c r="A1402" s="174"/>
      <c r="B1402" s="174"/>
      <c r="C1402" s="174"/>
      <c r="D1402" s="174"/>
      <c r="E1402" s="174"/>
    </row>
    <row r="1403" spans="1:5" x14ac:dyDescent="0.3">
      <c r="A1403" s="174"/>
      <c r="B1403" s="174"/>
      <c r="C1403" s="174"/>
      <c r="D1403" s="174"/>
      <c r="E1403" s="174"/>
    </row>
    <row r="1404" spans="1:5" x14ac:dyDescent="0.3">
      <c r="A1404" s="174"/>
      <c r="B1404" s="174"/>
      <c r="C1404" s="174"/>
      <c r="D1404" s="174"/>
      <c r="E1404" s="174"/>
    </row>
    <row r="1405" spans="1:5" x14ac:dyDescent="0.3">
      <c r="A1405" s="174"/>
      <c r="B1405" s="174"/>
      <c r="C1405" s="174"/>
      <c r="D1405" s="174"/>
      <c r="E1405" s="174"/>
    </row>
    <row r="1406" spans="1:5" x14ac:dyDescent="0.3">
      <c r="A1406" s="174"/>
      <c r="B1406" s="174"/>
      <c r="C1406" s="174"/>
      <c r="D1406" s="174"/>
      <c r="E1406" s="174"/>
    </row>
    <row r="1407" spans="1:5" x14ac:dyDescent="0.3">
      <c r="A1407" s="174"/>
      <c r="B1407" s="174"/>
      <c r="C1407" s="174"/>
      <c r="D1407" s="174"/>
      <c r="E1407" s="174"/>
    </row>
    <row r="1408" spans="1:5" x14ac:dyDescent="0.3">
      <c r="A1408" s="174"/>
      <c r="B1408" s="174"/>
      <c r="C1408" s="174"/>
      <c r="D1408" s="174"/>
      <c r="E1408" s="174"/>
    </row>
    <row r="1409" spans="1:5" x14ac:dyDescent="0.3">
      <c r="A1409" s="174"/>
      <c r="B1409" s="174"/>
      <c r="C1409" s="174"/>
      <c r="D1409" s="174"/>
      <c r="E1409" s="174"/>
    </row>
    <row r="1410" spans="1:5" x14ac:dyDescent="0.3">
      <c r="A1410" s="174"/>
      <c r="B1410" s="174"/>
      <c r="C1410" s="174"/>
      <c r="D1410" s="174"/>
      <c r="E1410" s="174"/>
    </row>
    <row r="1411" spans="1:5" x14ac:dyDescent="0.3">
      <c r="A1411" s="174"/>
      <c r="B1411" s="174"/>
      <c r="C1411" s="174"/>
      <c r="D1411" s="174"/>
      <c r="E1411" s="174"/>
    </row>
    <row r="1412" spans="1:5" x14ac:dyDescent="0.3">
      <c r="A1412" s="174"/>
      <c r="B1412" s="174"/>
      <c r="C1412" s="174"/>
      <c r="D1412" s="174"/>
      <c r="E1412" s="174"/>
    </row>
    <row r="1413" spans="1:5" x14ac:dyDescent="0.3">
      <c r="A1413" s="174"/>
      <c r="B1413" s="174"/>
      <c r="C1413" s="174"/>
      <c r="D1413" s="174"/>
      <c r="E1413" s="174"/>
    </row>
    <row r="1414" spans="1:5" x14ac:dyDescent="0.3">
      <c r="A1414" s="174"/>
      <c r="B1414" s="174"/>
      <c r="C1414" s="174"/>
      <c r="D1414" s="174"/>
      <c r="E1414" s="174"/>
    </row>
    <row r="1415" spans="1:5" x14ac:dyDescent="0.3">
      <c r="A1415" s="174"/>
      <c r="B1415" s="174"/>
      <c r="C1415" s="174"/>
      <c r="D1415" s="174"/>
      <c r="E1415" s="174"/>
    </row>
    <row r="1416" spans="1:5" x14ac:dyDescent="0.3">
      <c r="A1416" s="174"/>
      <c r="B1416" s="174"/>
      <c r="C1416" s="174"/>
      <c r="D1416" s="174"/>
      <c r="E1416" s="174"/>
    </row>
    <row r="1417" spans="1:5" x14ac:dyDescent="0.3">
      <c r="A1417" s="174"/>
      <c r="B1417" s="174"/>
      <c r="C1417" s="174"/>
      <c r="D1417" s="174"/>
      <c r="E1417" s="174"/>
    </row>
    <row r="1418" spans="1:5" x14ac:dyDescent="0.3">
      <c r="A1418" s="174"/>
      <c r="B1418" s="174"/>
      <c r="C1418" s="174"/>
      <c r="D1418" s="174"/>
      <c r="E1418" s="174"/>
    </row>
    <row r="1419" spans="1:5" x14ac:dyDescent="0.3">
      <c r="A1419" s="174"/>
      <c r="B1419" s="174"/>
      <c r="C1419" s="174"/>
      <c r="D1419" s="174"/>
      <c r="E1419" s="174"/>
    </row>
    <row r="1420" spans="1:5" x14ac:dyDescent="0.3">
      <c r="A1420" s="174"/>
      <c r="B1420" s="174"/>
      <c r="C1420" s="174"/>
      <c r="D1420" s="174"/>
      <c r="E1420" s="174"/>
    </row>
    <row r="1421" spans="1:5" x14ac:dyDescent="0.3">
      <c r="A1421" s="174"/>
      <c r="B1421" s="174"/>
      <c r="C1421" s="174"/>
      <c r="D1421" s="174"/>
      <c r="E1421" s="174"/>
    </row>
    <row r="1422" spans="1:5" x14ac:dyDescent="0.3">
      <c r="A1422" s="174"/>
      <c r="B1422" s="174"/>
      <c r="C1422" s="174"/>
      <c r="D1422" s="174"/>
      <c r="E1422" s="174"/>
    </row>
    <row r="1423" spans="1:5" x14ac:dyDescent="0.3">
      <c r="A1423" s="174"/>
      <c r="B1423" s="174"/>
      <c r="C1423" s="174"/>
      <c r="D1423" s="174"/>
      <c r="E1423" s="174"/>
    </row>
    <row r="1424" spans="1:5" x14ac:dyDescent="0.3">
      <c r="A1424" s="174"/>
      <c r="B1424" s="174"/>
      <c r="C1424" s="174"/>
      <c r="D1424" s="174"/>
      <c r="E1424" s="174"/>
    </row>
    <row r="1425" spans="1:5" x14ac:dyDescent="0.3">
      <c r="A1425" s="174"/>
      <c r="B1425" s="174"/>
      <c r="C1425" s="174"/>
      <c r="D1425" s="174"/>
      <c r="E1425" s="174"/>
    </row>
    <row r="1426" spans="1:5" x14ac:dyDescent="0.3">
      <c r="A1426" s="174"/>
      <c r="B1426" s="174"/>
      <c r="C1426" s="174"/>
      <c r="D1426" s="174"/>
      <c r="E1426" s="174"/>
    </row>
    <row r="1427" spans="1:5" x14ac:dyDescent="0.3">
      <c r="A1427" s="174"/>
      <c r="B1427" s="174"/>
      <c r="C1427" s="174"/>
      <c r="D1427" s="174"/>
      <c r="E1427" s="174"/>
    </row>
    <row r="1428" spans="1:5" x14ac:dyDescent="0.3">
      <c r="A1428" s="174"/>
      <c r="B1428" s="174"/>
      <c r="C1428" s="174"/>
      <c r="D1428" s="174"/>
      <c r="E1428" s="174"/>
    </row>
    <row r="1429" spans="1:5" x14ac:dyDescent="0.3">
      <c r="A1429" s="174"/>
      <c r="B1429" s="174"/>
      <c r="C1429" s="174"/>
      <c r="D1429" s="174"/>
      <c r="E1429" s="174"/>
    </row>
    <row r="1430" spans="1:5" x14ac:dyDescent="0.3">
      <c r="A1430" s="174"/>
      <c r="B1430" s="174"/>
      <c r="C1430" s="174"/>
      <c r="D1430" s="174"/>
      <c r="E1430" s="174"/>
    </row>
    <row r="1431" spans="1:5" x14ac:dyDescent="0.3">
      <c r="A1431" s="174"/>
      <c r="B1431" s="174"/>
      <c r="C1431" s="174"/>
      <c r="D1431" s="174"/>
      <c r="E1431" s="174"/>
    </row>
    <row r="1432" spans="1:5" x14ac:dyDescent="0.3">
      <c r="A1432" s="174"/>
      <c r="B1432" s="174"/>
      <c r="C1432" s="174"/>
      <c r="D1432" s="174"/>
      <c r="E1432" s="174"/>
    </row>
    <row r="1433" spans="1:5" x14ac:dyDescent="0.3">
      <c r="A1433" s="174"/>
      <c r="B1433" s="174"/>
      <c r="C1433" s="174"/>
      <c r="D1433" s="174"/>
      <c r="E1433" s="174"/>
    </row>
    <row r="1434" spans="1:5" x14ac:dyDescent="0.3">
      <c r="A1434" s="174"/>
      <c r="B1434" s="174"/>
      <c r="C1434" s="174"/>
      <c r="D1434" s="174"/>
      <c r="E1434" s="174"/>
    </row>
    <row r="1435" spans="1:5" x14ac:dyDescent="0.3">
      <c r="A1435" s="174"/>
      <c r="B1435" s="174"/>
      <c r="C1435" s="174"/>
      <c r="D1435" s="174"/>
      <c r="E1435" s="174"/>
    </row>
    <row r="1436" spans="1:5" x14ac:dyDescent="0.3">
      <c r="A1436" s="174"/>
      <c r="B1436" s="174"/>
      <c r="C1436" s="174"/>
      <c r="D1436" s="174"/>
      <c r="E1436" s="174"/>
    </row>
    <row r="1437" spans="1:5" x14ac:dyDescent="0.3">
      <c r="A1437" s="174"/>
      <c r="B1437" s="174"/>
      <c r="C1437" s="174"/>
      <c r="D1437" s="174"/>
      <c r="E1437" s="174"/>
    </row>
    <row r="1438" spans="1:5" x14ac:dyDescent="0.3">
      <c r="A1438" s="174"/>
      <c r="B1438" s="174"/>
      <c r="C1438" s="174"/>
      <c r="D1438" s="174"/>
      <c r="E1438" s="174"/>
    </row>
    <row r="1439" spans="1:5" x14ac:dyDescent="0.3">
      <c r="A1439" s="174"/>
      <c r="B1439" s="174"/>
      <c r="C1439" s="174"/>
      <c r="D1439" s="174"/>
      <c r="E1439" s="174"/>
    </row>
    <row r="1440" spans="1:5" x14ac:dyDescent="0.3">
      <c r="A1440" s="174"/>
      <c r="B1440" s="174"/>
      <c r="C1440" s="174"/>
      <c r="D1440" s="174"/>
      <c r="E1440" s="174"/>
    </row>
    <row r="1441" spans="1:5" x14ac:dyDescent="0.3">
      <c r="A1441" s="174"/>
      <c r="B1441" s="174"/>
      <c r="C1441" s="174"/>
      <c r="D1441" s="174"/>
      <c r="E1441" s="174"/>
    </row>
    <row r="1442" spans="1:5" x14ac:dyDescent="0.3">
      <c r="A1442" s="174"/>
      <c r="B1442" s="174"/>
      <c r="C1442" s="174"/>
      <c r="D1442" s="174"/>
      <c r="E1442" s="174"/>
    </row>
    <row r="1443" spans="1:5" x14ac:dyDescent="0.3">
      <c r="A1443" s="174"/>
      <c r="B1443" s="174"/>
      <c r="C1443" s="174"/>
      <c r="D1443" s="174"/>
      <c r="E1443" s="174"/>
    </row>
    <row r="1444" spans="1:5" x14ac:dyDescent="0.3">
      <c r="A1444" s="174"/>
      <c r="B1444" s="174"/>
      <c r="C1444" s="174"/>
      <c r="D1444" s="174"/>
      <c r="E1444" s="174"/>
    </row>
    <row r="1445" spans="1:5" x14ac:dyDescent="0.3">
      <c r="A1445" s="174"/>
      <c r="B1445" s="174"/>
      <c r="C1445" s="174"/>
      <c r="D1445" s="174"/>
      <c r="E1445" s="174"/>
    </row>
    <row r="1446" spans="1:5" x14ac:dyDescent="0.3">
      <c r="A1446" s="174"/>
      <c r="B1446" s="174"/>
      <c r="C1446" s="174"/>
      <c r="D1446" s="174"/>
      <c r="E1446" s="174"/>
    </row>
    <row r="1447" spans="1:5" x14ac:dyDescent="0.3">
      <c r="A1447" s="174"/>
      <c r="B1447" s="174"/>
      <c r="C1447" s="174"/>
      <c r="D1447" s="174"/>
      <c r="E1447" s="174"/>
    </row>
    <row r="1448" spans="1:5" x14ac:dyDescent="0.3">
      <c r="A1448" s="174"/>
      <c r="B1448" s="174"/>
      <c r="C1448" s="174"/>
      <c r="D1448" s="174"/>
      <c r="E1448" s="174"/>
    </row>
    <row r="1449" spans="1:5" x14ac:dyDescent="0.3">
      <c r="A1449" s="174"/>
      <c r="B1449" s="174"/>
      <c r="C1449" s="174"/>
      <c r="D1449" s="174"/>
      <c r="E1449" s="174"/>
    </row>
    <row r="1450" spans="1:5" x14ac:dyDescent="0.3">
      <c r="A1450" s="174"/>
      <c r="B1450" s="174"/>
      <c r="C1450" s="174"/>
      <c r="D1450" s="174"/>
      <c r="E1450" s="174"/>
    </row>
    <row r="1451" spans="1:5" x14ac:dyDescent="0.3">
      <c r="A1451" s="174"/>
      <c r="B1451" s="174"/>
      <c r="C1451" s="174"/>
      <c r="D1451" s="174"/>
      <c r="E1451" s="174"/>
    </row>
    <row r="1452" spans="1:5" x14ac:dyDescent="0.3">
      <c r="A1452" s="174"/>
      <c r="B1452" s="174"/>
      <c r="C1452" s="174"/>
      <c r="D1452" s="174"/>
      <c r="E1452" s="174"/>
    </row>
    <row r="1453" spans="1:5" x14ac:dyDescent="0.3">
      <c r="A1453" s="174"/>
      <c r="B1453" s="174"/>
      <c r="C1453" s="174"/>
      <c r="D1453" s="174"/>
      <c r="E1453" s="174"/>
    </row>
    <row r="1454" spans="1:5" x14ac:dyDescent="0.3">
      <c r="A1454" s="174"/>
      <c r="B1454" s="174"/>
      <c r="C1454" s="174"/>
      <c r="D1454" s="174"/>
      <c r="E1454" s="174"/>
    </row>
    <row r="1455" spans="1:5" x14ac:dyDescent="0.3">
      <c r="A1455" s="174"/>
      <c r="B1455" s="174"/>
      <c r="C1455" s="174"/>
      <c r="D1455" s="174"/>
      <c r="E1455" s="174"/>
    </row>
    <row r="1456" spans="1:5" x14ac:dyDescent="0.3">
      <c r="A1456" s="174"/>
      <c r="B1456" s="174"/>
      <c r="C1456" s="174"/>
      <c r="D1456" s="174"/>
      <c r="E1456" s="174"/>
    </row>
    <row r="1457" spans="1:5" x14ac:dyDescent="0.3">
      <c r="A1457" s="174"/>
      <c r="B1457" s="174"/>
      <c r="C1457" s="174"/>
      <c r="D1457" s="174"/>
      <c r="E1457" s="174"/>
    </row>
    <row r="1458" spans="1:5" x14ac:dyDescent="0.3">
      <c r="A1458" s="174"/>
      <c r="B1458" s="174"/>
      <c r="C1458" s="174"/>
      <c r="D1458" s="174"/>
      <c r="E1458" s="174"/>
    </row>
    <row r="1459" spans="1:5" x14ac:dyDescent="0.3">
      <c r="A1459" s="174"/>
      <c r="B1459" s="174"/>
      <c r="C1459" s="174"/>
      <c r="D1459" s="174"/>
      <c r="E1459" s="174"/>
    </row>
    <row r="1460" spans="1:5" x14ac:dyDescent="0.3">
      <c r="A1460" s="174"/>
      <c r="B1460" s="174"/>
      <c r="C1460" s="174"/>
      <c r="D1460" s="174"/>
      <c r="E1460" s="174"/>
    </row>
    <row r="1461" spans="1:5" x14ac:dyDescent="0.3">
      <c r="A1461" s="174"/>
      <c r="B1461" s="174"/>
      <c r="C1461" s="174"/>
      <c r="D1461" s="174"/>
      <c r="E1461" s="174"/>
    </row>
    <row r="1462" spans="1:5" x14ac:dyDescent="0.3">
      <c r="A1462" s="174"/>
      <c r="B1462" s="174"/>
      <c r="C1462" s="174"/>
      <c r="D1462" s="174"/>
      <c r="E1462" s="174"/>
    </row>
    <row r="1463" spans="1:5" x14ac:dyDescent="0.3">
      <c r="A1463" s="174"/>
      <c r="B1463" s="174"/>
      <c r="C1463" s="174"/>
      <c r="D1463" s="174"/>
      <c r="E1463" s="174"/>
    </row>
    <row r="1464" spans="1:5" x14ac:dyDescent="0.3">
      <c r="A1464" s="174"/>
      <c r="B1464" s="174"/>
      <c r="C1464" s="174"/>
      <c r="D1464" s="174"/>
      <c r="E1464" s="174"/>
    </row>
    <row r="1465" spans="1:5" x14ac:dyDescent="0.3">
      <c r="A1465" s="174"/>
      <c r="B1465" s="174"/>
      <c r="C1465" s="174"/>
      <c r="D1465" s="174"/>
      <c r="E1465" s="174"/>
    </row>
    <row r="1466" spans="1:5" x14ac:dyDescent="0.3">
      <c r="A1466" s="174"/>
      <c r="B1466" s="174"/>
      <c r="C1466" s="174"/>
      <c r="D1466" s="174"/>
      <c r="E1466" s="174"/>
    </row>
    <row r="1467" spans="1:5" x14ac:dyDescent="0.3">
      <c r="A1467" s="174"/>
      <c r="B1467" s="174"/>
      <c r="C1467" s="174"/>
      <c r="D1467" s="174"/>
      <c r="E1467" s="174"/>
    </row>
    <row r="1468" spans="1:5" x14ac:dyDescent="0.3">
      <c r="A1468" s="174"/>
      <c r="B1468" s="174"/>
      <c r="C1468" s="174"/>
      <c r="D1468" s="174"/>
      <c r="E1468" s="174"/>
    </row>
    <row r="1469" spans="1:5" x14ac:dyDescent="0.3">
      <c r="A1469" s="174"/>
      <c r="B1469" s="174"/>
      <c r="C1469" s="174"/>
      <c r="D1469" s="174"/>
      <c r="E1469" s="174"/>
    </row>
    <row r="1470" spans="1:5" x14ac:dyDescent="0.3">
      <c r="A1470" s="174"/>
      <c r="B1470" s="174"/>
      <c r="C1470" s="174"/>
      <c r="D1470" s="174"/>
      <c r="E1470" s="174"/>
    </row>
    <row r="1471" spans="1:5" x14ac:dyDescent="0.3">
      <c r="A1471" s="174"/>
      <c r="B1471" s="174"/>
      <c r="C1471" s="174"/>
      <c r="D1471" s="174"/>
      <c r="E1471" s="174"/>
    </row>
    <row r="1472" spans="1:5" x14ac:dyDescent="0.3">
      <c r="A1472" s="174"/>
      <c r="B1472" s="174"/>
      <c r="C1472" s="174"/>
      <c r="D1472" s="174"/>
      <c r="E1472" s="174"/>
    </row>
    <row r="1473" spans="1:5" x14ac:dyDescent="0.3">
      <c r="A1473" s="174"/>
      <c r="B1473" s="174"/>
      <c r="C1473" s="174"/>
      <c r="D1473" s="174"/>
      <c r="E1473" s="174"/>
    </row>
    <row r="1474" spans="1:5" x14ac:dyDescent="0.3">
      <c r="A1474" s="174"/>
      <c r="B1474" s="174"/>
      <c r="C1474" s="174"/>
      <c r="D1474" s="174"/>
      <c r="E1474" s="174"/>
    </row>
    <row r="1475" spans="1:5" x14ac:dyDescent="0.3">
      <c r="A1475" s="174"/>
      <c r="B1475" s="174"/>
      <c r="C1475" s="174"/>
      <c r="D1475" s="174"/>
      <c r="E1475" s="174"/>
    </row>
    <row r="1476" spans="1:5" x14ac:dyDescent="0.3">
      <c r="A1476" s="174"/>
      <c r="B1476" s="174"/>
      <c r="C1476" s="174"/>
      <c r="D1476" s="174"/>
      <c r="E1476" s="174"/>
    </row>
    <row r="1477" spans="1:5" x14ac:dyDescent="0.3">
      <c r="A1477" s="174"/>
      <c r="B1477" s="174"/>
      <c r="C1477" s="174"/>
      <c r="D1477" s="174"/>
      <c r="E1477" s="174"/>
    </row>
    <row r="1478" spans="1:5" x14ac:dyDescent="0.3">
      <c r="A1478" s="174"/>
      <c r="B1478" s="174"/>
      <c r="C1478" s="174"/>
      <c r="D1478" s="174"/>
      <c r="E1478" s="174"/>
    </row>
    <row r="1479" spans="1:5" x14ac:dyDescent="0.3">
      <c r="A1479" s="174"/>
      <c r="B1479" s="174"/>
      <c r="C1479" s="174"/>
      <c r="D1479" s="174"/>
      <c r="E1479" s="174"/>
    </row>
    <row r="1480" spans="1:5" x14ac:dyDescent="0.3">
      <c r="A1480" s="174"/>
      <c r="B1480" s="174"/>
      <c r="C1480" s="174"/>
      <c r="D1480" s="174"/>
      <c r="E1480" s="174"/>
    </row>
    <row r="1481" spans="1:5" x14ac:dyDescent="0.3">
      <c r="A1481" s="174"/>
      <c r="B1481" s="174"/>
      <c r="C1481" s="174"/>
      <c r="D1481" s="174"/>
      <c r="E1481" s="174"/>
    </row>
    <row r="1482" spans="1:5" x14ac:dyDescent="0.3">
      <c r="A1482" s="174"/>
      <c r="B1482" s="174"/>
      <c r="C1482" s="174"/>
      <c r="D1482" s="174"/>
      <c r="E1482" s="174"/>
    </row>
    <row r="1483" spans="1:5" x14ac:dyDescent="0.3">
      <c r="A1483" s="174"/>
      <c r="B1483" s="174"/>
      <c r="C1483" s="174"/>
      <c r="D1483" s="174"/>
      <c r="E1483" s="174"/>
    </row>
    <row r="1484" spans="1:5" x14ac:dyDescent="0.3">
      <c r="A1484" s="174"/>
      <c r="B1484" s="174"/>
      <c r="C1484" s="174"/>
      <c r="D1484" s="174"/>
      <c r="E1484" s="174"/>
    </row>
    <row r="1485" spans="1:5" x14ac:dyDescent="0.3">
      <c r="A1485" s="174"/>
      <c r="B1485" s="174"/>
      <c r="C1485" s="174"/>
      <c r="D1485" s="174"/>
      <c r="E1485" s="174"/>
    </row>
    <row r="1486" spans="1:5" x14ac:dyDescent="0.3">
      <c r="A1486" s="174"/>
      <c r="B1486" s="174"/>
      <c r="C1486" s="174"/>
      <c r="D1486" s="174"/>
      <c r="E1486" s="174"/>
    </row>
    <row r="1487" spans="1:5" x14ac:dyDescent="0.3">
      <c r="A1487" s="174"/>
      <c r="B1487" s="174"/>
      <c r="C1487" s="174"/>
      <c r="D1487" s="174"/>
      <c r="E1487" s="174"/>
    </row>
    <row r="1488" spans="1:5" x14ac:dyDescent="0.3">
      <c r="A1488" s="174"/>
      <c r="B1488" s="174"/>
      <c r="C1488" s="174"/>
      <c r="D1488" s="174"/>
      <c r="E1488" s="174"/>
    </row>
    <row r="1489" spans="1:5" x14ac:dyDescent="0.3">
      <c r="A1489" s="174"/>
      <c r="B1489" s="174"/>
      <c r="C1489" s="174"/>
      <c r="D1489" s="174"/>
      <c r="E1489" s="174"/>
    </row>
    <row r="1490" spans="1:5" x14ac:dyDescent="0.3">
      <c r="A1490" s="174"/>
      <c r="B1490" s="174"/>
      <c r="C1490" s="174"/>
      <c r="D1490" s="174"/>
      <c r="E1490" s="174"/>
    </row>
    <row r="1491" spans="1:5" x14ac:dyDescent="0.3">
      <c r="A1491" s="174"/>
      <c r="B1491" s="174"/>
      <c r="C1491" s="174"/>
      <c r="D1491" s="174"/>
      <c r="E1491" s="174"/>
    </row>
    <row r="1492" spans="1:5" x14ac:dyDescent="0.3">
      <c r="A1492" s="174"/>
      <c r="B1492" s="174"/>
      <c r="C1492" s="174"/>
      <c r="D1492" s="174"/>
      <c r="E1492" s="174"/>
    </row>
    <row r="1493" spans="1:5" x14ac:dyDescent="0.3">
      <c r="A1493" s="174"/>
      <c r="B1493" s="174"/>
      <c r="C1493" s="174"/>
      <c r="D1493" s="174"/>
      <c r="E1493" s="174"/>
    </row>
    <row r="1494" spans="1:5" x14ac:dyDescent="0.3">
      <c r="A1494" s="174"/>
      <c r="B1494" s="174"/>
      <c r="C1494" s="174"/>
      <c r="D1494" s="174"/>
      <c r="E1494" s="174"/>
    </row>
    <row r="1495" spans="1:5" x14ac:dyDescent="0.3">
      <c r="A1495" s="174"/>
      <c r="B1495" s="174"/>
      <c r="C1495" s="174"/>
      <c r="D1495" s="174"/>
      <c r="E1495" s="174"/>
    </row>
    <row r="1496" spans="1:5" x14ac:dyDescent="0.3">
      <c r="A1496" s="174"/>
      <c r="B1496" s="174"/>
      <c r="C1496" s="174"/>
      <c r="D1496" s="174"/>
      <c r="E1496" s="174"/>
    </row>
    <row r="1497" spans="1:5" x14ac:dyDescent="0.3">
      <c r="A1497" s="174"/>
      <c r="B1497" s="174"/>
      <c r="C1497" s="174"/>
      <c r="D1497" s="174"/>
      <c r="E1497" s="174"/>
    </row>
    <row r="1498" spans="1:5" x14ac:dyDescent="0.3">
      <c r="A1498" s="174"/>
      <c r="B1498" s="174"/>
      <c r="C1498" s="174"/>
      <c r="D1498" s="174"/>
      <c r="E1498" s="174"/>
    </row>
    <row r="1499" spans="1:5" x14ac:dyDescent="0.3">
      <c r="A1499" s="174"/>
      <c r="B1499" s="174"/>
      <c r="C1499" s="174"/>
      <c r="D1499" s="174"/>
      <c r="E1499" s="174"/>
    </row>
    <row r="1500" spans="1:5" x14ac:dyDescent="0.3">
      <c r="A1500" s="174"/>
      <c r="B1500" s="174"/>
      <c r="C1500" s="174"/>
      <c r="D1500" s="174"/>
      <c r="E1500" s="174"/>
    </row>
    <row r="1501" spans="1:5" x14ac:dyDescent="0.3">
      <c r="A1501" s="174"/>
      <c r="B1501" s="174"/>
      <c r="C1501" s="174"/>
      <c r="D1501" s="174"/>
      <c r="E1501" s="174"/>
    </row>
    <row r="1502" spans="1:5" x14ac:dyDescent="0.3">
      <c r="A1502" s="174"/>
      <c r="B1502" s="174"/>
      <c r="C1502" s="174"/>
      <c r="D1502" s="174"/>
      <c r="E1502" s="174"/>
    </row>
    <row r="1503" spans="1:5" x14ac:dyDescent="0.3">
      <c r="A1503" s="174"/>
      <c r="B1503" s="174"/>
      <c r="C1503" s="174"/>
      <c r="D1503" s="174"/>
      <c r="E1503" s="174"/>
    </row>
    <row r="1504" spans="1:5" x14ac:dyDescent="0.3">
      <c r="A1504" s="174"/>
      <c r="B1504" s="174"/>
      <c r="C1504" s="174"/>
      <c r="D1504" s="174"/>
      <c r="E1504" s="174"/>
    </row>
    <row r="1505" spans="1:5" x14ac:dyDescent="0.3">
      <c r="A1505" s="174"/>
      <c r="B1505" s="174"/>
      <c r="C1505" s="174"/>
      <c r="D1505" s="174"/>
      <c r="E1505" s="174"/>
    </row>
    <row r="1506" spans="1:5" x14ac:dyDescent="0.3">
      <c r="A1506" s="174"/>
      <c r="B1506" s="174"/>
      <c r="C1506" s="174"/>
      <c r="D1506" s="174"/>
      <c r="E1506" s="174"/>
    </row>
    <row r="1507" spans="1:5" x14ac:dyDescent="0.3">
      <c r="A1507" s="174"/>
      <c r="B1507" s="174"/>
      <c r="C1507" s="174"/>
      <c r="D1507" s="174"/>
      <c r="E1507" s="174"/>
    </row>
    <row r="1508" spans="1:5" x14ac:dyDescent="0.3">
      <c r="A1508" s="174"/>
      <c r="B1508" s="174"/>
      <c r="C1508" s="174"/>
      <c r="D1508" s="174"/>
      <c r="E1508" s="174"/>
    </row>
    <row r="1509" spans="1:5" x14ac:dyDescent="0.3">
      <c r="A1509" s="174"/>
      <c r="B1509" s="174"/>
      <c r="C1509" s="174"/>
      <c r="D1509" s="174"/>
      <c r="E1509" s="174"/>
    </row>
    <row r="1510" spans="1:5" x14ac:dyDescent="0.3">
      <c r="A1510" s="174"/>
      <c r="B1510" s="174"/>
      <c r="C1510" s="174"/>
      <c r="D1510" s="174"/>
      <c r="E1510" s="174"/>
    </row>
    <row r="1511" spans="1:5" x14ac:dyDescent="0.3">
      <c r="A1511" s="174"/>
      <c r="B1511" s="174"/>
      <c r="C1511" s="174"/>
      <c r="D1511" s="174"/>
      <c r="E1511" s="174"/>
    </row>
    <row r="1512" spans="1:5" x14ac:dyDescent="0.3">
      <c r="A1512" s="174"/>
      <c r="B1512" s="174"/>
      <c r="C1512" s="174"/>
      <c r="D1512" s="174"/>
      <c r="E1512" s="174"/>
    </row>
    <row r="1513" spans="1:5" x14ac:dyDescent="0.3">
      <c r="A1513" s="174"/>
      <c r="B1513" s="174"/>
      <c r="C1513" s="174"/>
      <c r="D1513" s="174"/>
      <c r="E1513" s="174"/>
    </row>
    <row r="1514" spans="1:5" x14ac:dyDescent="0.3">
      <c r="A1514" s="174"/>
      <c r="B1514" s="174"/>
      <c r="C1514" s="174"/>
      <c r="D1514" s="174"/>
      <c r="E1514" s="174"/>
    </row>
    <row r="1515" spans="1:5" x14ac:dyDescent="0.3">
      <c r="A1515" s="174"/>
      <c r="B1515" s="174"/>
      <c r="C1515" s="174"/>
      <c r="D1515" s="174"/>
      <c r="E1515" s="174"/>
    </row>
    <row r="1516" spans="1:5" x14ac:dyDescent="0.3">
      <c r="A1516" s="174"/>
      <c r="B1516" s="174"/>
      <c r="C1516" s="174"/>
      <c r="D1516" s="174"/>
      <c r="E1516" s="174"/>
    </row>
    <row r="1517" spans="1:5" x14ac:dyDescent="0.3">
      <c r="A1517" s="174"/>
      <c r="B1517" s="174"/>
      <c r="C1517" s="174"/>
      <c r="D1517" s="174"/>
      <c r="E1517" s="174"/>
    </row>
    <row r="1518" spans="1:5" x14ac:dyDescent="0.3">
      <c r="A1518" s="174"/>
      <c r="B1518" s="174"/>
      <c r="C1518" s="174"/>
      <c r="D1518" s="174"/>
      <c r="E1518" s="174"/>
    </row>
    <row r="1519" spans="1:5" x14ac:dyDescent="0.3">
      <c r="A1519" s="174"/>
      <c r="B1519" s="174"/>
      <c r="C1519" s="174"/>
      <c r="D1519" s="174"/>
      <c r="E1519" s="174"/>
    </row>
    <row r="1520" spans="1:5" x14ac:dyDescent="0.3">
      <c r="A1520" s="174"/>
      <c r="B1520" s="174"/>
      <c r="C1520" s="174"/>
      <c r="D1520" s="174"/>
      <c r="E1520" s="174"/>
    </row>
    <row r="1521" spans="1:5" x14ac:dyDescent="0.3">
      <c r="A1521" s="174"/>
      <c r="B1521" s="174"/>
      <c r="C1521" s="174"/>
      <c r="D1521" s="174"/>
      <c r="E1521" s="174"/>
    </row>
    <row r="1522" spans="1:5" x14ac:dyDescent="0.3">
      <c r="A1522" s="174"/>
      <c r="B1522" s="174"/>
      <c r="C1522" s="174"/>
      <c r="D1522" s="174"/>
      <c r="E1522" s="174"/>
    </row>
    <row r="1523" spans="1:5" x14ac:dyDescent="0.3">
      <c r="A1523" s="174"/>
      <c r="B1523" s="174"/>
      <c r="C1523" s="174"/>
      <c r="D1523" s="174"/>
      <c r="E1523" s="174"/>
    </row>
    <row r="1524" spans="1:5" x14ac:dyDescent="0.3">
      <c r="A1524" s="174"/>
      <c r="B1524" s="174"/>
      <c r="C1524" s="174"/>
      <c r="D1524" s="174"/>
      <c r="E1524" s="174"/>
    </row>
    <row r="1525" spans="1:5" x14ac:dyDescent="0.3">
      <c r="A1525" s="174"/>
      <c r="B1525" s="174"/>
      <c r="C1525" s="174"/>
      <c r="D1525" s="174"/>
      <c r="E1525" s="174"/>
    </row>
    <row r="1526" spans="1:5" x14ac:dyDescent="0.3">
      <c r="A1526" s="174"/>
      <c r="B1526" s="174"/>
      <c r="C1526" s="174"/>
      <c r="D1526" s="174"/>
      <c r="E1526" s="174"/>
    </row>
    <row r="1527" spans="1:5" x14ac:dyDescent="0.3">
      <c r="A1527" s="174"/>
      <c r="B1527" s="174"/>
      <c r="C1527" s="174"/>
      <c r="D1527" s="174"/>
      <c r="E1527" s="174"/>
    </row>
    <row r="1528" spans="1:5" x14ac:dyDescent="0.3">
      <c r="A1528" s="174"/>
      <c r="B1528" s="174"/>
      <c r="C1528" s="174"/>
      <c r="D1528" s="174"/>
      <c r="E1528" s="174"/>
    </row>
    <row r="1529" spans="1:5" x14ac:dyDescent="0.3">
      <c r="A1529" s="174"/>
      <c r="B1529" s="174"/>
      <c r="C1529" s="174"/>
      <c r="D1529" s="174"/>
      <c r="E1529" s="174"/>
    </row>
    <row r="1530" spans="1:5" x14ac:dyDescent="0.3">
      <c r="A1530" s="174"/>
      <c r="B1530" s="174"/>
      <c r="C1530" s="174"/>
      <c r="D1530" s="174"/>
      <c r="E1530" s="174"/>
    </row>
    <row r="1531" spans="1:5" x14ac:dyDescent="0.3">
      <c r="A1531" s="174"/>
      <c r="B1531" s="174"/>
      <c r="C1531" s="174"/>
      <c r="D1531" s="174"/>
      <c r="E1531" s="174"/>
    </row>
    <row r="1532" spans="1:5" x14ac:dyDescent="0.3">
      <c r="A1532" s="174"/>
      <c r="B1532" s="174"/>
      <c r="C1532" s="174"/>
      <c r="D1532" s="174"/>
      <c r="E1532" s="174"/>
    </row>
    <row r="1533" spans="1:5" x14ac:dyDescent="0.3">
      <c r="A1533" s="174"/>
      <c r="B1533" s="174"/>
      <c r="C1533" s="174"/>
      <c r="D1533" s="174"/>
      <c r="E1533" s="174"/>
    </row>
    <row r="1534" spans="1:5" x14ac:dyDescent="0.3">
      <c r="A1534" s="174"/>
      <c r="B1534" s="174"/>
      <c r="C1534" s="174"/>
      <c r="D1534" s="174"/>
      <c r="E1534" s="174"/>
    </row>
    <row r="1535" spans="1:5" x14ac:dyDescent="0.3">
      <c r="A1535" s="174"/>
      <c r="B1535" s="174"/>
      <c r="C1535" s="174"/>
      <c r="D1535" s="174"/>
      <c r="E1535" s="174"/>
    </row>
    <row r="1536" spans="1:5" x14ac:dyDescent="0.3">
      <c r="A1536" s="174"/>
      <c r="B1536" s="174"/>
      <c r="C1536" s="174"/>
      <c r="D1536" s="174"/>
      <c r="E1536" s="174"/>
    </row>
    <row r="1537" spans="1:5" x14ac:dyDescent="0.3">
      <c r="A1537" s="174"/>
      <c r="B1537" s="174"/>
      <c r="C1537" s="174"/>
      <c r="D1537" s="174"/>
      <c r="E1537" s="174"/>
    </row>
    <row r="1538" spans="1:5" x14ac:dyDescent="0.3">
      <c r="A1538" s="174"/>
      <c r="B1538" s="174"/>
      <c r="C1538" s="174"/>
      <c r="D1538" s="174"/>
      <c r="E1538" s="174"/>
    </row>
    <row r="1539" spans="1:5" x14ac:dyDescent="0.3">
      <c r="A1539" s="174"/>
      <c r="B1539" s="174"/>
      <c r="C1539" s="174"/>
      <c r="D1539" s="174"/>
      <c r="E1539" s="174"/>
    </row>
    <row r="1540" spans="1:5" x14ac:dyDescent="0.3">
      <c r="A1540" s="174"/>
      <c r="B1540" s="174"/>
      <c r="C1540" s="174"/>
      <c r="D1540" s="174"/>
      <c r="E1540" s="174"/>
    </row>
    <row r="1541" spans="1:5" x14ac:dyDescent="0.3">
      <c r="A1541" s="174"/>
      <c r="B1541" s="174"/>
      <c r="C1541" s="174"/>
      <c r="D1541" s="174"/>
      <c r="E1541" s="174"/>
    </row>
    <row r="1542" spans="1:5" x14ac:dyDescent="0.3">
      <c r="A1542" s="174"/>
      <c r="B1542" s="174"/>
      <c r="C1542" s="174"/>
      <c r="D1542" s="174"/>
      <c r="E1542" s="174"/>
    </row>
    <row r="1543" spans="1:5" x14ac:dyDescent="0.3">
      <c r="A1543" s="174"/>
      <c r="B1543" s="174"/>
      <c r="C1543" s="174"/>
      <c r="D1543" s="174"/>
      <c r="E1543" s="174"/>
    </row>
    <row r="1544" spans="1:5" x14ac:dyDescent="0.3">
      <c r="A1544" s="174"/>
      <c r="B1544" s="174"/>
      <c r="C1544" s="174"/>
      <c r="D1544" s="174"/>
      <c r="E1544" s="174"/>
    </row>
    <row r="1545" spans="1:5" x14ac:dyDescent="0.3">
      <c r="A1545" s="174"/>
      <c r="B1545" s="174"/>
      <c r="C1545" s="174"/>
      <c r="D1545" s="174"/>
      <c r="E1545" s="174"/>
    </row>
    <row r="1546" spans="1:5" x14ac:dyDescent="0.3">
      <c r="A1546" s="174"/>
      <c r="B1546" s="174"/>
      <c r="C1546" s="174"/>
      <c r="D1546" s="174"/>
      <c r="E1546" s="174"/>
    </row>
    <row r="1547" spans="1:5" x14ac:dyDescent="0.3">
      <c r="A1547" s="174"/>
      <c r="B1547" s="174"/>
      <c r="C1547" s="174"/>
      <c r="D1547" s="174"/>
      <c r="E1547" s="174"/>
    </row>
    <row r="1548" spans="1:5" x14ac:dyDescent="0.3">
      <c r="A1548" s="174"/>
      <c r="B1548" s="174"/>
      <c r="C1548" s="174"/>
      <c r="D1548" s="174"/>
      <c r="E1548" s="174"/>
    </row>
    <row r="1549" spans="1:5" x14ac:dyDescent="0.3">
      <c r="A1549" s="174"/>
      <c r="B1549" s="174"/>
      <c r="C1549" s="174"/>
      <c r="D1549" s="174"/>
      <c r="E1549" s="174"/>
    </row>
    <row r="1550" spans="1:5" x14ac:dyDescent="0.3">
      <c r="A1550" s="174"/>
      <c r="B1550" s="174"/>
      <c r="C1550" s="174"/>
      <c r="D1550" s="174"/>
      <c r="E1550" s="174"/>
    </row>
    <row r="1551" spans="1:5" x14ac:dyDescent="0.3">
      <c r="A1551" s="174"/>
      <c r="B1551" s="174"/>
      <c r="C1551" s="174"/>
      <c r="D1551" s="174"/>
      <c r="E1551" s="174"/>
    </row>
    <row r="1552" spans="1:5" x14ac:dyDescent="0.3">
      <c r="A1552" s="174"/>
      <c r="B1552" s="174"/>
      <c r="C1552" s="174"/>
      <c r="D1552" s="174"/>
      <c r="E1552" s="174"/>
    </row>
    <row r="1553" spans="1:5" x14ac:dyDescent="0.3">
      <c r="A1553" s="174"/>
      <c r="B1553" s="174"/>
      <c r="C1553" s="174"/>
      <c r="D1553" s="174"/>
      <c r="E1553" s="174"/>
    </row>
    <row r="1554" spans="1:5" x14ac:dyDescent="0.3">
      <c r="A1554" s="174"/>
      <c r="B1554" s="174"/>
      <c r="C1554" s="174"/>
      <c r="D1554" s="174"/>
      <c r="E1554" s="174"/>
    </row>
    <row r="1555" spans="1:5" x14ac:dyDescent="0.3">
      <c r="A1555" s="174"/>
      <c r="B1555" s="174"/>
      <c r="C1555" s="174"/>
      <c r="D1555" s="174"/>
      <c r="E1555" s="174"/>
    </row>
    <row r="1556" spans="1:5" x14ac:dyDescent="0.3">
      <c r="A1556" s="174"/>
      <c r="B1556" s="174"/>
      <c r="C1556" s="174"/>
      <c r="D1556" s="174"/>
      <c r="E1556" s="174"/>
    </row>
    <row r="1557" spans="1:5" x14ac:dyDescent="0.3">
      <c r="A1557" s="174"/>
      <c r="B1557" s="174"/>
      <c r="C1557" s="174"/>
      <c r="D1557" s="174"/>
      <c r="E1557" s="174"/>
    </row>
    <row r="1558" spans="1:5" x14ac:dyDescent="0.3">
      <c r="A1558" s="174"/>
      <c r="B1558" s="174"/>
      <c r="C1558" s="174"/>
      <c r="D1558" s="174"/>
      <c r="E1558" s="174"/>
    </row>
    <row r="1559" spans="1:5" x14ac:dyDescent="0.3">
      <c r="A1559" s="174"/>
      <c r="B1559" s="174"/>
      <c r="C1559" s="174"/>
      <c r="D1559" s="174"/>
      <c r="E1559" s="174"/>
    </row>
    <row r="1560" spans="1:5" x14ac:dyDescent="0.3">
      <c r="A1560" s="174"/>
      <c r="B1560" s="174"/>
      <c r="C1560" s="174"/>
      <c r="D1560" s="174"/>
      <c r="E1560" s="174"/>
    </row>
    <row r="1561" spans="1:5" x14ac:dyDescent="0.3">
      <c r="A1561" s="174"/>
      <c r="B1561" s="174"/>
      <c r="C1561" s="174"/>
      <c r="D1561" s="174"/>
      <c r="E1561" s="174"/>
    </row>
    <row r="1562" spans="1:5" x14ac:dyDescent="0.3">
      <c r="A1562" s="174"/>
      <c r="B1562" s="174"/>
      <c r="C1562" s="174"/>
      <c r="D1562" s="174"/>
      <c r="E1562" s="174"/>
    </row>
    <row r="1563" spans="1:5" x14ac:dyDescent="0.3">
      <c r="A1563" s="174"/>
      <c r="B1563" s="174"/>
      <c r="C1563" s="174"/>
      <c r="D1563" s="174"/>
      <c r="E1563" s="174"/>
    </row>
    <row r="1564" spans="1:5" x14ac:dyDescent="0.3">
      <c r="A1564" s="174"/>
      <c r="B1564" s="174"/>
      <c r="C1564" s="174"/>
      <c r="D1564" s="174"/>
      <c r="E1564" s="174"/>
    </row>
    <row r="1565" spans="1:5" x14ac:dyDescent="0.3">
      <c r="A1565" s="174"/>
      <c r="B1565" s="174"/>
      <c r="C1565" s="174"/>
      <c r="D1565" s="174"/>
      <c r="E1565" s="174"/>
    </row>
    <row r="1566" spans="1:5" x14ac:dyDescent="0.3">
      <c r="A1566" s="174"/>
      <c r="B1566" s="174"/>
      <c r="C1566" s="174"/>
      <c r="D1566" s="174"/>
      <c r="E1566" s="174"/>
    </row>
    <row r="1567" spans="1:5" x14ac:dyDescent="0.3">
      <c r="A1567" s="174"/>
      <c r="B1567" s="174"/>
      <c r="C1567" s="174"/>
      <c r="D1567" s="174"/>
      <c r="E1567" s="174"/>
    </row>
    <row r="1568" spans="1:5" x14ac:dyDescent="0.3">
      <c r="A1568" s="174"/>
      <c r="B1568" s="174"/>
      <c r="C1568" s="174"/>
      <c r="D1568" s="174"/>
      <c r="E1568" s="174"/>
    </row>
    <row r="1569" spans="1:5" x14ac:dyDescent="0.3">
      <c r="A1569" s="174"/>
      <c r="B1569" s="174"/>
      <c r="C1569" s="174"/>
      <c r="D1569" s="174"/>
      <c r="E1569" s="174"/>
    </row>
    <row r="1570" spans="1:5" x14ac:dyDescent="0.3">
      <c r="A1570" s="174"/>
      <c r="B1570" s="174"/>
      <c r="C1570" s="174"/>
      <c r="D1570" s="174"/>
      <c r="E1570" s="174"/>
    </row>
    <row r="1571" spans="1:5" x14ac:dyDescent="0.3">
      <c r="A1571" s="174"/>
      <c r="B1571" s="174"/>
      <c r="C1571" s="174"/>
      <c r="D1571" s="174"/>
      <c r="E1571" s="174"/>
    </row>
    <row r="1572" spans="1:5" x14ac:dyDescent="0.3">
      <c r="A1572" s="174"/>
      <c r="B1572" s="174"/>
      <c r="C1572" s="174"/>
      <c r="D1572" s="174"/>
      <c r="E1572" s="174"/>
    </row>
    <row r="1573" spans="1:5" x14ac:dyDescent="0.3">
      <c r="A1573" s="174"/>
      <c r="B1573" s="174"/>
      <c r="C1573" s="174"/>
      <c r="D1573" s="174"/>
      <c r="E1573" s="174"/>
    </row>
    <row r="1574" spans="1:5" x14ac:dyDescent="0.3">
      <c r="A1574" s="174"/>
      <c r="B1574" s="174"/>
      <c r="C1574" s="174"/>
      <c r="D1574" s="174"/>
      <c r="E1574" s="174"/>
    </row>
    <row r="1575" spans="1:5" x14ac:dyDescent="0.3">
      <c r="A1575" s="174"/>
      <c r="B1575" s="174"/>
      <c r="C1575" s="174"/>
      <c r="D1575" s="174"/>
      <c r="E1575" s="174"/>
    </row>
    <row r="1576" spans="1:5" x14ac:dyDescent="0.3">
      <c r="A1576" s="174"/>
      <c r="B1576" s="174"/>
      <c r="C1576" s="174"/>
      <c r="D1576" s="174"/>
      <c r="E1576" s="174"/>
    </row>
    <row r="1577" spans="1:5" x14ac:dyDescent="0.3">
      <c r="A1577" s="174"/>
      <c r="B1577" s="174"/>
      <c r="C1577" s="174"/>
      <c r="D1577" s="174"/>
      <c r="E1577" s="174"/>
    </row>
    <row r="1578" spans="1:5" x14ac:dyDescent="0.3">
      <c r="A1578" s="174"/>
      <c r="B1578" s="174"/>
      <c r="C1578" s="174"/>
      <c r="D1578" s="174"/>
      <c r="E1578" s="174"/>
    </row>
    <row r="1579" spans="1:5" x14ac:dyDescent="0.3">
      <c r="A1579" s="174"/>
      <c r="B1579" s="174"/>
      <c r="C1579" s="174"/>
      <c r="D1579" s="174"/>
      <c r="E1579" s="174"/>
    </row>
    <row r="1580" spans="1:5" x14ac:dyDescent="0.3">
      <c r="A1580" s="174"/>
      <c r="B1580" s="174"/>
      <c r="C1580" s="174"/>
      <c r="D1580" s="174"/>
      <c r="E1580" s="174"/>
    </row>
    <row r="1581" spans="1:5" x14ac:dyDescent="0.3">
      <c r="A1581" s="174"/>
      <c r="B1581" s="174"/>
      <c r="C1581" s="174"/>
      <c r="D1581" s="174"/>
      <c r="E1581" s="174"/>
    </row>
    <row r="1582" spans="1:5" x14ac:dyDescent="0.3">
      <c r="A1582" s="174"/>
      <c r="B1582" s="174"/>
      <c r="C1582" s="174"/>
      <c r="D1582" s="174"/>
      <c r="E1582" s="174"/>
    </row>
    <row r="1583" spans="1:5" x14ac:dyDescent="0.3">
      <c r="A1583" s="174"/>
      <c r="B1583" s="174"/>
      <c r="C1583" s="174"/>
      <c r="D1583" s="174"/>
      <c r="E1583" s="174"/>
    </row>
    <row r="1584" spans="1:5" x14ac:dyDescent="0.3">
      <c r="A1584" s="174"/>
      <c r="B1584" s="174"/>
      <c r="C1584" s="174"/>
      <c r="D1584" s="174"/>
      <c r="E1584" s="174"/>
    </row>
    <row r="1585" spans="1:5" x14ac:dyDescent="0.3">
      <c r="A1585" s="174"/>
      <c r="B1585" s="174"/>
      <c r="C1585" s="174"/>
      <c r="D1585" s="174"/>
      <c r="E1585" s="174"/>
    </row>
    <row r="1586" spans="1:5" x14ac:dyDescent="0.3">
      <c r="A1586" s="174"/>
      <c r="B1586" s="174"/>
      <c r="C1586" s="174"/>
      <c r="D1586" s="174"/>
      <c r="E1586" s="174"/>
    </row>
    <row r="1587" spans="1:5" x14ac:dyDescent="0.3">
      <c r="A1587" s="174"/>
      <c r="B1587" s="174"/>
      <c r="C1587" s="174"/>
      <c r="D1587" s="174"/>
      <c r="E1587" s="174"/>
    </row>
    <row r="1588" spans="1:5" x14ac:dyDescent="0.3">
      <c r="A1588" s="174"/>
      <c r="B1588" s="174"/>
      <c r="C1588" s="174"/>
      <c r="D1588" s="174"/>
      <c r="E1588" s="174"/>
    </row>
    <row r="1589" spans="1:5" x14ac:dyDescent="0.3">
      <c r="A1589" s="174"/>
      <c r="B1589" s="174"/>
      <c r="C1589" s="174"/>
      <c r="D1589" s="174"/>
      <c r="E1589" s="174"/>
    </row>
    <row r="1590" spans="1:5" x14ac:dyDescent="0.3">
      <c r="A1590" s="174"/>
      <c r="B1590" s="174"/>
      <c r="C1590" s="174"/>
      <c r="D1590" s="174"/>
      <c r="E1590" s="174"/>
    </row>
    <row r="1591" spans="1:5" x14ac:dyDescent="0.3">
      <c r="A1591" s="174"/>
      <c r="B1591" s="174"/>
      <c r="C1591" s="174"/>
      <c r="D1591" s="174"/>
      <c r="E1591" s="174"/>
    </row>
    <row r="1592" spans="1:5" x14ac:dyDescent="0.3">
      <c r="A1592" s="174"/>
      <c r="B1592" s="174"/>
      <c r="C1592" s="174"/>
      <c r="D1592" s="174"/>
      <c r="E1592" s="174"/>
    </row>
    <row r="1593" spans="1:5" x14ac:dyDescent="0.3">
      <c r="A1593" s="174"/>
      <c r="B1593" s="174"/>
      <c r="C1593" s="174"/>
      <c r="D1593" s="174"/>
      <c r="E1593" s="174"/>
    </row>
    <row r="1594" spans="1:5" x14ac:dyDescent="0.3">
      <c r="A1594" s="174"/>
      <c r="B1594" s="174"/>
      <c r="C1594" s="174"/>
      <c r="D1594" s="174"/>
      <c r="E1594" s="174"/>
    </row>
    <row r="1595" spans="1:5" x14ac:dyDescent="0.3">
      <c r="A1595" s="174"/>
      <c r="B1595" s="174"/>
      <c r="C1595" s="174"/>
      <c r="D1595" s="174"/>
      <c r="E1595" s="174"/>
    </row>
    <row r="1596" spans="1:5" x14ac:dyDescent="0.3">
      <c r="A1596" s="174"/>
      <c r="B1596" s="174"/>
      <c r="C1596" s="174"/>
      <c r="D1596" s="174"/>
      <c r="E1596" s="174"/>
    </row>
    <row r="1597" spans="1:5" x14ac:dyDescent="0.3">
      <c r="A1597" s="174"/>
      <c r="B1597" s="174"/>
      <c r="C1597" s="174"/>
      <c r="D1597" s="174"/>
      <c r="E1597" s="174"/>
    </row>
    <row r="1598" spans="1:5" x14ac:dyDescent="0.3">
      <c r="A1598" s="174"/>
      <c r="B1598" s="174"/>
      <c r="C1598" s="174"/>
      <c r="D1598" s="174"/>
      <c r="E1598" s="174"/>
    </row>
    <row r="1599" spans="1:5" x14ac:dyDescent="0.3">
      <c r="A1599" s="174"/>
      <c r="B1599" s="174"/>
      <c r="C1599" s="174"/>
      <c r="D1599" s="174"/>
      <c r="E1599" s="174"/>
    </row>
    <row r="1600" spans="1:5" x14ac:dyDescent="0.3">
      <c r="A1600" s="174"/>
      <c r="B1600" s="174"/>
      <c r="C1600" s="174"/>
      <c r="D1600" s="174"/>
      <c r="E1600" s="174"/>
    </row>
    <row r="1601" spans="1:5" x14ac:dyDescent="0.3">
      <c r="A1601" s="174"/>
      <c r="B1601" s="174"/>
      <c r="C1601" s="174"/>
      <c r="D1601" s="174"/>
      <c r="E1601" s="174"/>
    </row>
    <row r="1602" spans="1:5" x14ac:dyDescent="0.3">
      <c r="A1602" s="174"/>
      <c r="B1602" s="174"/>
      <c r="C1602" s="174"/>
      <c r="D1602" s="174"/>
      <c r="E1602" s="174"/>
    </row>
    <row r="1603" spans="1:5" x14ac:dyDescent="0.3">
      <c r="A1603" s="174"/>
      <c r="B1603" s="174"/>
      <c r="C1603" s="174"/>
      <c r="D1603" s="174"/>
      <c r="E1603" s="174"/>
    </row>
    <row r="1604" spans="1:5" x14ac:dyDescent="0.3">
      <c r="A1604" s="174"/>
      <c r="B1604" s="174"/>
      <c r="C1604" s="174"/>
      <c r="D1604" s="174"/>
      <c r="E1604" s="174"/>
    </row>
    <row r="1605" spans="1:5" x14ac:dyDescent="0.3">
      <c r="A1605" s="174"/>
      <c r="B1605" s="174"/>
      <c r="C1605" s="174"/>
      <c r="D1605" s="174"/>
      <c r="E1605" s="174"/>
    </row>
    <row r="1606" spans="1:5" x14ac:dyDescent="0.3">
      <c r="A1606" s="174"/>
      <c r="B1606" s="174"/>
      <c r="C1606" s="174"/>
      <c r="D1606" s="174"/>
      <c r="E1606" s="174"/>
    </row>
    <row r="1607" spans="1:5" x14ac:dyDescent="0.3">
      <c r="A1607" s="174"/>
      <c r="B1607" s="174"/>
      <c r="C1607" s="174"/>
      <c r="D1607" s="174"/>
      <c r="E1607" s="174"/>
    </row>
    <row r="1608" spans="1:5" x14ac:dyDescent="0.3">
      <c r="A1608" s="174"/>
      <c r="B1608" s="174"/>
      <c r="C1608" s="174"/>
      <c r="D1608" s="174"/>
      <c r="E1608" s="174"/>
    </row>
    <row r="1609" spans="1:5" x14ac:dyDescent="0.3">
      <c r="A1609" s="174"/>
      <c r="B1609" s="174"/>
      <c r="C1609" s="174"/>
      <c r="D1609" s="174"/>
      <c r="E1609" s="174"/>
    </row>
    <row r="1610" spans="1:5" x14ac:dyDescent="0.3">
      <c r="A1610" s="174"/>
      <c r="B1610" s="174"/>
      <c r="C1610" s="174"/>
      <c r="D1610" s="174"/>
      <c r="E1610" s="174"/>
    </row>
    <row r="1611" spans="1:5" x14ac:dyDescent="0.3">
      <c r="A1611" s="174"/>
      <c r="B1611" s="174"/>
      <c r="C1611" s="174"/>
      <c r="D1611" s="174"/>
      <c r="E1611" s="174"/>
    </row>
    <row r="1612" spans="1:5" x14ac:dyDescent="0.3">
      <c r="A1612" s="174"/>
      <c r="B1612" s="174"/>
      <c r="C1612" s="174"/>
      <c r="D1612" s="174"/>
      <c r="E1612" s="174"/>
    </row>
    <row r="1613" spans="1:5" x14ac:dyDescent="0.3">
      <c r="A1613" s="174"/>
      <c r="B1613" s="174"/>
      <c r="C1613" s="174"/>
      <c r="D1613" s="174"/>
      <c r="E1613" s="174"/>
    </row>
    <row r="1614" spans="1:5" x14ac:dyDescent="0.3">
      <c r="A1614" s="174"/>
      <c r="B1614" s="174"/>
      <c r="C1614" s="174"/>
      <c r="D1614" s="174"/>
      <c r="E1614" s="174"/>
    </row>
    <row r="1615" spans="1:5" x14ac:dyDescent="0.3">
      <c r="A1615" s="174"/>
      <c r="B1615" s="174"/>
      <c r="C1615" s="174"/>
      <c r="D1615" s="174"/>
      <c r="E1615" s="174"/>
    </row>
    <row r="1616" spans="1:5" x14ac:dyDescent="0.3">
      <c r="A1616" s="174"/>
      <c r="B1616" s="174"/>
      <c r="C1616" s="174"/>
      <c r="D1616" s="174"/>
      <c r="E1616" s="174"/>
    </row>
    <row r="1617" spans="1:5" x14ac:dyDescent="0.3">
      <c r="A1617" s="174"/>
      <c r="B1617" s="174"/>
      <c r="C1617" s="174"/>
      <c r="D1617" s="174"/>
      <c r="E1617" s="174"/>
    </row>
    <row r="1618" spans="1:5" x14ac:dyDescent="0.3">
      <c r="A1618" s="174"/>
      <c r="B1618" s="174"/>
      <c r="C1618" s="174"/>
      <c r="D1618" s="174"/>
      <c r="E1618" s="174"/>
    </row>
    <row r="1619" spans="1:5" x14ac:dyDescent="0.3">
      <c r="A1619" s="174"/>
      <c r="B1619" s="174"/>
      <c r="C1619" s="174"/>
      <c r="D1619" s="174"/>
      <c r="E1619" s="174"/>
    </row>
    <row r="1620" spans="1:5" x14ac:dyDescent="0.3">
      <c r="A1620" s="174"/>
      <c r="B1620" s="174"/>
      <c r="C1620" s="174"/>
      <c r="D1620" s="174"/>
      <c r="E1620" s="174"/>
    </row>
    <row r="1621" spans="1:5" x14ac:dyDescent="0.3">
      <c r="A1621" s="174"/>
      <c r="B1621" s="174"/>
      <c r="C1621" s="174"/>
      <c r="D1621" s="174"/>
      <c r="E1621" s="174"/>
    </row>
    <row r="1622" spans="1:5" x14ac:dyDescent="0.3">
      <c r="A1622" s="174"/>
      <c r="B1622" s="174"/>
      <c r="C1622" s="174"/>
      <c r="D1622" s="174"/>
      <c r="E1622" s="174"/>
    </row>
    <row r="1623" spans="1:5" x14ac:dyDescent="0.3">
      <c r="A1623" s="174"/>
      <c r="B1623" s="174"/>
      <c r="C1623" s="174"/>
      <c r="D1623" s="174"/>
      <c r="E1623" s="174"/>
    </row>
    <row r="1624" spans="1:5" x14ac:dyDescent="0.3">
      <c r="A1624" s="174"/>
      <c r="B1624" s="174"/>
      <c r="C1624" s="174"/>
      <c r="D1624" s="174"/>
      <c r="E1624" s="174"/>
    </row>
    <row r="1625" spans="1:5" x14ac:dyDescent="0.3">
      <c r="A1625" s="174"/>
      <c r="B1625" s="174"/>
      <c r="C1625" s="174"/>
      <c r="D1625" s="174"/>
      <c r="E1625" s="174"/>
    </row>
    <row r="1626" spans="1:5" x14ac:dyDescent="0.3">
      <c r="A1626" s="174"/>
      <c r="B1626" s="174"/>
      <c r="C1626" s="174"/>
      <c r="D1626" s="174"/>
      <c r="E1626" s="174"/>
    </row>
    <row r="1627" spans="1:5" x14ac:dyDescent="0.3">
      <c r="A1627" s="174"/>
      <c r="B1627" s="174"/>
      <c r="C1627" s="174"/>
      <c r="D1627" s="174"/>
      <c r="E1627" s="174"/>
    </row>
    <row r="1628" spans="1:5" x14ac:dyDescent="0.3">
      <c r="A1628" s="174"/>
      <c r="B1628" s="174"/>
      <c r="C1628" s="174"/>
      <c r="D1628" s="174"/>
      <c r="E1628" s="174"/>
    </row>
    <row r="1629" spans="1:5" x14ac:dyDescent="0.3">
      <c r="A1629" s="174"/>
      <c r="B1629" s="174"/>
      <c r="C1629" s="174"/>
      <c r="D1629" s="174"/>
      <c r="E1629" s="174"/>
    </row>
    <row r="1630" spans="1:5" x14ac:dyDescent="0.3">
      <c r="A1630" s="174"/>
      <c r="B1630" s="174"/>
      <c r="C1630" s="174"/>
      <c r="D1630" s="174"/>
      <c r="E1630" s="174"/>
    </row>
    <row r="1631" spans="1:5" x14ac:dyDescent="0.3">
      <c r="A1631" s="174"/>
      <c r="B1631" s="174"/>
      <c r="C1631" s="174"/>
      <c r="D1631" s="174"/>
      <c r="E1631" s="174"/>
    </row>
    <row r="1632" spans="1:5" x14ac:dyDescent="0.3">
      <c r="A1632" s="174"/>
      <c r="B1632" s="174"/>
      <c r="C1632" s="174"/>
      <c r="D1632" s="174"/>
      <c r="E1632" s="174"/>
    </row>
    <row r="1633" spans="1:5" x14ac:dyDescent="0.3">
      <c r="A1633" s="174"/>
      <c r="B1633" s="174"/>
      <c r="C1633" s="174"/>
      <c r="D1633" s="174"/>
      <c r="E1633" s="174"/>
    </row>
    <row r="1634" spans="1:5" x14ac:dyDescent="0.3">
      <c r="A1634" s="174"/>
      <c r="B1634" s="174"/>
      <c r="C1634" s="174"/>
      <c r="D1634" s="174"/>
      <c r="E1634" s="174"/>
    </row>
    <row r="1635" spans="1:5" x14ac:dyDescent="0.3">
      <c r="A1635" s="174"/>
      <c r="B1635" s="174"/>
      <c r="C1635" s="174"/>
      <c r="D1635" s="174"/>
      <c r="E1635" s="174"/>
    </row>
    <row r="1636" spans="1:5" x14ac:dyDescent="0.3">
      <c r="A1636" s="174"/>
      <c r="B1636" s="174"/>
      <c r="C1636" s="174"/>
      <c r="D1636" s="174"/>
      <c r="E1636" s="174"/>
    </row>
    <row r="1637" spans="1:5" x14ac:dyDescent="0.3">
      <c r="A1637" s="174"/>
      <c r="B1637" s="174"/>
      <c r="C1637" s="174"/>
      <c r="D1637" s="174"/>
      <c r="E1637" s="174"/>
    </row>
    <row r="1638" spans="1:5" x14ac:dyDescent="0.3">
      <c r="A1638" s="174"/>
      <c r="B1638" s="174"/>
      <c r="C1638" s="174"/>
      <c r="D1638" s="174"/>
      <c r="E1638" s="174"/>
    </row>
    <row r="1639" spans="1:5" x14ac:dyDescent="0.3">
      <c r="A1639" s="174"/>
      <c r="B1639" s="174"/>
      <c r="C1639" s="174"/>
      <c r="D1639" s="174"/>
      <c r="E1639" s="174"/>
    </row>
    <row r="1640" spans="1:5" x14ac:dyDescent="0.3">
      <c r="A1640" s="174"/>
      <c r="B1640" s="174"/>
      <c r="C1640" s="174"/>
      <c r="D1640" s="174"/>
      <c r="E1640" s="174"/>
    </row>
    <row r="1641" spans="1:5" x14ac:dyDescent="0.3">
      <c r="A1641" s="174"/>
      <c r="B1641" s="174"/>
      <c r="C1641" s="174"/>
      <c r="D1641" s="174"/>
      <c r="E1641" s="174"/>
    </row>
    <row r="1642" spans="1:5" x14ac:dyDescent="0.3">
      <c r="A1642" s="174"/>
      <c r="B1642" s="174"/>
      <c r="C1642" s="174"/>
      <c r="D1642" s="174"/>
      <c r="E1642" s="174"/>
    </row>
    <row r="1643" spans="1:5" x14ac:dyDescent="0.3">
      <c r="A1643" s="174"/>
      <c r="B1643" s="174"/>
      <c r="C1643" s="174"/>
      <c r="D1643" s="174"/>
      <c r="E1643" s="174"/>
    </row>
    <row r="1644" spans="1:5" x14ac:dyDescent="0.3">
      <c r="A1644" s="174"/>
      <c r="B1644" s="174"/>
      <c r="C1644" s="174"/>
      <c r="D1644" s="174"/>
      <c r="E1644" s="174"/>
    </row>
    <row r="1645" spans="1:5" x14ac:dyDescent="0.3">
      <c r="A1645" s="174"/>
      <c r="B1645" s="174"/>
      <c r="C1645" s="174"/>
      <c r="D1645" s="174"/>
      <c r="E1645" s="174"/>
    </row>
    <row r="1646" spans="1:5" x14ac:dyDescent="0.3">
      <c r="A1646" s="174"/>
      <c r="B1646" s="174"/>
      <c r="C1646" s="174"/>
      <c r="D1646" s="174"/>
      <c r="E1646" s="174"/>
    </row>
    <row r="1647" spans="1:5" x14ac:dyDescent="0.3">
      <c r="A1647" s="174"/>
      <c r="B1647" s="174"/>
      <c r="C1647" s="174"/>
      <c r="D1647" s="174"/>
      <c r="E1647" s="174"/>
    </row>
    <row r="1648" spans="1:5" x14ac:dyDescent="0.3">
      <c r="A1648" s="174"/>
      <c r="B1648" s="174"/>
      <c r="C1648" s="174"/>
      <c r="D1648" s="174"/>
      <c r="E1648" s="174"/>
    </row>
    <row r="1649" spans="1:5" x14ac:dyDescent="0.3">
      <c r="A1649" s="174"/>
      <c r="B1649" s="174"/>
      <c r="C1649" s="174"/>
      <c r="D1649" s="174"/>
      <c r="E1649" s="174"/>
    </row>
    <row r="1650" spans="1:5" x14ac:dyDescent="0.3">
      <c r="A1650" s="174"/>
      <c r="B1650" s="174"/>
      <c r="C1650" s="174"/>
      <c r="D1650" s="174"/>
      <c r="E1650" s="174"/>
    </row>
    <row r="1651" spans="1:5" x14ac:dyDescent="0.3">
      <c r="A1651" s="174"/>
      <c r="B1651" s="174"/>
      <c r="C1651" s="174"/>
      <c r="D1651" s="174"/>
      <c r="E1651" s="174"/>
    </row>
    <row r="1652" spans="1:5" x14ac:dyDescent="0.3">
      <c r="A1652" s="174"/>
      <c r="B1652" s="174"/>
      <c r="C1652" s="174"/>
      <c r="D1652" s="174"/>
      <c r="E1652" s="174"/>
    </row>
    <row r="1653" spans="1:5" x14ac:dyDescent="0.3">
      <c r="A1653" s="174"/>
      <c r="B1653" s="174"/>
      <c r="C1653" s="174"/>
      <c r="D1653" s="174"/>
      <c r="E1653" s="174"/>
    </row>
    <row r="1654" spans="1:5" x14ac:dyDescent="0.3">
      <c r="A1654" s="174"/>
      <c r="B1654" s="174"/>
      <c r="C1654" s="174"/>
      <c r="D1654" s="174"/>
      <c r="E1654" s="174"/>
    </row>
    <row r="1655" spans="1:5" x14ac:dyDescent="0.3">
      <c r="A1655" s="174"/>
      <c r="B1655" s="174"/>
      <c r="C1655" s="174"/>
      <c r="D1655" s="174"/>
      <c r="E1655" s="174"/>
    </row>
    <row r="1656" spans="1:5" x14ac:dyDescent="0.3">
      <c r="A1656" s="174"/>
      <c r="B1656" s="174"/>
      <c r="C1656" s="174"/>
      <c r="D1656" s="174"/>
      <c r="E1656" s="174"/>
    </row>
    <row r="1657" spans="1:5" x14ac:dyDescent="0.3">
      <c r="A1657" s="174"/>
      <c r="B1657" s="174"/>
      <c r="C1657" s="174"/>
      <c r="D1657" s="174"/>
      <c r="E1657" s="174"/>
    </row>
    <row r="1658" spans="1:5" x14ac:dyDescent="0.3">
      <c r="A1658" s="174"/>
      <c r="B1658" s="174"/>
      <c r="C1658" s="174"/>
      <c r="D1658" s="174"/>
      <c r="E1658" s="174"/>
    </row>
    <row r="1659" spans="1:5" x14ac:dyDescent="0.3">
      <c r="A1659" s="174"/>
      <c r="B1659" s="174"/>
      <c r="C1659" s="174"/>
      <c r="D1659" s="174"/>
      <c r="E1659" s="174"/>
    </row>
    <row r="1660" spans="1:5" x14ac:dyDescent="0.3">
      <c r="A1660" s="174"/>
      <c r="B1660" s="174"/>
      <c r="C1660" s="174"/>
      <c r="D1660" s="174"/>
      <c r="E1660" s="174"/>
    </row>
    <row r="1661" spans="1:5" x14ac:dyDescent="0.3">
      <c r="A1661" s="174"/>
      <c r="B1661" s="174"/>
      <c r="C1661" s="174"/>
      <c r="D1661" s="174"/>
      <c r="E1661" s="174"/>
    </row>
    <row r="1662" spans="1:5" x14ac:dyDescent="0.3">
      <c r="A1662" s="174"/>
      <c r="B1662" s="174"/>
      <c r="C1662" s="174"/>
      <c r="D1662" s="174"/>
      <c r="E1662" s="174"/>
    </row>
    <row r="1663" spans="1:5" x14ac:dyDescent="0.3">
      <c r="A1663" s="174"/>
      <c r="B1663" s="174"/>
      <c r="C1663" s="174"/>
      <c r="D1663" s="174"/>
      <c r="E1663" s="174"/>
    </row>
    <row r="1664" spans="1:5" x14ac:dyDescent="0.3">
      <c r="A1664" s="174"/>
      <c r="B1664" s="174"/>
      <c r="C1664" s="174"/>
      <c r="D1664" s="174"/>
      <c r="E1664" s="174"/>
    </row>
    <row r="1665" spans="1:5" x14ac:dyDescent="0.3">
      <c r="A1665" s="174"/>
      <c r="B1665" s="174"/>
      <c r="C1665" s="174"/>
      <c r="D1665" s="174"/>
      <c r="E1665" s="174"/>
    </row>
    <row r="1666" spans="1:5" x14ac:dyDescent="0.3">
      <c r="A1666" s="174"/>
      <c r="B1666" s="174"/>
      <c r="C1666" s="174"/>
      <c r="D1666" s="174"/>
      <c r="E1666" s="174"/>
    </row>
    <row r="1667" spans="1:5" x14ac:dyDescent="0.3">
      <c r="A1667" s="174"/>
      <c r="B1667" s="174"/>
      <c r="C1667" s="174"/>
      <c r="D1667" s="174"/>
      <c r="E1667" s="174"/>
    </row>
    <row r="1668" spans="1:5" x14ac:dyDescent="0.3">
      <c r="A1668" s="174"/>
      <c r="B1668" s="174"/>
      <c r="C1668" s="174"/>
      <c r="D1668" s="174"/>
      <c r="E1668" s="174"/>
    </row>
    <row r="1669" spans="1:5" x14ac:dyDescent="0.3">
      <c r="A1669" s="174"/>
      <c r="B1669" s="174"/>
      <c r="C1669" s="174"/>
      <c r="D1669" s="174"/>
      <c r="E1669" s="174"/>
    </row>
    <row r="1670" spans="1:5" x14ac:dyDescent="0.3">
      <c r="A1670" s="174"/>
      <c r="B1670" s="174"/>
      <c r="C1670" s="174"/>
      <c r="D1670" s="174"/>
      <c r="E1670" s="174"/>
    </row>
    <row r="1671" spans="1:5" x14ac:dyDescent="0.3">
      <c r="A1671" s="174"/>
      <c r="B1671" s="174"/>
      <c r="C1671" s="174"/>
      <c r="D1671" s="174"/>
      <c r="E1671" s="174"/>
    </row>
    <row r="1672" spans="1:5" x14ac:dyDescent="0.3">
      <c r="A1672" s="174"/>
      <c r="B1672" s="174"/>
      <c r="C1672" s="174"/>
      <c r="D1672" s="174"/>
      <c r="E1672" s="174"/>
    </row>
    <row r="1673" spans="1:5" x14ac:dyDescent="0.3">
      <c r="A1673" s="174"/>
      <c r="B1673" s="174"/>
      <c r="C1673" s="174"/>
      <c r="D1673" s="174"/>
      <c r="E1673" s="174"/>
    </row>
    <row r="1674" spans="1:5" x14ac:dyDescent="0.3">
      <c r="A1674" s="174"/>
      <c r="B1674" s="174"/>
      <c r="C1674" s="174"/>
      <c r="D1674" s="174"/>
      <c r="E1674" s="174"/>
    </row>
    <row r="1675" spans="1:5" x14ac:dyDescent="0.3">
      <c r="A1675" s="174"/>
      <c r="B1675" s="174"/>
      <c r="C1675" s="174"/>
      <c r="D1675" s="174"/>
      <c r="E1675" s="174"/>
    </row>
    <row r="1676" spans="1:5" x14ac:dyDescent="0.3">
      <c r="A1676" s="174"/>
      <c r="B1676" s="174"/>
      <c r="C1676" s="174"/>
      <c r="D1676" s="174"/>
      <c r="E1676" s="174"/>
    </row>
    <row r="1677" spans="1:5" x14ac:dyDescent="0.3">
      <c r="A1677" s="174"/>
      <c r="B1677" s="174"/>
      <c r="C1677" s="174"/>
      <c r="D1677" s="174"/>
      <c r="E1677" s="174"/>
    </row>
    <row r="1678" spans="1:5" x14ac:dyDescent="0.3">
      <c r="A1678" s="174"/>
      <c r="B1678" s="174"/>
      <c r="C1678" s="174"/>
      <c r="D1678" s="174"/>
      <c r="E1678" s="174"/>
    </row>
    <row r="1679" spans="1:5" x14ac:dyDescent="0.3">
      <c r="A1679" s="174"/>
      <c r="B1679" s="174"/>
      <c r="C1679" s="174"/>
      <c r="D1679" s="174"/>
      <c r="E1679" s="174"/>
    </row>
    <row r="1680" spans="1:5" x14ac:dyDescent="0.3">
      <c r="A1680" s="174"/>
      <c r="B1680" s="174"/>
      <c r="C1680" s="174"/>
      <c r="D1680" s="174"/>
      <c r="E1680" s="174"/>
    </row>
    <row r="1681" spans="1:5" x14ac:dyDescent="0.3">
      <c r="A1681" s="174"/>
      <c r="B1681" s="174"/>
      <c r="C1681" s="174"/>
      <c r="D1681" s="174"/>
      <c r="E1681" s="174"/>
    </row>
    <row r="1682" spans="1:5" x14ac:dyDescent="0.3">
      <c r="A1682" s="174"/>
      <c r="B1682" s="174"/>
      <c r="C1682" s="174"/>
      <c r="D1682" s="174"/>
      <c r="E1682" s="174"/>
    </row>
    <row r="1683" spans="1:5" x14ac:dyDescent="0.3">
      <c r="A1683" s="174"/>
      <c r="B1683" s="174"/>
      <c r="C1683" s="174"/>
      <c r="D1683" s="174"/>
      <c r="E1683" s="174"/>
    </row>
    <row r="1684" spans="1:5" x14ac:dyDescent="0.3">
      <c r="A1684" s="174"/>
      <c r="B1684" s="174"/>
      <c r="C1684" s="174"/>
      <c r="D1684" s="174"/>
      <c r="E1684" s="174"/>
    </row>
    <row r="1685" spans="1:5" x14ac:dyDescent="0.3">
      <c r="A1685" s="174"/>
      <c r="B1685" s="174"/>
      <c r="C1685" s="174"/>
      <c r="D1685" s="174"/>
      <c r="E1685" s="174"/>
    </row>
    <row r="1686" spans="1:5" x14ac:dyDescent="0.3">
      <c r="A1686" s="174"/>
      <c r="B1686" s="174"/>
      <c r="C1686" s="174"/>
      <c r="D1686" s="174"/>
      <c r="E1686" s="174"/>
    </row>
    <row r="1687" spans="1:5" x14ac:dyDescent="0.3">
      <c r="A1687" s="174"/>
      <c r="B1687" s="174"/>
      <c r="C1687" s="174"/>
      <c r="D1687" s="174"/>
      <c r="E1687" s="174"/>
    </row>
    <row r="1688" spans="1:5" x14ac:dyDescent="0.3">
      <c r="A1688" s="174"/>
      <c r="B1688" s="174"/>
      <c r="C1688" s="174"/>
      <c r="D1688" s="174"/>
      <c r="E1688" s="174"/>
    </row>
    <row r="1689" spans="1:5" x14ac:dyDescent="0.3">
      <c r="A1689" s="174"/>
      <c r="B1689" s="174"/>
      <c r="C1689" s="174"/>
      <c r="D1689" s="174"/>
      <c r="E1689" s="174"/>
    </row>
    <row r="1690" spans="1:5" x14ac:dyDescent="0.3">
      <c r="A1690" s="174"/>
      <c r="B1690" s="174"/>
      <c r="C1690" s="174"/>
      <c r="D1690" s="174"/>
      <c r="E1690" s="174"/>
    </row>
    <row r="1691" spans="1:5" x14ac:dyDescent="0.3">
      <c r="A1691" s="174"/>
      <c r="B1691" s="174"/>
      <c r="C1691" s="174"/>
      <c r="D1691" s="174"/>
      <c r="E1691" s="174"/>
    </row>
    <row r="1692" spans="1:5" x14ac:dyDescent="0.3">
      <c r="A1692" s="174"/>
      <c r="B1692" s="174"/>
      <c r="C1692" s="174"/>
      <c r="D1692" s="174"/>
      <c r="E1692" s="174"/>
    </row>
    <row r="1693" spans="1:5" x14ac:dyDescent="0.3">
      <c r="A1693" s="174"/>
      <c r="B1693" s="174"/>
      <c r="C1693" s="174"/>
      <c r="D1693" s="174"/>
      <c r="E1693" s="174"/>
    </row>
    <row r="1694" spans="1:5" x14ac:dyDescent="0.3">
      <c r="A1694" s="174"/>
      <c r="B1694" s="174"/>
      <c r="C1694" s="174"/>
      <c r="D1694" s="174"/>
      <c r="E1694" s="174"/>
    </row>
    <row r="1695" spans="1:5" x14ac:dyDescent="0.3">
      <c r="A1695" s="174"/>
      <c r="B1695" s="174"/>
      <c r="C1695" s="174"/>
      <c r="D1695" s="174"/>
      <c r="E1695" s="174"/>
    </row>
    <row r="1696" spans="1:5" x14ac:dyDescent="0.3">
      <c r="A1696" s="174"/>
      <c r="B1696" s="174"/>
      <c r="C1696" s="174"/>
      <c r="D1696" s="174"/>
      <c r="E1696" s="174"/>
    </row>
    <row r="1697" spans="1:5" x14ac:dyDescent="0.3">
      <c r="A1697" s="174"/>
      <c r="B1697" s="174"/>
      <c r="C1697" s="174"/>
      <c r="D1697" s="174"/>
      <c r="E1697" s="174"/>
    </row>
    <row r="1698" spans="1:5" x14ac:dyDescent="0.3">
      <c r="A1698" s="174"/>
      <c r="B1698" s="174"/>
      <c r="C1698" s="174"/>
      <c r="D1698" s="174"/>
      <c r="E1698" s="174"/>
    </row>
    <row r="1699" spans="1:5" x14ac:dyDescent="0.3">
      <c r="A1699" s="174"/>
      <c r="B1699" s="174"/>
      <c r="C1699" s="174"/>
      <c r="D1699" s="174"/>
      <c r="E1699" s="174"/>
    </row>
    <row r="1700" spans="1:5" x14ac:dyDescent="0.3">
      <c r="A1700" s="174"/>
      <c r="B1700" s="174"/>
      <c r="C1700" s="174"/>
      <c r="D1700" s="174"/>
      <c r="E1700" s="174"/>
    </row>
    <row r="1701" spans="1:5" x14ac:dyDescent="0.3">
      <c r="A1701" s="174"/>
      <c r="B1701" s="174"/>
      <c r="C1701" s="174"/>
      <c r="D1701" s="174"/>
      <c r="E1701" s="174"/>
    </row>
    <row r="1702" spans="1:5" x14ac:dyDescent="0.3">
      <c r="A1702" s="174"/>
      <c r="B1702" s="174"/>
      <c r="C1702" s="174"/>
      <c r="D1702" s="174"/>
      <c r="E1702" s="174"/>
    </row>
    <row r="1703" spans="1:5" x14ac:dyDescent="0.3">
      <c r="A1703" s="174"/>
      <c r="B1703" s="174"/>
      <c r="C1703" s="174"/>
      <c r="D1703" s="174"/>
      <c r="E1703" s="174"/>
    </row>
    <row r="1704" spans="1:5" x14ac:dyDescent="0.3">
      <c r="A1704" s="174"/>
      <c r="B1704" s="174"/>
      <c r="C1704" s="174"/>
      <c r="D1704" s="174"/>
      <c r="E1704" s="174"/>
    </row>
    <row r="1705" spans="1:5" x14ac:dyDescent="0.3">
      <c r="A1705" s="174"/>
      <c r="B1705" s="174"/>
      <c r="C1705" s="174"/>
      <c r="D1705" s="174"/>
      <c r="E1705" s="174"/>
    </row>
    <row r="1706" spans="1:5" x14ac:dyDescent="0.3">
      <c r="A1706" s="174"/>
      <c r="B1706" s="174"/>
      <c r="C1706" s="174"/>
      <c r="D1706" s="174"/>
      <c r="E1706" s="174"/>
    </row>
    <row r="1707" spans="1:5" x14ac:dyDescent="0.3">
      <c r="A1707" s="174"/>
      <c r="B1707" s="174"/>
      <c r="C1707" s="174"/>
      <c r="D1707" s="174"/>
      <c r="E1707" s="174"/>
    </row>
    <row r="1708" spans="1:5" x14ac:dyDescent="0.3">
      <c r="A1708" s="174"/>
      <c r="B1708" s="174"/>
      <c r="C1708" s="174"/>
      <c r="D1708" s="174"/>
      <c r="E1708" s="174"/>
    </row>
    <row r="1709" spans="1:5" x14ac:dyDescent="0.3">
      <c r="A1709" s="174"/>
      <c r="B1709" s="174"/>
      <c r="C1709" s="174"/>
      <c r="D1709" s="174"/>
      <c r="E1709" s="174"/>
    </row>
    <row r="1710" spans="1:5" x14ac:dyDescent="0.3">
      <c r="A1710" s="174"/>
      <c r="B1710" s="174"/>
      <c r="C1710" s="174"/>
      <c r="D1710" s="174"/>
      <c r="E1710" s="174"/>
    </row>
    <row r="1711" spans="1:5" x14ac:dyDescent="0.3">
      <c r="A1711" s="174"/>
      <c r="B1711" s="174"/>
      <c r="C1711" s="174"/>
      <c r="D1711" s="174"/>
      <c r="E1711" s="174"/>
    </row>
    <row r="1712" spans="1:5" x14ac:dyDescent="0.3">
      <c r="A1712" s="174"/>
      <c r="B1712" s="174"/>
      <c r="C1712" s="174"/>
      <c r="D1712" s="174"/>
      <c r="E1712" s="174"/>
    </row>
    <row r="1713" spans="1:5" x14ac:dyDescent="0.3">
      <c r="A1713" s="174"/>
      <c r="B1713" s="174"/>
      <c r="C1713" s="174"/>
      <c r="D1713" s="174"/>
      <c r="E1713" s="174"/>
    </row>
    <row r="1714" spans="1:5" x14ac:dyDescent="0.3">
      <c r="A1714" s="174"/>
      <c r="B1714" s="174"/>
      <c r="C1714" s="174"/>
      <c r="D1714" s="174"/>
      <c r="E1714" s="174"/>
    </row>
    <row r="1715" spans="1:5" x14ac:dyDescent="0.3">
      <c r="A1715" s="174"/>
      <c r="B1715" s="174"/>
      <c r="C1715" s="174"/>
      <c r="D1715" s="174"/>
      <c r="E1715" s="174"/>
    </row>
    <row r="1716" spans="1:5" x14ac:dyDescent="0.3">
      <c r="A1716" s="174"/>
      <c r="B1716" s="174"/>
      <c r="C1716" s="174"/>
      <c r="D1716" s="174"/>
      <c r="E1716" s="174"/>
    </row>
    <row r="1717" spans="1:5" x14ac:dyDescent="0.3">
      <c r="A1717" s="174"/>
      <c r="B1717" s="174"/>
      <c r="C1717" s="174"/>
      <c r="D1717" s="174"/>
      <c r="E1717" s="174"/>
    </row>
    <row r="1718" spans="1:5" x14ac:dyDescent="0.3">
      <c r="A1718" s="174"/>
      <c r="B1718" s="174"/>
      <c r="C1718" s="174"/>
      <c r="D1718" s="174"/>
      <c r="E1718" s="174"/>
    </row>
    <row r="1719" spans="1:5" x14ac:dyDescent="0.3">
      <c r="A1719" s="174"/>
      <c r="B1719" s="174"/>
      <c r="C1719" s="174"/>
      <c r="D1719" s="174"/>
      <c r="E1719" s="174"/>
    </row>
    <row r="1720" spans="1:5" x14ac:dyDescent="0.3">
      <c r="A1720" s="174"/>
      <c r="B1720" s="174"/>
      <c r="C1720" s="174"/>
      <c r="D1720" s="174"/>
      <c r="E1720" s="174"/>
    </row>
    <row r="1721" spans="1:5" x14ac:dyDescent="0.3">
      <c r="A1721" s="174"/>
      <c r="B1721" s="174"/>
      <c r="C1721" s="174"/>
      <c r="D1721" s="174"/>
      <c r="E1721" s="174"/>
    </row>
    <row r="1722" spans="1:5" x14ac:dyDescent="0.3">
      <c r="A1722" s="174"/>
      <c r="B1722" s="174"/>
      <c r="C1722" s="174"/>
      <c r="D1722" s="174"/>
      <c r="E1722" s="174"/>
    </row>
    <row r="1723" spans="1:5" x14ac:dyDescent="0.3">
      <c r="A1723" s="174"/>
      <c r="B1723" s="174"/>
      <c r="C1723" s="174"/>
      <c r="D1723" s="174"/>
      <c r="E1723" s="174"/>
    </row>
    <row r="1724" spans="1:5" x14ac:dyDescent="0.3">
      <c r="A1724" s="174"/>
      <c r="B1724" s="174"/>
      <c r="C1724" s="174"/>
      <c r="D1724" s="174"/>
      <c r="E1724" s="174"/>
    </row>
    <row r="1725" spans="1:5" x14ac:dyDescent="0.3">
      <c r="A1725" s="174"/>
      <c r="B1725" s="174"/>
      <c r="C1725" s="174"/>
      <c r="D1725" s="174"/>
      <c r="E1725" s="174"/>
    </row>
    <row r="1726" spans="1:5" x14ac:dyDescent="0.3">
      <c r="A1726" s="174"/>
      <c r="B1726" s="174"/>
      <c r="C1726" s="174"/>
      <c r="D1726" s="174"/>
      <c r="E1726" s="174"/>
    </row>
    <row r="1727" spans="1:5" x14ac:dyDescent="0.3">
      <c r="A1727" s="174"/>
      <c r="B1727" s="174"/>
      <c r="C1727" s="174"/>
      <c r="D1727" s="174"/>
      <c r="E1727" s="174"/>
    </row>
    <row r="1728" spans="1:5" x14ac:dyDescent="0.3">
      <c r="A1728" s="174"/>
      <c r="B1728" s="174"/>
      <c r="C1728" s="174"/>
      <c r="D1728" s="174"/>
      <c r="E1728" s="174"/>
    </row>
    <row r="1729" spans="1:5" x14ac:dyDescent="0.3">
      <c r="A1729" s="174"/>
      <c r="B1729" s="174"/>
      <c r="C1729" s="174"/>
      <c r="D1729" s="174"/>
      <c r="E1729" s="174"/>
    </row>
    <row r="1730" spans="1:5" x14ac:dyDescent="0.3">
      <c r="A1730" s="174"/>
      <c r="B1730" s="174"/>
      <c r="C1730" s="174"/>
      <c r="D1730" s="174"/>
      <c r="E1730" s="174"/>
    </row>
    <row r="1731" spans="1:5" x14ac:dyDescent="0.3">
      <c r="A1731" s="174"/>
      <c r="B1731" s="174"/>
      <c r="C1731" s="174"/>
      <c r="D1731" s="174"/>
      <c r="E1731" s="174"/>
    </row>
    <row r="1732" spans="1:5" x14ac:dyDescent="0.3">
      <c r="A1732" s="174"/>
      <c r="B1732" s="174"/>
      <c r="C1732" s="174"/>
      <c r="D1732" s="174"/>
      <c r="E1732" s="174"/>
    </row>
    <row r="1733" spans="1:5" x14ac:dyDescent="0.3">
      <c r="A1733" s="174"/>
      <c r="B1733" s="174"/>
      <c r="C1733" s="174"/>
      <c r="D1733" s="174"/>
      <c r="E1733" s="174"/>
    </row>
    <row r="1734" spans="1:5" x14ac:dyDescent="0.3">
      <c r="A1734" s="174"/>
      <c r="B1734" s="174"/>
      <c r="C1734" s="174"/>
      <c r="D1734" s="174"/>
      <c r="E1734" s="174"/>
    </row>
    <row r="1735" spans="1:5" x14ac:dyDescent="0.3">
      <c r="A1735" s="174"/>
      <c r="B1735" s="174"/>
      <c r="C1735" s="174"/>
      <c r="D1735" s="174"/>
      <c r="E1735" s="174"/>
    </row>
    <row r="1736" spans="1:5" x14ac:dyDescent="0.3">
      <c r="A1736" s="174"/>
      <c r="B1736" s="174"/>
      <c r="C1736" s="174"/>
      <c r="D1736" s="174"/>
      <c r="E1736" s="174"/>
    </row>
    <row r="1737" spans="1:5" x14ac:dyDescent="0.3">
      <c r="A1737" s="174"/>
      <c r="B1737" s="174"/>
      <c r="C1737" s="174"/>
      <c r="D1737" s="174"/>
      <c r="E1737" s="174"/>
    </row>
    <row r="1738" spans="1:5" x14ac:dyDescent="0.3">
      <c r="A1738" s="174"/>
      <c r="B1738" s="174"/>
      <c r="C1738" s="174"/>
      <c r="D1738" s="174"/>
      <c r="E1738" s="174"/>
    </row>
    <row r="1739" spans="1:5" x14ac:dyDescent="0.3">
      <c r="A1739" s="174"/>
      <c r="B1739" s="174"/>
      <c r="C1739" s="174"/>
      <c r="D1739" s="174"/>
      <c r="E1739" s="174"/>
    </row>
    <row r="1740" spans="1:5" x14ac:dyDescent="0.3">
      <c r="A1740" s="174"/>
      <c r="B1740" s="174"/>
      <c r="C1740" s="174"/>
      <c r="D1740" s="174"/>
      <c r="E1740" s="174"/>
    </row>
    <row r="1741" spans="1:5" x14ac:dyDescent="0.3">
      <c r="A1741" s="174"/>
      <c r="B1741" s="174"/>
      <c r="C1741" s="174"/>
      <c r="D1741" s="174"/>
      <c r="E1741" s="174"/>
    </row>
    <row r="1742" spans="1:5" x14ac:dyDescent="0.3">
      <c r="A1742" s="174"/>
      <c r="B1742" s="174"/>
      <c r="C1742" s="174"/>
      <c r="D1742" s="174"/>
      <c r="E1742" s="174"/>
    </row>
    <row r="1743" spans="1:5" x14ac:dyDescent="0.3">
      <c r="A1743" s="174"/>
      <c r="B1743" s="174"/>
      <c r="C1743" s="174"/>
      <c r="D1743" s="174"/>
      <c r="E1743" s="174"/>
    </row>
    <row r="1744" spans="1:5" x14ac:dyDescent="0.3">
      <c r="A1744" s="174"/>
      <c r="B1744" s="174"/>
      <c r="C1744" s="174"/>
      <c r="D1744" s="174"/>
      <c r="E1744" s="174"/>
    </row>
    <row r="1745" spans="1:5" x14ac:dyDescent="0.3">
      <c r="A1745" s="174"/>
      <c r="B1745" s="174"/>
      <c r="C1745" s="174"/>
      <c r="D1745" s="174"/>
      <c r="E1745" s="174"/>
    </row>
    <row r="1746" spans="1:5" x14ac:dyDescent="0.3">
      <c r="A1746" s="174"/>
      <c r="B1746" s="174"/>
      <c r="C1746" s="174"/>
      <c r="D1746" s="174"/>
      <c r="E1746" s="174"/>
    </row>
    <row r="1747" spans="1:5" x14ac:dyDescent="0.3">
      <c r="A1747" s="174"/>
      <c r="B1747" s="174"/>
      <c r="C1747" s="174"/>
      <c r="D1747" s="174"/>
      <c r="E1747" s="174"/>
    </row>
    <row r="1748" spans="1:5" x14ac:dyDescent="0.3">
      <c r="A1748" s="174"/>
      <c r="B1748" s="174"/>
      <c r="C1748" s="174"/>
      <c r="D1748" s="174"/>
      <c r="E1748" s="174"/>
    </row>
    <row r="1749" spans="1:5" x14ac:dyDescent="0.3">
      <c r="A1749" s="174"/>
      <c r="B1749" s="174"/>
      <c r="C1749" s="174"/>
      <c r="D1749" s="174"/>
      <c r="E1749" s="174"/>
    </row>
    <row r="1750" spans="1:5" x14ac:dyDescent="0.3">
      <c r="A1750" s="174"/>
      <c r="B1750" s="174"/>
      <c r="C1750" s="174"/>
      <c r="D1750" s="174"/>
      <c r="E1750" s="174"/>
    </row>
    <row r="1751" spans="1:5" x14ac:dyDescent="0.3">
      <c r="A1751" s="174"/>
      <c r="B1751" s="174"/>
      <c r="C1751" s="174"/>
      <c r="D1751" s="174"/>
      <c r="E1751" s="174"/>
    </row>
    <row r="1752" spans="1:5" x14ac:dyDescent="0.3">
      <c r="A1752" s="174"/>
      <c r="B1752" s="174"/>
      <c r="C1752" s="174"/>
      <c r="D1752" s="174"/>
      <c r="E1752" s="174"/>
    </row>
    <row r="1753" spans="1:5" x14ac:dyDescent="0.3">
      <c r="A1753" s="174"/>
      <c r="B1753" s="174"/>
      <c r="C1753" s="174"/>
      <c r="D1753" s="174"/>
      <c r="E1753" s="174"/>
    </row>
    <row r="1754" spans="1:5" x14ac:dyDescent="0.3">
      <c r="A1754" s="174"/>
      <c r="B1754" s="174"/>
      <c r="C1754" s="174"/>
      <c r="D1754" s="174"/>
      <c r="E1754" s="174"/>
    </row>
    <row r="1755" spans="1:5" x14ac:dyDescent="0.3">
      <c r="A1755" s="174"/>
      <c r="B1755" s="174"/>
      <c r="C1755" s="174"/>
      <c r="D1755" s="174"/>
      <c r="E1755" s="174"/>
    </row>
    <row r="1756" spans="1:5" x14ac:dyDescent="0.3">
      <c r="A1756" s="174"/>
      <c r="B1756" s="174"/>
      <c r="C1756" s="174"/>
      <c r="D1756" s="174"/>
      <c r="E1756" s="174"/>
    </row>
    <row r="1757" spans="1:5" x14ac:dyDescent="0.3">
      <c r="A1757" s="174"/>
      <c r="B1757" s="174"/>
      <c r="C1757" s="174"/>
      <c r="D1757" s="174"/>
      <c r="E1757" s="174"/>
    </row>
    <row r="1758" spans="1:5" x14ac:dyDescent="0.3">
      <c r="A1758" s="174"/>
      <c r="B1758" s="174"/>
      <c r="C1758" s="174"/>
      <c r="D1758" s="174"/>
      <c r="E1758" s="174"/>
    </row>
    <row r="1759" spans="1:5" x14ac:dyDescent="0.3">
      <c r="A1759" s="174"/>
      <c r="B1759" s="174"/>
      <c r="C1759" s="174"/>
      <c r="D1759" s="174"/>
      <c r="E1759" s="174"/>
    </row>
    <row r="1760" spans="1:5" x14ac:dyDescent="0.3">
      <c r="A1760" s="174"/>
      <c r="B1760" s="174"/>
      <c r="C1760" s="174"/>
      <c r="D1760" s="174"/>
      <c r="E1760" s="174"/>
    </row>
    <row r="1761" spans="1:5" x14ac:dyDescent="0.3">
      <c r="A1761" s="174"/>
      <c r="B1761" s="174"/>
      <c r="C1761" s="174"/>
      <c r="D1761" s="174"/>
      <c r="E1761" s="174"/>
    </row>
    <row r="1762" spans="1:5" x14ac:dyDescent="0.3">
      <c r="A1762" s="174"/>
      <c r="B1762" s="174"/>
      <c r="C1762" s="174"/>
      <c r="D1762" s="174"/>
      <c r="E1762" s="174"/>
    </row>
    <row r="1763" spans="1:5" x14ac:dyDescent="0.3">
      <c r="A1763" s="174"/>
      <c r="B1763" s="174"/>
      <c r="C1763" s="174"/>
      <c r="D1763" s="174"/>
      <c r="E1763" s="174"/>
    </row>
    <row r="1764" spans="1:5" x14ac:dyDescent="0.3">
      <c r="A1764" s="174"/>
      <c r="B1764" s="174"/>
      <c r="C1764" s="174"/>
      <c r="D1764" s="174"/>
      <c r="E1764" s="174"/>
    </row>
    <row r="1765" spans="1:5" x14ac:dyDescent="0.3">
      <c r="A1765" s="174"/>
      <c r="B1765" s="174"/>
      <c r="C1765" s="174"/>
      <c r="D1765" s="174"/>
      <c r="E1765" s="174"/>
    </row>
    <row r="1766" spans="1:5" x14ac:dyDescent="0.3">
      <c r="A1766" s="174"/>
      <c r="B1766" s="174"/>
      <c r="C1766" s="174"/>
      <c r="D1766" s="174"/>
      <c r="E1766" s="174"/>
    </row>
    <row r="1767" spans="1:5" x14ac:dyDescent="0.3">
      <c r="A1767" s="174"/>
      <c r="B1767" s="174"/>
      <c r="C1767" s="174"/>
      <c r="D1767" s="174"/>
      <c r="E1767" s="174"/>
    </row>
    <row r="1768" spans="1:5" x14ac:dyDescent="0.3">
      <c r="A1768" s="174"/>
      <c r="B1768" s="174"/>
      <c r="C1768" s="174"/>
      <c r="D1768" s="174"/>
      <c r="E1768" s="174"/>
    </row>
    <row r="1769" spans="1:5" x14ac:dyDescent="0.3">
      <c r="A1769" s="174"/>
      <c r="B1769" s="174"/>
      <c r="C1769" s="174"/>
      <c r="D1769" s="174"/>
      <c r="E1769" s="174"/>
    </row>
    <row r="1770" spans="1:5" x14ac:dyDescent="0.3">
      <c r="A1770" s="174"/>
      <c r="B1770" s="174"/>
      <c r="C1770" s="174"/>
      <c r="D1770" s="174"/>
      <c r="E1770" s="174"/>
    </row>
    <row r="1771" spans="1:5" x14ac:dyDescent="0.3">
      <c r="A1771" s="174"/>
      <c r="B1771" s="174"/>
      <c r="C1771" s="174"/>
      <c r="D1771" s="174"/>
      <c r="E1771" s="174"/>
    </row>
    <row r="1772" spans="1:5" x14ac:dyDescent="0.3">
      <c r="A1772" s="174"/>
      <c r="B1772" s="174"/>
      <c r="C1772" s="174"/>
      <c r="D1772" s="174"/>
      <c r="E1772" s="174"/>
    </row>
    <row r="1773" spans="1:5" x14ac:dyDescent="0.3">
      <c r="A1773" s="174"/>
      <c r="B1773" s="174"/>
      <c r="C1773" s="174"/>
      <c r="D1773" s="174"/>
      <c r="E1773" s="174"/>
    </row>
    <row r="1774" spans="1:5" x14ac:dyDescent="0.3">
      <c r="A1774" s="174"/>
      <c r="B1774" s="174"/>
      <c r="C1774" s="174"/>
      <c r="D1774" s="174"/>
      <c r="E1774" s="174"/>
    </row>
    <row r="1775" spans="1:5" x14ac:dyDescent="0.3">
      <c r="A1775" s="174"/>
      <c r="B1775" s="174"/>
      <c r="C1775" s="174"/>
      <c r="D1775" s="174"/>
      <c r="E1775" s="174"/>
    </row>
    <row r="1776" spans="1:5" x14ac:dyDescent="0.3">
      <c r="A1776" s="174"/>
      <c r="B1776" s="174"/>
      <c r="C1776" s="174"/>
      <c r="D1776" s="174"/>
      <c r="E1776" s="174"/>
    </row>
    <row r="1777" spans="1:5" x14ac:dyDescent="0.3">
      <c r="A1777" s="174"/>
      <c r="B1777" s="174"/>
      <c r="C1777" s="174"/>
      <c r="D1777" s="174"/>
      <c r="E1777" s="174"/>
    </row>
    <row r="1778" spans="1:5" x14ac:dyDescent="0.3">
      <c r="A1778" s="174"/>
      <c r="B1778" s="174"/>
      <c r="C1778" s="174"/>
      <c r="D1778" s="174"/>
      <c r="E1778" s="174"/>
    </row>
    <row r="1779" spans="1:5" x14ac:dyDescent="0.3">
      <c r="A1779" s="174"/>
      <c r="B1779" s="174"/>
      <c r="C1779" s="174"/>
      <c r="D1779" s="174"/>
      <c r="E1779" s="174"/>
    </row>
    <row r="1780" spans="1:5" x14ac:dyDescent="0.3">
      <c r="A1780" s="174"/>
      <c r="B1780" s="174"/>
      <c r="C1780" s="174"/>
      <c r="D1780" s="174"/>
      <c r="E1780" s="174"/>
    </row>
    <row r="1781" spans="1:5" x14ac:dyDescent="0.3">
      <c r="A1781" s="174"/>
      <c r="B1781" s="174"/>
      <c r="C1781" s="174"/>
      <c r="D1781" s="174"/>
      <c r="E1781" s="174"/>
    </row>
    <row r="1782" spans="1:5" x14ac:dyDescent="0.3">
      <c r="A1782" s="174"/>
      <c r="B1782" s="174"/>
      <c r="C1782" s="174"/>
      <c r="D1782" s="174"/>
      <c r="E1782" s="174"/>
    </row>
    <row r="1783" spans="1:5" x14ac:dyDescent="0.3">
      <c r="A1783" s="174"/>
      <c r="B1783" s="174"/>
      <c r="C1783" s="174"/>
      <c r="D1783" s="174"/>
      <c r="E1783" s="174"/>
    </row>
    <row r="1784" spans="1:5" x14ac:dyDescent="0.3">
      <c r="A1784" s="174"/>
      <c r="B1784" s="174"/>
      <c r="C1784" s="174"/>
      <c r="D1784" s="174"/>
      <c r="E1784" s="174"/>
    </row>
    <row r="1785" spans="1:5" x14ac:dyDescent="0.3">
      <c r="A1785" s="174"/>
      <c r="B1785" s="174"/>
      <c r="C1785" s="174"/>
      <c r="D1785" s="174"/>
      <c r="E1785" s="174"/>
    </row>
    <row r="1786" spans="1:5" x14ac:dyDescent="0.3">
      <c r="A1786" s="174"/>
      <c r="B1786" s="174"/>
      <c r="C1786" s="174"/>
      <c r="D1786" s="174"/>
      <c r="E1786" s="174"/>
    </row>
    <row r="1787" spans="1:5" x14ac:dyDescent="0.3">
      <c r="A1787" s="174"/>
      <c r="B1787" s="174"/>
      <c r="C1787" s="174"/>
      <c r="D1787" s="174"/>
      <c r="E1787" s="174"/>
    </row>
    <row r="1788" spans="1:5" x14ac:dyDescent="0.3">
      <c r="A1788" s="174"/>
      <c r="B1788" s="174"/>
      <c r="C1788" s="174"/>
      <c r="D1788" s="174"/>
      <c r="E1788" s="174"/>
    </row>
    <row r="1789" spans="1:5" x14ac:dyDescent="0.3">
      <c r="A1789" s="174"/>
      <c r="B1789" s="174"/>
      <c r="C1789" s="174"/>
      <c r="D1789" s="174"/>
      <c r="E1789" s="174"/>
    </row>
    <row r="1790" spans="1:5" x14ac:dyDescent="0.3">
      <c r="A1790" s="174"/>
      <c r="B1790" s="174"/>
      <c r="C1790" s="174"/>
      <c r="D1790" s="174"/>
      <c r="E1790" s="174"/>
    </row>
    <row r="1791" spans="1:5" x14ac:dyDescent="0.3">
      <c r="A1791" s="174"/>
      <c r="B1791" s="174"/>
      <c r="C1791" s="174"/>
      <c r="D1791" s="174"/>
      <c r="E1791" s="174"/>
    </row>
    <row r="1792" spans="1:5" x14ac:dyDescent="0.3">
      <c r="A1792" s="174"/>
      <c r="B1792" s="174"/>
      <c r="C1792" s="174"/>
      <c r="D1792" s="174"/>
      <c r="E1792" s="174"/>
    </row>
    <row r="1793" spans="1:5" x14ac:dyDescent="0.3">
      <c r="A1793" s="174"/>
      <c r="B1793" s="174"/>
      <c r="C1793" s="174"/>
      <c r="D1793" s="174"/>
      <c r="E1793" s="174"/>
    </row>
    <row r="1794" spans="1:5" x14ac:dyDescent="0.3">
      <c r="A1794" s="174"/>
      <c r="B1794" s="174"/>
      <c r="C1794" s="174"/>
      <c r="D1794" s="174"/>
      <c r="E1794" s="174"/>
    </row>
    <row r="1795" spans="1:5" x14ac:dyDescent="0.3">
      <c r="A1795" s="174"/>
      <c r="B1795" s="174"/>
      <c r="C1795" s="174"/>
      <c r="D1795" s="174"/>
      <c r="E1795" s="174"/>
    </row>
    <row r="1796" spans="1:5" x14ac:dyDescent="0.3">
      <c r="A1796" s="174"/>
      <c r="B1796" s="174"/>
      <c r="C1796" s="174"/>
      <c r="D1796" s="174"/>
      <c r="E1796" s="174"/>
    </row>
    <row r="1797" spans="1:5" x14ac:dyDescent="0.3">
      <c r="A1797" s="174"/>
      <c r="B1797" s="174"/>
      <c r="C1797" s="174"/>
      <c r="D1797" s="174"/>
      <c r="E1797" s="174"/>
    </row>
    <row r="1798" spans="1:5" x14ac:dyDescent="0.3">
      <c r="A1798" s="174"/>
      <c r="B1798" s="174"/>
      <c r="C1798" s="174"/>
      <c r="D1798" s="174"/>
      <c r="E1798" s="174"/>
    </row>
    <row r="1799" spans="1:5" x14ac:dyDescent="0.3">
      <c r="A1799" s="174"/>
      <c r="B1799" s="174"/>
      <c r="C1799" s="174"/>
      <c r="D1799" s="174"/>
      <c r="E1799" s="174"/>
    </row>
    <row r="1800" spans="1:5" x14ac:dyDescent="0.3">
      <c r="A1800" s="174"/>
      <c r="B1800" s="174"/>
      <c r="C1800" s="174"/>
      <c r="D1800" s="174"/>
      <c r="E1800" s="174"/>
    </row>
    <row r="1801" spans="1:5" x14ac:dyDescent="0.3">
      <c r="A1801" s="174"/>
      <c r="B1801" s="174"/>
      <c r="C1801" s="174"/>
      <c r="D1801" s="174"/>
      <c r="E1801" s="174"/>
    </row>
    <row r="1802" spans="1:5" x14ac:dyDescent="0.3">
      <c r="A1802" s="174"/>
      <c r="B1802" s="174"/>
      <c r="C1802" s="174"/>
      <c r="D1802" s="174"/>
      <c r="E1802" s="174"/>
    </row>
    <row r="1803" spans="1:5" x14ac:dyDescent="0.3">
      <c r="A1803" s="174"/>
      <c r="B1803" s="174"/>
      <c r="C1803" s="174"/>
      <c r="D1803" s="174"/>
      <c r="E1803" s="174"/>
    </row>
    <row r="1804" spans="1:5" x14ac:dyDescent="0.3">
      <c r="A1804" s="174"/>
      <c r="B1804" s="174"/>
      <c r="C1804" s="174"/>
      <c r="D1804" s="174"/>
      <c r="E1804" s="174"/>
    </row>
    <row r="1805" spans="1:5" x14ac:dyDescent="0.3">
      <c r="A1805" s="174"/>
      <c r="B1805" s="174"/>
      <c r="C1805" s="174"/>
      <c r="D1805" s="174"/>
      <c r="E1805" s="174"/>
    </row>
    <row r="1806" spans="1:5" x14ac:dyDescent="0.3">
      <c r="A1806" s="174"/>
      <c r="B1806" s="174"/>
      <c r="C1806" s="174"/>
      <c r="D1806" s="174"/>
      <c r="E1806" s="174"/>
    </row>
    <row r="1807" spans="1:5" x14ac:dyDescent="0.3">
      <c r="A1807" s="174"/>
      <c r="B1807" s="174"/>
      <c r="C1807" s="174"/>
      <c r="D1807" s="174"/>
      <c r="E1807" s="174"/>
    </row>
    <row r="1808" spans="1:5" x14ac:dyDescent="0.3">
      <c r="A1808" s="174"/>
      <c r="B1808" s="174"/>
      <c r="C1808" s="174"/>
      <c r="D1808" s="174"/>
      <c r="E1808" s="174"/>
    </row>
    <row r="1809" spans="1:5" x14ac:dyDescent="0.3">
      <c r="A1809" s="174"/>
      <c r="B1809" s="174"/>
      <c r="C1809" s="174"/>
      <c r="D1809" s="174"/>
      <c r="E1809" s="174"/>
    </row>
    <row r="1810" spans="1:5" x14ac:dyDescent="0.3">
      <c r="A1810" s="174"/>
      <c r="B1810" s="174"/>
      <c r="C1810" s="174"/>
      <c r="D1810" s="174"/>
      <c r="E1810" s="174"/>
    </row>
    <row r="1811" spans="1:5" x14ac:dyDescent="0.3">
      <c r="A1811" s="174"/>
      <c r="B1811" s="174"/>
      <c r="C1811" s="174"/>
      <c r="D1811" s="174"/>
      <c r="E1811" s="174"/>
    </row>
    <row r="1812" spans="1:5" x14ac:dyDescent="0.3">
      <c r="A1812" s="174"/>
      <c r="B1812" s="174"/>
      <c r="C1812" s="174"/>
      <c r="D1812" s="174"/>
      <c r="E1812" s="174"/>
    </row>
    <row r="1813" spans="1:5" x14ac:dyDescent="0.3">
      <c r="A1813" s="174"/>
      <c r="B1813" s="174"/>
      <c r="C1813" s="174"/>
      <c r="D1813" s="174"/>
      <c r="E1813" s="174"/>
    </row>
    <row r="1814" spans="1:5" x14ac:dyDescent="0.3">
      <c r="A1814" s="174"/>
      <c r="B1814" s="174"/>
      <c r="C1814" s="174"/>
      <c r="D1814" s="174"/>
      <c r="E1814" s="174"/>
    </row>
    <row r="1815" spans="1:5" x14ac:dyDescent="0.3">
      <c r="A1815" s="174"/>
      <c r="B1815" s="174"/>
      <c r="C1815" s="174"/>
      <c r="D1815" s="174"/>
      <c r="E1815" s="174"/>
    </row>
    <row r="1816" spans="1:5" x14ac:dyDescent="0.3">
      <c r="A1816" s="174"/>
      <c r="B1816" s="174"/>
      <c r="C1816" s="174"/>
      <c r="D1816" s="174"/>
      <c r="E1816" s="174"/>
    </row>
    <row r="1817" spans="1:5" x14ac:dyDescent="0.3">
      <c r="A1817" s="174"/>
      <c r="B1817" s="174"/>
      <c r="C1817" s="174"/>
      <c r="D1817" s="174"/>
      <c r="E1817" s="174"/>
    </row>
    <row r="1818" spans="1:5" x14ac:dyDescent="0.3">
      <c r="A1818" s="174"/>
      <c r="B1818" s="174"/>
      <c r="C1818" s="174"/>
      <c r="D1818" s="174"/>
      <c r="E1818" s="174"/>
    </row>
    <row r="1819" spans="1:5" x14ac:dyDescent="0.3">
      <c r="A1819" s="174"/>
      <c r="B1819" s="174"/>
      <c r="C1819" s="174"/>
      <c r="D1819" s="174"/>
      <c r="E1819" s="174"/>
    </row>
    <row r="1820" spans="1:5" x14ac:dyDescent="0.3">
      <c r="A1820" s="174"/>
      <c r="B1820" s="174"/>
      <c r="C1820" s="174"/>
      <c r="D1820" s="174"/>
      <c r="E1820" s="174"/>
    </row>
    <row r="1821" spans="1:5" x14ac:dyDescent="0.3">
      <c r="A1821" s="174"/>
      <c r="B1821" s="174"/>
      <c r="C1821" s="174"/>
      <c r="D1821" s="174"/>
      <c r="E1821" s="174"/>
    </row>
    <row r="1822" spans="1:5" x14ac:dyDescent="0.3">
      <c r="A1822" s="174"/>
      <c r="B1822" s="174"/>
      <c r="C1822" s="174"/>
      <c r="D1822" s="174"/>
      <c r="E1822" s="174"/>
    </row>
    <row r="1823" spans="1:5" x14ac:dyDescent="0.3">
      <c r="A1823" s="174"/>
      <c r="B1823" s="174"/>
      <c r="C1823" s="174"/>
      <c r="D1823" s="174"/>
      <c r="E1823" s="174"/>
    </row>
    <row r="1824" spans="1:5" x14ac:dyDescent="0.3">
      <c r="A1824" s="174"/>
      <c r="B1824" s="174"/>
      <c r="C1824" s="174"/>
      <c r="D1824" s="174"/>
      <c r="E1824" s="174"/>
    </row>
    <row r="1825" spans="1:5" x14ac:dyDescent="0.3">
      <c r="A1825" s="174"/>
      <c r="B1825" s="174"/>
      <c r="C1825" s="174"/>
      <c r="D1825" s="174"/>
      <c r="E1825" s="174"/>
    </row>
    <row r="1826" spans="1:5" x14ac:dyDescent="0.3">
      <c r="A1826" s="174"/>
      <c r="B1826" s="174"/>
      <c r="C1826" s="174"/>
      <c r="D1826" s="174"/>
      <c r="E1826" s="174"/>
    </row>
    <row r="1827" spans="1:5" x14ac:dyDescent="0.3">
      <c r="A1827" s="174"/>
      <c r="B1827" s="174"/>
      <c r="C1827" s="174"/>
      <c r="D1827" s="174"/>
      <c r="E1827" s="174"/>
    </row>
    <row r="1828" spans="1:5" x14ac:dyDescent="0.3">
      <c r="A1828" s="174"/>
      <c r="B1828" s="174"/>
      <c r="C1828" s="174"/>
      <c r="D1828" s="174"/>
      <c r="E1828" s="174"/>
    </row>
    <row r="1829" spans="1:5" x14ac:dyDescent="0.3">
      <c r="A1829" s="174"/>
      <c r="B1829" s="174"/>
      <c r="C1829" s="174"/>
      <c r="D1829" s="174"/>
      <c r="E1829" s="174"/>
    </row>
    <row r="1830" spans="1:5" x14ac:dyDescent="0.3">
      <c r="A1830" s="174"/>
      <c r="B1830" s="174"/>
      <c r="C1830" s="174"/>
      <c r="D1830" s="174"/>
      <c r="E1830" s="174"/>
    </row>
    <row r="1831" spans="1:5" x14ac:dyDescent="0.3">
      <c r="A1831" s="174"/>
      <c r="B1831" s="174"/>
      <c r="C1831" s="174"/>
      <c r="D1831" s="174"/>
      <c r="E1831" s="174"/>
    </row>
    <row r="1832" spans="1:5" x14ac:dyDescent="0.3">
      <c r="A1832" s="174"/>
      <c r="B1832" s="174"/>
      <c r="C1832" s="174"/>
      <c r="D1832" s="174"/>
      <c r="E1832" s="174"/>
    </row>
    <row r="1833" spans="1:5" x14ac:dyDescent="0.3">
      <c r="A1833" s="174"/>
      <c r="B1833" s="174"/>
      <c r="C1833" s="174"/>
      <c r="D1833" s="174"/>
      <c r="E1833" s="174"/>
    </row>
    <row r="1834" spans="1:5" x14ac:dyDescent="0.3">
      <c r="A1834" s="174"/>
      <c r="B1834" s="174"/>
      <c r="C1834" s="174"/>
      <c r="D1834" s="174"/>
      <c r="E1834" s="174"/>
    </row>
    <row r="1835" spans="1:5" x14ac:dyDescent="0.3">
      <c r="A1835" s="174"/>
      <c r="B1835" s="174"/>
      <c r="C1835" s="174"/>
      <c r="D1835" s="174"/>
      <c r="E1835" s="174"/>
    </row>
    <row r="1836" spans="1:5" x14ac:dyDescent="0.3">
      <c r="A1836" s="174"/>
      <c r="B1836" s="174"/>
      <c r="C1836" s="174"/>
      <c r="D1836" s="174"/>
      <c r="E1836" s="174"/>
    </row>
    <row r="1837" spans="1:5" x14ac:dyDescent="0.3">
      <c r="A1837" s="174"/>
      <c r="B1837" s="174"/>
      <c r="C1837" s="174"/>
      <c r="D1837" s="174"/>
      <c r="E1837" s="174"/>
    </row>
    <row r="1838" spans="1:5" x14ac:dyDescent="0.3">
      <c r="A1838" s="174"/>
      <c r="B1838" s="174"/>
      <c r="C1838" s="174"/>
      <c r="D1838" s="174"/>
      <c r="E1838" s="174"/>
    </row>
    <row r="1839" spans="1:5" x14ac:dyDescent="0.3">
      <c r="A1839" s="174"/>
      <c r="B1839" s="174"/>
      <c r="C1839" s="174"/>
      <c r="D1839" s="174"/>
      <c r="E1839" s="174"/>
    </row>
    <row r="1840" spans="1:5" x14ac:dyDescent="0.3">
      <c r="A1840" s="174"/>
      <c r="B1840" s="174"/>
      <c r="C1840" s="174"/>
      <c r="D1840" s="174"/>
      <c r="E1840" s="174"/>
    </row>
    <row r="1841" spans="1:5" x14ac:dyDescent="0.3">
      <c r="A1841" s="174"/>
      <c r="B1841" s="174"/>
      <c r="C1841" s="174"/>
      <c r="D1841" s="174"/>
      <c r="E1841" s="174"/>
    </row>
    <row r="1842" spans="1:5" x14ac:dyDescent="0.3">
      <c r="A1842" s="174"/>
      <c r="B1842" s="174"/>
      <c r="C1842" s="174"/>
      <c r="D1842" s="174"/>
      <c r="E1842" s="174"/>
    </row>
    <row r="1843" spans="1:5" x14ac:dyDescent="0.3">
      <c r="A1843" s="174"/>
      <c r="B1843" s="174"/>
      <c r="C1843" s="174"/>
      <c r="D1843" s="174"/>
      <c r="E1843" s="174"/>
    </row>
    <row r="1844" spans="1:5" x14ac:dyDescent="0.3">
      <c r="A1844" s="174"/>
      <c r="B1844" s="174"/>
      <c r="C1844" s="174"/>
      <c r="D1844" s="174"/>
      <c r="E1844" s="174"/>
    </row>
    <row r="1845" spans="1:5" x14ac:dyDescent="0.3">
      <c r="A1845" s="174"/>
      <c r="B1845" s="174"/>
      <c r="C1845" s="174"/>
      <c r="D1845" s="174"/>
      <c r="E1845" s="174"/>
    </row>
    <row r="1846" spans="1:5" x14ac:dyDescent="0.3">
      <c r="A1846" s="174"/>
      <c r="B1846" s="174"/>
      <c r="C1846" s="174"/>
      <c r="D1846" s="174"/>
      <c r="E1846" s="174"/>
    </row>
    <row r="1847" spans="1:5" x14ac:dyDescent="0.3">
      <c r="A1847" s="174"/>
      <c r="B1847" s="174"/>
      <c r="C1847" s="174"/>
      <c r="D1847" s="174"/>
      <c r="E1847" s="174"/>
    </row>
    <row r="1848" spans="1:5" x14ac:dyDescent="0.3">
      <c r="A1848" s="174"/>
      <c r="B1848" s="174"/>
      <c r="C1848" s="174"/>
      <c r="D1848" s="174"/>
      <c r="E1848" s="174"/>
    </row>
    <row r="1849" spans="1:5" x14ac:dyDescent="0.3">
      <c r="A1849" s="174"/>
      <c r="B1849" s="174"/>
      <c r="C1849" s="174"/>
      <c r="D1849" s="174"/>
      <c r="E1849" s="174"/>
    </row>
    <row r="1850" spans="1:5" x14ac:dyDescent="0.3">
      <c r="A1850" s="174"/>
      <c r="B1850" s="174"/>
      <c r="C1850" s="174"/>
      <c r="D1850" s="174"/>
      <c r="E1850" s="174"/>
    </row>
    <row r="1851" spans="1:5" x14ac:dyDescent="0.3">
      <c r="A1851" s="174"/>
      <c r="B1851" s="174"/>
      <c r="C1851" s="174"/>
      <c r="D1851" s="174"/>
      <c r="E1851" s="174"/>
    </row>
    <row r="1852" spans="1:5" x14ac:dyDescent="0.3">
      <c r="A1852" s="174"/>
      <c r="B1852" s="174"/>
      <c r="C1852" s="174"/>
      <c r="D1852" s="174"/>
      <c r="E1852" s="174"/>
    </row>
    <row r="1853" spans="1:5" x14ac:dyDescent="0.3">
      <c r="A1853" s="174"/>
      <c r="B1853" s="174"/>
      <c r="C1853" s="174"/>
      <c r="D1853" s="174"/>
      <c r="E1853" s="174"/>
    </row>
    <row r="1854" spans="1:5" x14ac:dyDescent="0.3">
      <c r="A1854" s="174"/>
      <c r="B1854" s="174"/>
      <c r="C1854" s="174"/>
      <c r="D1854" s="174"/>
      <c r="E1854" s="174"/>
    </row>
    <row r="1855" spans="1:5" x14ac:dyDescent="0.3">
      <c r="A1855" s="174"/>
      <c r="B1855" s="174"/>
      <c r="C1855" s="174"/>
      <c r="D1855" s="174"/>
      <c r="E1855" s="174"/>
    </row>
    <row r="1856" spans="1:5" x14ac:dyDescent="0.3">
      <c r="A1856" s="174"/>
      <c r="B1856" s="174"/>
      <c r="C1856" s="174"/>
      <c r="D1856" s="174"/>
      <c r="E1856" s="174"/>
    </row>
    <row r="1857" spans="1:5" x14ac:dyDescent="0.3">
      <c r="A1857" s="174"/>
      <c r="B1857" s="174"/>
      <c r="C1857" s="174"/>
      <c r="D1857" s="174"/>
      <c r="E1857" s="174"/>
    </row>
    <row r="1858" spans="1:5" x14ac:dyDescent="0.3">
      <c r="A1858" s="174"/>
      <c r="B1858" s="174"/>
      <c r="C1858" s="174"/>
      <c r="D1858" s="174"/>
      <c r="E1858" s="174"/>
    </row>
    <row r="1859" spans="1:5" x14ac:dyDescent="0.3">
      <c r="A1859" s="174"/>
      <c r="B1859" s="174"/>
      <c r="C1859" s="174"/>
      <c r="D1859" s="174"/>
      <c r="E1859" s="174"/>
    </row>
    <row r="1860" spans="1:5" x14ac:dyDescent="0.3">
      <c r="A1860" s="174"/>
      <c r="B1860" s="174"/>
      <c r="C1860" s="174"/>
      <c r="D1860" s="174"/>
      <c r="E1860" s="174"/>
    </row>
    <row r="1861" spans="1:5" x14ac:dyDescent="0.3">
      <c r="A1861" s="174"/>
      <c r="B1861" s="174"/>
      <c r="C1861" s="174"/>
      <c r="D1861" s="174"/>
      <c r="E1861" s="174"/>
    </row>
    <row r="1862" spans="1:5" x14ac:dyDescent="0.3">
      <c r="A1862" s="174"/>
      <c r="B1862" s="174"/>
      <c r="C1862" s="174"/>
      <c r="D1862" s="174"/>
      <c r="E1862" s="174"/>
    </row>
    <row r="1863" spans="1:5" x14ac:dyDescent="0.3">
      <c r="A1863" s="174"/>
      <c r="B1863" s="174"/>
      <c r="C1863" s="174"/>
      <c r="D1863" s="174"/>
      <c r="E1863" s="174"/>
    </row>
    <row r="1864" spans="1:5" x14ac:dyDescent="0.3">
      <c r="A1864" s="174"/>
      <c r="B1864" s="174"/>
      <c r="C1864" s="174"/>
      <c r="D1864" s="174"/>
      <c r="E1864" s="174"/>
    </row>
    <row r="1865" spans="1:5" x14ac:dyDescent="0.3">
      <c r="A1865" s="174"/>
      <c r="B1865" s="174"/>
      <c r="C1865" s="174"/>
      <c r="D1865" s="174"/>
      <c r="E1865" s="174"/>
    </row>
    <row r="1866" spans="1:5" x14ac:dyDescent="0.3">
      <c r="A1866" s="174"/>
      <c r="B1866" s="174"/>
      <c r="C1866" s="174"/>
      <c r="D1866" s="174"/>
      <c r="E1866" s="174"/>
    </row>
    <row r="1867" spans="1:5" x14ac:dyDescent="0.3">
      <c r="A1867" s="174"/>
      <c r="B1867" s="174"/>
      <c r="C1867" s="174"/>
      <c r="D1867" s="174"/>
      <c r="E1867" s="174"/>
    </row>
    <row r="1868" spans="1:5" x14ac:dyDescent="0.3">
      <c r="A1868" s="174"/>
      <c r="B1868" s="174"/>
      <c r="C1868" s="174"/>
      <c r="D1868" s="174"/>
      <c r="E1868" s="174"/>
    </row>
    <row r="1869" spans="1:5" x14ac:dyDescent="0.3">
      <c r="A1869" s="174"/>
      <c r="B1869" s="174"/>
      <c r="C1869" s="174"/>
      <c r="D1869" s="174"/>
      <c r="E1869" s="174"/>
    </row>
    <row r="1870" spans="1:5" x14ac:dyDescent="0.3">
      <c r="A1870" s="174"/>
      <c r="B1870" s="174"/>
      <c r="C1870" s="174"/>
      <c r="D1870" s="174"/>
      <c r="E1870" s="174"/>
    </row>
    <row r="1871" spans="1:5" x14ac:dyDescent="0.3">
      <c r="A1871" s="174"/>
      <c r="B1871" s="174"/>
      <c r="C1871" s="174"/>
      <c r="D1871" s="174"/>
      <c r="E1871" s="174"/>
    </row>
    <row r="1872" spans="1:5" x14ac:dyDescent="0.3">
      <c r="A1872" s="174"/>
      <c r="B1872" s="174"/>
      <c r="C1872" s="174"/>
      <c r="D1872" s="174"/>
      <c r="E1872" s="174"/>
    </row>
    <row r="1873" spans="1:5" x14ac:dyDescent="0.3">
      <c r="A1873" s="174"/>
      <c r="B1873" s="174"/>
      <c r="C1873" s="174"/>
      <c r="D1873" s="174"/>
      <c r="E1873" s="174"/>
    </row>
    <row r="1874" spans="1:5" x14ac:dyDescent="0.3">
      <c r="A1874" s="174"/>
      <c r="B1874" s="174"/>
      <c r="C1874" s="174"/>
      <c r="D1874" s="174"/>
      <c r="E1874" s="174"/>
    </row>
    <row r="1875" spans="1:5" x14ac:dyDescent="0.3">
      <c r="A1875" s="174"/>
      <c r="B1875" s="174"/>
      <c r="C1875" s="174"/>
      <c r="D1875" s="174"/>
      <c r="E1875" s="174"/>
    </row>
    <row r="1876" spans="1:5" x14ac:dyDescent="0.3">
      <c r="A1876" s="174"/>
      <c r="B1876" s="174"/>
      <c r="C1876" s="174"/>
      <c r="D1876" s="174"/>
      <c r="E1876" s="174"/>
    </row>
    <row r="1877" spans="1:5" x14ac:dyDescent="0.3">
      <c r="A1877" s="174"/>
      <c r="B1877" s="174"/>
      <c r="C1877" s="174"/>
      <c r="D1877" s="174"/>
      <c r="E1877" s="174"/>
    </row>
    <row r="1878" spans="1:5" x14ac:dyDescent="0.3">
      <c r="A1878" s="174"/>
      <c r="B1878" s="174"/>
      <c r="C1878" s="174"/>
      <c r="D1878" s="174"/>
      <c r="E1878" s="174"/>
    </row>
    <row r="1879" spans="1:5" x14ac:dyDescent="0.3">
      <c r="A1879" s="174"/>
      <c r="B1879" s="174"/>
      <c r="C1879" s="174"/>
      <c r="D1879" s="174"/>
      <c r="E1879" s="174"/>
    </row>
    <row r="1880" spans="1:5" x14ac:dyDescent="0.3">
      <c r="A1880" s="174"/>
      <c r="B1880" s="174"/>
      <c r="C1880" s="174"/>
      <c r="D1880" s="174"/>
      <c r="E1880" s="174"/>
    </row>
    <row r="1881" spans="1:5" x14ac:dyDescent="0.3">
      <c r="A1881" s="174"/>
      <c r="B1881" s="174"/>
      <c r="C1881" s="174"/>
      <c r="D1881" s="174"/>
      <c r="E1881" s="174"/>
    </row>
    <row r="1882" spans="1:5" x14ac:dyDescent="0.3">
      <c r="A1882" s="174"/>
      <c r="B1882" s="174"/>
      <c r="C1882" s="174"/>
      <c r="D1882" s="174"/>
      <c r="E1882" s="174"/>
    </row>
    <row r="1883" spans="1:5" x14ac:dyDescent="0.3">
      <c r="A1883" s="174"/>
      <c r="B1883" s="174"/>
      <c r="C1883" s="174"/>
      <c r="D1883" s="174"/>
      <c r="E1883" s="174"/>
    </row>
    <row r="1884" spans="1:5" x14ac:dyDescent="0.3">
      <c r="A1884" s="174"/>
      <c r="B1884" s="174"/>
      <c r="C1884" s="174"/>
      <c r="D1884" s="174"/>
      <c r="E1884" s="174"/>
    </row>
    <row r="1885" spans="1:5" x14ac:dyDescent="0.3">
      <c r="A1885" s="174"/>
      <c r="B1885" s="174"/>
      <c r="C1885" s="174"/>
      <c r="D1885" s="174"/>
      <c r="E1885" s="174"/>
    </row>
    <row r="1886" spans="1:5" x14ac:dyDescent="0.3">
      <c r="A1886" s="174"/>
      <c r="B1886" s="174"/>
      <c r="C1886" s="174"/>
      <c r="D1886" s="174"/>
      <c r="E1886" s="174"/>
    </row>
    <row r="1887" spans="1:5" x14ac:dyDescent="0.3">
      <c r="A1887" s="174"/>
      <c r="B1887" s="174"/>
      <c r="C1887" s="174"/>
      <c r="D1887" s="174"/>
      <c r="E1887" s="174"/>
    </row>
    <row r="1888" spans="1:5" x14ac:dyDescent="0.3">
      <c r="A1888" s="174"/>
      <c r="B1888" s="174"/>
      <c r="C1888" s="174"/>
      <c r="D1888" s="174"/>
      <c r="E1888" s="174"/>
    </row>
    <row r="1889" spans="1:5" x14ac:dyDescent="0.3">
      <c r="A1889" s="174"/>
      <c r="B1889" s="174"/>
      <c r="C1889" s="174"/>
      <c r="D1889" s="174"/>
      <c r="E1889" s="174"/>
    </row>
    <row r="1890" spans="1:5" x14ac:dyDescent="0.3">
      <c r="A1890" s="174"/>
      <c r="B1890" s="174"/>
      <c r="C1890" s="174"/>
      <c r="D1890" s="174"/>
      <c r="E1890" s="174"/>
    </row>
    <row r="1891" spans="1:5" x14ac:dyDescent="0.3">
      <c r="A1891" s="174"/>
      <c r="B1891" s="174"/>
      <c r="C1891" s="174"/>
      <c r="D1891" s="174"/>
      <c r="E1891" s="174"/>
    </row>
    <row r="1892" spans="1:5" x14ac:dyDescent="0.3">
      <c r="A1892" s="174"/>
      <c r="B1892" s="174"/>
      <c r="C1892" s="174"/>
      <c r="D1892" s="174"/>
      <c r="E1892" s="174"/>
    </row>
    <row r="1893" spans="1:5" x14ac:dyDescent="0.3">
      <c r="A1893" s="174"/>
      <c r="B1893" s="174"/>
      <c r="C1893" s="174"/>
      <c r="D1893" s="174"/>
      <c r="E1893" s="174"/>
    </row>
    <row r="1894" spans="1:5" x14ac:dyDescent="0.3">
      <c r="A1894" s="174"/>
      <c r="B1894" s="174"/>
      <c r="C1894" s="174"/>
      <c r="D1894" s="174"/>
      <c r="E1894" s="174"/>
    </row>
    <row r="1895" spans="1:5" x14ac:dyDescent="0.3">
      <c r="A1895" s="174"/>
      <c r="B1895" s="174"/>
      <c r="C1895" s="174"/>
      <c r="D1895" s="174"/>
      <c r="E1895" s="174"/>
    </row>
    <row r="1896" spans="1:5" x14ac:dyDescent="0.3">
      <c r="A1896" s="174"/>
      <c r="B1896" s="174"/>
      <c r="C1896" s="174"/>
      <c r="D1896" s="174"/>
      <c r="E1896" s="174"/>
    </row>
    <row r="1897" spans="1:5" x14ac:dyDescent="0.3">
      <c r="A1897" s="174"/>
      <c r="B1897" s="174"/>
      <c r="C1897" s="174"/>
      <c r="D1897" s="174"/>
      <c r="E1897" s="174"/>
    </row>
    <row r="1898" spans="1:5" x14ac:dyDescent="0.3">
      <c r="A1898" s="174"/>
      <c r="B1898" s="174"/>
      <c r="C1898" s="174"/>
      <c r="D1898" s="174"/>
      <c r="E1898" s="174"/>
    </row>
    <row r="1899" spans="1:5" x14ac:dyDescent="0.3">
      <c r="A1899" s="174"/>
      <c r="B1899" s="174"/>
      <c r="C1899" s="174"/>
      <c r="D1899" s="174"/>
      <c r="E1899" s="174"/>
    </row>
    <row r="1900" spans="1:5" x14ac:dyDescent="0.3">
      <c r="A1900" s="174"/>
      <c r="B1900" s="174"/>
      <c r="C1900" s="174"/>
      <c r="D1900" s="174"/>
      <c r="E1900" s="174"/>
    </row>
    <row r="1901" spans="1:5" x14ac:dyDescent="0.3">
      <c r="A1901" s="174"/>
      <c r="B1901" s="174"/>
      <c r="C1901" s="174"/>
      <c r="D1901" s="174"/>
      <c r="E1901" s="174"/>
    </row>
    <row r="1902" spans="1:5" x14ac:dyDescent="0.3">
      <c r="A1902" s="174"/>
      <c r="B1902" s="174"/>
      <c r="C1902" s="174"/>
      <c r="D1902" s="174"/>
      <c r="E1902" s="174"/>
    </row>
    <row r="1903" spans="1:5" x14ac:dyDescent="0.3">
      <c r="A1903" s="174"/>
      <c r="B1903" s="174"/>
      <c r="C1903" s="174"/>
      <c r="D1903" s="174"/>
      <c r="E1903" s="174"/>
    </row>
    <row r="1904" spans="1:5" x14ac:dyDescent="0.3">
      <c r="A1904" s="174"/>
      <c r="B1904" s="174"/>
      <c r="C1904" s="174"/>
      <c r="D1904" s="174"/>
      <c r="E1904" s="174"/>
    </row>
    <row r="1905" spans="1:5" x14ac:dyDescent="0.3">
      <c r="A1905" s="174"/>
      <c r="B1905" s="174"/>
      <c r="C1905" s="174"/>
      <c r="D1905" s="174"/>
      <c r="E1905" s="174"/>
    </row>
    <row r="1906" spans="1:5" x14ac:dyDescent="0.3">
      <c r="A1906" s="174"/>
      <c r="B1906" s="174"/>
      <c r="C1906" s="174"/>
      <c r="D1906" s="174"/>
      <c r="E1906" s="174"/>
    </row>
    <row r="1907" spans="1:5" x14ac:dyDescent="0.3">
      <c r="A1907" s="174"/>
      <c r="B1907" s="174"/>
      <c r="C1907" s="174"/>
      <c r="D1907" s="174"/>
      <c r="E1907" s="174"/>
    </row>
    <row r="1908" spans="1:5" x14ac:dyDescent="0.3">
      <c r="A1908" s="174"/>
      <c r="B1908" s="174"/>
      <c r="C1908" s="174"/>
      <c r="D1908" s="174"/>
      <c r="E1908" s="174"/>
    </row>
    <row r="1909" spans="1:5" x14ac:dyDescent="0.3">
      <c r="A1909" s="174"/>
      <c r="B1909" s="174"/>
      <c r="C1909" s="174"/>
      <c r="D1909" s="174"/>
      <c r="E1909" s="174"/>
    </row>
    <row r="1910" spans="1:5" x14ac:dyDescent="0.3">
      <c r="A1910" s="174"/>
      <c r="B1910" s="174"/>
      <c r="C1910" s="174"/>
      <c r="D1910" s="174"/>
      <c r="E1910" s="174"/>
    </row>
    <row r="1911" spans="1:5" x14ac:dyDescent="0.3">
      <c r="A1911" s="174"/>
      <c r="B1911" s="174"/>
      <c r="C1911" s="174"/>
      <c r="D1911" s="174"/>
      <c r="E1911" s="174"/>
    </row>
    <row r="1912" spans="1:5" x14ac:dyDescent="0.3">
      <c r="A1912" s="174"/>
      <c r="B1912" s="174"/>
      <c r="C1912" s="174"/>
      <c r="D1912" s="174"/>
      <c r="E1912" s="174"/>
    </row>
    <row r="1913" spans="1:5" x14ac:dyDescent="0.3">
      <c r="A1913" s="174"/>
      <c r="B1913" s="174"/>
      <c r="C1913" s="174"/>
      <c r="D1913" s="174"/>
      <c r="E1913" s="174"/>
    </row>
    <row r="1914" spans="1:5" x14ac:dyDescent="0.3">
      <c r="A1914" s="174"/>
      <c r="B1914" s="174"/>
      <c r="C1914" s="174"/>
      <c r="D1914" s="174"/>
      <c r="E1914" s="174"/>
    </row>
    <row r="1915" spans="1:5" x14ac:dyDescent="0.3">
      <c r="A1915" s="174"/>
      <c r="B1915" s="174"/>
      <c r="C1915" s="174"/>
      <c r="D1915" s="174"/>
      <c r="E1915" s="174"/>
    </row>
    <row r="1916" spans="1:5" x14ac:dyDescent="0.3">
      <c r="A1916" s="174"/>
      <c r="B1916" s="174"/>
      <c r="C1916" s="174"/>
      <c r="D1916" s="174"/>
      <c r="E1916" s="174"/>
    </row>
    <row r="1917" spans="1:5" x14ac:dyDescent="0.3">
      <c r="A1917" s="174"/>
      <c r="B1917" s="174"/>
      <c r="C1917" s="174"/>
      <c r="D1917" s="174"/>
      <c r="E1917" s="174"/>
    </row>
    <row r="1918" spans="1:5" x14ac:dyDescent="0.3">
      <c r="A1918" s="174"/>
      <c r="B1918" s="174"/>
      <c r="C1918" s="174"/>
      <c r="D1918" s="174"/>
      <c r="E1918" s="174"/>
    </row>
    <row r="1919" spans="1:5" x14ac:dyDescent="0.3">
      <c r="A1919" s="174"/>
      <c r="B1919" s="174"/>
      <c r="C1919" s="174"/>
      <c r="D1919" s="174"/>
      <c r="E1919" s="174"/>
    </row>
    <row r="1920" spans="1:5" x14ac:dyDescent="0.3">
      <c r="A1920" s="174"/>
      <c r="B1920" s="174"/>
      <c r="C1920" s="174"/>
      <c r="D1920" s="174"/>
      <c r="E1920" s="174"/>
    </row>
    <row r="1921" spans="1:5" x14ac:dyDescent="0.3">
      <c r="A1921" s="174"/>
      <c r="B1921" s="174"/>
      <c r="C1921" s="174"/>
      <c r="D1921" s="174"/>
      <c r="E1921" s="174"/>
    </row>
    <row r="1922" spans="1:5" x14ac:dyDescent="0.3">
      <c r="A1922" s="174"/>
      <c r="B1922" s="174"/>
      <c r="C1922" s="174"/>
      <c r="D1922" s="174"/>
      <c r="E1922" s="174"/>
    </row>
    <row r="1923" spans="1:5" x14ac:dyDescent="0.3">
      <c r="A1923" s="174"/>
      <c r="B1923" s="174"/>
      <c r="C1923" s="174"/>
      <c r="D1923" s="174"/>
      <c r="E1923" s="174"/>
    </row>
    <row r="1924" spans="1:5" x14ac:dyDescent="0.3">
      <c r="A1924" s="174"/>
      <c r="B1924" s="174"/>
      <c r="C1924" s="174"/>
      <c r="D1924" s="174"/>
      <c r="E1924" s="174"/>
    </row>
    <row r="1925" spans="1:5" x14ac:dyDescent="0.3">
      <c r="A1925" s="174"/>
      <c r="B1925" s="174"/>
      <c r="C1925" s="174"/>
      <c r="D1925" s="174"/>
      <c r="E1925" s="174"/>
    </row>
    <row r="1926" spans="1:5" x14ac:dyDescent="0.3">
      <c r="A1926" s="174"/>
      <c r="B1926" s="174"/>
      <c r="C1926" s="174"/>
      <c r="D1926" s="174"/>
      <c r="E1926" s="174"/>
    </row>
    <row r="1927" spans="1:5" x14ac:dyDescent="0.3">
      <c r="A1927" s="174"/>
      <c r="B1927" s="174"/>
      <c r="C1927" s="174"/>
      <c r="D1927" s="174"/>
      <c r="E1927" s="174"/>
    </row>
    <row r="1928" spans="1:5" x14ac:dyDescent="0.3">
      <c r="A1928" s="174"/>
      <c r="B1928" s="174"/>
      <c r="C1928" s="174"/>
      <c r="D1928" s="174"/>
      <c r="E1928" s="174"/>
    </row>
    <row r="1929" spans="1:5" x14ac:dyDescent="0.3">
      <c r="A1929" s="174"/>
      <c r="B1929" s="174"/>
      <c r="C1929" s="174"/>
      <c r="D1929" s="174"/>
      <c r="E1929" s="174"/>
    </row>
    <row r="1930" spans="1:5" x14ac:dyDescent="0.3">
      <c r="A1930" s="174"/>
      <c r="B1930" s="174"/>
      <c r="C1930" s="174"/>
      <c r="D1930" s="174"/>
      <c r="E1930" s="174"/>
    </row>
    <row r="1931" spans="1:5" x14ac:dyDescent="0.3">
      <c r="A1931" s="174"/>
      <c r="B1931" s="174"/>
      <c r="C1931" s="174"/>
      <c r="D1931" s="174"/>
      <c r="E1931" s="174"/>
    </row>
    <row r="1932" spans="1:5" x14ac:dyDescent="0.3">
      <c r="A1932" s="174"/>
      <c r="B1932" s="174"/>
      <c r="C1932" s="174"/>
      <c r="D1932" s="174"/>
      <c r="E1932" s="174"/>
    </row>
    <row r="1933" spans="1:5" x14ac:dyDescent="0.3">
      <c r="A1933" s="174"/>
      <c r="B1933" s="174"/>
      <c r="C1933" s="174"/>
      <c r="D1933" s="174"/>
      <c r="E1933" s="174"/>
    </row>
    <row r="1934" spans="1:5" x14ac:dyDescent="0.3">
      <c r="A1934" s="174"/>
      <c r="B1934" s="174"/>
      <c r="C1934" s="174"/>
      <c r="D1934" s="174"/>
      <c r="E1934" s="174"/>
    </row>
    <row r="1935" spans="1:5" x14ac:dyDescent="0.3">
      <c r="A1935" s="174"/>
      <c r="B1935" s="174"/>
      <c r="C1935" s="174"/>
      <c r="D1935" s="174"/>
      <c r="E1935" s="174"/>
    </row>
    <row r="1936" spans="1:5" x14ac:dyDescent="0.3">
      <c r="A1936" s="174"/>
      <c r="B1936" s="174"/>
      <c r="C1936" s="174"/>
      <c r="D1936" s="174"/>
      <c r="E1936" s="174"/>
    </row>
    <row r="1937" spans="1:5" x14ac:dyDescent="0.3">
      <c r="A1937" s="174"/>
      <c r="B1937" s="174"/>
      <c r="C1937" s="174"/>
      <c r="D1937" s="174"/>
      <c r="E1937" s="174"/>
    </row>
    <row r="1938" spans="1:5" x14ac:dyDescent="0.3">
      <c r="A1938" s="174"/>
      <c r="B1938" s="174"/>
      <c r="C1938" s="174"/>
      <c r="D1938" s="174"/>
      <c r="E1938" s="174"/>
    </row>
    <row r="1939" spans="1:5" x14ac:dyDescent="0.3">
      <c r="A1939" s="174"/>
      <c r="B1939" s="174"/>
      <c r="C1939" s="174"/>
      <c r="D1939" s="174"/>
      <c r="E1939" s="174"/>
    </row>
    <row r="1940" spans="1:5" x14ac:dyDescent="0.3">
      <c r="A1940" s="174"/>
      <c r="B1940" s="174"/>
      <c r="C1940" s="174"/>
      <c r="D1940" s="174"/>
      <c r="E1940" s="174"/>
    </row>
    <row r="1941" spans="1:5" x14ac:dyDescent="0.3">
      <c r="A1941" s="174"/>
      <c r="B1941" s="174"/>
      <c r="C1941" s="174"/>
      <c r="D1941" s="174"/>
      <c r="E1941" s="174"/>
    </row>
    <row r="1942" spans="1:5" x14ac:dyDescent="0.3">
      <c r="A1942" s="174"/>
      <c r="B1942" s="174"/>
      <c r="C1942" s="174"/>
      <c r="D1942" s="174"/>
      <c r="E1942" s="174"/>
    </row>
    <row r="1943" spans="1:5" x14ac:dyDescent="0.3">
      <c r="A1943" s="174"/>
      <c r="B1943" s="174"/>
      <c r="C1943" s="174"/>
      <c r="D1943" s="174"/>
      <c r="E1943" s="174"/>
    </row>
    <row r="1944" spans="1:5" x14ac:dyDescent="0.3">
      <c r="A1944" s="174"/>
      <c r="B1944" s="174"/>
      <c r="C1944" s="174"/>
      <c r="D1944" s="174"/>
      <c r="E1944" s="174"/>
    </row>
    <row r="1945" spans="1:5" x14ac:dyDescent="0.3">
      <c r="A1945" s="174"/>
      <c r="B1945" s="174"/>
      <c r="C1945" s="174"/>
      <c r="D1945" s="174"/>
      <c r="E1945" s="174"/>
    </row>
    <row r="1946" spans="1:5" x14ac:dyDescent="0.3">
      <c r="A1946" s="174"/>
      <c r="B1946" s="174"/>
      <c r="C1946" s="174"/>
      <c r="D1946" s="174"/>
      <c r="E1946" s="174"/>
    </row>
    <row r="1947" spans="1:5" x14ac:dyDescent="0.3">
      <c r="A1947" s="174"/>
      <c r="B1947" s="174"/>
      <c r="C1947" s="174"/>
      <c r="D1947" s="174"/>
      <c r="E1947" s="174"/>
    </row>
    <row r="1948" spans="1:5" x14ac:dyDescent="0.3">
      <c r="A1948" s="174"/>
      <c r="B1948" s="174"/>
      <c r="C1948" s="174"/>
      <c r="D1948" s="174"/>
      <c r="E1948" s="174"/>
    </row>
    <row r="1949" spans="1:5" x14ac:dyDescent="0.3">
      <c r="A1949" s="174"/>
      <c r="B1949" s="174"/>
      <c r="C1949" s="174"/>
      <c r="D1949" s="174"/>
      <c r="E1949" s="174"/>
    </row>
    <row r="1950" spans="1:5" x14ac:dyDescent="0.3">
      <c r="A1950" s="174"/>
      <c r="B1950" s="174"/>
      <c r="C1950" s="174"/>
      <c r="D1950" s="174"/>
      <c r="E1950" s="174"/>
    </row>
    <row r="1951" spans="1:5" x14ac:dyDescent="0.3">
      <c r="A1951" s="174"/>
      <c r="B1951" s="174"/>
      <c r="C1951" s="174"/>
      <c r="D1951" s="174"/>
      <c r="E1951" s="174"/>
    </row>
    <row r="1952" spans="1:5" x14ac:dyDescent="0.3">
      <c r="A1952" s="174"/>
      <c r="B1952" s="174"/>
      <c r="C1952" s="174"/>
      <c r="D1952" s="174"/>
      <c r="E1952" s="174"/>
    </row>
    <row r="1953" spans="1:5" x14ac:dyDescent="0.3">
      <c r="A1953" s="174"/>
      <c r="B1953" s="174"/>
      <c r="C1953" s="174"/>
      <c r="D1953" s="174"/>
      <c r="E1953" s="174"/>
    </row>
    <row r="1954" spans="1:5" x14ac:dyDescent="0.3">
      <c r="A1954" s="174"/>
      <c r="B1954" s="174"/>
      <c r="C1954" s="174"/>
      <c r="D1954" s="174"/>
      <c r="E1954" s="174"/>
    </row>
    <row r="1955" spans="1:5" x14ac:dyDescent="0.3">
      <c r="A1955" s="174"/>
      <c r="B1955" s="174"/>
      <c r="C1955" s="174"/>
      <c r="D1955" s="174"/>
      <c r="E1955" s="174"/>
    </row>
    <row r="1956" spans="1:5" x14ac:dyDescent="0.3">
      <c r="A1956" s="174"/>
      <c r="B1956" s="174"/>
      <c r="C1956" s="174"/>
      <c r="D1956" s="174"/>
      <c r="E1956" s="174"/>
    </row>
    <row r="1957" spans="1:5" x14ac:dyDescent="0.3">
      <c r="A1957" s="174"/>
      <c r="B1957" s="174"/>
      <c r="C1957" s="174"/>
      <c r="D1957" s="174"/>
      <c r="E1957" s="174"/>
    </row>
    <row r="1958" spans="1:5" x14ac:dyDescent="0.3">
      <c r="A1958" s="174"/>
      <c r="B1958" s="174"/>
      <c r="C1958" s="174"/>
      <c r="D1958" s="174"/>
      <c r="E1958" s="174"/>
    </row>
    <row r="1959" spans="1:5" x14ac:dyDescent="0.3">
      <c r="A1959" s="174"/>
      <c r="B1959" s="174"/>
      <c r="C1959" s="174"/>
      <c r="D1959" s="174"/>
      <c r="E1959" s="174"/>
    </row>
    <row r="1960" spans="1:5" x14ac:dyDescent="0.3">
      <c r="A1960" s="174"/>
      <c r="B1960" s="174"/>
      <c r="C1960" s="174"/>
      <c r="D1960" s="174"/>
      <c r="E1960" s="174"/>
    </row>
    <row r="1961" spans="1:5" x14ac:dyDescent="0.3">
      <c r="A1961" s="174"/>
      <c r="B1961" s="174"/>
      <c r="C1961" s="174"/>
      <c r="D1961" s="174"/>
      <c r="E1961" s="174"/>
    </row>
    <row r="1962" spans="1:5" x14ac:dyDescent="0.3">
      <c r="A1962" s="174"/>
      <c r="B1962" s="174"/>
      <c r="C1962" s="174"/>
      <c r="D1962" s="174"/>
      <c r="E1962" s="174"/>
    </row>
    <row r="1963" spans="1:5" x14ac:dyDescent="0.3">
      <c r="A1963" s="174"/>
      <c r="B1963" s="174"/>
      <c r="C1963" s="174"/>
      <c r="D1963" s="174"/>
      <c r="E1963" s="174"/>
    </row>
    <row r="1964" spans="1:5" x14ac:dyDescent="0.3">
      <c r="A1964" s="174"/>
      <c r="B1964" s="174"/>
      <c r="C1964" s="174"/>
      <c r="D1964" s="174"/>
      <c r="E1964" s="174"/>
    </row>
    <row r="1965" spans="1:5" x14ac:dyDescent="0.3">
      <c r="A1965" s="174"/>
      <c r="B1965" s="174"/>
      <c r="C1965" s="174"/>
      <c r="D1965" s="174"/>
      <c r="E1965" s="174"/>
    </row>
    <row r="1966" spans="1:5" x14ac:dyDescent="0.3">
      <c r="A1966" s="174"/>
      <c r="B1966" s="174"/>
      <c r="C1966" s="174"/>
      <c r="D1966" s="174"/>
      <c r="E1966" s="174"/>
    </row>
    <row r="1967" spans="1:5" x14ac:dyDescent="0.3">
      <c r="A1967" s="174"/>
      <c r="B1967" s="174"/>
      <c r="C1967" s="174"/>
      <c r="D1967" s="174"/>
      <c r="E1967" s="174"/>
    </row>
    <row r="1968" spans="1:5" x14ac:dyDescent="0.3">
      <c r="A1968" s="174"/>
      <c r="B1968" s="174"/>
      <c r="C1968" s="174"/>
      <c r="D1968" s="174"/>
      <c r="E1968" s="174"/>
    </row>
    <row r="1969" spans="1:5" x14ac:dyDescent="0.3">
      <c r="A1969" s="174"/>
      <c r="B1969" s="174"/>
      <c r="C1969" s="174"/>
      <c r="D1969" s="174"/>
      <c r="E1969" s="174"/>
    </row>
    <row r="1970" spans="1:5" x14ac:dyDescent="0.3">
      <c r="A1970" s="174"/>
      <c r="B1970" s="174"/>
      <c r="C1970" s="174"/>
      <c r="D1970" s="174"/>
      <c r="E1970" s="174"/>
    </row>
    <row r="1971" spans="1:5" x14ac:dyDescent="0.3">
      <c r="A1971" s="174"/>
      <c r="B1971" s="174"/>
      <c r="C1971" s="174"/>
      <c r="D1971" s="174"/>
      <c r="E1971" s="174"/>
    </row>
    <row r="1972" spans="1:5" x14ac:dyDescent="0.3">
      <c r="A1972" s="174"/>
      <c r="B1972" s="174"/>
      <c r="C1972" s="174"/>
      <c r="D1972" s="174"/>
      <c r="E1972" s="174"/>
    </row>
    <row r="1973" spans="1:5" x14ac:dyDescent="0.3">
      <c r="A1973" s="174"/>
      <c r="B1973" s="174"/>
      <c r="C1973" s="174"/>
      <c r="D1973" s="174"/>
      <c r="E1973" s="174"/>
    </row>
    <row r="1974" spans="1:5" x14ac:dyDescent="0.3">
      <c r="A1974" s="174"/>
      <c r="B1974" s="174"/>
      <c r="C1974" s="174"/>
      <c r="D1974" s="174"/>
      <c r="E1974" s="174"/>
    </row>
    <row r="1975" spans="1:5" x14ac:dyDescent="0.3">
      <c r="A1975" s="174"/>
      <c r="B1975" s="174"/>
      <c r="C1975" s="174"/>
      <c r="D1975" s="174"/>
      <c r="E1975" s="174"/>
    </row>
    <row r="1976" spans="1:5" x14ac:dyDescent="0.3">
      <c r="A1976" s="174"/>
      <c r="B1976" s="174"/>
      <c r="C1976" s="174"/>
      <c r="D1976" s="174"/>
      <c r="E1976" s="174"/>
    </row>
    <row r="1977" spans="1:5" x14ac:dyDescent="0.3">
      <c r="A1977" s="174"/>
      <c r="B1977" s="174"/>
      <c r="C1977" s="174"/>
      <c r="D1977" s="174"/>
      <c r="E1977" s="174"/>
    </row>
    <row r="1978" spans="1:5" x14ac:dyDescent="0.3">
      <c r="A1978" s="174"/>
      <c r="B1978" s="174"/>
      <c r="C1978" s="174"/>
      <c r="D1978" s="174"/>
      <c r="E1978" s="174"/>
    </row>
    <row r="1979" spans="1:5" x14ac:dyDescent="0.3">
      <c r="A1979" s="174"/>
      <c r="B1979" s="174"/>
      <c r="C1979" s="174"/>
      <c r="D1979" s="174"/>
      <c r="E1979" s="174"/>
    </row>
    <row r="1980" spans="1:5" x14ac:dyDescent="0.3">
      <c r="A1980" s="174"/>
      <c r="B1980" s="174"/>
      <c r="C1980" s="174"/>
      <c r="D1980" s="174"/>
      <c r="E1980" s="174"/>
    </row>
    <row r="1981" spans="1:5" x14ac:dyDescent="0.3">
      <c r="A1981" s="174"/>
      <c r="B1981" s="174"/>
      <c r="C1981" s="174"/>
      <c r="D1981" s="174"/>
      <c r="E1981" s="174"/>
    </row>
    <row r="1982" spans="1:5" x14ac:dyDescent="0.3">
      <c r="A1982" s="174"/>
      <c r="B1982" s="174"/>
      <c r="C1982" s="174"/>
      <c r="D1982" s="174"/>
      <c r="E1982" s="174"/>
    </row>
    <row r="1983" spans="1:5" x14ac:dyDescent="0.3">
      <c r="A1983" s="174"/>
      <c r="B1983" s="174"/>
      <c r="C1983" s="174"/>
      <c r="D1983" s="174"/>
      <c r="E1983" s="174"/>
    </row>
    <row r="1984" spans="1:5" x14ac:dyDescent="0.3">
      <c r="A1984" s="174"/>
      <c r="B1984" s="174"/>
      <c r="C1984" s="174"/>
      <c r="D1984" s="174"/>
      <c r="E1984" s="174"/>
    </row>
    <row r="1985" spans="1:5" x14ac:dyDescent="0.3">
      <c r="A1985" s="174"/>
      <c r="B1985" s="174"/>
      <c r="C1985" s="174"/>
      <c r="D1985" s="174"/>
      <c r="E1985" s="174"/>
    </row>
    <row r="1986" spans="1:5" x14ac:dyDescent="0.3">
      <c r="A1986" s="174"/>
      <c r="B1986" s="174"/>
      <c r="C1986" s="174"/>
      <c r="D1986" s="174"/>
      <c r="E1986" s="174"/>
    </row>
    <row r="1987" spans="1:5" x14ac:dyDescent="0.3">
      <c r="A1987" s="174"/>
      <c r="B1987" s="174"/>
      <c r="C1987" s="174"/>
      <c r="D1987" s="174"/>
      <c r="E1987" s="174"/>
    </row>
    <row r="1988" spans="1:5" x14ac:dyDescent="0.3">
      <c r="A1988" s="174"/>
      <c r="B1988" s="174"/>
      <c r="C1988" s="174"/>
      <c r="D1988" s="174"/>
      <c r="E1988" s="174"/>
    </row>
    <row r="1989" spans="1:5" x14ac:dyDescent="0.3">
      <c r="A1989" s="174"/>
      <c r="B1989" s="174"/>
      <c r="C1989" s="174"/>
      <c r="D1989" s="174"/>
      <c r="E1989" s="174"/>
    </row>
    <row r="1990" spans="1:5" x14ac:dyDescent="0.3">
      <c r="A1990" s="327"/>
      <c r="B1990" s="327"/>
      <c r="C1990" s="327"/>
      <c r="D1990" s="327"/>
      <c r="E1990" s="327"/>
    </row>
    <row r="1991" spans="1:5" x14ac:dyDescent="0.3">
      <c r="A1991" s="327"/>
      <c r="B1991" s="327"/>
      <c r="C1991" s="327"/>
      <c r="D1991" s="327"/>
      <c r="E1991" s="327"/>
    </row>
    <row r="1992" spans="1:5" x14ac:dyDescent="0.3">
      <c r="A1992" s="174"/>
      <c r="B1992" s="174"/>
      <c r="C1992" s="174"/>
      <c r="D1992" s="174"/>
      <c r="E1992" s="174"/>
    </row>
    <row r="1993" spans="1:5" x14ac:dyDescent="0.3">
      <c r="A1993" s="174"/>
      <c r="B1993" s="174"/>
      <c r="C1993" s="174"/>
      <c r="D1993" s="174"/>
      <c r="E1993" s="174"/>
    </row>
    <row r="1994" spans="1:5" x14ac:dyDescent="0.3">
      <c r="A1994" s="174"/>
      <c r="B1994" s="174"/>
      <c r="C1994" s="174"/>
      <c r="D1994" s="174"/>
      <c r="E1994" s="174"/>
    </row>
    <row r="1995" spans="1:5" x14ac:dyDescent="0.3">
      <c r="A1995" s="174"/>
      <c r="B1995" s="174"/>
      <c r="C1995" s="174"/>
      <c r="D1995" s="174"/>
      <c r="E1995" s="174"/>
    </row>
    <row r="1996" spans="1:5" x14ac:dyDescent="0.3">
      <c r="A1996" s="174"/>
      <c r="B1996" s="174"/>
      <c r="C1996" s="174"/>
      <c r="D1996" s="174"/>
      <c r="E1996" s="174"/>
    </row>
    <row r="1997" spans="1:5" x14ac:dyDescent="0.3">
      <c r="A1997" s="174"/>
      <c r="B1997" s="174"/>
      <c r="C1997" s="174"/>
      <c r="D1997" s="174"/>
      <c r="E1997" s="174"/>
    </row>
    <row r="1998" spans="1:5" x14ac:dyDescent="0.3">
      <c r="A1998" s="174"/>
      <c r="B1998" s="174"/>
      <c r="C1998" s="174"/>
      <c r="D1998" s="174"/>
      <c r="E1998" s="174"/>
    </row>
    <row r="1999" spans="1:5" x14ac:dyDescent="0.3">
      <c r="A1999" s="174"/>
      <c r="B1999" s="174"/>
      <c r="C1999" s="174"/>
      <c r="D1999" s="174"/>
      <c r="E1999" s="174"/>
    </row>
    <row r="2000" spans="1:5" x14ac:dyDescent="0.3">
      <c r="A2000" s="174"/>
      <c r="B2000" s="174"/>
      <c r="C2000" s="174"/>
      <c r="D2000" s="174"/>
      <c r="E2000" s="174"/>
    </row>
    <row r="2001" spans="1:5" x14ac:dyDescent="0.3">
      <c r="A2001" s="174"/>
      <c r="B2001" s="174"/>
      <c r="C2001" s="174"/>
      <c r="D2001" s="174"/>
      <c r="E2001" s="174"/>
    </row>
    <row r="2002" spans="1:5" x14ac:dyDescent="0.3">
      <c r="A2002" s="174"/>
      <c r="B2002" s="174"/>
      <c r="C2002" s="174"/>
      <c r="D2002" s="174"/>
      <c r="E2002" s="174"/>
    </row>
    <row r="2003" spans="1:5" x14ac:dyDescent="0.3">
      <c r="A2003" s="174"/>
      <c r="B2003" s="174"/>
      <c r="C2003" s="174"/>
      <c r="D2003" s="174"/>
      <c r="E2003" s="174"/>
    </row>
    <row r="2004" spans="1:5" x14ac:dyDescent="0.3">
      <c r="A2004" s="174"/>
      <c r="B2004" s="174"/>
      <c r="C2004" s="174"/>
      <c r="D2004" s="174"/>
      <c r="E2004" s="174"/>
    </row>
    <row r="2005" spans="1:5" x14ac:dyDescent="0.3">
      <c r="A2005" s="174"/>
      <c r="B2005" s="174"/>
      <c r="C2005" s="174"/>
      <c r="D2005" s="174"/>
      <c r="E2005" s="174"/>
    </row>
    <row r="2006" spans="1:5" x14ac:dyDescent="0.3">
      <c r="A2006" s="174"/>
      <c r="B2006" s="174"/>
      <c r="C2006" s="174"/>
      <c r="D2006" s="174"/>
      <c r="E2006" s="174"/>
    </row>
    <row r="2007" spans="1:5" x14ac:dyDescent="0.3">
      <c r="A2007" s="174"/>
      <c r="B2007" s="174"/>
      <c r="C2007" s="174"/>
      <c r="D2007" s="174"/>
      <c r="E2007" s="174"/>
    </row>
    <row r="2008" spans="1:5" x14ac:dyDescent="0.3">
      <c r="A2008" s="174"/>
      <c r="B2008" s="174"/>
      <c r="C2008" s="174"/>
      <c r="D2008" s="174"/>
      <c r="E2008" s="174"/>
    </row>
    <row r="2009" spans="1:5" x14ac:dyDescent="0.3">
      <c r="A2009" s="174"/>
      <c r="B2009" s="174"/>
      <c r="C2009" s="174"/>
      <c r="D2009" s="174"/>
      <c r="E2009" s="174"/>
    </row>
    <row r="2010" spans="1:5" x14ac:dyDescent="0.3">
      <c r="A2010" s="174"/>
      <c r="B2010" s="174"/>
      <c r="C2010" s="174"/>
      <c r="D2010" s="174"/>
      <c r="E2010" s="174"/>
    </row>
    <row r="2011" spans="1:5" x14ac:dyDescent="0.3">
      <c r="A2011" s="174"/>
      <c r="B2011" s="174"/>
      <c r="C2011" s="174"/>
      <c r="D2011" s="174"/>
      <c r="E2011" s="174"/>
    </row>
    <row r="2012" spans="1:5" x14ac:dyDescent="0.3">
      <c r="A2012" s="174"/>
      <c r="B2012" s="174"/>
      <c r="C2012" s="174"/>
      <c r="D2012" s="174"/>
      <c r="E2012" s="174"/>
    </row>
    <row r="2013" spans="1:5" x14ac:dyDescent="0.3">
      <c r="A2013" s="174"/>
      <c r="B2013" s="174"/>
      <c r="C2013" s="174"/>
      <c r="D2013" s="174"/>
      <c r="E2013" s="174"/>
    </row>
    <row r="2014" spans="1:5" x14ac:dyDescent="0.3">
      <c r="A2014" s="174"/>
      <c r="B2014" s="174"/>
      <c r="C2014" s="174"/>
      <c r="D2014" s="174"/>
      <c r="E2014" s="174"/>
    </row>
    <row r="2015" spans="1:5" x14ac:dyDescent="0.3">
      <c r="A2015" s="174"/>
      <c r="B2015" s="174"/>
      <c r="C2015" s="174"/>
      <c r="D2015" s="174"/>
      <c r="E2015" s="174"/>
    </row>
    <row r="2016" spans="1:5" x14ac:dyDescent="0.3">
      <c r="A2016" s="174"/>
      <c r="B2016" s="174"/>
      <c r="C2016" s="174"/>
      <c r="D2016" s="174"/>
      <c r="E2016" s="174"/>
    </row>
    <row r="2017" spans="1:5" x14ac:dyDescent="0.3">
      <c r="A2017" s="174"/>
      <c r="B2017" s="174"/>
      <c r="C2017" s="174"/>
      <c r="D2017" s="174"/>
      <c r="E2017" s="174"/>
    </row>
    <row r="2018" spans="1:5" x14ac:dyDescent="0.3">
      <c r="A2018" s="174"/>
      <c r="B2018" s="174"/>
      <c r="C2018" s="174"/>
      <c r="D2018" s="174"/>
      <c r="E2018" s="174"/>
    </row>
    <row r="2019" spans="1:5" x14ac:dyDescent="0.3">
      <c r="A2019" s="174"/>
      <c r="B2019" s="174"/>
      <c r="C2019" s="174"/>
      <c r="D2019" s="174"/>
      <c r="E2019" s="174"/>
    </row>
    <row r="2020" spans="1:5" x14ac:dyDescent="0.3">
      <c r="A2020" s="174"/>
      <c r="B2020" s="174"/>
      <c r="C2020" s="174"/>
      <c r="D2020" s="174"/>
      <c r="E2020" s="174"/>
    </row>
    <row r="2021" spans="1:5" x14ac:dyDescent="0.3">
      <c r="A2021" s="174"/>
      <c r="B2021" s="174"/>
      <c r="C2021" s="174"/>
      <c r="D2021" s="174"/>
      <c r="E2021" s="174"/>
    </row>
    <row r="2022" spans="1:5" x14ac:dyDescent="0.3">
      <c r="A2022" s="174"/>
      <c r="B2022" s="174"/>
      <c r="C2022" s="174"/>
      <c r="D2022" s="174"/>
      <c r="E2022" s="174"/>
    </row>
    <row r="2023" spans="1:5" x14ac:dyDescent="0.3">
      <c r="A2023" s="174"/>
      <c r="B2023" s="174"/>
      <c r="C2023" s="174"/>
      <c r="D2023" s="174"/>
      <c r="E2023" s="174"/>
    </row>
    <row r="2024" spans="1:5" x14ac:dyDescent="0.3">
      <c r="A2024" s="174"/>
      <c r="B2024" s="174"/>
      <c r="C2024" s="174"/>
      <c r="D2024" s="174"/>
      <c r="E2024" s="174"/>
    </row>
    <row r="2025" spans="1:5" x14ac:dyDescent="0.3">
      <c r="A2025" s="174"/>
      <c r="B2025" s="174"/>
      <c r="C2025" s="174"/>
      <c r="D2025" s="174"/>
      <c r="E2025" s="174"/>
    </row>
    <row r="2026" spans="1:5" x14ac:dyDescent="0.3">
      <c r="A2026" s="174"/>
      <c r="B2026" s="174"/>
      <c r="C2026" s="174"/>
      <c r="D2026" s="174"/>
      <c r="E2026" s="174"/>
    </row>
    <row r="2027" spans="1:5" x14ac:dyDescent="0.3">
      <c r="A2027" s="174"/>
      <c r="B2027" s="174"/>
      <c r="C2027" s="174"/>
      <c r="D2027" s="174"/>
      <c r="E2027" s="174"/>
    </row>
    <row r="2028" spans="1:5" x14ac:dyDescent="0.3">
      <c r="A2028" s="174"/>
      <c r="B2028" s="174"/>
      <c r="C2028" s="174"/>
      <c r="D2028" s="174"/>
      <c r="E2028" s="174"/>
    </row>
    <row r="2029" spans="1:5" x14ac:dyDescent="0.3">
      <c r="A2029" s="174"/>
      <c r="B2029" s="174"/>
      <c r="C2029" s="174"/>
      <c r="D2029" s="174"/>
      <c r="E2029" s="174"/>
    </row>
    <row r="2030" spans="1:5" x14ac:dyDescent="0.3">
      <c r="A2030" s="174"/>
      <c r="B2030" s="174"/>
      <c r="C2030" s="174"/>
      <c r="D2030" s="174"/>
      <c r="E2030" s="174"/>
    </row>
    <row r="2031" spans="1:5" x14ac:dyDescent="0.3">
      <c r="A2031" s="174"/>
      <c r="B2031" s="174"/>
      <c r="C2031" s="174"/>
      <c r="D2031" s="174"/>
      <c r="E2031" s="174"/>
    </row>
    <row r="2032" spans="1:5" x14ac:dyDescent="0.3">
      <c r="A2032" s="174"/>
      <c r="B2032" s="174"/>
      <c r="C2032" s="174"/>
      <c r="D2032" s="174"/>
      <c r="E2032" s="174"/>
    </row>
    <row r="2033" spans="1:5" x14ac:dyDescent="0.3">
      <c r="A2033" s="174"/>
      <c r="B2033" s="174"/>
      <c r="C2033" s="174"/>
      <c r="D2033" s="174"/>
      <c r="E2033" s="174"/>
    </row>
    <row r="2034" spans="1:5" x14ac:dyDescent="0.3">
      <c r="A2034" s="174"/>
      <c r="B2034" s="174"/>
      <c r="C2034" s="174"/>
      <c r="D2034" s="174"/>
      <c r="E2034" s="174"/>
    </row>
    <row r="2035" spans="1:5" x14ac:dyDescent="0.3">
      <c r="A2035" s="174"/>
      <c r="B2035" s="174"/>
      <c r="C2035" s="174"/>
      <c r="D2035" s="174"/>
      <c r="E2035" s="174"/>
    </row>
    <row r="2036" spans="1:5" x14ac:dyDescent="0.3">
      <c r="A2036" s="174"/>
      <c r="B2036" s="174"/>
      <c r="C2036" s="174"/>
      <c r="D2036" s="174"/>
      <c r="E2036" s="174"/>
    </row>
    <row r="2037" spans="1:5" x14ac:dyDescent="0.3">
      <c r="A2037" s="174"/>
      <c r="B2037" s="174"/>
      <c r="C2037" s="174"/>
      <c r="D2037" s="174"/>
      <c r="E2037" s="174"/>
    </row>
    <row r="2038" spans="1:5" x14ac:dyDescent="0.3">
      <c r="A2038" s="174"/>
      <c r="B2038" s="174"/>
      <c r="C2038" s="174"/>
      <c r="D2038" s="174"/>
      <c r="E2038" s="174"/>
    </row>
    <row r="2039" spans="1:5" x14ac:dyDescent="0.3">
      <c r="A2039" s="174"/>
      <c r="B2039" s="174"/>
      <c r="C2039" s="174"/>
      <c r="D2039" s="174"/>
      <c r="E2039" s="174"/>
    </row>
    <row r="2040" spans="1:5" x14ac:dyDescent="0.3">
      <c r="A2040" s="174"/>
      <c r="B2040" s="174"/>
      <c r="C2040" s="174"/>
      <c r="D2040" s="174"/>
      <c r="E2040" s="174"/>
    </row>
    <row r="2041" spans="1:5" x14ac:dyDescent="0.3">
      <c r="A2041" s="174"/>
      <c r="B2041" s="174"/>
      <c r="C2041" s="174"/>
      <c r="D2041" s="174"/>
      <c r="E2041" s="174"/>
    </row>
    <row r="2042" spans="1:5" x14ac:dyDescent="0.3">
      <c r="A2042" s="174"/>
      <c r="B2042" s="174"/>
      <c r="C2042" s="174"/>
      <c r="D2042" s="174"/>
      <c r="E2042" s="174"/>
    </row>
    <row r="2043" spans="1:5" x14ac:dyDescent="0.3">
      <c r="A2043" s="174"/>
      <c r="B2043" s="174"/>
      <c r="C2043" s="174"/>
      <c r="D2043" s="174"/>
      <c r="E2043" s="174"/>
    </row>
    <row r="2044" spans="1:5" x14ac:dyDescent="0.3">
      <c r="A2044" s="174"/>
      <c r="B2044" s="174"/>
      <c r="C2044" s="174"/>
      <c r="D2044" s="174"/>
      <c r="E2044" s="174"/>
    </row>
    <row r="2045" spans="1:5" x14ac:dyDescent="0.3">
      <c r="A2045" s="174"/>
      <c r="B2045" s="174"/>
      <c r="C2045" s="174"/>
      <c r="D2045" s="174"/>
      <c r="E2045" s="174"/>
    </row>
    <row r="2046" spans="1:5" x14ac:dyDescent="0.3">
      <c r="A2046" s="174"/>
      <c r="B2046" s="174"/>
      <c r="C2046" s="174"/>
      <c r="D2046" s="174"/>
      <c r="E2046" s="174"/>
    </row>
    <row r="2047" spans="1:5" x14ac:dyDescent="0.3">
      <c r="A2047" s="174"/>
      <c r="B2047" s="174"/>
      <c r="C2047" s="174"/>
      <c r="D2047" s="174"/>
      <c r="E2047" s="174"/>
    </row>
    <row r="2048" spans="1:5" x14ac:dyDescent="0.3">
      <c r="A2048" s="174"/>
      <c r="B2048" s="174"/>
      <c r="C2048" s="174"/>
      <c r="D2048" s="174"/>
      <c r="E2048" s="174"/>
    </row>
    <row r="2049" spans="1:5" x14ac:dyDescent="0.3">
      <c r="A2049" s="174"/>
      <c r="B2049" s="174"/>
      <c r="C2049" s="174"/>
      <c r="D2049" s="174"/>
      <c r="E2049" s="174"/>
    </row>
    <row r="2050" spans="1:5" x14ac:dyDescent="0.3">
      <c r="A2050" s="174"/>
      <c r="B2050" s="174"/>
      <c r="C2050" s="174"/>
      <c r="D2050" s="174"/>
      <c r="E2050" s="174"/>
    </row>
    <row r="2051" spans="1:5" x14ac:dyDescent="0.3">
      <c r="A2051" s="174"/>
      <c r="B2051" s="174"/>
      <c r="C2051" s="174"/>
      <c r="D2051" s="174"/>
      <c r="E2051" s="174"/>
    </row>
    <row r="2052" spans="1:5" x14ac:dyDescent="0.3">
      <c r="A2052" s="174"/>
      <c r="B2052" s="174"/>
      <c r="C2052" s="174"/>
      <c r="D2052" s="174"/>
      <c r="E2052" s="174"/>
    </row>
    <row r="2053" spans="1:5" x14ac:dyDescent="0.3">
      <c r="A2053" s="174"/>
      <c r="B2053" s="174"/>
      <c r="C2053" s="174"/>
      <c r="D2053" s="174"/>
      <c r="E2053" s="174"/>
    </row>
    <row r="2054" spans="1:5" x14ac:dyDescent="0.3">
      <c r="A2054" s="174"/>
      <c r="B2054" s="174"/>
      <c r="C2054" s="174"/>
      <c r="D2054" s="174"/>
      <c r="E2054" s="174"/>
    </row>
    <row r="2055" spans="1:5" x14ac:dyDescent="0.3">
      <c r="A2055" s="174"/>
      <c r="B2055" s="174"/>
      <c r="C2055" s="174"/>
      <c r="D2055" s="174"/>
      <c r="E2055" s="174"/>
    </row>
    <row r="2056" spans="1:5" x14ac:dyDescent="0.3">
      <c r="A2056" s="174"/>
      <c r="B2056" s="174"/>
      <c r="C2056" s="174"/>
      <c r="D2056" s="174"/>
      <c r="E2056" s="174"/>
    </row>
    <row r="2057" spans="1:5" x14ac:dyDescent="0.3">
      <c r="A2057" s="174"/>
      <c r="B2057" s="174"/>
      <c r="C2057" s="174"/>
      <c r="D2057" s="174"/>
      <c r="E2057" s="174"/>
    </row>
    <row r="2058" spans="1:5" x14ac:dyDescent="0.3">
      <c r="A2058" s="174"/>
      <c r="B2058" s="174"/>
      <c r="C2058" s="174"/>
      <c r="D2058" s="174"/>
      <c r="E2058" s="174"/>
    </row>
    <row r="2059" spans="1:5" x14ac:dyDescent="0.3">
      <c r="A2059" s="174"/>
      <c r="B2059" s="174"/>
      <c r="C2059" s="174"/>
      <c r="D2059" s="174"/>
      <c r="E2059" s="174"/>
    </row>
    <row r="2060" spans="1:5" x14ac:dyDescent="0.3">
      <c r="A2060" s="174"/>
      <c r="B2060" s="174"/>
      <c r="C2060" s="174"/>
      <c r="D2060" s="174"/>
      <c r="E2060" s="174"/>
    </row>
    <row r="2061" spans="1:5" x14ac:dyDescent="0.3">
      <c r="A2061" s="174"/>
      <c r="B2061" s="174"/>
      <c r="C2061" s="174"/>
      <c r="D2061" s="174"/>
      <c r="E2061" s="174"/>
    </row>
    <row r="2062" spans="1:5" x14ac:dyDescent="0.3">
      <c r="A2062" s="174"/>
      <c r="B2062" s="174"/>
      <c r="C2062" s="174"/>
      <c r="D2062" s="174"/>
      <c r="E2062" s="174"/>
    </row>
    <row r="2063" spans="1:5" x14ac:dyDescent="0.3">
      <c r="A2063" s="174"/>
      <c r="B2063" s="174"/>
      <c r="C2063" s="174"/>
      <c r="D2063" s="174"/>
      <c r="E2063" s="174"/>
    </row>
    <row r="2064" spans="1:5" x14ac:dyDescent="0.3">
      <c r="A2064" s="174"/>
      <c r="B2064" s="174"/>
      <c r="C2064" s="174"/>
      <c r="D2064" s="174"/>
      <c r="E2064" s="174"/>
    </row>
    <row r="2065" spans="1:5" x14ac:dyDescent="0.3">
      <c r="A2065" s="174"/>
      <c r="B2065" s="174"/>
      <c r="C2065" s="174"/>
      <c r="D2065" s="174"/>
      <c r="E2065" s="174"/>
    </row>
    <row r="2066" spans="1:5" x14ac:dyDescent="0.3">
      <c r="A2066" s="174"/>
      <c r="B2066" s="174"/>
      <c r="C2066" s="174"/>
      <c r="D2066" s="174"/>
      <c r="E2066" s="174"/>
    </row>
    <row r="2067" spans="1:5" x14ac:dyDescent="0.3">
      <c r="A2067" s="174"/>
      <c r="B2067" s="174"/>
      <c r="C2067" s="174"/>
      <c r="D2067" s="174"/>
      <c r="E2067" s="174"/>
    </row>
    <row r="2068" spans="1:5" x14ac:dyDescent="0.3">
      <c r="A2068" s="174"/>
      <c r="B2068" s="174"/>
      <c r="C2068" s="174"/>
      <c r="D2068" s="174"/>
      <c r="E2068" s="174"/>
    </row>
    <row r="2069" spans="1:5" x14ac:dyDescent="0.3">
      <c r="A2069" s="174"/>
      <c r="B2069" s="174"/>
      <c r="C2069" s="174"/>
      <c r="D2069" s="174"/>
      <c r="E2069" s="174"/>
    </row>
    <row r="2070" spans="1:5" x14ac:dyDescent="0.3">
      <c r="A2070" s="174"/>
      <c r="B2070" s="174"/>
      <c r="C2070" s="174"/>
      <c r="D2070" s="174"/>
      <c r="E2070" s="174"/>
    </row>
    <row r="2071" spans="1:5" x14ac:dyDescent="0.3">
      <c r="A2071" s="174"/>
      <c r="B2071" s="174"/>
      <c r="C2071" s="174"/>
      <c r="D2071" s="174"/>
      <c r="E2071" s="174"/>
    </row>
    <row r="2072" spans="1:5" x14ac:dyDescent="0.3">
      <c r="A2072" s="174"/>
      <c r="B2072" s="174"/>
      <c r="C2072" s="174"/>
      <c r="D2072" s="174"/>
      <c r="E2072" s="174"/>
    </row>
    <row r="2073" spans="1:5" x14ac:dyDescent="0.3">
      <c r="A2073" s="174"/>
      <c r="B2073" s="174"/>
      <c r="C2073" s="174"/>
      <c r="D2073" s="174"/>
      <c r="E2073" s="174"/>
    </row>
    <row r="2074" spans="1:5" x14ac:dyDescent="0.3">
      <c r="A2074" s="174"/>
      <c r="B2074" s="174"/>
      <c r="C2074" s="174"/>
      <c r="D2074" s="174"/>
      <c r="E2074" s="174"/>
    </row>
    <row r="2075" spans="1:5" x14ac:dyDescent="0.3">
      <c r="A2075" s="174"/>
      <c r="B2075" s="174"/>
      <c r="C2075" s="174"/>
      <c r="D2075" s="174"/>
      <c r="E2075" s="174"/>
    </row>
    <row r="2076" spans="1:5" x14ac:dyDescent="0.3">
      <c r="A2076" s="174"/>
      <c r="B2076" s="174"/>
      <c r="C2076" s="174"/>
      <c r="D2076" s="174"/>
      <c r="E2076" s="174"/>
    </row>
    <row r="2077" spans="1:5" x14ac:dyDescent="0.3">
      <c r="A2077" s="174"/>
      <c r="B2077" s="174"/>
      <c r="C2077" s="174"/>
      <c r="D2077" s="174"/>
      <c r="E2077" s="174"/>
    </row>
    <row r="2078" spans="1:5" x14ac:dyDescent="0.3">
      <c r="A2078" s="174"/>
      <c r="B2078" s="174"/>
      <c r="C2078" s="174"/>
      <c r="D2078" s="174"/>
      <c r="E2078" s="174"/>
    </row>
    <row r="2079" spans="1:5" x14ac:dyDescent="0.3">
      <c r="A2079" s="174"/>
      <c r="B2079" s="174"/>
      <c r="C2079" s="174"/>
      <c r="D2079" s="174"/>
      <c r="E2079" s="174"/>
    </row>
    <row r="2080" spans="1:5" x14ac:dyDescent="0.3">
      <c r="A2080" s="174"/>
      <c r="B2080" s="174"/>
      <c r="C2080" s="174"/>
      <c r="D2080" s="174"/>
      <c r="E2080" s="174"/>
    </row>
    <row r="2081" spans="1:5" x14ac:dyDescent="0.3">
      <c r="A2081" s="174"/>
      <c r="B2081" s="174"/>
      <c r="C2081" s="174"/>
      <c r="D2081" s="174"/>
      <c r="E2081" s="174"/>
    </row>
    <row r="2082" spans="1:5" x14ac:dyDescent="0.3">
      <c r="A2082" s="174"/>
      <c r="B2082" s="174"/>
      <c r="C2082" s="174"/>
      <c r="D2082" s="174"/>
      <c r="E2082" s="174"/>
    </row>
    <row r="2083" spans="1:5" x14ac:dyDescent="0.3">
      <c r="A2083" s="174"/>
      <c r="B2083" s="174"/>
      <c r="C2083" s="174"/>
      <c r="D2083" s="174"/>
      <c r="E2083" s="174"/>
    </row>
    <row r="2084" spans="1:5" x14ac:dyDescent="0.3">
      <c r="A2084" s="174"/>
      <c r="B2084" s="174"/>
      <c r="C2084" s="174"/>
      <c r="D2084" s="174"/>
      <c r="E2084" s="174"/>
    </row>
    <row r="2085" spans="1:5" x14ac:dyDescent="0.3">
      <c r="A2085" s="174"/>
      <c r="B2085" s="174"/>
      <c r="C2085" s="174"/>
      <c r="D2085" s="174"/>
      <c r="E2085" s="174"/>
    </row>
    <row r="2086" spans="1:5" x14ac:dyDescent="0.3">
      <c r="A2086" s="174"/>
      <c r="B2086" s="174"/>
      <c r="C2086" s="174"/>
      <c r="D2086" s="174"/>
      <c r="E2086" s="174"/>
    </row>
    <row r="2087" spans="1:5" x14ac:dyDescent="0.3">
      <c r="A2087" s="174"/>
      <c r="B2087" s="174"/>
      <c r="C2087" s="174"/>
      <c r="D2087" s="174"/>
      <c r="E2087" s="174"/>
    </row>
    <row r="2088" spans="1:5" x14ac:dyDescent="0.3">
      <c r="A2088" s="174"/>
      <c r="B2088" s="174"/>
      <c r="C2088" s="174"/>
      <c r="D2088" s="174"/>
      <c r="E2088" s="174"/>
    </row>
    <row r="2089" spans="1:5" x14ac:dyDescent="0.3">
      <c r="A2089" s="174"/>
      <c r="B2089" s="174"/>
      <c r="C2089" s="174"/>
      <c r="D2089" s="174"/>
      <c r="E2089" s="174"/>
    </row>
    <row r="2090" spans="1:5" x14ac:dyDescent="0.3">
      <c r="A2090" s="174"/>
      <c r="B2090" s="174"/>
      <c r="C2090" s="174"/>
      <c r="D2090" s="174"/>
      <c r="E2090" s="174"/>
    </row>
    <row r="2091" spans="1:5" x14ac:dyDescent="0.3">
      <c r="A2091" s="174"/>
      <c r="B2091" s="174"/>
      <c r="C2091" s="174"/>
      <c r="D2091" s="174"/>
      <c r="E2091" s="174"/>
    </row>
    <row r="2092" spans="1:5" x14ac:dyDescent="0.3">
      <c r="A2092" s="174"/>
      <c r="B2092" s="174"/>
      <c r="C2092" s="174"/>
      <c r="D2092" s="174"/>
      <c r="E2092" s="174"/>
    </row>
    <row r="2093" spans="1:5" x14ac:dyDescent="0.3">
      <c r="A2093" s="174"/>
      <c r="B2093" s="174"/>
      <c r="C2093" s="174"/>
      <c r="D2093" s="174"/>
      <c r="E2093" s="174"/>
    </row>
    <row r="2094" spans="1:5" x14ac:dyDescent="0.3">
      <c r="A2094" s="174"/>
      <c r="B2094" s="174"/>
      <c r="C2094" s="174"/>
      <c r="D2094" s="174"/>
      <c r="E2094" s="174"/>
    </row>
    <row r="2095" spans="1:5" x14ac:dyDescent="0.3">
      <c r="A2095" s="174"/>
      <c r="B2095" s="174"/>
      <c r="C2095" s="174"/>
      <c r="D2095" s="174"/>
      <c r="E2095" s="174"/>
    </row>
    <row r="2096" spans="1:5" x14ac:dyDescent="0.3">
      <c r="A2096" s="174"/>
      <c r="B2096" s="174"/>
      <c r="C2096" s="174"/>
      <c r="D2096" s="174"/>
      <c r="E2096" s="174"/>
    </row>
    <row r="2097" spans="1:5" x14ac:dyDescent="0.3">
      <c r="A2097" s="174"/>
      <c r="B2097" s="174"/>
      <c r="C2097" s="174"/>
      <c r="D2097" s="174"/>
      <c r="E2097" s="174"/>
    </row>
    <row r="2098" spans="1:5" x14ac:dyDescent="0.3">
      <c r="A2098" s="174"/>
      <c r="B2098" s="174"/>
      <c r="C2098" s="174"/>
      <c r="D2098" s="174"/>
      <c r="E2098" s="174"/>
    </row>
    <row r="2099" spans="1:5" x14ac:dyDescent="0.3">
      <c r="A2099" s="174"/>
      <c r="B2099" s="174"/>
      <c r="C2099" s="174"/>
      <c r="D2099" s="174"/>
      <c r="E2099" s="174"/>
    </row>
    <row r="2100" spans="1:5" x14ac:dyDescent="0.3">
      <c r="A2100" s="174"/>
      <c r="B2100" s="174"/>
      <c r="C2100" s="174"/>
      <c r="D2100" s="174"/>
      <c r="E2100" s="174"/>
    </row>
    <row r="2101" spans="1:5" x14ac:dyDescent="0.3">
      <c r="A2101" s="174"/>
      <c r="B2101" s="174"/>
      <c r="C2101" s="174"/>
      <c r="D2101" s="174"/>
      <c r="E2101" s="174"/>
    </row>
    <row r="2102" spans="1:5" x14ac:dyDescent="0.3">
      <c r="A2102" s="174"/>
      <c r="B2102" s="174"/>
      <c r="C2102" s="174"/>
      <c r="D2102" s="174"/>
      <c r="E2102" s="174"/>
    </row>
    <row r="2103" spans="1:5" x14ac:dyDescent="0.3">
      <c r="A2103" s="174"/>
      <c r="B2103" s="174"/>
      <c r="C2103" s="174"/>
      <c r="D2103" s="174"/>
      <c r="E2103" s="174"/>
    </row>
    <row r="2104" spans="1:5" x14ac:dyDescent="0.3">
      <c r="A2104" s="174"/>
      <c r="B2104" s="174"/>
      <c r="C2104" s="174"/>
      <c r="D2104" s="174"/>
      <c r="E2104" s="174"/>
    </row>
    <row r="2105" spans="1:5" x14ac:dyDescent="0.3">
      <c r="A2105" s="174"/>
      <c r="B2105" s="174"/>
      <c r="C2105" s="174"/>
      <c r="D2105" s="174"/>
      <c r="E2105" s="174"/>
    </row>
    <row r="2106" spans="1:5" x14ac:dyDescent="0.3">
      <c r="A2106" s="174"/>
      <c r="B2106" s="174"/>
      <c r="C2106" s="174"/>
      <c r="D2106" s="174"/>
      <c r="E2106" s="174"/>
    </row>
    <row r="2107" spans="1:5" x14ac:dyDescent="0.3">
      <c r="A2107" s="174"/>
      <c r="B2107" s="174"/>
      <c r="C2107" s="174"/>
      <c r="D2107" s="174"/>
      <c r="E2107" s="174"/>
    </row>
    <row r="2108" spans="1:5" x14ac:dyDescent="0.3">
      <c r="A2108" s="174"/>
      <c r="B2108" s="174"/>
      <c r="C2108" s="174"/>
      <c r="D2108" s="174"/>
      <c r="E2108" s="174"/>
    </row>
    <row r="2109" spans="1:5" x14ac:dyDescent="0.3">
      <c r="A2109" s="174"/>
      <c r="B2109" s="174"/>
      <c r="C2109" s="174"/>
      <c r="D2109" s="174"/>
      <c r="E2109" s="174"/>
    </row>
    <row r="2110" spans="1:5" x14ac:dyDescent="0.3">
      <c r="A2110" s="174"/>
      <c r="B2110" s="174"/>
      <c r="C2110" s="174"/>
      <c r="D2110" s="174"/>
      <c r="E2110" s="174"/>
    </row>
    <row r="2111" spans="1:5" x14ac:dyDescent="0.3">
      <c r="A2111" s="174"/>
      <c r="B2111" s="174"/>
      <c r="C2111" s="174"/>
      <c r="D2111" s="174"/>
      <c r="E2111" s="174"/>
    </row>
    <row r="2112" spans="1:5" x14ac:dyDescent="0.3">
      <c r="A2112" s="174"/>
      <c r="B2112" s="174"/>
      <c r="C2112" s="174"/>
      <c r="D2112" s="174"/>
      <c r="E2112" s="174"/>
    </row>
    <row r="2113" spans="1:5" x14ac:dyDescent="0.3">
      <c r="A2113" s="174"/>
      <c r="B2113" s="174"/>
      <c r="C2113" s="174"/>
      <c r="D2113" s="174"/>
      <c r="E2113" s="174"/>
    </row>
    <row r="2114" spans="1:5" x14ac:dyDescent="0.3">
      <c r="A2114" s="174"/>
      <c r="B2114" s="174"/>
      <c r="C2114" s="174"/>
      <c r="D2114" s="174"/>
      <c r="E2114" s="174"/>
    </row>
    <row r="2115" spans="1:5" x14ac:dyDescent="0.3">
      <c r="A2115" s="174"/>
      <c r="B2115" s="174"/>
      <c r="C2115" s="174"/>
      <c r="D2115" s="174"/>
      <c r="E2115" s="174"/>
    </row>
    <row r="2116" spans="1:5" x14ac:dyDescent="0.3">
      <c r="A2116" s="174"/>
      <c r="B2116" s="174"/>
      <c r="C2116" s="174"/>
      <c r="D2116" s="174"/>
      <c r="E2116" s="174"/>
    </row>
    <row r="2117" spans="1:5" x14ac:dyDescent="0.3">
      <c r="A2117" s="174"/>
      <c r="B2117" s="174"/>
      <c r="C2117" s="174"/>
      <c r="D2117" s="174"/>
      <c r="E2117" s="174"/>
    </row>
    <row r="2118" spans="1:5" x14ac:dyDescent="0.3">
      <c r="A2118" s="174"/>
      <c r="B2118" s="174"/>
      <c r="C2118" s="174"/>
      <c r="D2118" s="174"/>
      <c r="E2118" s="174"/>
    </row>
    <row r="2119" spans="1:5" x14ac:dyDescent="0.3">
      <c r="A2119" s="174"/>
      <c r="B2119" s="174"/>
      <c r="C2119" s="174"/>
      <c r="D2119" s="174"/>
      <c r="E2119" s="174"/>
    </row>
    <row r="2120" spans="1:5" x14ac:dyDescent="0.3">
      <c r="A2120" s="174"/>
      <c r="B2120" s="174"/>
      <c r="C2120" s="174"/>
      <c r="D2120" s="174"/>
      <c r="E2120" s="174"/>
    </row>
    <row r="2121" spans="1:5" x14ac:dyDescent="0.3">
      <c r="A2121" s="174"/>
      <c r="B2121" s="174"/>
      <c r="C2121" s="174"/>
      <c r="D2121" s="174"/>
      <c r="E2121" s="174"/>
    </row>
    <row r="2122" spans="1:5" x14ac:dyDescent="0.3">
      <c r="A2122" s="174"/>
      <c r="B2122" s="174"/>
      <c r="C2122" s="174"/>
      <c r="D2122" s="174"/>
      <c r="E2122" s="174"/>
    </row>
    <row r="2123" spans="1:5" x14ac:dyDescent="0.3">
      <c r="A2123" s="174"/>
      <c r="B2123" s="174"/>
      <c r="C2123" s="174"/>
      <c r="D2123" s="174"/>
      <c r="E2123" s="174"/>
    </row>
    <row r="2124" spans="1:5" x14ac:dyDescent="0.3">
      <c r="A2124" s="174"/>
      <c r="B2124" s="174"/>
      <c r="C2124" s="174"/>
      <c r="D2124" s="174"/>
      <c r="E2124" s="174"/>
    </row>
    <row r="2125" spans="1:5" x14ac:dyDescent="0.3">
      <c r="A2125" s="174"/>
      <c r="B2125" s="174"/>
      <c r="C2125" s="174"/>
      <c r="D2125" s="174"/>
      <c r="E2125" s="174"/>
    </row>
    <row r="2126" spans="1:5" x14ac:dyDescent="0.3">
      <c r="A2126" s="174"/>
      <c r="B2126" s="174"/>
      <c r="C2126" s="174"/>
      <c r="D2126" s="174"/>
      <c r="E2126" s="174"/>
    </row>
    <row r="2127" spans="1:5" x14ac:dyDescent="0.3">
      <c r="A2127" s="174"/>
      <c r="B2127" s="174"/>
      <c r="C2127" s="174"/>
      <c r="D2127" s="174"/>
      <c r="E2127" s="174"/>
    </row>
    <row r="2128" spans="1:5" x14ac:dyDescent="0.3">
      <c r="A2128" s="174"/>
      <c r="B2128" s="174"/>
      <c r="C2128" s="174"/>
      <c r="D2128" s="174"/>
      <c r="E2128" s="174"/>
    </row>
    <row r="2129" spans="1:5" x14ac:dyDescent="0.3">
      <c r="A2129" s="174"/>
      <c r="B2129" s="174"/>
      <c r="C2129" s="174"/>
      <c r="D2129" s="174"/>
      <c r="E2129" s="174"/>
    </row>
    <row r="2130" spans="1:5" x14ac:dyDescent="0.3">
      <c r="A2130" s="174"/>
      <c r="B2130" s="174"/>
      <c r="C2130" s="174"/>
      <c r="D2130" s="174"/>
      <c r="E2130" s="174"/>
    </row>
    <row r="2131" spans="1:5" x14ac:dyDescent="0.3">
      <c r="A2131" s="174"/>
      <c r="B2131" s="174"/>
      <c r="C2131" s="174"/>
      <c r="D2131" s="174"/>
      <c r="E2131" s="174"/>
    </row>
    <row r="2132" spans="1:5" x14ac:dyDescent="0.3">
      <c r="A2132" s="174"/>
      <c r="B2132" s="174"/>
      <c r="C2132" s="174"/>
      <c r="D2132" s="174"/>
      <c r="E2132" s="174"/>
    </row>
    <row r="2133" spans="1:5" x14ac:dyDescent="0.3">
      <c r="A2133" s="174"/>
      <c r="B2133" s="174"/>
      <c r="C2133" s="174"/>
      <c r="D2133" s="174"/>
      <c r="E2133" s="174"/>
    </row>
    <row r="2134" spans="1:5" x14ac:dyDescent="0.3">
      <c r="A2134" s="174"/>
      <c r="B2134" s="174"/>
      <c r="C2134" s="174"/>
      <c r="D2134" s="174"/>
      <c r="E2134" s="174"/>
    </row>
    <row r="2135" spans="1:5" x14ac:dyDescent="0.3">
      <c r="A2135" s="174"/>
      <c r="B2135" s="174"/>
      <c r="C2135" s="174"/>
      <c r="D2135" s="174"/>
      <c r="E2135" s="174"/>
    </row>
    <row r="2136" spans="1:5" x14ac:dyDescent="0.3">
      <c r="A2136" s="174"/>
      <c r="B2136" s="174"/>
      <c r="C2136" s="174"/>
      <c r="D2136" s="174"/>
      <c r="E2136" s="174"/>
    </row>
    <row r="2137" spans="1:5" x14ac:dyDescent="0.3">
      <c r="A2137" s="174"/>
      <c r="B2137" s="174"/>
      <c r="C2137" s="174"/>
      <c r="D2137" s="174"/>
      <c r="E2137" s="174"/>
    </row>
    <row r="2138" spans="1:5" x14ac:dyDescent="0.3">
      <c r="A2138" s="174"/>
      <c r="B2138" s="174"/>
      <c r="C2138" s="174"/>
      <c r="D2138" s="174"/>
      <c r="E2138" s="174"/>
    </row>
    <row r="2139" spans="1:5" x14ac:dyDescent="0.3">
      <c r="A2139" s="174"/>
      <c r="B2139" s="174"/>
      <c r="C2139" s="174"/>
      <c r="D2139" s="174"/>
      <c r="E2139" s="174"/>
    </row>
    <row r="2140" spans="1:5" x14ac:dyDescent="0.3">
      <c r="A2140" s="174"/>
      <c r="B2140" s="174"/>
      <c r="C2140" s="174"/>
      <c r="D2140" s="174"/>
      <c r="E2140" s="174"/>
    </row>
    <row r="2141" spans="1:5" x14ac:dyDescent="0.3">
      <c r="A2141" s="174"/>
      <c r="B2141" s="174"/>
      <c r="C2141" s="174"/>
      <c r="D2141" s="174"/>
      <c r="E2141" s="174"/>
    </row>
    <row r="2142" spans="1:5" x14ac:dyDescent="0.3">
      <c r="A2142" s="174"/>
      <c r="B2142" s="174"/>
      <c r="C2142" s="174"/>
      <c r="D2142" s="174"/>
      <c r="E2142" s="174"/>
    </row>
    <row r="2143" spans="1:5" x14ac:dyDescent="0.3">
      <c r="A2143" s="174"/>
      <c r="B2143" s="174"/>
      <c r="C2143" s="174"/>
      <c r="D2143" s="174"/>
      <c r="E2143" s="174"/>
    </row>
    <row r="2144" spans="1:5" x14ac:dyDescent="0.3">
      <c r="A2144" s="174"/>
      <c r="B2144" s="174"/>
      <c r="C2144" s="174"/>
      <c r="D2144" s="174"/>
      <c r="E2144" s="174"/>
    </row>
    <row r="2145" spans="1:5" x14ac:dyDescent="0.3">
      <c r="A2145" s="174"/>
      <c r="B2145" s="174"/>
      <c r="C2145" s="174"/>
      <c r="D2145" s="174"/>
      <c r="E2145" s="174"/>
    </row>
    <row r="2146" spans="1:5" x14ac:dyDescent="0.3">
      <c r="A2146" s="174"/>
      <c r="B2146" s="174"/>
      <c r="C2146" s="174"/>
      <c r="D2146" s="174"/>
      <c r="E2146" s="174"/>
    </row>
    <row r="2147" spans="1:5" x14ac:dyDescent="0.3">
      <c r="A2147" s="174"/>
      <c r="B2147" s="174"/>
      <c r="C2147" s="174"/>
      <c r="D2147" s="174"/>
      <c r="E2147" s="174"/>
    </row>
    <row r="2148" spans="1:5" x14ac:dyDescent="0.3">
      <c r="A2148" s="174"/>
      <c r="B2148" s="174"/>
      <c r="C2148" s="174"/>
      <c r="D2148" s="174"/>
      <c r="E2148" s="174"/>
    </row>
    <row r="2149" spans="1:5" x14ac:dyDescent="0.3">
      <c r="A2149" s="174"/>
      <c r="B2149" s="174"/>
      <c r="C2149" s="174"/>
      <c r="D2149" s="174"/>
      <c r="E2149" s="174"/>
    </row>
    <row r="2150" spans="1:5" x14ac:dyDescent="0.3">
      <c r="A2150" s="174"/>
      <c r="B2150" s="174"/>
      <c r="C2150" s="174"/>
      <c r="D2150" s="174"/>
      <c r="E2150" s="174"/>
    </row>
    <row r="2151" spans="1:5" x14ac:dyDescent="0.3">
      <c r="A2151" s="174"/>
      <c r="B2151" s="174"/>
      <c r="C2151" s="174"/>
      <c r="D2151" s="174"/>
      <c r="E2151" s="174"/>
    </row>
    <row r="2152" spans="1:5" x14ac:dyDescent="0.3">
      <c r="A2152" s="174"/>
      <c r="B2152" s="174"/>
      <c r="C2152" s="174"/>
      <c r="D2152" s="174"/>
      <c r="E2152" s="174"/>
    </row>
    <row r="2153" spans="1:5" x14ac:dyDescent="0.3">
      <c r="A2153" s="174"/>
      <c r="B2153" s="174"/>
      <c r="C2153" s="174"/>
      <c r="D2153" s="174"/>
      <c r="E2153" s="174"/>
    </row>
    <row r="2154" spans="1:5" x14ac:dyDescent="0.3">
      <c r="A2154" s="174"/>
      <c r="B2154" s="174"/>
      <c r="C2154" s="174"/>
      <c r="D2154" s="174"/>
      <c r="E2154" s="174"/>
    </row>
    <row r="2155" spans="1:5" x14ac:dyDescent="0.3">
      <c r="A2155" s="174"/>
      <c r="B2155" s="174"/>
      <c r="C2155" s="174"/>
      <c r="D2155" s="174"/>
      <c r="E2155" s="174"/>
    </row>
    <row r="2156" spans="1:5" x14ac:dyDescent="0.3">
      <c r="A2156" s="174"/>
      <c r="B2156" s="174"/>
      <c r="C2156" s="174"/>
      <c r="D2156" s="174"/>
      <c r="E2156" s="174"/>
    </row>
    <row r="2157" spans="1:5" x14ac:dyDescent="0.3">
      <c r="A2157" s="174"/>
      <c r="B2157" s="174"/>
      <c r="C2157" s="174"/>
      <c r="D2157" s="174"/>
      <c r="E2157" s="174"/>
    </row>
    <row r="2158" spans="1:5" x14ac:dyDescent="0.3">
      <c r="A2158" s="174"/>
      <c r="B2158" s="174"/>
      <c r="C2158" s="174"/>
      <c r="D2158" s="174"/>
      <c r="E2158" s="174"/>
    </row>
    <row r="2159" spans="1:5" x14ac:dyDescent="0.3">
      <c r="A2159" s="174"/>
      <c r="B2159" s="174"/>
      <c r="C2159" s="174"/>
      <c r="D2159" s="174"/>
      <c r="E2159" s="174"/>
    </row>
    <row r="2160" spans="1:5" x14ac:dyDescent="0.3">
      <c r="A2160" s="174"/>
      <c r="B2160" s="174"/>
      <c r="C2160" s="174"/>
      <c r="D2160" s="174"/>
      <c r="E2160" s="174"/>
    </row>
    <row r="2161" spans="1:5" x14ac:dyDescent="0.3">
      <c r="A2161" s="174"/>
      <c r="B2161" s="174"/>
      <c r="C2161" s="174"/>
      <c r="D2161" s="174"/>
      <c r="E2161" s="174"/>
    </row>
    <row r="2162" spans="1:5" x14ac:dyDescent="0.3">
      <c r="A2162" s="174"/>
      <c r="B2162" s="174"/>
      <c r="C2162" s="174"/>
      <c r="D2162" s="174"/>
      <c r="E2162" s="174"/>
    </row>
    <row r="2163" spans="1:5" x14ac:dyDescent="0.3">
      <c r="A2163" s="174"/>
      <c r="B2163" s="174"/>
      <c r="C2163" s="174"/>
      <c r="D2163" s="174"/>
      <c r="E2163" s="174"/>
    </row>
    <row r="2164" spans="1:5" x14ac:dyDescent="0.3">
      <c r="A2164" s="174"/>
      <c r="B2164" s="174"/>
      <c r="C2164" s="174"/>
      <c r="D2164" s="174"/>
      <c r="E2164" s="174"/>
    </row>
    <row r="2165" spans="1:5" x14ac:dyDescent="0.3">
      <c r="A2165" s="174"/>
      <c r="B2165" s="174"/>
      <c r="C2165" s="174"/>
      <c r="D2165" s="174"/>
      <c r="E2165" s="174"/>
    </row>
    <row r="2166" spans="1:5" x14ac:dyDescent="0.3">
      <c r="A2166" s="174"/>
      <c r="B2166" s="174"/>
      <c r="C2166" s="174"/>
      <c r="D2166" s="174"/>
      <c r="E2166" s="174"/>
    </row>
    <row r="2167" spans="1:5" x14ac:dyDescent="0.3">
      <c r="A2167" s="174"/>
      <c r="B2167" s="174"/>
      <c r="C2167" s="174"/>
      <c r="D2167" s="174"/>
      <c r="E2167" s="174"/>
    </row>
    <row r="2168" spans="1:5" x14ac:dyDescent="0.3">
      <c r="A2168" s="174"/>
      <c r="B2168" s="174"/>
      <c r="C2168" s="174"/>
      <c r="D2168" s="174"/>
      <c r="E2168" s="174"/>
    </row>
    <row r="2169" spans="1:5" x14ac:dyDescent="0.3">
      <c r="A2169" s="174"/>
      <c r="B2169" s="174"/>
      <c r="C2169" s="174"/>
      <c r="D2169" s="174"/>
      <c r="E2169" s="174"/>
    </row>
    <row r="2170" spans="1:5" x14ac:dyDescent="0.3">
      <c r="A2170" s="174"/>
      <c r="B2170" s="174"/>
      <c r="C2170" s="174"/>
      <c r="D2170" s="174"/>
      <c r="E2170" s="174"/>
    </row>
    <row r="2171" spans="1:5" x14ac:dyDescent="0.3">
      <c r="A2171" s="174"/>
      <c r="B2171" s="174"/>
      <c r="C2171" s="174"/>
      <c r="D2171" s="174"/>
      <c r="E2171" s="174"/>
    </row>
    <row r="2172" spans="1:5" x14ac:dyDescent="0.3">
      <c r="A2172" s="174"/>
      <c r="B2172" s="174"/>
      <c r="C2172" s="174"/>
      <c r="D2172" s="174"/>
      <c r="E2172" s="174"/>
    </row>
    <row r="2173" spans="1:5" x14ac:dyDescent="0.3">
      <c r="A2173" s="174"/>
      <c r="B2173" s="174"/>
      <c r="C2173" s="174"/>
      <c r="D2173" s="174"/>
      <c r="E2173" s="174"/>
    </row>
    <row r="2174" spans="1:5" x14ac:dyDescent="0.3">
      <c r="A2174" s="174"/>
      <c r="B2174" s="174"/>
      <c r="C2174" s="174"/>
      <c r="D2174" s="174"/>
      <c r="E2174" s="174"/>
    </row>
    <row r="2175" spans="1:5" x14ac:dyDescent="0.3">
      <c r="A2175" s="174"/>
      <c r="B2175" s="174"/>
      <c r="C2175" s="174"/>
      <c r="D2175" s="174"/>
      <c r="E2175" s="174"/>
    </row>
    <row r="2176" spans="1:5" x14ac:dyDescent="0.3">
      <c r="A2176" s="174"/>
      <c r="B2176" s="174"/>
      <c r="C2176" s="174"/>
      <c r="D2176" s="174"/>
      <c r="E2176" s="174"/>
    </row>
    <row r="2177" spans="1:5" x14ac:dyDescent="0.3">
      <c r="A2177" s="174"/>
      <c r="B2177" s="174"/>
      <c r="C2177" s="174"/>
      <c r="D2177" s="174"/>
      <c r="E2177" s="174"/>
    </row>
    <row r="2178" spans="1:5" x14ac:dyDescent="0.3">
      <c r="A2178" s="174"/>
      <c r="B2178" s="174"/>
      <c r="C2178" s="174"/>
      <c r="D2178" s="174"/>
      <c r="E2178" s="174"/>
    </row>
    <row r="2179" spans="1:5" x14ac:dyDescent="0.3">
      <c r="A2179" s="174"/>
      <c r="B2179" s="174"/>
      <c r="C2179" s="174"/>
      <c r="D2179" s="174"/>
      <c r="E2179" s="174"/>
    </row>
    <row r="2180" spans="1:5" x14ac:dyDescent="0.3">
      <c r="A2180" s="174"/>
      <c r="B2180" s="174"/>
      <c r="C2180" s="174"/>
      <c r="D2180" s="174"/>
      <c r="E2180" s="174"/>
    </row>
    <row r="2181" spans="1:5" x14ac:dyDescent="0.3">
      <c r="A2181" s="174"/>
      <c r="B2181" s="174"/>
      <c r="C2181" s="174"/>
      <c r="D2181" s="174"/>
      <c r="E2181" s="174"/>
    </row>
    <row r="2182" spans="1:5" x14ac:dyDescent="0.3">
      <c r="A2182" s="174"/>
      <c r="B2182" s="174"/>
      <c r="C2182" s="174"/>
      <c r="D2182" s="174"/>
      <c r="E2182" s="174"/>
    </row>
    <row r="2183" spans="1:5" x14ac:dyDescent="0.3">
      <c r="A2183" s="174"/>
      <c r="B2183" s="174"/>
      <c r="C2183" s="174"/>
      <c r="D2183" s="174"/>
      <c r="E2183" s="174"/>
    </row>
    <row r="2184" spans="1:5" x14ac:dyDescent="0.3">
      <c r="A2184" s="174"/>
      <c r="B2184" s="174"/>
      <c r="C2184" s="174"/>
      <c r="D2184" s="174"/>
      <c r="E2184" s="174"/>
    </row>
    <row r="2185" spans="1:5" x14ac:dyDescent="0.3">
      <c r="A2185" s="174"/>
      <c r="B2185" s="174"/>
      <c r="C2185" s="174"/>
      <c r="D2185" s="174"/>
      <c r="E2185" s="174"/>
    </row>
    <row r="2186" spans="1:5" x14ac:dyDescent="0.3">
      <c r="A2186" s="174"/>
      <c r="B2186" s="174"/>
      <c r="C2186" s="174"/>
      <c r="D2186" s="174"/>
      <c r="E2186" s="174"/>
    </row>
    <row r="2187" spans="1:5" x14ac:dyDescent="0.3">
      <c r="A2187" s="174"/>
      <c r="B2187" s="174"/>
      <c r="C2187" s="174"/>
      <c r="D2187" s="174"/>
      <c r="E2187" s="174"/>
    </row>
    <row r="2188" spans="1:5" x14ac:dyDescent="0.3">
      <c r="A2188" s="174"/>
      <c r="B2188" s="174"/>
      <c r="C2188" s="174"/>
      <c r="D2188" s="174"/>
      <c r="E2188" s="174"/>
    </row>
    <row r="2189" spans="1:5" x14ac:dyDescent="0.3">
      <c r="A2189" s="174"/>
      <c r="B2189" s="174"/>
      <c r="C2189" s="174"/>
      <c r="D2189" s="174"/>
      <c r="E2189" s="174"/>
    </row>
    <row r="2190" spans="1:5" x14ac:dyDescent="0.3">
      <c r="A2190" s="174"/>
      <c r="B2190" s="174"/>
      <c r="C2190" s="174"/>
      <c r="D2190" s="174"/>
      <c r="E2190" s="174"/>
    </row>
    <row r="2191" spans="1:5" x14ac:dyDescent="0.3">
      <c r="A2191" s="174"/>
      <c r="B2191" s="174"/>
      <c r="C2191" s="174"/>
      <c r="D2191" s="174"/>
      <c r="E2191" s="174"/>
    </row>
    <row r="2192" spans="1:5" x14ac:dyDescent="0.3">
      <c r="A2192" s="174"/>
      <c r="B2192" s="174"/>
      <c r="C2192" s="174"/>
      <c r="D2192" s="174"/>
      <c r="E2192" s="174"/>
    </row>
    <row r="2193" spans="1:5" x14ac:dyDescent="0.3">
      <c r="A2193" s="174"/>
      <c r="B2193" s="174"/>
      <c r="C2193" s="174"/>
      <c r="D2193" s="174"/>
      <c r="E2193" s="174"/>
    </row>
    <row r="2194" spans="1:5" x14ac:dyDescent="0.3">
      <c r="A2194" s="174"/>
      <c r="B2194" s="174"/>
      <c r="C2194" s="174"/>
      <c r="D2194" s="174"/>
      <c r="E2194" s="174"/>
    </row>
    <row r="2195" spans="1:5" x14ac:dyDescent="0.3">
      <c r="A2195" s="174"/>
      <c r="B2195" s="174"/>
      <c r="C2195" s="174"/>
      <c r="D2195" s="174"/>
      <c r="E2195" s="174"/>
    </row>
    <row r="2196" spans="1:5" x14ac:dyDescent="0.3">
      <c r="A2196" s="174"/>
      <c r="B2196" s="174"/>
      <c r="C2196" s="174"/>
      <c r="D2196" s="174"/>
      <c r="E2196" s="174"/>
    </row>
    <row r="2197" spans="1:5" x14ac:dyDescent="0.3">
      <c r="A2197" s="174"/>
      <c r="B2197" s="174"/>
      <c r="C2197" s="174"/>
      <c r="D2197" s="174"/>
      <c r="E2197" s="174"/>
    </row>
    <row r="2198" spans="1:5" x14ac:dyDescent="0.3">
      <c r="A2198" s="174"/>
      <c r="B2198" s="174"/>
      <c r="C2198" s="174"/>
      <c r="D2198" s="174"/>
      <c r="E2198" s="174"/>
    </row>
    <row r="2199" spans="1:5" x14ac:dyDescent="0.3">
      <c r="A2199" s="174"/>
      <c r="B2199" s="174"/>
      <c r="C2199" s="174"/>
      <c r="D2199" s="174"/>
      <c r="E2199" s="174"/>
    </row>
    <row r="2200" spans="1:5" x14ac:dyDescent="0.3">
      <c r="A2200" s="174"/>
      <c r="B2200" s="174"/>
      <c r="C2200" s="174"/>
      <c r="D2200" s="174"/>
      <c r="E2200" s="174"/>
    </row>
    <row r="2201" spans="1:5" x14ac:dyDescent="0.3">
      <c r="A2201" s="174"/>
      <c r="B2201" s="174"/>
      <c r="C2201" s="174"/>
      <c r="D2201" s="174"/>
      <c r="E2201" s="174"/>
    </row>
    <row r="2202" spans="1:5" x14ac:dyDescent="0.3">
      <c r="A2202" s="174"/>
      <c r="B2202" s="174"/>
      <c r="C2202" s="174"/>
      <c r="D2202" s="174"/>
      <c r="E2202" s="174"/>
    </row>
    <row r="2203" spans="1:5" x14ac:dyDescent="0.3">
      <c r="A2203" s="174"/>
      <c r="B2203" s="174"/>
      <c r="C2203" s="174"/>
      <c r="D2203" s="174"/>
      <c r="E2203" s="174"/>
    </row>
    <row r="2204" spans="1:5" x14ac:dyDescent="0.3">
      <c r="A2204" s="174"/>
      <c r="B2204" s="174"/>
      <c r="C2204" s="174"/>
      <c r="D2204" s="174"/>
      <c r="E2204" s="174"/>
    </row>
    <row r="2205" spans="1:5" x14ac:dyDescent="0.3">
      <c r="A2205" s="174"/>
      <c r="B2205" s="174"/>
      <c r="C2205" s="174"/>
      <c r="D2205" s="174"/>
      <c r="E2205" s="174"/>
    </row>
    <row r="2206" spans="1:5" x14ac:dyDescent="0.3">
      <c r="A2206" s="174"/>
      <c r="B2206" s="174"/>
      <c r="C2206" s="174"/>
      <c r="D2206" s="174"/>
      <c r="E2206" s="174"/>
    </row>
    <row r="2207" spans="1:5" x14ac:dyDescent="0.3">
      <c r="A2207" s="174"/>
      <c r="B2207" s="174"/>
      <c r="C2207" s="174"/>
      <c r="D2207" s="174"/>
      <c r="E2207" s="174"/>
    </row>
    <row r="2208" spans="1:5" x14ac:dyDescent="0.3">
      <c r="A2208" s="174"/>
      <c r="B2208" s="174"/>
      <c r="C2208" s="174"/>
      <c r="D2208" s="174"/>
      <c r="E2208" s="174"/>
    </row>
    <row r="2209" spans="1:5" x14ac:dyDescent="0.3">
      <c r="A2209" s="174"/>
      <c r="B2209" s="174"/>
      <c r="C2209" s="174"/>
      <c r="D2209" s="174"/>
      <c r="E2209" s="174"/>
    </row>
    <row r="2210" spans="1:5" x14ac:dyDescent="0.3">
      <c r="A2210" s="174"/>
      <c r="B2210" s="174"/>
      <c r="C2210" s="174"/>
      <c r="D2210" s="174"/>
      <c r="E2210" s="174"/>
    </row>
    <row r="2211" spans="1:5" x14ac:dyDescent="0.3">
      <c r="A2211" s="174"/>
      <c r="B2211" s="174"/>
      <c r="C2211" s="174"/>
      <c r="D2211" s="174"/>
      <c r="E2211" s="174"/>
    </row>
    <row r="2212" spans="1:5" x14ac:dyDescent="0.3">
      <c r="A2212" s="174"/>
      <c r="B2212" s="174"/>
      <c r="C2212" s="174"/>
      <c r="D2212" s="174"/>
      <c r="E2212" s="174"/>
    </row>
    <row r="2213" spans="1:5" x14ac:dyDescent="0.3">
      <c r="A2213" s="174"/>
      <c r="B2213" s="174"/>
      <c r="C2213" s="174"/>
      <c r="D2213" s="174"/>
      <c r="E2213" s="174"/>
    </row>
    <row r="2214" spans="1:5" x14ac:dyDescent="0.3">
      <c r="A2214" s="174"/>
      <c r="B2214" s="174"/>
      <c r="C2214" s="174"/>
      <c r="D2214" s="174"/>
      <c r="E2214" s="174"/>
    </row>
    <row r="2215" spans="1:5" x14ac:dyDescent="0.3">
      <c r="A2215" s="174"/>
      <c r="B2215" s="174"/>
      <c r="C2215" s="174"/>
      <c r="D2215" s="174"/>
      <c r="E2215" s="174"/>
    </row>
    <row r="2216" spans="1:5" x14ac:dyDescent="0.3">
      <c r="A2216" s="174"/>
      <c r="B2216" s="174"/>
      <c r="C2216" s="174"/>
      <c r="D2216" s="174"/>
      <c r="E2216" s="174"/>
    </row>
    <row r="2217" spans="1:5" x14ac:dyDescent="0.3">
      <c r="A2217" s="174"/>
      <c r="B2217" s="174"/>
      <c r="C2217" s="174"/>
      <c r="D2217" s="174"/>
      <c r="E2217" s="174"/>
    </row>
    <row r="2218" spans="1:5" x14ac:dyDescent="0.3">
      <c r="A2218" s="174"/>
      <c r="B2218" s="174"/>
      <c r="C2218" s="174"/>
      <c r="D2218" s="174"/>
      <c r="E2218" s="174"/>
    </row>
    <row r="2219" spans="1:5" x14ac:dyDescent="0.3">
      <c r="A2219" s="174"/>
      <c r="B2219" s="174"/>
      <c r="C2219" s="174"/>
      <c r="D2219" s="174"/>
      <c r="E2219" s="174"/>
    </row>
    <row r="2220" spans="1:5" x14ac:dyDescent="0.3">
      <c r="A2220" s="174"/>
      <c r="B2220" s="174"/>
      <c r="C2220" s="174"/>
      <c r="D2220" s="174"/>
      <c r="E2220" s="174"/>
    </row>
    <row r="2221" spans="1:5" x14ac:dyDescent="0.3">
      <c r="A2221" s="174"/>
      <c r="B2221" s="174"/>
      <c r="C2221" s="174"/>
      <c r="D2221" s="174"/>
      <c r="E2221" s="174"/>
    </row>
    <row r="2222" spans="1:5" x14ac:dyDescent="0.3">
      <c r="A2222" s="174"/>
      <c r="B2222" s="174"/>
      <c r="C2222" s="174"/>
      <c r="D2222" s="174"/>
      <c r="E2222" s="174"/>
    </row>
    <row r="2223" spans="1:5" x14ac:dyDescent="0.3">
      <c r="A2223" s="174"/>
      <c r="B2223" s="174"/>
      <c r="C2223" s="174"/>
      <c r="D2223" s="174"/>
      <c r="E2223" s="174"/>
    </row>
    <row r="2224" spans="1:5" x14ac:dyDescent="0.3">
      <c r="A2224" s="174"/>
      <c r="B2224" s="174"/>
      <c r="C2224" s="174"/>
      <c r="D2224" s="174"/>
      <c r="E2224" s="174"/>
    </row>
    <row r="2225" spans="1:5" x14ac:dyDescent="0.3">
      <c r="A2225" s="174"/>
      <c r="B2225" s="174"/>
      <c r="C2225" s="174"/>
      <c r="D2225" s="174"/>
      <c r="E2225" s="174"/>
    </row>
    <row r="2226" spans="1:5" x14ac:dyDescent="0.3">
      <c r="A2226" s="174"/>
      <c r="B2226" s="174"/>
      <c r="C2226" s="174"/>
      <c r="D2226" s="174"/>
      <c r="E2226" s="174"/>
    </row>
    <row r="2227" spans="1:5" x14ac:dyDescent="0.3">
      <c r="A2227" s="174"/>
      <c r="B2227" s="174"/>
      <c r="C2227" s="174"/>
      <c r="D2227" s="174"/>
      <c r="E2227" s="174"/>
    </row>
    <row r="2228" spans="1:5" x14ac:dyDescent="0.3">
      <c r="A2228" s="174"/>
      <c r="B2228" s="174"/>
      <c r="C2228" s="174"/>
      <c r="D2228" s="174"/>
      <c r="E2228" s="174"/>
    </row>
    <row r="2229" spans="1:5" x14ac:dyDescent="0.3">
      <c r="A2229" s="174"/>
      <c r="B2229" s="174"/>
      <c r="C2229" s="174"/>
      <c r="D2229" s="174"/>
      <c r="E2229" s="174"/>
    </row>
    <row r="2230" spans="1:5" x14ac:dyDescent="0.3">
      <c r="A2230" s="174"/>
      <c r="B2230" s="174"/>
      <c r="C2230" s="174"/>
      <c r="D2230" s="174"/>
      <c r="E2230" s="174"/>
    </row>
    <row r="2231" spans="1:5" x14ac:dyDescent="0.3">
      <c r="A2231" s="174"/>
      <c r="B2231" s="174"/>
      <c r="C2231" s="174"/>
      <c r="D2231" s="174"/>
      <c r="E2231" s="174"/>
    </row>
    <row r="2232" spans="1:5" x14ac:dyDescent="0.3">
      <c r="A2232" s="174"/>
      <c r="B2232" s="174"/>
      <c r="C2232" s="174"/>
      <c r="D2232" s="174"/>
      <c r="E2232" s="174"/>
    </row>
    <row r="2233" spans="1:5" x14ac:dyDescent="0.3">
      <c r="A2233" s="174"/>
      <c r="B2233" s="174"/>
      <c r="C2233" s="174"/>
      <c r="D2233" s="174"/>
      <c r="E2233" s="174"/>
    </row>
    <row r="2234" spans="1:5" x14ac:dyDescent="0.3">
      <c r="A2234" s="174"/>
      <c r="B2234" s="174"/>
      <c r="C2234" s="174"/>
      <c r="D2234" s="174"/>
      <c r="E2234" s="174"/>
    </row>
    <row r="2235" spans="1:5" x14ac:dyDescent="0.3">
      <c r="A2235" s="174"/>
      <c r="B2235" s="174"/>
      <c r="C2235" s="174"/>
      <c r="D2235" s="174"/>
      <c r="E2235" s="174"/>
    </row>
    <row r="2236" spans="1:5" x14ac:dyDescent="0.3">
      <c r="A2236" s="174"/>
      <c r="B2236" s="174"/>
      <c r="C2236" s="174"/>
      <c r="D2236" s="174"/>
      <c r="E2236" s="174"/>
    </row>
    <row r="2237" spans="1:5" x14ac:dyDescent="0.3">
      <c r="A2237" s="174"/>
      <c r="B2237" s="174"/>
      <c r="C2237" s="174"/>
      <c r="D2237" s="174"/>
      <c r="E2237" s="174"/>
    </row>
    <row r="2238" spans="1:5" x14ac:dyDescent="0.3">
      <c r="A2238" s="174"/>
      <c r="B2238" s="174"/>
      <c r="C2238" s="174"/>
      <c r="D2238" s="174"/>
      <c r="E2238" s="174"/>
    </row>
    <row r="2239" spans="1:5" x14ac:dyDescent="0.3">
      <c r="A2239" s="174"/>
      <c r="B2239" s="174"/>
      <c r="C2239" s="174"/>
      <c r="D2239" s="174"/>
      <c r="E2239" s="174"/>
    </row>
    <row r="2240" spans="1:5" x14ac:dyDescent="0.3">
      <c r="A2240" s="174"/>
      <c r="B2240" s="174"/>
      <c r="C2240" s="174"/>
      <c r="D2240" s="174"/>
      <c r="E2240" s="174"/>
    </row>
    <row r="2241" spans="1:5" x14ac:dyDescent="0.3">
      <c r="A2241" s="174"/>
      <c r="B2241" s="174"/>
      <c r="C2241" s="174"/>
      <c r="D2241" s="174"/>
      <c r="E2241" s="174"/>
    </row>
    <row r="2242" spans="1:5" x14ac:dyDescent="0.3">
      <c r="A2242" s="174"/>
      <c r="B2242" s="174"/>
      <c r="C2242" s="174"/>
      <c r="D2242" s="174"/>
      <c r="E2242" s="174"/>
    </row>
    <row r="2243" spans="1:5" x14ac:dyDescent="0.3">
      <c r="A2243" s="174"/>
      <c r="B2243" s="174"/>
      <c r="C2243" s="174"/>
      <c r="D2243" s="174"/>
      <c r="E2243" s="174"/>
    </row>
    <row r="2244" spans="1:5" x14ac:dyDescent="0.3">
      <c r="A2244" s="174"/>
      <c r="B2244" s="174"/>
      <c r="C2244" s="174"/>
      <c r="D2244" s="174"/>
      <c r="E2244" s="174"/>
    </row>
    <row r="2245" spans="1:5" x14ac:dyDescent="0.3">
      <c r="A2245" s="174"/>
      <c r="B2245" s="174"/>
      <c r="C2245" s="174"/>
      <c r="D2245" s="174"/>
      <c r="E2245" s="174"/>
    </row>
    <row r="2246" spans="1:5" x14ac:dyDescent="0.3">
      <c r="A2246" s="174"/>
      <c r="B2246" s="174"/>
      <c r="C2246" s="174"/>
      <c r="D2246" s="174"/>
      <c r="E2246" s="174"/>
    </row>
    <row r="2247" spans="1:5" x14ac:dyDescent="0.3">
      <c r="A2247" s="174"/>
      <c r="B2247" s="174"/>
      <c r="C2247" s="174"/>
      <c r="D2247" s="174"/>
      <c r="E2247" s="174"/>
    </row>
    <row r="2248" spans="1:5" x14ac:dyDescent="0.3">
      <c r="A2248" s="174"/>
      <c r="B2248" s="174"/>
      <c r="C2248" s="174"/>
      <c r="D2248" s="174"/>
      <c r="E2248" s="174"/>
    </row>
    <row r="2249" spans="1:5" x14ac:dyDescent="0.3">
      <c r="A2249" s="174"/>
      <c r="B2249" s="174"/>
      <c r="C2249" s="174"/>
      <c r="D2249" s="174"/>
      <c r="E2249" s="174"/>
    </row>
    <row r="2250" spans="1:5" x14ac:dyDescent="0.3">
      <c r="A2250" s="174"/>
      <c r="B2250" s="174"/>
      <c r="C2250" s="174"/>
      <c r="D2250" s="174"/>
      <c r="E2250" s="174"/>
    </row>
    <row r="2251" spans="1:5" x14ac:dyDescent="0.3">
      <c r="A2251" s="174"/>
      <c r="B2251" s="174"/>
      <c r="C2251" s="174"/>
      <c r="D2251" s="174"/>
      <c r="E2251" s="174"/>
    </row>
    <row r="2252" spans="1:5" x14ac:dyDescent="0.3">
      <c r="A2252" s="174"/>
      <c r="B2252" s="174"/>
      <c r="C2252" s="174"/>
      <c r="D2252" s="174"/>
      <c r="E2252" s="174"/>
    </row>
    <row r="2253" spans="1:5" x14ac:dyDescent="0.3">
      <c r="A2253" s="174"/>
      <c r="B2253" s="174"/>
      <c r="C2253" s="174"/>
      <c r="D2253" s="174"/>
      <c r="E2253" s="174"/>
    </row>
    <row r="2254" spans="1:5" x14ac:dyDescent="0.3">
      <c r="A2254" s="174"/>
      <c r="B2254" s="174"/>
      <c r="C2254" s="174"/>
      <c r="D2254" s="174"/>
      <c r="E2254" s="174"/>
    </row>
    <row r="2255" spans="1:5" x14ac:dyDescent="0.3">
      <c r="A2255" s="174"/>
      <c r="B2255" s="174"/>
      <c r="C2255" s="174"/>
      <c r="D2255" s="174"/>
      <c r="E2255" s="174"/>
    </row>
    <row r="2256" spans="1:5" x14ac:dyDescent="0.3">
      <c r="A2256" s="174"/>
      <c r="B2256" s="174"/>
      <c r="C2256" s="174"/>
      <c r="D2256" s="174"/>
      <c r="E2256" s="174"/>
    </row>
    <row r="2257" spans="1:5" x14ac:dyDescent="0.3">
      <c r="A2257" s="174"/>
      <c r="B2257" s="174"/>
      <c r="C2257" s="174"/>
      <c r="D2257" s="174"/>
      <c r="E2257" s="174"/>
    </row>
    <row r="2258" spans="1:5" x14ac:dyDescent="0.3">
      <c r="A2258" s="174"/>
      <c r="B2258" s="174"/>
      <c r="C2258" s="174"/>
      <c r="D2258" s="174"/>
      <c r="E2258" s="174"/>
    </row>
    <row r="2259" spans="1:5" x14ac:dyDescent="0.3">
      <c r="A2259" s="174"/>
      <c r="B2259" s="174"/>
      <c r="C2259" s="174"/>
      <c r="D2259" s="174"/>
      <c r="E2259" s="174"/>
    </row>
    <row r="2260" spans="1:5" x14ac:dyDescent="0.3">
      <c r="A2260" s="174"/>
      <c r="B2260" s="174"/>
      <c r="C2260" s="174"/>
      <c r="D2260" s="174"/>
      <c r="E2260" s="174"/>
    </row>
    <row r="2261" spans="1:5" x14ac:dyDescent="0.3">
      <c r="A2261" s="174"/>
      <c r="B2261" s="174"/>
      <c r="C2261" s="174"/>
      <c r="D2261" s="174"/>
      <c r="E2261" s="174"/>
    </row>
    <row r="2262" spans="1:5" x14ac:dyDescent="0.3">
      <c r="A2262" s="174"/>
      <c r="B2262" s="174"/>
      <c r="C2262" s="174"/>
      <c r="D2262" s="174"/>
      <c r="E2262" s="174"/>
    </row>
    <row r="2263" spans="1:5" x14ac:dyDescent="0.3">
      <c r="A2263" s="174"/>
      <c r="B2263" s="174"/>
      <c r="C2263" s="174"/>
      <c r="D2263" s="174"/>
      <c r="E2263" s="174"/>
    </row>
    <row r="2264" spans="1:5" x14ac:dyDescent="0.3">
      <c r="A2264" s="174"/>
      <c r="B2264" s="174"/>
      <c r="C2264" s="174"/>
      <c r="D2264" s="174"/>
      <c r="E2264" s="174"/>
    </row>
    <row r="2265" spans="1:5" x14ac:dyDescent="0.3">
      <c r="A2265" s="174"/>
      <c r="B2265" s="174"/>
      <c r="C2265" s="174"/>
      <c r="D2265" s="174"/>
      <c r="E2265" s="174"/>
    </row>
    <row r="2266" spans="1:5" x14ac:dyDescent="0.3">
      <c r="A2266" s="174"/>
      <c r="B2266" s="174"/>
      <c r="C2266" s="174"/>
      <c r="D2266" s="174"/>
      <c r="E2266" s="174"/>
    </row>
    <row r="2267" spans="1:5" x14ac:dyDescent="0.3">
      <c r="A2267" s="174"/>
      <c r="B2267" s="174"/>
      <c r="C2267" s="174"/>
      <c r="D2267" s="174"/>
      <c r="E2267" s="174"/>
    </row>
    <row r="2268" spans="1:5" x14ac:dyDescent="0.3">
      <c r="A2268" s="174"/>
      <c r="B2268" s="174"/>
      <c r="C2268" s="174"/>
      <c r="D2268" s="174"/>
      <c r="E2268" s="174"/>
    </row>
    <row r="2269" spans="1:5" x14ac:dyDescent="0.3">
      <c r="A2269" s="174"/>
      <c r="B2269" s="174"/>
      <c r="C2269" s="174"/>
      <c r="D2269" s="174"/>
      <c r="E2269" s="174"/>
    </row>
    <row r="2270" spans="1:5" x14ac:dyDescent="0.3">
      <c r="A2270" s="174"/>
      <c r="B2270" s="174"/>
      <c r="C2270" s="174"/>
      <c r="D2270" s="174"/>
      <c r="E2270" s="174"/>
    </row>
    <row r="2271" spans="1:5" x14ac:dyDescent="0.3">
      <c r="A2271" s="174"/>
      <c r="B2271" s="174"/>
      <c r="C2271" s="174"/>
      <c r="D2271" s="174"/>
      <c r="E2271" s="174"/>
    </row>
    <row r="2272" spans="1:5" x14ac:dyDescent="0.3">
      <c r="A2272" s="174"/>
      <c r="B2272" s="174"/>
      <c r="C2272" s="174"/>
      <c r="D2272" s="174"/>
      <c r="E2272" s="174"/>
    </row>
    <row r="2273" spans="1:5" x14ac:dyDescent="0.3">
      <c r="A2273" s="174"/>
      <c r="B2273" s="174"/>
      <c r="C2273" s="174"/>
      <c r="D2273" s="174"/>
      <c r="E2273" s="174"/>
    </row>
    <row r="2274" spans="1:5" x14ac:dyDescent="0.3">
      <c r="A2274" s="174"/>
      <c r="B2274" s="174"/>
      <c r="C2274" s="174"/>
      <c r="D2274" s="174"/>
      <c r="E2274" s="174"/>
    </row>
    <row r="2275" spans="1:5" x14ac:dyDescent="0.3">
      <c r="A2275" s="174"/>
      <c r="B2275" s="174"/>
      <c r="C2275" s="174"/>
      <c r="D2275" s="174"/>
      <c r="E2275" s="174"/>
    </row>
    <row r="2276" spans="1:5" x14ac:dyDescent="0.3">
      <c r="A2276" s="174"/>
      <c r="B2276" s="174"/>
      <c r="C2276" s="174"/>
      <c r="D2276" s="174"/>
      <c r="E2276" s="174"/>
    </row>
    <row r="2277" spans="1:5" x14ac:dyDescent="0.3">
      <c r="A2277" s="174"/>
      <c r="B2277" s="174"/>
      <c r="C2277" s="174"/>
      <c r="D2277" s="174"/>
      <c r="E2277" s="174"/>
    </row>
    <row r="2278" spans="1:5" x14ac:dyDescent="0.3">
      <c r="A2278" s="174"/>
      <c r="B2278" s="174"/>
      <c r="C2278" s="174"/>
      <c r="D2278" s="174"/>
      <c r="E2278" s="174"/>
    </row>
    <row r="2279" spans="1:5" x14ac:dyDescent="0.3">
      <c r="A2279" s="174"/>
      <c r="B2279" s="174"/>
      <c r="C2279" s="174"/>
      <c r="D2279" s="174"/>
      <c r="E2279" s="174"/>
    </row>
    <row r="2280" spans="1:5" x14ac:dyDescent="0.3">
      <c r="A2280" s="174"/>
      <c r="B2280" s="174"/>
      <c r="C2280" s="174"/>
      <c r="D2280" s="174"/>
      <c r="E2280" s="174"/>
    </row>
    <row r="2281" spans="1:5" x14ac:dyDescent="0.3">
      <c r="A2281" s="174"/>
      <c r="B2281" s="174"/>
      <c r="C2281" s="174"/>
      <c r="D2281" s="174"/>
      <c r="E2281" s="174"/>
    </row>
    <row r="2282" spans="1:5" x14ac:dyDescent="0.3">
      <c r="A2282" s="174"/>
      <c r="B2282" s="174"/>
      <c r="C2282" s="174"/>
      <c r="D2282" s="174"/>
      <c r="E2282" s="174"/>
    </row>
    <row r="2283" spans="1:5" x14ac:dyDescent="0.3">
      <c r="A2283" s="174"/>
      <c r="B2283" s="174"/>
      <c r="C2283" s="174"/>
      <c r="D2283" s="174"/>
      <c r="E2283" s="174"/>
    </row>
    <row r="2284" spans="1:5" x14ac:dyDescent="0.3">
      <c r="A2284" s="174"/>
      <c r="B2284" s="174"/>
      <c r="C2284" s="174"/>
      <c r="D2284" s="174"/>
      <c r="E2284" s="174"/>
    </row>
    <row r="2285" spans="1:5" x14ac:dyDescent="0.3">
      <c r="A2285" s="174"/>
      <c r="B2285" s="174"/>
      <c r="C2285" s="174"/>
      <c r="D2285" s="174"/>
      <c r="E2285" s="174"/>
    </row>
    <row r="2286" spans="1:5" x14ac:dyDescent="0.3">
      <c r="A2286" s="174"/>
      <c r="B2286" s="174"/>
      <c r="C2286" s="174"/>
      <c r="D2286" s="174"/>
      <c r="E2286" s="174"/>
    </row>
    <row r="2287" spans="1:5" x14ac:dyDescent="0.3">
      <c r="A2287" s="174"/>
      <c r="B2287" s="174"/>
      <c r="C2287" s="174"/>
      <c r="D2287" s="174"/>
      <c r="E2287" s="174"/>
    </row>
    <row r="2288" spans="1:5" x14ac:dyDescent="0.3">
      <c r="A2288" s="174"/>
      <c r="B2288" s="174"/>
      <c r="C2288" s="174"/>
      <c r="D2288" s="174"/>
      <c r="E2288" s="174"/>
    </row>
    <row r="2289" spans="1:5" x14ac:dyDescent="0.3">
      <c r="A2289" s="174"/>
      <c r="B2289" s="174"/>
      <c r="C2289" s="174"/>
      <c r="D2289" s="174"/>
      <c r="E2289" s="174"/>
    </row>
    <row r="2290" spans="1:5" x14ac:dyDescent="0.3">
      <c r="A2290" s="174"/>
      <c r="B2290" s="174"/>
      <c r="C2290" s="174"/>
      <c r="D2290" s="174"/>
      <c r="E2290" s="174"/>
    </row>
    <row r="2291" spans="1:5" x14ac:dyDescent="0.3">
      <c r="A2291" s="174"/>
      <c r="B2291" s="174"/>
      <c r="C2291" s="174"/>
      <c r="D2291" s="174"/>
      <c r="E2291" s="174"/>
    </row>
    <row r="2292" spans="1:5" x14ac:dyDescent="0.3">
      <c r="A2292" s="174"/>
      <c r="B2292" s="174"/>
      <c r="C2292" s="174"/>
      <c r="D2292" s="174"/>
      <c r="E2292" s="174"/>
    </row>
    <row r="2293" spans="1:5" x14ac:dyDescent="0.3">
      <c r="A2293" s="174"/>
      <c r="B2293" s="174"/>
      <c r="C2293" s="174"/>
      <c r="D2293" s="174"/>
      <c r="E2293" s="174"/>
    </row>
    <row r="2294" spans="1:5" x14ac:dyDescent="0.3">
      <c r="A2294" s="174"/>
      <c r="B2294" s="174"/>
      <c r="C2294" s="174"/>
      <c r="D2294" s="174"/>
      <c r="E2294" s="174"/>
    </row>
    <row r="2295" spans="1:5" x14ac:dyDescent="0.3">
      <c r="A2295" s="174"/>
      <c r="B2295" s="174"/>
      <c r="C2295" s="174"/>
      <c r="D2295" s="174"/>
      <c r="E2295" s="174"/>
    </row>
    <row r="2296" spans="1:5" x14ac:dyDescent="0.3">
      <c r="A2296" s="174"/>
      <c r="B2296" s="174"/>
      <c r="C2296" s="174"/>
      <c r="D2296" s="174"/>
      <c r="E2296" s="174"/>
    </row>
    <row r="2297" spans="1:5" x14ac:dyDescent="0.3">
      <c r="A2297" s="174"/>
      <c r="B2297" s="174"/>
      <c r="C2297" s="174"/>
      <c r="D2297" s="174"/>
      <c r="E2297" s="174"/>
    </row>
    <row r="2298" spans="1:5" x14ac:dyDescent="0.3">
      <c r="A2298" s="174"/>
      <c r="B2298" s="174"/>
      <c r="C2298" s="174"/>
      <c r="D2298" s="174"/>
      <c r="E2298" s="174"/>
    </row>
    <row r="2299" spans="1:5" x14ac:dyDescent="0.3">
      <c r="A2299" s="174"/>
      <c r="B2299" s="174"/>
      <c r="C2299" s="174"/>
      <c r="D2299" s="174"/>
      <c r="E2299" s="174"/>
    </row>
    <row r="2300" spans="1:5" x14ac:dyDescent="0.3">
      <c r="A2300" s="174"/>
      <c r="B2300" s="174"/>
      <c r="C2300" s="174"/>
      <c r="D2300" s="174"/>
      <c r="E2300" s="174"/>
    </row>
    <row r="2301" spans="1:5" x14ac:dyDescent="0.3">
      <c r="A2301" s="174"/>
      <c r="B2301" s="174"/>
      <c r="C2301" s="174"/>
      <c r="D2301" s="174"/>
      <c r="E2301" s="174"/>
    </row>
    <row r="2302" spans="1:5" x14ac:dyDescent="0.3">
      <c r="A2302" s="174"/>
      <c r="B2302" s="174"/>
      <c r="C2302" s="174"/>
      <c r="D2302" s="174"/>
      <c r="E2302" s="174"/>
    </row>
    <row r="2303" spans="1:5" x14ac:dyDescent="0.3">
      <c r="A2303" s="174"/>
      <c r="B2303" s="174"/>
      <c r="C2303" s="174"/>
      <c r="D2303" s="174"/>
      <c r="E2303" s="174"/>
    </row>
    <row r="2304" spans="1:5" x14ac:dyDescent="0.3">
      <c r="A2304" s="174"/>
      <c r="B2304" s="174"/>
      <c r="C2304" s="174"/>
      <c r="D2304" s="174"/>
      <c r="E2304" s="174"/>
    </row>
    <row r="2305" spans="1:5" x14ac:dyDescent="0.3">
      <c r="A2305" s="174"/>
      <c r="B2305" s="174"/>
      <c r="C2305" s="174"/>
      <c r="D2305" s="174"/>
      <c r="E2305" s="174"/>
    </row>
    <row r="2306" spans="1:5" x14ac:dyDescent="0.3">
      <c r="A2306" s="174"/>
      <c r="B2306" s="174"/>
      <c r="C2306" s="174"/>
      <c r="D2306" s="174"/>
      <c r="E2306" s="174"/>
    </row>
    <row r="2307" spans="1:5" x14ac:dyDescent="0.3">
      <c r="A2307" s="174"/>
      <c r="B2307" s="174"/>
      <c r="C2307" s="174"/>
      <c r="D2307" s="174"/>
      <c r="E2307" s="174"/>
    </row>
    <row r="2308" spans="1:5" x14ac:dyDescent="0.3">
      <c r="A2308" s="174"/>
      <c r="B2308" s="174"/>
      <c r="C2308" s="174"/>
      <c r="D2308" s="174"/>
      <c r="E2308" s="174"/>
    </row>
    <row r="2309" spans="1:5" x14ac:dyDescent="0.3">
      <c r="A2309" s="174"/>
      <c r="B2309" s="174"/>
      <c r="C2309" s="174"/>
      <c r="D2309" s="174"/>
      <c r="E2309" s="174"/>
    </row>
    <row r="2310" spans="1:5" x14ac:dyDescent="0.3">
      <c r="A2310" s="174"/>
      <c r="B2310" s="174"/>
      <c r="C2310" s="174"/>
      <c r="D2310" s="174"/>
      <c r="E2310" s="174"/>
    </row>
    <row r="2311" spans="1:5" x14ac:dyDescent="0.3">
      <c r="A2311" s="174"/>
      <c r="B2311" s="174"/>
      <c r="C2311" s="174"/>
      <c r="D2311" s="174"/>
      <c r="E2311" s="174"/>
    </row>
    <row r="2312" spans="1:5" x14ac:dyDescent="0.3">
      <c r="A2312" s="174"/>
      <c r="B2312" s="174"/>
      <c r="C2312" s="174"/>
      <c r="D2312" s="174"/>
      <c r="E2312" s="174"/>
    </row>
    <row r="2313" spans="1:5" x14ac:dyDescent="0.3">
      <c r="A2313" s="174"/>
      <c r="B2313" s="174"/>
      <c r="C2313" s="174"/>
      <c r="D2313" s="174"/>
      <c r="E2313" s="174"/>
    </row>
    <row r="2314" spans="1:5" x14ac:dyDescent="0.3">
      <c r="A2314" s="174"/>
      <c r="B2314" s="174"/>
      <c r="C2314" s="174"/>
      <c r="D2314" s="174"/>
      <c r="E2314" s="174"/>
    </row>
    <row r="2315" spans="1:5" x14ac:dyDescent="0.3">
      <c r="A2315" s="174"/>
      <c r="B2315" s="174"/>
      <c r="C2315" s="174"/>
      <c r="D2315" s="174"/>
      <c r="E2315" s="174"/>
    </row>
    <row r="2316" spans="1:5" x14ac:dyDescent="0.3">
      <c r="A2316" s="174"/>
      <c r="B2316" s="174"/>
      <c r="C2316" s="174"/>
      <c r="D2316" s="174"/>
      <c r="E2316" s="174"/>
    </row>
    <row r="2317" spans="1:5" x14ac:dyDescent="0.3">
      <c r="A2317" s="174"/>
      <c r="B2317" s="174"/>
      <c r="C2317" s="174"/>
      <c r="D2317" s="174"/>
      <c r="E2317" s="174"/>
    </row>
    <row r="2318" spans="1:5" x14ac:dyDescent="0.3">
      <c r="A2318" s="174"/>
      <c r="B2318" s="174"/>
      <c r="C2318" s="174"/>
      <c r="D2318" s="174"/>
      <c r="E2318" s="174"/>
    </row>
    <row r="2319" spans="1:5" x14ac:dyDescent="0.3">
      <c r="A2319" s="174"/>
      <c r="B2319" s="174"/>
      <c r="C2319" s="174"/>
      <c r="D2319" s="174"/>
      <c r="E2319" s="174"/>
    </row>
    <row r="2320" spans="1:5" x14ac:dyDescent="0.3">
      <c r="A2320" s="174"/>
      <c r="B2320" s="174"/>
      <c r="C2320" s="174"/>
      <c r="D2320" s="174"/>
      <c r="E2320" s="174"/>
    </row>
    <row r="2321" spans="1:5" x14ac:dyDescent="0.3">
      <c r="A2321" s="174"/>
      <c r="B2321" s="174"/>
      <c r="C2321" s="174"/>
      <c r="D2321" s="174"/>
      <c r="E2321" s="174"/>
    </row>
    <row r="2322" spans="1:5" x14ac:dyDescent="0.3">
      <c r="A2322" s="174"/>
      <c r="B2322" s="174"/>
      <c r="C2322" s="174"/>
      <c r="D2322" s="174"/>
      <c r="E2322" s="174"/>
    </row>
    <row r="2323" spans="1:5" x14ac:dyDescent="0.3">
      <c r="A2323" s="174"/>
      <c r="B2323" s="174"/>
      <c r="C2323" s="174"/>
      <c r="D2323" s="174"/>
      <c r="E2323" s="174"/>
    </row>
    <row r="2324" spans="1:5" x14ac:dyDescent="0.3">
      <c r="A2324" s="174"/>
      <c r="B2324" s="174"/>
      <c r="C2324" s="174"/>
      <c r="D2324" s="174"/>
      <c r="E2324" s="174"/>
    </row>
    <row r="2325" spans="1:5" x14ac:dyDescent="0.3">
      <c r="A2325" s="174"/>
      <c r="B2325" s="174"/>
      <c r="C2325" s="174"/>
      <c r="D2325" s="174"/>
      <c r="E2325" s="174"/>
    </row>
    <row r="2326" spans="1:5" x14ac:dyDescent="0.3">
      <c r="A2326" s="174"/>
      <c r="B2326" s="174"/>
      <c r="C2326" s="174"/>
      <c r="D2326" s="174"/>
      <c r="E2326" s="174"/>
    </row>
    <row r="2327" spans="1:5" x14ac:dyDescent="0.3">
      <c r="A2327" s="174"/>
      <c r="B2327" s="174"/>
      <c r="C2327" s="174"/>
      <c r="D2327" s="174"/>
      <c r="E2327" s="174"/>
    </row>
    <row r="2328" spans="1:5" x14ac:dyDescent="0.3">
      <c r="A2328" s="174"/>
      <c r="B2328" s="174"/>
      <c r="C2328" s="174"/>
      <c r="D2328" s="174"/>
      <c r="E2328" s="174"/>
    </row>
    <row r="2329" spans="1:5" x14ac:dyDescent="0.3">
      <c r="A2329" s="174"/>
      <c r="B2329" s="174"/>
      <c r="C2329" s="174"/>
      <c r="D2329" s="174"/>
      <c r="E2329" s="174"/>
    </row>
    <row r="2330" spans="1:5" x14ac:dyDescent="0.3">
      <c r="A2330" s="174"/>
      <c r="B2330" s="174"/>
      <c r="C2330" s="174"/>
      <c r="D2330" s="174"/>
      <c r="E2330" s="174"/>
    </row>
    <row r="2331" spans="1:5" x14ac:dyDescent="0.3">
      <c r="A2331" s="174"/>
      <c r="B2331" s="174"/>
      <c r="C2331" s="174"/>
      <c r="D2331" s="174"/>
      <c r="E2331" s="174"/>
    </row>
    <row r="2332" spans="1:5" x14ac:dyDescent="0.3">
      <c r="A2332" s="174"/>
      <c r="B2332" s="174"/>
      <c r="C2332" s="174"/>
      <c r="D2332" s="174"/>
      <c r="E2332" s="174"/>
    </row>
    <row r="2333" spans="1:5" x14ac:dyDescent="0.3">
      <c r="A2333" s="174"/>
      <c r="B2333" s="174"/>
      <c r="C2333" s="174"/>
      <c r="D2333" s="174"/>
      <c r="E2333" s="174"/>
    </row>
    <row r="2334" spans="1:5" x14ac:dyDescent="0.3">
      <c r="A2334" s="174"/>
      <c r="B2334" s="174"/>
      <c r="C2334" s="174"/>
      <c r="D2334" s="174"/>
      <c r="E2334" s="174"/>
    </row>
    <row r="2335" spans="1:5" x14ac:dyDescent="0.3">
      <c r="A2335" s="174"/>
      <c r="B2335" s="174"/>
      <c r="C2335" s="174"/>
      <c r="D2335" s="174"/>
      <c r="E2335" s="174"/>
    </row>
    <row r="2336" spans="1:5" x14ac:dyDescent="0.3">
      <c r="A2336" s="174"/>
      <c r="B2336" s="174"/>
      <c r="C2336" s="174"/>
      <c r="D2336" s="174"/>
      <c r="E2336" s="174"/>
    </row>
    <row r="2337" spans="1:5" x14ac:dyDescent="0.3">
      <c r="A2337" s="174"/>
      <c r="B2337" s="174"/>
      <c r="C2337" s="174"/>
      <c r="D2337" s="174"/>
      <c r="E2337" s="174"/>
    </row>
    <row r="2338" spans="1:5" x14ac:dyDescent="0.3">
      <c r="A2338" s="174"/>
      <c r="B2338" s="174"/>
      <c r="C2338" s="174"/>
      <c r="D2338" s="174"/>
      <c r="E2338" s="174"/>
    </row>
    <row r="2339" spans="1:5" x14ac:dyDescent="0.3">
      <c r="A2339" s="174"/>
      <c r="B2339" s="174"/>
      <c r="C2339" s="174"/>
      <c r="D2339" s="174"/>
      <c r="E2339" s="174"/>
    </row>
    <row r="2340" spans="1:5" x14ac:dyDescent="0.3">
      <c r="A2340" s="174"/>
      <c r="B2340" s="174"/>
      <c r="C2340" s="174"/>
      <c r="D2340" s="174"/>
      <c r="E2340" s="174"/>
    </row>
    <row r="2341" spans="1:5" x14ac:dyDescent="0.3">
      <c r="A2341" s="174"/>
      <c r="B2341" s="174"/>
      <c r="C2341" s="174"/>
      <c r="D2341" s="174"/>
      <c r="E2341" s="174"/>
    </row>
    <row r="2342" spans="1:5" x14ac:dyDescent="0.3">
      <c r="A2342" s="174"/>
      <c r="B2342" s="174"/>
      <c r="C2342" s="174"/>
      <c r="D2342" s="174"/>
      <c r="E2342" s="174"/>
    </row>
    <row r="2343" spans="1:5" x14ac:dyDescent="0.3">
      <c r="A2343" s="174"/>
      <c r="B2343" s="174"/>
      <c r="C2343" s="174"/>
      <c r="D2343" s="174"/>
      <c r="E2343" s="174"/>
    </row>
    <row r="2344" spans="1:5" x14ac:dyDescent="0.3">
      <c r="A2344" s="174"/>
      <c r="B2344" s="174"/>
      <c r="C2344" s="174"/>
      <c r="D2344" s="174"/>
      <c r="E2344" s="174"/>
    </row>
    <row r="2345" spans="1:5" x14ac:dyDescent="0.3">
      <c r="A2345" s="174"/>
      <c r="B2345" s="174"/>
      <c r="C2345" s="174"/>
      <c r="D2345" s="174"/>
      <c r="E2345" s="174"/>
    </row>
    <row r="2346" spans="1:5" x14ac:dyDescent="0.3">
      <c r="A2346" s="174"/>
      <c r="B2346" s="174"/>
      <c r="C2346" s="174"/>
      <c r="D2346" s="174"/>
      <c r="E2346" s="174"/>
    </row>
    <row r="2347" spans="1:5" x14ac:dyDescent="0.3">
      <c r="A2347" s="174"/>
      <c r="B2347" s="174"/>
      <c r="C2347" s="174"/>
      <c r="D2347" s="174"/>
      <c r="E2347" s="174"/>
    </row>
    <row r="2348" spans="1:5" x14ac:dyDescent="0.3">
      <c r="A2348" s="174"/>
      <c r="B2348" s="174"/>
      <c r="C2348" s="174"/>
      <c r="D2348" s="174"/>
      <c r="E2348" s="174"/>
    </row>
    <row r="2349" spans="1:5" x14ac:dyDescent="0.3">
      <c r="A2349" s="174"/>
      <c r="B2349" s="174"/>
      <c r="C2349" s="174"/>
      <c r="D2349" s="174"/>
      <c r="E2349" s="174"/>
    </row>
    <row r="2350" spans="1:5" x14ac:dyDescent="0.3">
      <c r="A2350" s="174"/>
      <c r="B2350" s="174"/>
      <c r="C2350" s="174"/>
      <c r="D2350" s="174"/>
      <c r="E2350" s="174"/>
    </row>
    <row r="2351" spans="1:5" x14ac:dyDescent="0.3">
      <c r="A2351" s="174"/>
      <c r="B2351" s="174"/>
      <c r="C2351" s="174"/>
      <c r="D2351" s="174"/>
      <c r="E2351" s="174"/>
    </row>
    <row r="2352" spans="1:5" x14ac:dyDescent="0.3">
      <c r="A2352" s="174"/>
      <c r="B2352" s="174"/>
      <c r="C2352" s="174"/>
      <c r="D2352" s="174"/>
      <c r="E2352" s="174"/>
    </row>
    <row r="2353" spans="1:5" x14ac:dyDescent="0.3">
      <c r="A2353" s="174"/>
      <c r="B2353" s="174"/>
      <c r="C2353" s="174"/>
      <c r="D2353" s="174"/>
      <c r="E2353" s="174"/>
    </row>
    <row r="2354" spans="1:5" x14ac:dyDescent="0.3">
      <c r="A2354" s="174"/>
      <c r="B2354" s="174"/>
      <c r="C2354" s="174"/>
      <c r="D2354" s="174"/>
      <c r="E2354" s="174"/>
    </row>
    <row r="2355" spans="1:5" x14ac:dyDescent="0.3">
      <c r="A2355" s="174"/>
      <c r="B2355" s="174"/>
      <c r="C2355" s="174"/>
      <c r="D2355" s="174"/>
      <c r="E2355" s="174"/>
    </row>
    <row r="2356" spans="1:5" x14ac:dyDescent="0.3">
      <c r="A2356" s="174"/>
      <c r="B2356" s="174"/>
      <c r="C2356" s="174"/>
      <c r="D2356" s="174"/>
      <c r="E2356" s="174"/>
    </row>
    <row r="2357" spans="1:5" x14ac:dyDescent="0.3">
      <c r="A2357" s="174"/>
      <c r="B2357" s="174"/>
      <c r="C2357" s="174"/>
      <c r="D2357" s="174"/>
      <c r="E2357" s="174"/>
    </row>
    <row r="2358" spans="1:5" x14ac:dyDescent="0.3">
      <c r="A2358" s="174"/>
      <c r="B2358" s="174"/>
      <c r="C2358" s="174"/>
      <c r="D2358" s="174"/>
      <c r="E2358" s="174"/>
    </row>
    <row r="2359" spans="1:5" x14ac:dyDescent="0.3">
      <c r="A2359" s="174"/>
      <c r="B2359" s="174"/>
      <c r="C2359" s="174"/>
      <c r="D2359" s="174"/>
      <c r="E2359" s="174"/>
    </row>
    <row r="2360" spans="1:5" x14ac:dyDescent="0.3">
      <c r="A2360" s="174"/>
      <c r="B2360" s="174"/>
      <c r="C2360" s="174"/>
      <c r="D2360" s="174"/>
      <c r="E2360" s="174"/>
    </row>
    <row r="2361" spans="1:5" x14ac:dyDescent="0.3">
      <c r="A2361" s="174"/>
      <c r="B2361" s="174"/>
      <c r="C2361" s="174"/>
      <c r="D2361" s="174"/>
      <c r="E2361" s="174"/>
    </row>
    <row r="2362" spans="1:5" x14ac:dyDescent="0.3">
      <c r="A2362" s="174"/>
      <c r="B2362" s="174"/>
      <c r="C2362" s="174"/>
      <c r="D2362" s="174"/>
      <c r="E2362" s="174"/>
    </row>
    <row r="2363" spans="1:5" x14ac:dyDescent="0.3">
      <c r="A2363" s="174"/>
      <c r="B2363" s="174"/>
      <c r="C2363" s="174"/>
      <c r="D2363" s="174"/>
      <c r="E2363" s="174"/>
    </row>
    <row r="2364" spans="1:5" x14ac:dyDescent="0.3">
      <c r="A2364" s="174"/>
      <c r="B2364" s="174"/>
      <c r="C2364" s="174"/>
      <c r="D2364" s="174"/>
      <c r="E2364" s="174"/>
    </row>
    <row r="2365" spans="1:5" x14ac:dyDescent="0.3">
      <c r="A2365" s="174"/>
      <c r="B2365" s="174"/>
      <c r="C2365" s="174"/>
      <c r="D2365" s="174"/>
      <c r="E2365" s="174"/>
    </row>
    <row r="2366" spans="1:5" x14ac:dyDescent="0.3">
      <c r="A2366" s="174"/>
      <c r="B2366" s="174"/>
      <c r="C2366" s="174"/>
      <c r="D2366" s="174"/>
      <c r="E2366" s="174"/>
    </row>
    <row r="2367" spans="1:5" x14ac:dyDescent="0.3">
      <c r="A2367" s="174"/>
      <c r="B2367" s="174"/>
      <c r="C2367" s="174"/>
      <c r="D2367" s="174"/>
      <c r="E2367" s="174"/>
    </row>
    <row r="2368" spans="1:5" x14ac:dyDescent="0.3">
      <c r="A2368" s="174"/>
      <c r="B2368" s="174"/>
      <c r="C2368" s="174"/>
      <c r="D2368" s="174"/>
      <c r="E2368" s="174"/>
    </row>
    <row r="2369" spans="1:5" x14ac:dyDescent="0.3">
      <c r="A2369" s="174"/>
      <c r="B2369" s="174"/>
      <c r="C2369" s="174"/>
      <c r="D2369" s="174"/>
      <c r="E2369" s="174"/>
    </row>
    <row r="2370" spans="1:5" x14ac:dyDescent="0.3">
      <c r="A2370" s="174"/>
      <c r="B2370" s="174"/>
      <c r="C2370" s="174"/>
      <c r="D2370" s="174"/>
      <c r="E2370" s="174"/>
    </row>
    <row r="2371" spans="1:5" x14ac:dyDescent="0.3">
      <c r="A2371" s="174"/>
      <c r="B2371" s="174"/>
      <c r="C2371" s="174"/>
      <c r="D2371" s="174"/>
      <c r="E2371" s="174"/>
    </row>
    <row r="2372" spans="1:5" x14ac:dyDescent="0.3">
      <c r="A2372" s="174"/>
      <c r="B2372" s="174"/>
      <c r="C2372" s="174"/>
      <c r="D2372" s="174"/>
      <c r="E2372" s="174"/>
    </row>
    <row r="2373" spans="1:5" x14ac:dyDescent="0.3">
      <c r="A2373" s="174"/>
      <c r="B2373" s="174"/>
      <c r="C2373" s="174"/>
      <c r="D2373" s="174"/>
      <c r="E2373" s="174"/>
    </row>
    <row r="2374" spans="1:5" x14ac:dyDescent="0.3">
      <c r="A2374" s="174"/>
      <c r="B2374" s="174"/>
      <c r="C2374" s="174"/>
      <c r="D2374" s="174"/>
      <c r="E2374" s="174"/>
    </row>
    <row r="2375" spans="1:5" x14ac:dyDescent="0.3">
      <c r="A2375" s="174"/>
      <c r="B2375" s="174"/>
      <c r="C2375" s="174"/>
      <c r="D2375" s="174"/>
      <c r="E2375" s="174"/>
    </row>
    <row r="2376" spans="1:5" x14ac:dyDescent="0.3">
      <c r="A2376" s="174"/>
      <c r="B2376" s="174"/>
      <c r="C2376" s="174"/>
      <c r="D2376" s="174"/>
      <c r="E2376" s="174"/>
    </row>
    <row r="2377" spans="1:5" x14ac:dyDescent="0.3">
      <c r="A2377" s="174"/>
      <c r="B2377" s="174"/>
      <c r="C2377" s="174"/>
      <c r="D2377" s="174"/>
      <c r="E2377" s="174"/>
    </row>
    <row r="2378" spans="1:5" x14ac:dyDescent="0.3">
      <c r="A2378" s="174"/>
      <c r="B2378" s="174"/>
      <c r="C2378" s="174"/>
      <c r="D2378" s="174"/>
      <c r="E2378" s="174"/>
    </row>
    <row r="2379" spans="1:5" x14ac:dyDescent="0.3">
      <c r="A2379" s="174"/>
      <c r="B2379" s="174"/>
      <c r="C2379" s="174"/>
      <c r="D2379" s="174"/>
      <c r="E2379" s="174"/>
    </row>
    <row r="2380" spans="1:5" x14ac:dyDescent="0.3">
      <c r="A2380" s="174"/>
      <c r="B2380" s="174"/>
      <c r="C2380" s="174"/>
      <c r="D2380" s="174"/>
      <c r="E2380" s="174"/>
    </row>
    <row r="2381" spans="1:5" x14ac:dyDescent="0.3">
      <c r="A2381" s="174"/>
      <c r="B2381" s="174"/>
      <c r="C2381" s="174"/>
      <c r="D2381" s="174"/>
      <c r="E2381" s="174"/>
    </row>
    <row r="2382" spans="1:5" x14ac:dyDescent="0.3">
      <c r="A2382" s="174"/>
      <c r="B2382" s="174"/>
      <c r="C2382" s="174"/>
      <c r="D2382" s="174"/>
      <c r="E2382" s="174"/>
    </row>
    <row r="2383" spans="1:5" x14ac:dyDescent="0.3">
      <c r="A2383" s="174"/>
      <c r="B2383" s="174"/>
      <c r="C2383" s="174"/>
      <c r="D2383" s="174"/>
      <c r="E2383" s="174"/>
    </row>
    <row r="2384" spans="1:5" x14ac:dyDescent="0.3">
      <c r="A2384" s="174"/>
      <c r="B2384" s="174"/>
      <c r="C2384" s="174"/>
      <c r="D2384" s="174"/>
      <c r="E2384" s="174"/>
    </row>
    <row r="2385" spans="1:5" x14ac:dyDescent="0.3">
      <c r="A2385" s="174"/>
      <c r="B2385" s="174"/>
      <c r="C2385" s="174"/>
      <c r="D2385" s="174"/>
      <c r="E2385" s="174"/>
    </row>
    <row r="2386" spans="1:5" x14ac:dyDescent="0.3">
      <c r="A2386" s="174"/>
      <c r="B2386" s="174"/>
      <c r="C2386" s="174"/>
      <c r="D2386" s="174"/>
      <c r="E2386" s="174"/>
    </row>
    <row r="2387" spans="1:5" x14ac:dyDescent="0.3">
      <c r="A2387" s="174"/>
      <c r="B2387" s="174"/>
      <c r="C2387" s="174"/>
      <c r="D2387" s="174"/>
      <c r="E2387" s="174"/>
    </row>
    <row r="2388" spans="1:5" x14ac:dyDescent="0.3">
      <c r="A2388" s="174"/>
      <c r="B2388" s="174"/>
      <c r="C2388" s="174"/>
      <c r="D2388" s="174"/>
      <c r="E2388" s="174"/>
    </row>
    <row r="2389" spans="1:5" x14ac:dyDescent="0.3">
      <c r="A2389" s="174"/>
      <c r="B2389" s="174"/>
      <c r="C2389" s="174"/>
      <c r="D2389" s="174"/>
      <c r="E2389" s="174"/>
    </row>
    <row r="2390" spans="1:5" x14ac:dyDescent="0.3">
      <c r="A2390" s="174"/>
      <c r="B2390" s="174"/>
      <c r="C2390" s="174"/>
      <c r="D2390" s="174"/>
      <c r="E2390" s="174"/>
    </row>
    <row r="2391" spans="1:5" x14ac:dyDescent="0.3">
      <c r="A2391" s="174"/>
      <c r="B2391" s="174"/>
      <c r="C2391" s="174"/>
      <c r="D2391" s="174"/>
      <c r="E2391" s="174"/>
    </row>
    <row r="2392" spans="1:5" x14ac:dyDescent="0.3">
      <c r="A2392" s="174"/>
      <c r="B2392" s="174"/>
      <c r="C2392" s="174"/>
      <c r="D2392" s="174"/>
      <c r="E2392" s="174"/>
    </row>
    <row r="2393" spans="1:5" x14ac:dyDescent="0.3">
      <c r="A2393" s="174"/>
      <c r="B2393" s="174"/>
      <c r="C2393" s="174"/>
      <c r="D2393" s="174"/>
      <c r="E2393" s="174"/>
    </row>
    <row r="2394" spans="1:5" x14ac:dyDescent="0.3">
      <c r="A2394" s="174"/>
      <c r="B2394" s="174"/>
      <c r="C2394" s="174"/>
      <c r="D2394" s="174"/>
      <c r="E2394" s="174"/>
    </row>
    <row r="2395" spans="1:5" x14ac:dyDescent="0.3">
      <c r="A2395" s="174"/>
      <c r="B2395" s="174"/>
      <c r="C2395" s="174"/>
      <c r="D2395" s="174"/>
      <c r="E2395" s="174"/>
    </row>
    <row r="2396" spans="1:5" x14ac:dyDescent="0.3">
      <c r="A2396" s="174"/>
      <c r="B2396" s="174"/>
      <c r="C2396" s="174"/>
      <c r="D2396" s="174"/>
      <c r="E2396" s="174"/>
    </row>
    <row r="2397" spans="1:5" x14ac:dyDescent="0.3">
      <c r="A2397" s="174"/>
      <c r="B2397" s="174"/>
      <c r="C2397" s="174"/>
      <c r="D2397" s="174"/>
      <c r="E2397" s="174"/>
    </row>
    <row r="2398" spans="1:5" x14ac:dyDescent="0.3">
      <c r="A2398" s="174"/>
      <c r="B2398" s="174"/>
      <c r="C2398" s="174"/>
      <c r="D2398" s="174"/>
      <c r="E2398" s="174"/>
    </row>
    <row r="2399" spans="1:5" x14ac:dyDescent="0.3">
      <c r="A2399" s="174"/>
      <c r="B2399" s="174"/>
      <c r="C2399" s="174"/>
      <c r="D2399" s="174"/>
      <c r="E2399" s="174"/>
    </row>
    <row r="2400" spans="1:5" x14ac:dyDescent="0.3">
      <c r="A2400" s="174"/>
      <c r="B2400" s="174"/>
      <c r="C2400" s="174"/>
      <c r="D2400" s="174"/>
      <c r="E2400" s="174"/>
    </row>
    <row r="2401" spans="1:5" x14ac:dyDescent="0.3">
      <c r="A2401" s="174"/>
      <c r="B2401" s="174"/>
      <c r="C2401" s="174"/>
      <c r="D2401" s="174"/>
      <c r="E2401" s="174"/>
    </row>
    <row r="2402" spans="1:5" x14ac:dyDescent="0.3">
      <c r="A2402" s="174"/>
      <c r="B2402" s="174"/>
      <c r="C2402" s="174"/>
      <c r="D2402" s="174"/>
      <c r="E2402" s="174"/>
    </row>
    <row r="2403" spans="1:5" x14ac:dyDescent="0.3">
      <c r="A2403" s="174"/>
      <c r="B2403" s="174"/>
      <c r="C2403" s="174"/>
      <c r="D2403" s="174"/>
      <c r="E2403" s="174"/>
    </row>
    <row r="2404" spans="1:5" x14ac:dyDescent="0.3">
      <c r="A2404" s="174"/>
      <c r="B2404" s="174"/>
      <c r="C2404" s="174"/>
      <c r="D2404" s="174"/>
      <c r="E2404" s="174"/>
    </row>
    <row r="2405" spans="1:5" x14ac:dyDescent="0.3">
      <c r="A2405" s="174"/>
      <c r="B2405" s="174"/>
      <c r="C2405" s="174"/>
      <c r="D2405" s="174"/>
      <c r="E2405" s="174"/>
    </row>
    <row r="2406" spans="1:5" x14ac:dyDescent="0.3">
      <c r="A2406" s="174"/>
      <c r="B2406" s="174"/>
      <c r="C2406" s="174"/>
      <c r="D2406" s="174"/>
      <c r="E2406" s="174"/>
    </row>
    <row r="2407" spans="1:5" x14ac:dyDescent="0.3">
      <c r="A2407" s="174"/>
      <c r="B2407" s="174"/>
      <c r="C2407" s="174"/>
      <c r="D2407" s="174"/>
      <c r="E2407" s="174"/>
    </row>
    <row r="2408" spans="1:5" x14ac:dyDescent="0.3">
      <c r="A2408" s="174"/>
      <c r="B2408" s="174"/>
      <c r="C2408" s="174"/>
      <c r="D2408" s="174"/>
      <c r="E2408" s="174"/>
    </row>
    <row r="2409" spans="1:5" x14ac:dyDescent="0.3">
      <c r="A2409" s="174"/>
      <c r="B2409" s="174"/>
      <c r="C2409" s="174"/>
      <c r="D2409" s="174"/>
      <c r="E2409" s="174"/>
    </row>
    <row r="2410" spans="1:5" x14ac:dyDescent="0.3">
      <c r="A2410" s="174"/>
      <c r="B2410" s="174"/>
      <c r="C2410" s="174"/>
      <c r="D2410" s="174"/>
      <c r="E2410" s="174"/>
    </row>
    <row r="2411" spans="1:5" x14ac:dyDescent="0.3">
      <c r="A2411" s="174"/>
      <c r="B2411" s="174"/>
      <c r="C2411" s="174"/>
      <c r="D2411" s="174"/>
      <c r="E2411" s="174"/>
    </row>
    <row r="2412" spans="1:5" x14ac:dyDescent="0.3">
      <c r="A2412" s="174"/>
      <c r="B2412" s="174"/>
      <c r="C2412" s="174"/>
      <c r="D2412" s="174"/>
      <c r="E2412" s="174"/>
    </row>
    <row r="2413" spans="1:5" x14ac:dyDescent="0.3">
      <c r="A2413" s="174"/>
      <c r="B2413" s="174"/>
      <c r="C2413" s="174"/>
      <c r="D2413" s="174"/>
      <c r="E2413" s="174"/>
    </row>
    <row r="2414" spans="1:5" x14ac:dyDescent="0.3">
      <c r="A2414" s="174"/>
      <c r="B2414" s="174"/>
      <c r="C2414" s="174"/>
      <c r="D2414" s="174"/>
      <c r="E2414" s="174"/>
    </row>
    <row r="2415" spans="1:5" x14ac:dyDescent="0.3">
      <c r="A2415" s="174"/>
      <c r="B2415" s="174"/>
      <c r="C2415" s="174"/>
      <c r="D2415" s="174"/>
      <c r="E2415" s="174"/>
    </row>
    <row r="2416" spans="1:5" x14ac:dyDescent="0.3">
      <c r="A2416" s="174"/>
      <c r="B2416" s="174"/>
      <c r="C2416" s="174"/>
      <c r="D2416" s="174"/>
      <c r="E2416" s="174"/>
    </row>
    <row r="2417" spans="1:5" x14ac:dyDescent="0.3">
      <c r="A2417" s="174"/>
      <c r="B2417" s="174"/>
      <c r="C2417" s="174"/>
      <c r="D2417" s="174"/>
      <c r="E2417" s="174"/>
    </row>
    <row r="2418" spans="1:5" x14ac:dyDescent="0.3">
      <c r="A2418" s="174"/>
      <c r="B2418" s="174"/>
      <c r="C2418" s="174"/>
      <c r="D2418" s="174"/>
      <c r="E2418" s="174"/>
    </row>
    <row r="2419" spans="1:5" x14ac:dyDescent="0.3">
      <c r="A2419" s="174"/>
      <c r="B2419" s="174"/>
      <c r="C2419" s="174"/>
      <c r="D2419" s="174"/>
      <c r="E2419" s="174"/>
    </row>
    <row r="2420" spans="1:5" x14ac:dyDescent="0.3">
      <c r="A2420" s="174"/>
      <c r="B2420" s="174"/>
      <c r="C2420" s="174"/>
      <c r="D2420" s="174"/>
      <c r="E2420" s="174"/>
    </row>
    <row r="2421" spans="1:5" x14ac:dyDescent="0.3">
      <c r="A2421" s="174"/>
      <c r="B2421" s="174"/>
      <c r="C2421" s="174"/>
      <c r="D2421" s="174"/>
      <c r="E2421" s="174"/>
    </row>
    <row r="2422" spans="1:5" x14ac:dyDescent="0.3">
      <c r="A2422" s="174"/>
      <c r="B2422" s="174"/>
      <c r="C2422" s="174"/>
      <c r="D2422" s="174"/>
      <c r="E2422" s="174"/>
    </row>
    <row r="2423" spans="1:5" x14ac:dyDescent="0.3">
      <c r="A2423" s="174"/>
      <c r="B2423" s="174"/>
      <c r="C2423" s="174"/>
      <c r="D2423" s="174"/>
      <c r="E2423" s="174"/>
    </row>
    <row r="2424" spans="1:5" x14ac:dyDescent="0.3">
      <c r="A2424" s="174"/>
      <c r="B2424" s="174"/>
      <c r="C2424" s="174"/>
      <c r="D2424" s="174"/>
      <c r="E2424" s="174"/>
    </row>
    <row r="2425" spans="1:5" x14ac:dyDescent="0.3">
      <c r="A2425" s="174"/>
      <c r="B2425" s="174"/>
      <c r="C2425" s="174"/>
      <c r="D2425" s="174"/>
      <c r="E2425" s="174"/>
    </row>
    <row r="2426" spans="1:5" x14ac:dyDescent="0.3">
      <c r="A2426" s="174"/>
      <c r="B2426" s="174"/>
      <c r="C2426" s="174"/>
      <c r="D2426" s="174"/>
      <c r="E2426" s="174"/>
    </row>
    <row r="2427" spans="1:5" x14ac:dyDescent="0.3">
      <c r="A2427" s="174"/>
      <c r="B2427" s="174"/>
      <c r="C2427" s="174"/>
      <c r="D2427" s="174"/>
      <c r="E2427" s="174"/>
    </row>
    <row r="2428" spans="1:5" x14ac:dyDescent="0.3">
      <c r="A2428" s="174"/>
      <c r="B2428" s="174"/>
      <c r="C2428" s="174"/>
      <c r="D2428" s="174"/>
      <c r="E2428" s="174"/>
    </row>
    <row r="2429" spans="1:5" x14ac:dyDescent="0.3">
      <c r="A2429" s="174"/>
      <c r="B2429" s="174"/>
      <c r="C2429" s="174"/>
      <c r="D2429" s="174"/>
      <c r="E2429" s="174"/>
    </row>
    <row r="2430" spans="1:5" x14ac:dyDescent="0.3">
      <c r="A2430" s="174"/>
      <c r="B2430" s="174"/>
      <c r="C2430" s="174"/>
      <c r="D2430" s="174"/>
      <c r="E2430" s="174"/>
    </row>
    <row r="2431" spans="1:5" x14ac:dyDescent="0.3">
      <c r="A2431" s="174"/>
      <c r="B2431" s="174"/>
      <c r="C2431" s="174"/>
      <c r="D2431" s="174"/>
      <c r="E2431" s="174"/>
    </row>
    <row r="2432" spans="1:5" x14ac:dyDescent="0.3">
      <c r="A2432" s="174"/>
      <c r="B2432" s="174"/>
      <c r="C2432" s="174"/>
      <c r="D2432" s="174"/>
      <c r="E2432" s="174"/>
    </row>
    <row r="2433" spans="1:5" x14ac:dyDescent="0.3">
      <c r="A2433" s="174"/>
      <c r="B2433" s="174"/>
      <c r="C2433" s="174"/>
      <c r="D2433" s="174"/>
      <c r="E2433" s="174"/>
    </row>
    <row r="2434" spans="1:5" x14ac:dyDescent="0.3">
      <c r="A2434" s="174"/>
      <c r="B2434" s="174"/>
      <c r="C2434" s="174"/>
      <c r="D2434" s="174"/>
      <c r="E2434" s="174"/>
    </row>
    <row r="2435" spans="1:5" x14ac:dyDescent="0.3">
      <c r="A2435" s="174"/>
      <c r="B2435" s="174"/>
      <c r="C2435" s="174"/>
      <c r="D2435" s="174"/>
      <c r="E2435" s="174"/>
    </row>
    <row r="2436" spans="1:5" x14ac:dyDescent="0.3">
      <c r="A2436" s="174"/>
      <c r="B2436" s="174"/>
      <c r="C2436" s="174"/>
      <c r="D2436" s="174"/>
      <c r="E2436" s="174"/>
    </row>
    <row r="2437" spans="1:5" x14ac:dyDescent="0.3">
      <c r="A2437" s="174"/>
      <c r="B2437" s="174"/>
      <c r="C2437" s="174"/>
      <c r="D2437" s="174"/>
      <c r="E2437" s="174"/>
    </row>
    <row r="2438" spans="1:5" x14ac:dyDescent="0.3">
      <c r="A2438" s="174"/>
      <c r="B2438" s="174"/>
      <c r="C2438" s="174"/>
      <c r="D2438" s="174"/>
      <c r="E2438" s="174"/>
    </row>
    <row r="2439" spans="1:5" x14ac:dyDescent="0.3">
      <c r="A2439" s="174"/>
      <c r="B2439" s="174"/>
      <c r="C2439" s="174"/>
      <c r="D2439" s="174"/>
      <c r="E2439" s="174"/>
    </row>
    <row r="2440" spans="1:5" x14ac:dyDescent="0.3">
      <c r="A2440" s="174"/>
      <c r="B2440" s="174"/>
      <c r="C2440" s="174"/>
      <c r="D2440" s="174"/>
      <c r="E2440" s="174"/>
    </row>
    <row r="2441" spans="1:5" x14ac:dyDescent="0.3">
      <c r="A2441" s="174"/>
      <c r="B2441" s="174"/>
      <c r="C2441" s="174"/>
      <c r="D2441" s="174"/>
      <c r="E2441" s="174"/>
    </row>
    <row r="2442" spans="1:5" x14ac:dyDescent="0.3">
      <c r="A2442" s="174"/>
      <c r="B2442" s="174"/>
      <c r="C2442" s="174"/>
      <c r="D2442" s="174"/>
      <c r="E2442" s="174"/>
    </row>
    <row r="2443" spans="1:5" x14ac:dyDescent="0.3">
      <c r="A2443" s="174"/>
      <c r="B2443" s="174"/>
      <c r="C2443" s="174"/>
      <c r="D2443" s="174"/>
      <c r="E2443" s="174"/>
    </row>
    <row r="2444" spans="1:5" x14ac:dyDescent="0.3">
      <c r="A2444" s="174"/>
      <c r="B2444" s="174"/>
      <c r="C2444" s="174"/>
      <c r="D2444" s="174"/>
      <c r="E2444" s="174"/>
    </row>
    <row r="2445" spans="1:5" x14ac:dyDescent="0.3">
      <c r="A2445" s="174"/>
      <c r="B2445" s="174"/>
      <c r="C2445" s="174"/>
      <c r="D2445" s="174"/>
      <c r="E2445" s="174"/>
    </row>
    <row r="2446" spans="1:5" x14ac:dyDescent="0.3">
      <c r="A2446" s="174"/>
      <c r="B2446" s="174"/>
      <c r="C2446" s="174"/>
      <c r="D2446" s="174"/>
      <c r="E2446" s="174"/>
    </row>
    <row r="2447" spans="1:5" x14ac:dyDescent="0.3">
      <c r="A2447" s="174"/>
      <c r="B2447" s="174"/>
      <c r="C2447" s="174"/>
      <c r="D2447" s="174"/>
      <c r="E2447" s="174"/>
    </row>
    <row r="2448" spans="1:5" x14ac:dyDescent="0.3">
      <c r="A2448" s="174"/>
      <c r="B2448" s="174"/>
      <c r="C2448" s="174"/>
      <c r="D2448" s="174"/>
      <c r="E2448" s="174"/>
    </row>
    <row r="2449" spans="1:5" x14ac:dyDescent="0.3">
      <c r="A2449" s="174"/>
      <c r="B2449" s="174"/>
      <c r="C2449" s="174"/>
      <c r="D2449" s="174"/>
      <c r="E2449" s="174"/>
    </row>
    <row r="2450" spans="1:5" x14ac:dyDescent="0.3">
      <c r="A2450" s="174"/>
      <c r="B2450" s="174"/>
      <c r="C2450" s="174"/>
      <c r="D2450" s="174"/>
      <c r="E2450" s="174"/>
    </row>
    <row r="2451" spans="1:5" x14ac:dyDescent="0.3">
      <c r="A2451" s="174"/>
      <c r="B2451" s="174"/>
      <c r="C2451" s="174"/>
      <c r="D2451" s="174"/>
      <c r="E2451" s="174"/>
    </row>
    <row r="2452" spans="1:5" x14ac:dyDescent="0.3">
      <c r="A2452" s="174"/>
      <c r="B2452" s="174"/>
      <c r="C2452" s="174"/>
      <c r="D2452" s="174"/>
      <c r="E2452" s="174"/>
    </row>
    <row r="2453" spans="1:5" x14ac:dyDescent="0.3">
      <c r="A2453" s="174"/>
      <c r="B2453" s="174"/>
      <c r="C2453" s="174"/>
      <c r="D2453" s="174"/>
      <c r="E2453" s="174"/>
    </row>
    <row r="2454" spans="1:5" x14ac:dyDescent="0.3">
      <c r="A2454" s="174"/>
      <c r="B2454" s="174"/>
      <c r="C2454" s="174"/>
      <c r="D2454" s="174"/>
      <c r="E2454" s="174"/>
    </row>
    <row r="2455" spans="1:5" x14ac:dyDescent="0.3">
      <c r="A2455" s="174"/>
      <c r="B2455" s="174"/>
      <c r="C2455" s="174"/>
      <c r="D2455" s="174"/>
      <c r="E2455" s="174"/>
    </row>
    <row r="2456" spans="1:5" x14ac:dyDescent="0.3">
      <c r="A2456" s="174"/>
      <c r="B2456" s="174"/>
      <c r="C2456" s="174"/>
      <c r="D2456" s="174"/>
      <c r="E2456" s="174"/>
    </row>
    <row r="2457" spans="1:5" x14ac:dyDescent="0.3">
      <c r="A2457" s="174"/>
      <c r="B2457" s="174"/>
      <c r="C2457" s="174"/>
      <c r="D2457" s="174"/>
      <c r="E2457" s="174"/>
    </row>
    <row r="2458" spans="1:5" x14ac:dyDescent="0.3">
      <c r="A2458" s="174"/>
      <c r="B2458" s="174"/>
      <c r="C2458" s="174"/>
      <c r="D2458" s="174"/>
      <c r="E2458" s="174"/>
    </row>
    <row r="2459" spans="1:5" x14ac:dyDescent="0.3">
      <c r="A2459" s="174"/>
      <c r="B2459" s="174"/>
      <c r="C2459" s="174"/>
      <c r="D2459" s="174"/>
      <c r="E2459" s="174"/>
    </row>
    <row r="2460" spans="1:5" x14ac:dyDescent="0.3">
      <c r="A2460" s="174"/>
      <c r="B2460" s="174"/>
      <c r="C2460" s="174"/>
      <c r="D2460" s="174"/>
      <c r="E2460" s="174"/>
    </row>
    <row r="2461" spans="1:5" x14ac:dyDescent="0.3">
      <c r="A2461" s="174"/>
      <c r="B2461" s="174"/>
      <c r="C2461" s="174"/>
      <c r="D2461" s="174"/>
      <c r="E2461" s="174"/>
    </row>
    <row r="2462" spans="1:5" x14ac:dyDescent="0.3">
      <c r="A2462" s="174"/>
      <c r="B2462" s="174"/>
      <c r="C2462" s="174"/>
      <c r="D2462" s="174"/>
      <c r="E2462" s="174"/>
    </row>
    <row r="2463" spans="1:5" x14ac:dyDescent="0.3">
      <c r="A2463" s="174"/>
      <c r="B2463" s="174"/>
      <c r="C2463" s="174"/>
      <c r="D2463" s="174"/>
      <c r="E2463" s="174"/>
    </row>
    <row r="2464" spans="1:5" x14ac:dyDescent="0.3">
      <c r="A2464" s="174"/>
      <c r="B2464" s="174"/>
      <c r="C2464" s="174"/>
      <c r="D2464" s="174"/>
      <c r="E2464" s="174"/>
    </row>
    <row r="2465" spans="1:5" x14ac:dyDescent="0.3">
      <c r="A2465" s="174"/>
      <c r="B2465" s="174"/>
      <c r="C2465" s="174"/>
      <c r="D2465" s="174"/>
      <c r="E2465" s="174"/>
    </row>
    <row r="2466" spans="1:5" x14ac:dyDescent="0.3">
      <c r="A2466" s="174"/>
      <c r="B2466" s="174"/>
      <c r="C2466" s="174"/>
      <c r="D2466" s="174"/>
      <c r="E2466" s="174"/>
    </row>
    <row r="2467" spans="1:5" x14ac:dyDescent="0.3">
      <c r="A2467" s="174"/>
      <c r="B2467" s="174"/>
      <c r="C2467" s="174"/>
      <c r="D2467" s="174"/>
      <c r="E2467" s="174"/>
    </row>
    <row r="2468" spans="1:5" x14ac:dyDescent="0.3">
      <c r="A2468" s="174"/>
      <c r="B2468" s="174"/>
      <c r="C2468" s="174"/>
      <c r="D2468" s="174"/>
      <c r="E2468" s="174"/>
    </row>
    <row r="2469" spans="1:5" x14ac:dyDescent="0.3">
      <c r="A2469" s="174"/>
      <c r="B2469" s="174"/>
      <c r="C2469" s="174"/>
      <c r="D2469" s="174"/>
      <c r="E2469" s="174"/>
    </row>
    <row r="2470" spans="1:5" x14ac:dyDescent="0.3">
      <c r="A2470" s="174"/>
      <c r="B2470" s="174"/>
      <c r="C2470" s="174"/>
      <c r="D2470" s="174"/>
      <c r="E2470" s="174"/>
    </row>
    <row r="2471" spans="1:5" x14ac:dyDescent="0.3">
      <c r="A2471" s="174"/>
      <c r="B2471" s="174"/>
      <c r="C2471" s="174"/>
      <c r="D2471" s="174"/>
      <c r="E2471" s="174"/>
    </row>
    <row r="2472" spans="1:5" x14ac:dyDescent="0.3">
      <c r="A2472" s="174"/>
      <c r="B2472" s="174"/>
      <c r="C2472" s="174"/>
      <c r="D2472" s="174"/>
      <c r="E2472" s="174"/>
    </row>
    <row r="2473" spans="1:5" x14ac:dyDescent="0.3">
      <c r="A2473" s="174"/>
      <c r="B2473" s="174"/>
      <c r="C2473" s="174"/>
      <c r="D2473" s="174"/>
      <c r="E2473" s="174"/>
    </row>
    <row r="2474" spans="1:5" x14ac:dyDescent="0.3">
      <c r="A2474" s="174"/>
      <c r="B2474" s="174"/>
      <c r="C2474" s="174"/>
      <c r="D2474" s="174"/>
      <c r="E2474" s="174"/>
    </row>
    <row r="2475" spans="1:5" x14ac:dyDescent="0.3">
      <c r="A2475" s="174"/>
      <c r="B2475" s="174"/>
      <c r="C2475" s="174"/>
      <c r="D2475" s="174"/>
      <c r="E2475" s="174"/>
    </row>
    <row r="2476" spans="1:5" x14ac:dyDescent="0.3">
      <c r="A2476" s="174"/>
      <c r="B2476" s="174"/>
      <c r="C2476" s="174"/>
      <c r="D2476" s="174"/>
      <c r="E2476" s="174"/>
    </row>
    <row r="2477" spans="1:5" x14ac:dyDescent="0.3">
      <c r="A2477" s="174"/>
      <c r="B2477" s="174"/>
      <c r="C2477" s="174"/>
      <c r="D2477" s="174"/>
      <c r="E2477" s="174"/>
    </row>
    <row r="2478" spans="1:5" x14ac:dyDescent="0.3">
      <c r="A2478" s="174"/>
      <c r="B2478" s="174"/>
      <c r="C2478" s="174"/>
      <c r="D2478" s="174"/>
      <c r="E2478" s="174"/>
    </row>
    <row r="2479" spans="1:5" x14ac:dyDescent="0.3">
      <c r="A2479" s="174"/>
      <c r="B2479" s="174"/>
      <c r="C2479" s="174"/>
      <c r="D2479" s="174"/>
      <c r="E2479" s="174"/>
    </row>
    <row r="2480" spans="1:5" x14ac:dyDescent="0.3">
      <c r="A2480" s="174"/>
      <c r="B2480" s="174"/>
      <c r="C2480" s="174"/>
      <c r="D2480" s="174"/>
      <c r="E2480" s="174"/>
    </row>
    <row r="2481" spans="1:5" x14ac:dyDescent="0.3">
      <c r="A2481" s="174"/>
      <c r="B2481" s="174"/>
      <c r="C2481" s="174"/>
      <c r="D2481" s="174"/>
      <c r="E2481" s="174"/>
    </row>
    <row r="2482" spans="1:5" x14ac:dyDescent="0.3">
      <c r="A2482" s="174"/>
      <c r="B2482" s="174"/>
      <c r="C2482" s="174"/>
      <c r="D2482" s="174"/>
      <c r="E2482" s="174"/>
    </row>
    <row r="2483" spans="1:5" x14ac:dyDescent="0.3">
      <c r="A2483" s="174"/>
      <c r="B2483" s="174"/>
      <c r="C2483" s="174"/>
      <c r="D2483" s="174"/>
      <c r="E2483" s="174"/>
    </row>
    <row r="2484" spans="1:5" x14ac:dyDescent="0.3">
      <c r="A2484" s="174"/>
      <c r="B2484" s="174"/>
      <c r="C2484" s="174"/>
      <c r="D2484" s="174"/>
      <c r="E2484" s="174"/>
    </row>
    <row r="2485" spans="1:5" x14ac:dyDescent="0.3">
      <c r="A2485" s="174"/>
      <c r="B2485" s="174"/>
      <c r="C2485" s="174"/>
      <c r="D2485" s="174"/>
      <c r="E2485" s="174"/>
    </row>
    <row r="2486" spans="1:5" x14ac:dyDescent="0.3">
      <c r="A2486" s="174"/>
      <c r="B2486" s="174"/>
      <c r="C2486" s="174"/>
      <c r="D2486" s="174"/>
      <c r="E2486" s="174"/>
    </row>
    <row r="2487" spans="1:5" x14ac:dyDescent="0.3">
      <c r="A2487" s="174"/>
      <c r="B2487" s="174"/>
      <c r="C2487" s="174"/>
      <c r="D2487" s="174"/>
      <c r="E2487" s="174"/>
    </row>
    <row r="2488" spans="1:5" x14ac:dyDescent="0.3">
      <c r="A2488" s="174"/>
      <c r="B2488" s="174"/>
      <c r="C2488" s="174"/>
      <c r="D2488" s="174"/>
      <c r="E2488" s="174"/>
    </row>
    <row r="2489" spans="1:5" x14ac:dyDescent="0.3">
      <c r="A2489" s="174"/>
      <c r="B2489" s="174"/>
      <c r="C2489" s="174"/>
      <c r="D2489" s="174"/>
      <c r="E2489" s="174"/>
    </row>
    <row r="2490" spans="1:5" x14ac:dyDescent="0.3">
      <c r="A2490" s="174"/>
      <c r="B2490" s="174"/>
      <c r="C2490" s="174"/>
      <c r="D2490" s="174"/>
      <c r="E2490" s="174"/>
    </row>
    <row r="2491" spans="1:5" x14ac:dyDescent="0.3">
      <c r="A2491" s="174"/>
      <c r="B2491" s="174"/>
      <c r="C2491" s="174"/>
      <c r="D2491" s="174"/>
      <c r="E2491" s="174"/>
    </row>
    <row r="2492" spans="1:5" x14ac:dyDescent="0.3">
      <c r="A2492" s="174"/>
      <c r="B2492" s="174"/>
      <c r="C2492" s="174"/>
      <c r="D2492" s="174"/>
      <c r="E2492" s="174"/>
    </row>
    <row r="2493" spans="1:5" x14ac:dyDescent="0.3">
      <c r="A2493" s="174"/>
      <c r="B2493" s="174"/>
      <c r="C2493" s="174"/>
      <c r="D2493" s="174"/>
      <c r="E2493" s="174"/>
    </row>
    <row r="2494" spans="1:5" x14ac:dyDescent="0.3">
      <c r="A2494" s="174"/>
      <c r="B2494" s="174"/>
      <c r="C2494" s="174"/>
      <c r="D2494" s="174"/>
      <c r="E2494" s="174"/>
    </row>
    <row r="2495" spans="1:5" x14ac:dyDescent="0.3">
      <c r="A2495" s="174"/>
      <c r="B2495" s="174"/>
      <c r="C2495" s="174"/>
      <c r="D2495" s="174"/>
      <c r="E2495" s="174"/>
    </row>
    <row r="2496" spans="1:5" x14ac:dyDescent="0.3">
      <c r="A2496" s="174"/>
      <c r="B2496" s="174"/>
      <c r="C2496" s="174"/>
      <c r="D2496" s="174"/>
      <c r="E2496" s="174"/>
    </row>
    <row r="2497" spans="1:5" x14ac:dyDescent="0.3">
      <c r="A2497" s="174"/>
      <c r="B2497" s="174"/>
      <c r="C2497" s="174"/>
      <c r="D2497" s="174"/>
      <c r="E2497" s="174"/>
    </row>
    <row r="2498" spans="1:5" x14ac:dyDescent="0.3">
      <c r="A2498" s="174"/>
      <c r="B2498" s="174"/>
      <c r="C2498" s="174"/>
      <c r="D2498" s="174"/>
      <c r="E2498" s="174"/>
    </row>
    <row r="2499" spans="1:5" x14ac:dyDescent="0.3">
      <c r="A2499" s="174"/>
      <c r="B2499" s="174"/>
      <c r="C2499" s="174"/>
      <c r="D2499" s="174"/>
      <c r="E2499" s="174"/>
    </row>
    <row r="2500" spans="1:5" x14ac:dyDescent="0.3">
      <c r="A2500" s="174"/>
      <c r="B2500" s="174"/>
      <c r="C2500" s="174"/>
      <c r="D2500" s="174"/>
      <c r="E2500" s="174"/>
    </row>
    <row r="2501" spans="1:5" x14ac:dyDescent="0.3">
      <c r="A2501" s="174"/>
      <c r="B2501" s="174"/>
      <c r="C2501" s="174"/>
      <c r="D2501" s="174"/>
      <c r="E2501" s="174"/>
    </row>
    <row r="2502" spans="1:5" x14ac:dyDescent="0.3">
      <c r="A2502" s="174"/>
      <c r="B2502" s="174"/>
      <c r="C2502" s="174"/>
      <c r="D2502" s="174"/>
      <c r="E2502" s="174"/>
    </row>
    <row r="2503" spans="1:5" x14ac:dyDescent="0.3">
      <c r="A2503" s="174"/>
      <c r="B2503" s="174"/>
      <c r="C2503" s="174"/>
      <c r="D2503" s="174"/>
      <c r="E2503" s="174"/>
    </row>
    <row r="2504" spans="1:5" x14ac:dyDescent="0.3">
      <c r="A2504" s="174"/>
      <c r="B2504" s="174"/>
      <c r="C2504" s="174"/>
      <c r="D2504" s="174"/>
      <c r="E2504" s="174"/>
    </row>
    <row r="2505" spans="1:5" x14ac:dyDescent="0.3">
      <c r="A2505" s="174"/>
      <c r="B2505" s="174"/>
      <c r="C2505" s="174"/>
      <c r="D2505" s="174"/>
      <c r="E2505" s="174"/>
    </row>
    <row r="2506" spans="1:5" x14ac:dyDescent="0.3">
      <c r="A2506" s="174"/>
      <c r="B2506" s="174"/>
      <c r="C2506" s="174"/>
      <c r="D2506" s="174"/>
      <c r="E2506" s="174"/>
    </row>
    <row r="2507" spans="1:5" x14ac:dyDescent="0.3">
      <c r="A2507" s="174"/>
      <c r="B2507" s="174"/>
      <c r="C2507" s="174"/>
      <c r="D2507" s="174"/>
      <c r="E2507" s="174"/>
    </row>
    <row r="2508" spans="1:5" x14ac:dyDescent="0.3">
      <c r="A2508" s="174"/>
      <c r="B2508" s="174"/>
      <c r="C2508" s="174"/>
      <c r="D2508" s="174"/>
      <c r="E2508" s="174"/>
    </row>
    <row r="2509" spans="1:5" x14ac:dyDescent="0.3">
      <c r="A2509" s="174"/>
      <c r="B2509" s="174"/>
      <c r="C2509" s="174"/>
      <c r="D2509" s="174"/>
      <c r="E2509" s="174"/>
    </row>
    <row r="2510" spans="1:5" x14ac:dyDescent="0.3">
      <c r="A2510" s="174"/>
      <c r="B2510" s="174"/>
      <c r="C2510" s="174"/>
      <c r="D2510" s="174"/>
      <c r="E2510" s="174"/>
    </row>
    <row r="2511" spans="1:5" x14ac:dyDescent="0.3">
      <c r="A2511" s="174"/>
      <c r="B2511" s="174"/>
      <c r="C2511" s="174"/>
      <c r="D2511" s="174"/>
      <c r="E2511" s="174"/>
    </row>
    <row r="2512" spans="1:5" x14ac:dyDescent="0.3">
      <c r="A2512" s="174"/>
      <c r="B2512" s="174"/>
      <c r="C2512" s="174"/>
      <c r="D2512" s="174"/>
      <c r="E2512" s="174"/>
    </row>
    <row r="2513" spans="1:5" x14ac:dyDescent="0.3">
      <c r="A2513" s="174"/>
      <c r="B2513" s="174"/>
      <c r="C2513" s="174"/>
      <c r="D2513" s="174"/>
      <c r="E2513" s="174"/>
    </row>
    <row r="2514" spans="1:5" x14ac:dyDescent="0.3">
      <c r="A2514" s="174"/>
      <c r="B2514" s="174"/>
      <c r="C2514" s="174"/>
      <c r="D2514" s="174"/>
      <c r="E2514" s="174"/>
    </row>
    <row r="2515" spans="1:5" x14ac:dyDescent="0.3">
      <c r="A2515" s="174"/>
      <c r="B2515" s="174"/>
      <c r="C2515" s="174"/>
      <c r="D2515" s="174"/>
      <c r="E2515" s="174"/>
    </row>
    <row r="2516" spans="1:5" x14ac:dyDescent="0.3">
      <c r="A2516" s="174"/>
      <c r="B2516" s="174"/>
      <c r="C2516" s="174"/>
      <c r="D2516" s="174"/>
      <c r="E2516" s="174"/>
    </row>
    <row r="2517" spans="1:5" x14ac:dyDescent="0.3">
      <c r="A2517" s="174"/>
      <c r="B2517" s="174"/>
      <c r="C2517" s="174"/>
      <c r="D2517" s="174"/>
      <c r="E2517" s="174"/>
    </row>
    <row r="2518" spans="1:5" x14ac:dyDescent="0.3">
      <c r="A2518" s="174"/>
      <c r="B2518" s="174"/>
      <c r="C2518" s="174"/>
      <c r="D2518" s="174"/>
      <c r="E2518" s="174"/>
    </row>
    <row r="2519" spans="1:5" x14ac:dyDescent="0.3">
      <c r="A2519" s="174"/>
      <c r="B2519" s="174"/>
      <c r="C2519" s="174"/>
      <c r="D2519" s="174"/>
      <c r="E2519" s="174"/>
    </row>
    <row r="2520" spans="1:5" x14ac:dyDescent="0.3">
      <c r="A2520" s="174"/>
      <c r="B2520" s="174"/>
      <c r="C2520" s="174"/>
      <c r="D2520" s="174"/>
      <c r="E2520" s="174"/>
    </row>
    <row r="2521" spans="1:5" x14ac:dyDescent="0.3">
      <c r="A2521" s="174"/>
      <c r="B2521" s="174"/>
      <c r="C2521" s="174"/>
      <c r="D2521" s="174"/>
      <c r="E2521" s="174"/>
    </row>
    <row r="2522" spans="1:5" x14ac:dyDescent="0.3">
      <c r="A2522" s="174"/>
      <c r="B2522" s="174"/>
      <c r="C2522" s="174"/>
      <c r="D2522" s="174"/>
      <c r="E2522" s="174"/>
    </row>
    <row r="2523" spans="1:5" x14ac:dyDescent="0.3">
      <c r="A2523" s="174"/>
      <c r="B2523" s="174"/>
      <c r="C2523" s="174"/>
      <c r="D2523" s="174"/>
      <c r="E2523" s="174"/>
    </row>
    <row r="2524" spans="1:5" x14ac:dyDescent="0.3">
      <c r="A2524" s="174"/>
      <c r="B2524" s="174"/>
      <c r="C2524" s="174"/>
      <c r="D2524" s="174"/>
      <c r="E2524" s="174"/>
    </row>
    <row r="2525" spans="1:5" x14ac:dyDescent="0.3">
      <c r="A2525" s="174"/>
      <c r="B2525" s="174"/>
      <c r="C2525" s="174"/>
      <c r="D2525" s="174"/>
      <c r="E2525" s="174"/>
    </row>
    <row r="2526" spans="1:5" x14ac:dyDescent="0.3">
      <c r="A2526" s="174"/>
      <c r="B2526" s="174"/>
      <c r="C2526" s="174"/>
      <c r="D2526" s="174"/>
      <c r="E2526" s="174"/>
    </row>
    <row r="2527" spans="1:5" x14ac:dyDescent="0.3">
      <c r="A2527" s="174"/>
      <c r="B2527" s="174"/>
      <c r="C2527" s="174"/>
      <c r="D2527" s="174"/>
      <c r="E2527" s="174"/>
    </row>
    <row r="2528" spans="1:5" x14ac:dyDescent="0.3">
      <c r="A2528" s="174"/>
      <c r="B2528" s="174"/>
      <c r="C2528" s="174"/>
      <c r="D2528" s="174"/>
      <c r="E2528" s="174"/>
    </row>
    <row r="2529" spans="1:5" x14ac:dyDescent="0.3">
      <c r="A2529" s="174"/>
      <c r="B2529" s="174"/>
      <c r="C2529" s="174"/>
      <c r="D2529" s="174"/>
      <c r="E2529" s="174"/>
    </row>
    <row r="2530" spans="1:5" x14ac:dyDescent="0.3">
      <c r="A2530" s="174"/>
      <c r="B2530" s="174"/>
      <c r="C2530" s="174"/>
      <c r="D2530" s="174"/>
      <c r="E2530" s="174"/>
    </row>
    <row r="2531" spans="1:5" x14ac:dyDescent="0.3">
      <c r="A2531" s="174"/>
      <c r="B2531" s="174"/>
      <c r="C2531" s="174"/>
      <c r="D2531" s="174"/>
      <c r="E2531" s="174"/>
    </row>
    <row r="2532" spans="1:5" x14ac:dyDescent="0.3">
      <c r="A2532" s="174"/>
      <c r="B2532" s="174"/>
      <c r="C2532" s="174"/>
      <c r="D2532" s="174"/>
      <c r="E2532" s="174"/>
    </row>
    <row r="2533" spans="1:5" x14ac:dyDescent="0.3">
      <c r="A2533" s="174"/>
      <c r="B2533" s="174"/>
      <c r="C2533" s="174"/>
      <c r="D2533" s="174"/>
      <c r="E2533" s="174"/>
    </row>
    <row r="2534" spans="1:5" x14ac:dyDescent="0.3">
      <c r="A2534" s="174"/>
      <c r="B2534" s="174"/>
      <c r="C2534" s="174"/>
      <c r="D2534" s="174"/>
      <c r="E2534" s="174"/>
    </row>
    <row r="2535" spans="1:5" x14ac:dyDescent="0.3">
      <c r="A2535" s="174"/>
      <c r="B2535" s="174"/>
      <c r="C2535" s="174"/>
      <c r="D2535" s="174"/>
      <c r="E2535" s="174"/>
    </row>
    <row r="2536" spans="1:5" x14ac:dyDescent="0.3">
      <c r="A2536" s="174"/>
      <c r="B2536" s="174"/>
      <c r="C2536" s="174"/>
      <c r="D2536" s="174"/>
      <c r="E2536" s="174"/>
    </row>
    <row r="2537" spans="1:5" x14ac:dyDescent="0.3">
      <c r="A2537" s="174"/>
      <c r="B2537" s="174"/>
      <c r="C2537" s="174"/>
      <c r="D2537" s="174"/>
      <c r="E2537" s="174"/>
    </row>
    <row r="2538" spans="1:5" x14ac:dyDescent="0.3">
      <c r="A2538" s="174"/>
      <c r="B2538" s="174"/>
      <c r="C2538" s="174"/>
      <c r="D2538" s="174"/>
      <c r="E2538" s="174"/>
    </row>
    <row r="2539" spans="1:5" x14ac:dyDescent="0.3">
      <c r="A2539" s="174"/>
      <c r="B2539" s="174"/>
      <c r="C2539" s="174"/>
      <c r="D2539" s="174"/>
      <c r="E2539" s="174"/>
    </row>
    <row r="2540" spans="1:5" x14ac:dyDescent="0.3">
      <c r="A2540" s="174"/>
      <c r="B2540" s="174"/>
      <c r="C2540" s="174"/>
      <c r="D2540" s="174"/>
      <c r="E2540" s="174"/>
    </row>
    <row r="2541" spans="1:5" x14ac:dyDescent="0.3">
      <c r="A2541" s="174"/>
      <c r="B2541" s="174"/>
      <c r="C2541" s="174"/>
      <c r="D2541" s="174"/>
      <c r="E2541" s="174"/>
    </row>
    <row r="2542" spans="1:5" x14ac:dyDescent="0.3">
      <c r="A2542" s="174"/>
      <c r="B2542" s="174"/>
      <c r="C2542" s="174"/>
      <c r="D2542" s="174"/>
      <c r="E2542" s="174"/>
    </row>
    <row r="2543" spans="1:5" x14ac:dyDescent="0.3">
      <c r="A2543" s="174"/>
      <c r="B2543" s="174"/>
      <c r="C2543" s="174"/>
      <c r="D2543" s="174"/>
      <c r="E2543" s="174"/>
    </row>
    <row r="2544" spans="1:5" x14ac:dyDescent="0.3">
      <c r="A2544" s="174"/>
      <c r="B2544" s="174"/>
      <c r="C2544" s="174"/>
      <c r="D2544" s="174"/>
      <c r="E2544" s="174"/>
    </row>
    <row r="2545" spans="1:5" x14ac:dyDescent="0.3">
      <c r="A2545" s="174"/>
      <c r="B2545" s="174"/>
      <c r="C2545" s="174"/>
      <c r="D2545" s="174"/>
      <c r="E2545" s="174"/>
    </row>
    <row r="2546" spans="1:5" x14ac:dyDescent="0.3">
      <c r="A2546" s="174"/>
      <c r="B2546" s="174"/>
      <c r="C2546" s="174"/>
      <c r="D2546" s="174"/>
      <c r="E2546" s="174"/>
    </row>
    <row r="2547" spans="1:5" x14ac:dyDescent="0.3">
      <c r="A2547" s="174"/>
      <c r="B2547" s="174"/>
      <c r="C2547" s="174"/>
      <c r="D2547" s="174"/>
      <c r="E2547" s="174"/>
    </row>
    <row r="2548" spans="1:5" x14ac:dyDescent="0.3">
      <c r="A2548" s="174"/>
      <c r="B2548" s="174"/>
      <c r="C2548" s="174"/>
      <c r="D2548" s="174"/>
      <c r="E2548" s="174"/>
    </row>
    <row r="2549" spans="1:5" x14ac:dyDescent="0.3">
      <c r="A2549" s="174"/>
      <c r="B2549" s="174"/>
      <c r="C2549" s="174"/>
      <c r="D2549" s="174"/>
      <c r="E2549" s="174"/>
    </row>
    <row r="2550" spans="1:5" x14ac:dyDescent="0.3">
      <c r="A2550" s="174"/>
      <c r="B2550" s="174"/>
      <c r="C2550" s="174"/>
      <c r="D2550" s="174"/>
      <c r="E2550" s="174"/>
    </row>
    <row r="2551" spans="1:5" x14ac:dyDescent="0.3">
      <c r="A2551" s="174"/>
      <c r="B2551" s="174"/>
      <c r="C2551" s="174"/>
      <c r="D2551" s="174"/>
      <c r="E2551" s="174"/>
    </row>
    <row r="2552" spans="1:5" x14ac:dyDescent="0.3">
      <c r="A2552" s="174"/>
      <c r="B2552" s="174"/>
      <c r="C2552" s="174"/>
      <c r="D2552" s="174"/>
      <c r="E2552" s="174"/>
    </row>
    <row r="2553" spans="1:5" x14ac:dyDescent="0.3">
      <c r="A2553" s="174"/>
      <c r="B2553" s="174"/>
      <c r="C2553" s="174"/>
      <c r="D2553" s="174"/>
      <c r="E2553" s="174"/>
    </row>
    <row r="2554" spans="1:5" x14ac:dyDescent="0.3">
      <c r="A2554" s="174"/>
      <c r="B2554" s="174"/>
      <c r="C2554" s="174"/>
      <c r="D2554" s="174"/>
      <c r="E2554" s="174"/>
    </row>
    <row r="2555" spans="1:5" x14ac:dyDescent="0.3">
      <c r="A2555" s="174"/>
      <c r="B2555" s="174"/>
      <c r="C2555" s="174"/>
      <c r="D2555" s="174"/>
      <c r="E2555" s="174"/>
    </row>
    <row r="2556" spans="1:5" x14ac:dyDescent="0.3">
      <c r="A2556" s="174"/>
      <c r="B2556" s="174"/>
      <c r="C2556" s="174"/>
      <c r="D2556" s="174"/>
      <c r="E2556" s="174"/>
    </row>
    <row r="2557" spans="1:5" x14ac:dyDescent="0.3">
      <c r="A2557" s="174"/>
      <c r="B2557" s="174"/>
      <c r="C2557" s="174"/>
      <c r="D2557" s="174"/>
      <c r="E2557" s="174"/>
    </row>
    <row r="2558" spans="1:5" x14ac:dyDescent="0.3">
      <c r="A2558" s="174"/>
      <c r="B2558" s="174"/>
      <c r="C2558" s="174"/>
      <c r="D2558" s="174"/>
      <c r="E2558" s="174"/>
    </row>
    <row r="2559" spans="1:5" x14ac:dyDescent="0.3">
      <c r="A2559" s="174"/>
      <c r="B2559" s="174"/>
      <c r="C2559" s="174"/>
      <c r="D2559" s="174"/>
      <c r="E2559" s="174"/>
    </row>
    <row r="2560" spans="1:5" x14ac:dyDescent="0.3">
      <c r="A2560" s="174"/>
      <c r="B2560" s="174"/>
      <c r="C2560" s="174"/>
      <c r="D2560" s="174"/>
      <c r="E2560" s="174"/>
    </row>
    <row r="2561" spans="1:5" x14ac:dyDescent="0.3">
      <c r="A2561" s="174"/>
      <c r="B2561" s="174"/>
      <c r="C2561" s="174"/>
      <c r="D2561" s="174"/>
      <c r="E2561" s="174"/>
    </row>
    <row r="2562" spans="1:5" x14ac:dyDescent="0.3">
      <c r="A2562" s="174"/>
      <c r="B2562" s="174"/>
      <c r="C2562" s="174"/>
      <c r="D2562" s="174"/>
      <c r="E2562" s="174"/>
    </row>
    <row r="2563" spans="1:5" x14ac:dyDescent="0.3">
      <c r="A2563" s="174"/>
      <c r="B2563" s="174"/>
      <c r="C2563" s="174"/>
      <c r="D2563" s="174"/>
      <c r="E2563" s="174"/>
    </row>
    <row r="2564" spans="1:5" x14ac:dyDescent="0.3">
      <c r="A2564" s="174"/>
      <c r="B2564" s="174"/>
      <c r="C2564" s="174"/>
      <c r="D2564" s="174"/>
      <c r="E2564" s="174"/>
    </row>
    <row r="2565" spans="1:5" x14ac:dyDescent="0.3">
      <c r="A2565" s="174"/>
      <c r="B2565" s="174"/>
      <c r="C2565" s="174"/>
      <c r="D2565" s="174"/>
      <c r="E2565" s="174"/>
    </row>
    <row r="2566" spans="1:5" x14ac:dyDescent="0.3">
      <c r="A2566" s="174"/>
      <c r="B2566" s="174"/>
      <c r="C2566" s="174"/>
      <c r="D2566" s="174"/>
      <c r="E2566" s="174"/>
    </row>
    <row r="2567" spans="1:5" x14ac:dyDescent="0.3">
      <c r="A2567" s="174"/>
      <c r="B2567" s="174"/>
      <c r="C2567" s="174"/>
      <c r="D2567" s="174"/>
      <c r="E2567" s="174"/>
    </row>
    <row r="2568" spans="1:5" x14ac:dyDescent="0.3">
      <c r="A2568" s="174"/>
      <c r="B2568" s="174"/>
      <c r="C2568" s="174"/>
      <c r="D2568" s="174"/>
      <c r="E2568" s="174"/>
    </row>
    <row r="2569" spans="1:5" x14ac:dyDescent="0.3">
      <c r="A2569" s="174"/>
      <c r="B2569" s="174"/>
      <c r="C2569" s="174"/>
      <c r="D2569" s="174"/>
      <c r="E2569" s="174"/>
    </row>
    <row r="2570" spans="1:5" x14ac:dyDescent="0.3">
      <c r="A2570" s="174"/>
      <c r="B2570" s="174"/>
      <c r="C2570" s="174"/>
      <c r="D2570" s="174"/>
      <c r="E2570" s="174"/>
    </row>
    <row r="2571" spans="1:5" x14ac:dyDescent="0.3">
      <c r="A2571" s="174"/>
      <c r="B2571" s="174"/>
      <c r="C2571" s="174"/>
      <c r="D2571" s="174"/>
      <c r="E2571" s="174"/>
    </row>
    <row r="2572" spans="1:5" x14ac:dyDescent="0.3">
      <c r="A2572" s="174"/>
      <c r="B2572" s="174"/>
      <c r="C2572" s="174"/>
      <c r="D2572" s="174"/>
      <c r="E2572" s="174"/>
    </row>
    <row r="2573" spans="1:5" x14ac:dyDescent="0.3">
      <c r="A2573" s="174"/>
      <c r="B2573" s="174"/>
      <c r="C2573" s="174"/>
      <c r="D2573" s="174"/>
      <c r="E2573" s="174"/>
    </row>
    <row r="2574" spans="1:5" x14ac:dyDescent="0.3">
      <c r="A2574" s="174"/>
      <c r="B2574" s="174"/>
      <c r="C2574" s="174"/>
      <c r="D2574" s="174"/>
      <c r="E2574" s="174"/>
    </row>
    <row r="2575" spans="1:5" x14ac:dyDescent="0.3">
      <c r="A2575" s="174"/>
      <c r="B2575" s="174"/>
      <c r="C2575" s="174"/>
      <c r="D2575" s="174"/>
      <c r="E2575" s="174"/>
    </row>
    <row r="2576" spans="1:5" x14ac:dyDescent="0.3">
      <c r="A2576" s="174"/>
      <c r="B2576" s="174"/>
      <c r="C2576" s="174"/>
      <c r="D2576" s="174"/>
      <c r="E2576" s="174"/>
    </row>
    <row r="2577" spans="1:5" x14ac:dyDescent="0.3">
      <c r="A2577" s="174"/>
      <c r="B2577" s="174"/>
      <c r="C2577" s="174"/>
      <c r="D2577" s="174"/>
      <c r="E2577" s="174"/>
    </row>
    <row r="2578" spans="1:5" x14ac:dyDescent="0.3">
      <c r="A2578" s="174"/>
      <c r="B2578" s="174"/>
      <c r="C2578" s="174"/>
      <c r="D2578" s="174"/>
      <c r="E2578" s="174"/>
    </row>
    <row r="2579" spans="1:5" x14ac:dyDescent="0.3">
      <c r="A2579" s="174"/>
      <c r="B2579" s="174"/>
      <c r="C2579" s="174"/>
      <c r="D2579" s="174"/>
      <c r="E2579" s="174"/>
    </row>
    <row r="2580" spans="1:5" x14ac:dyDescent="0.3">
      <c r="A2580" s="174"/>
      <c r="B2580" s="174"/>
      <c r="C2580" s="174"/>
      <c r="D2580" s="174"/>
      <c r="E2580" s="174"/>
    </row>
    <row r="2581" spans="1:5" x14ac:dyDescent="0.3">
      <c r="A2581" s="174"/>
      <c r="B2581" s="174"/>
      <c r="C2581" s="174"/>
      <c r="D2581" s="174"/>
      <c r="E2581" s="174"/>
    </row>
    <row r="2582" spans="1:5" x14ac:dyDescent="0.3">
      <c r="A2582" s="174"/>
      <c r="B2582" s="174"/>
      <c r="C2582" s="174"/>
      <c r="D2582" s="174"/>
      <c r="E2582" s="174"/>
    </row>
    <row r="2583" spans="1:5" x14ac:dyDescent="0.3">
      <c r="A2583" s="174"/>
      <c r="B2583" s="174"/>
      <c r="C2583" s="174"/>
      <c r="D2583" s="174"/>
      <c r="E2583" s="174"/>
    </row>
    <row r="2584" spans="1:5" x14ac:dyDescent="0.3">
      <c r="A2584" s="174"/>
      <c r="B2584" s="174"/>
      <c r="C2584" s="174"/>
      <c r="D2584" s="174"/>
      <c r="E2584" s="174"/>
    </row>
    <row r="2585" spans="1:5" x14ac:dyDescent="0.3">
      <c r="A2585" s="174"/>
      <c r="B2585" s="174"/>
      <c r="C2585" s="174"/>
      <c r="D2585" s="174"/>
      <c r="E2585" s="174"/>
    </row>
    <row r="2586" spans="1:5" x14ac:dyDescent="0.3">
      <c r="A2586" s="174"/>
      <c r="B2586" s="174"/>
      <c r="C2586" s="174"/>
      <c r="D2586" s="174"/>
      <c r="E2586" s="174"/>
    </row>
    <row r="2587" spans="1:5" x14ac:dyDescent="0.3">
      <c r="A2587" s="174"/>
      <c r="B2587" s="174"/>
      <c r="C2587" s="174"/>
      <c r="D2587" s="174"/>
      <c r="E2587" s="174"/>
    </row>
    <row r="2588" spans="1:5" x14ac:dyDescent="0.3">
      <c r="A2588" s="174"/>
      <c r="B2588" s="174"/>
      <c r="C2588" s="174"/>
      <c r="D2588" s="174"/>
      <c r="E2588" s="174"/>
    </row>
    <row r="2589" spans="1:5" x14ac:dyDescent="0.3">
      <c r="A2589" s="174"/>
      <c r="B2589" s="174"/>
      <c r="C2589" s="174"/>
      <c r="D2589" s="174"/>
      <c r="E2589" s="174"/>
    </row>
    <row r="2590" spans="1:5" x14ac:dyDescent="0.3">
      <c r="A2590" s="174"/>
      <c r="B2590" s="174"/>
      <c r="C2590" s="174"/>
      <c r="D2590" s="174"/>
      <c r="E2590" s="174"/>
    </row>
    <row r="2591" spans="1:5" x14ac:dyDescent="0.3">
      <c r="A2591" s="174"/>
      <c r="B2591" s="174"/>
      <c r="C2591" s="174"/>
      <c r="D2591" s="174"/>
      <c r="E2591" s="174"/>
    </row>
    <row r="2592" spans="1:5" x14ac:dyDescent="0.3">
      <c r="A2592" s="174"/>
      <c r="B2592" s="174"/>
      <c r="C2592" s="174"/>
      <c r="D2592" s="174"/>
      <c r="E2592" s="174"/>
    </row>
    <row r="2593" spans="1:5" x14ac:dyDescent="0.3">
      <c r="A2593" s="174"/>
      <c r="B2593" s="174"/>
      <c r="C2593" s="174"/>
      <c r="D2593" s="174"/>
      <c r="E2593" s="174"/>
    </row>
    <row r="2594" spans="1:5" x14ac:dyDescent="0.3">
      <c r="A2594" s="174"/>
      <c r="B2594" s="174"/>
      <c r="C2594" s="174"/>
      <c r="D2594" s="174"/>
      <c r="E2594" s="174"/>
    </row>
    <row r="2595" spans="1:5" x14ac:dyDescent="0.3">
      <c r="A2595" s="174"/>
      <c r="B2595" s="174"/>
      <c r="C2595" s="174"/>
      <c r="D2595" s="174"/>
      <c r="E2595" s="174"/>
    </row>
    <row r="2596" spans="1:5" x14ac:dyDescent="0.3">
      <c r="A2596" s="174"/>
      <c r="B2596" s="174"/>
      <c r="C2596" s="174"/>
      <c r="D2596" s="174"/>
      <c r="E2596" s="174"/>
    </row>
    <row r="2597" spans="1:5" x14ac:dyDescent="0.3">
      <c r="A2597" s="174"/>
      <c r="B2597" s="174"/>
      <c r="C2597" s="174"/>
      <c r="D2597" s="174"/>
      <c r="E2597" s="174"/>
    </row>
    <row r="2598" spans="1:5" x14ac:dyDescent="0.3">
      <c r="A2598" s="174"/>
      <c r="B2598" s="174"/>
      <c r="C2598" s="174"/>
      <c r="D2598" s="174"/>
      <c r="E2598" s="174"/>
    </row>
    <row r="2599" spans="1:5" x14ac:dyDescent="0.3">
      <c r="A2599" s="174"/>
      <c r="B2599" s="174"/>
      <c r="C2599" s="174"/>
      <c r="D2599" s="174"/>
      <c r="E2599" s="174"/>
    </row>
    <row r="2600" spans="1:5" x14ac:dyDescent="0.3">
      <c r="A2600" s="174"/>
      <c r="B2600" s="174"/>
      <c r="C2600" s="174"/>
      <c r="D2600" s="174"/>
      <c r="E2600" s="174"/>
    </row>
    <row r="2601" spans="1:5" x14ac:dyDescent="0.3">
      <c r="A2601" s="174"/>
      <c r="B2601" s="174"/>
      <c r="C2601" s="174"/>
      <c r="D2601" s="174"/>
      <c r="E2601" s="174"/>
    </row>
    <row r="2602" spans="1:5" x14ac:dyDescent="0.3">
      <c r="A2602" s="174"/>
      <c r="B2602" s="174"/>
      <c r="C2602" s="174"/>
      <c r="D2602" s="174"/>
      <c r="E2602" s="174"/>
    </row>
    <row r="2603" spans="1:5" x14ac:dyDescent="0.3">
      <c r="A2603" s="174"/>
      <c r="B2603" s="174"/>
      <c r="C2603" s="174"/>
      <c r="D2603" s="174"/>
      <c r="E2603" s="174"/>
    </row>
    <row r="2604" spans="1:5" x14ac:dyDescent="0.3">
      <c r="A2604" s="174"/>
      <c r="B2604" s="174"/>
      <c r="C2604" s="174"/>
      <c r="D2604" s="174"/>
      <c r="E2604" s="174"/>
    </row>
    <row r="2605" spans="1:5" x14ac:dyDescent="0.3">
      <c r="A2605" s="174"/>
      <c r="B2605" s="174"/>
      <c r="C2605" s="174"/>
      <c r="D2605" s="174"/>
      <c r="E2605" s="174"/>
    </row>
    <row r="2606" spans="1:5" x14ac:dyDescent="0.3">
      <c r="A2606" s="174"/>
      <c r="B2606" s="174"/>
      <c r="C2606" s="174"/>
      <c r="D2606" s="174"/>
      <c r="E2606" s="174"/>
    </row>
    <row r="2607" spans="1:5" x14ac:dyDescent="0.3">
      <c r="A2607" s="174"/>
      <c r="B2607" s="174"/>
      <c r="C2607" s="174"/>
      <c r="D2607" s="174"/>
      <c r="E2607" s="174"/>
    </row>
    <row r="2608" spans="1:5" x14ac:dyDescent="0.3">
      <c r="A2608" s="174"/>
      <c r="B2608" s="174"/>
      <c r="C2608" s="174"/>
      <c r="D2608" s="174"/>
      <c r="E2608" s="174"/>
    </row>
    <row r="2609" spans="1:5" x14ac:dyDescent="0.3">
      <c r="A2609" s="174"/>
      <c r="B2609" s="174"/>
      <c r="C2609" s="174"/>
      <c r="D2609" s="174"/>
      <c r="E2609" s="174"/>
    </row>
    <row r="2610" spans="1:5" x14ac:dyDescent="0.3">
      <c r="A2610" s="174"/>
      <c r="B2610" s="174"/>
      <c r="C2610" s="174"/>
      <c r="D2610" s="174"/>
      <c r="E2610" s="174"/>
    </row>
    <row r="2611" spans="1:5" x14ac:dyDescent="0.3">
      <c r="A2611" s="174"/>
      <c r="B2611" s="174"/>
      <c r="C2611" s="174"/>
      <c r="D2611" s="174"/>
      <c r="E2611" s="174"/>
    </row>
    <row r="2612" spans="1:5" x14ac:dyDescent="0.3">
      <c r="A2612" s="174"/>
      <c r="B2612" s="174"/>
      <c r="C2612" s="174"/>
      <c r="D2612" s="174"/>
      <c r="E2612" s="174"/>
    </row>
    <row r="2613" spans="1:5" x14ac:dyDescent="0.3">
      <c r="A2613" s="174"/>
      <c r="B2613" s="174"/>
      <c r="C2613" s="174"/>
      <c r="D2613" s="174"/>
      <c r="E2613" s="174"/>
    </row>
    <row r="2614" spans="1:5" x14ac:dyDescent="0.3">
      <c r="A2614" s="174"/>
      <c r="B2614" s="174"/>
      <c r="C2614" s="174"/>
      <c r="D2614" s="174"/>
      <c r="E2614" s="174"/>
    </row>
    <row r="2615" spans="1:5" x14ac:dyDescent="0.3">
      <c r="A2615" s="174"/>
      <c r="B2615" s="174"/>
      <c r="C2615" s="174"/>
      <c r="D2615" s="174"/>
      <c r="E2615" s="174"/>
    </row>
    <row r="2616" spans="1:5" x14ac:dyDescent="0.3">
      <c r="A2616" s="174"/>
      <c r="B2616" s="174"/>
      <c r="C2616" s="174"/>
      <c r="D2616" s="174"/>
      <c r="E2616" s="174"/>
    </row>
    <row r="2617" spans="1:5" x14ac:dyDescent="0.3">
      <c r="A2617" s="174"/>
      <c r="B2617" s="174"/>
      <c r="C2617" s="174"/>
      <c r="D2617" s="174"/>
      <c r="E2617" s="174"/>
    </row>
    <row r="2618" spans="1:5" x14ac:dyDescent="0.3">
      <c r="A2618" s="174"/>
      <c r="B2618" s="174"/>
      <c r="C2618" s="174"/>
      <c r="D2618" s="174"/>
      <c r="E2618" s="174"/>
    </row>
    <row r="2619" spans="1:5" x14ac:dyDescent="0.3">
      <c r="A2619" s="174"/>
      <c r="B2619" s="174"/>
      <c r="C2619" s="174"/>
      <c r="D2619" s="174"/>
      <c r="E2619" s="174"/>
    </row>
    <row r="2620" spans="1:5" x14ac:dyDescent="0.3">
      <c r="A2620" s="174"/>
      <c r="B2620" s="174"/>
      <c r="C2620" s="174"/>
      <c r="D2620" s="174"/>
      <c r="E2620" s="174"/>
    </row>
    <row r="2621" spans="1:5" x14ac:dyDescent="0.3">
      <c r="A2621" s="174"/>
      <c r="B2621" s="174"/>
      <c r="C2621" s="174"/>
      <c r="D2621" s="174"/>
      <c r="E2621" s="174"/>
    </row>
    <row r="2622" spans="1:5" x14ac:dyDescent="0.3">
      <c r="A2622" s="174"/>
      <c r="B2622" s="174"/>
      <c r="C2622" s="174"/>
      <c r="D2622" s="174"/>
      <c r="E2622" s="174"/>
    </row>
    <row r="2623" spans="1:5" x14ac:dyDescent="0.3">
      <c r="A2623" s="174"/>
      <c r="B2623" s="174"/>
      <c r="C2623" s="174"/>
      <c r="D2623" s="174"/>
      <c r="E2623" s="174"/>
    </row>
    <row r="2624" spans="1:5" x14ac:dyDescent="0.3">
      <c r="A2624" s="174"/>
      <c r="B2624" s="174"/>
      <c r="C2624" s="174"/>
      <c r="D2624" s="174"/>
      <c r="E2624" s="174"/>
    </row>
    <row r="2625" spans="1:5" x14ac:dyDescent="0.3">
      <c r="A2625" s="174"/>
      <c r="B2625" s="174"/>
      <c r="C2625" s="174"/>
      <c r="D2625" s="174"/>
      <c r="E2625" s="174"/>
    </row>
    <row r="2626" spans="1:5" x14ac:dyDescent="0.3">
      <c r="A2626" s="174"/>
      <c r="B2626" s="174"/>
      <c r="C2626" s="174"/>
      <c r="D2626" s="174"/>
      <c r="E2626" s="174"/>
    </row>
    <row r="2627" spans="1:5" x14ac:dyDescent="0.3">
      <c r="A2627" s="174"/>
      <c r="B2627" s="174"/>
      <c r="C2627" s="174"/>
      <c r="D2627" s="174"/>
      <c r="E2627" s="174"/>
    </row>
    <row r="2628" spans="1:5" x14ac:dyDescent="0.3">
      <c r="A2628" s="174"/>
      <c r="B2628" s="174"/>
      <c r="C2628" s="174"/>
      <c r="D2628" s="174"/>
      <c r="E2628" s="174"/>
    </row>
    <row r="2629" spans="1:5" x14ac:dyDescent="0.3">
      <c r="A2629" s="174"/>
      <c r="B2629" s="174"/>
      <c r="C2629" s="174"/>
      <c r="D2629" s="174"/>
      <c r="E2629" s="174"/>
    </row>
    <row r="2630" spans="1:5" x14ac:dyDescent="0.3">
      <c r="A2630" s="174"/>
      <c r="B2630" s="174"/>
      <c r="C2630" s="174"/>
      <c r="D2630" s="174"/>
      <c r="E2630" s="174"/>
    </row>
    <row r="2631" spans="1:5" x14ac:dyDescent="0.3">
      <c r="A2631" s="174"/>
      <c r="B2631" s="174"/>
      <c r="C2631" s="174"/>
      <c r="D2631" s="174"/>
      <c r="E2631" s="174"/>
    </row>
    <row r="2632" spans="1:5" x14ac:dyDescent="0.3">
      <c r="A2632" s="174"/>
      <c r="B2632" s="174"/>
      <c r="C2632" s="174"/>
      <c r="D2632" s="174"/>
      <c r="E2632" s="174"/>
    </row>
    <row r="2633" spans="1:5" x14ac:dyDescent="0.3">
      <c r="A2633" s="174"/>
      <c r="B2633" s="174"/>
      <c r="C2633" s="174"/>
      <c r="D2633" s="174"/>
      <c r="E2633" s="174"/>
    </row>
    <row r="2634" spans="1:5" x14ac:dyDescent="0.3">
      <c r="A2634" s="174"/>
      <c r="B2634" s="174"/>
      <c r="C2634" s="174"/>
      <c r="D2634" s="174"/>
      <c r="E2634" s="174"/>
    </row>
    <row r="2635" spans="1:5" x14ac:dyDescent="0.3">
      <c r="A2635" s="174"/>
      <c r="B2635" s="174"/>
      <c r="C2635" s="174"/>
      <c r="D2635" s="174"/>
      <c r="E2635" s="174"/>
    </row>
    <row r="2636" spans="1:5" x14ac:dyDescent="0.3">
      <c r="A2636" s="174"/>
      <c r="B2636" s="174"/>
      <c r="C2636" s="174"/>
      <c r="D2636" s="174"/>
      <c r="E2636" s="174"/>
    </row>
    <row r="2637" spans="1:5" x14ac:dyDescent="0.3">
      <c r="A2637" s="174"/>
      <c r="B2637" s="174"/>
      <c r="C2637" s="174"/>
      <c r="D2637" s="174"/>
      <c r="E2637" s="174"/>
    </row>
    <row r="2638" spans="1:5" x14ac:dyDescent="0.3">
      <c r="A2638" s="174"/>
      <c r="B2638" s="174"/>
      <c r="C2638" s="174"/>
      <c r="D2638" s="174"/>
      <c r="E2638" s="174"/>
    </row>
    <row r="2639" spans="1:5" x14ac:dyDescent="0.3">
      <c r="A2639" s="174"/>
      <c r="B2639" s="174"/>
      <c r="C2639" s="174"/>
      <c r="D2639" s="174"/>
      <c r="E2639" s="174"/>
    </row>
    <row r="2640" spans="1:5" x14ac:dyDescent="0.3">
      <c r="A2640" s="174"/>
      <c r="B2640" s="174"/>
      <c r="C2640" s="174"/>
      <c r="D2640" s="174"/>
      <c r="E2640" s="174"/>
    </row>
    <row r="2641" spans="1:5" x14ac:dyDescent="0.3">
      <c r="A2641" s="174"/>
      <c r="B2641" s="174"/>
      <c r="C2641" s="174"/>
      <c r="D2641" s="174"/>
      <c r="E2641" s="174"/>
    </row>
    <row r="2642" spans="1:5" x14ac:dyDescent="0.3">
      <c r="A2642" s="174"/>
      <c r="B2642" s="174"/>
      <c r="C2642" s="174"/>
      <c r="D2642" s="174"/>
      <c r="E2642" s="174"/>
    </row>
    <row r="2643" spans="1:5" x14ac:dyDescent="0.3">
      <c r="A2643" s="174"/>
      <c r="B2643" s="174"/>
      <c r="C2643" s="174"/>
      <c r="D2643" s="174"/>
      <c r="E2643" s="174"/>
    </row>
    <row r="2644" spans="1:5" x14ac:dyDescent="0.3">
      <c r="A2644" s="174"/>
      <c r="B2644" s="174"/>
      <c r="C2644" s="174"/>
      <c r="D2644" s="174"/>
      <c r="E2644" s="174"/>
    </row>
    <row r="2645" spans="1:5" x14ac:dyDescent="0.3">
      <c r="A2645" s="174"/>
      <c r="B2645" s="174"/>
      <c r="C2645" s="174"/>
      <c r="D2645" s="174"/>
      <c r="E2645" s="174"/>
    </row>
    <row r="2646" spans="1:5" x14ac:dyDescent="0.3">
      <c r="A2646" s="174"/>
      <c r="B2646" s="174"/>
      <c r="C2646" s="174"/>
      <c r="D2646" s="174"/>
      <c r="E2646" s="174"/>
    </row>
    <row r="2647" spans="1:5" x14ac:dyDescent="0.3">
      <c r="A2647" s="174"/>
      <c r="B2647" s="174"/>
      <c r="C2647" s="174"/>
      <c r="D2647" s="174"/>
      <c r="E2647" s="174"/>
    </row>
    <row r="2648" spans="1:5" x14ac:dyDescent="0.3">
      <c r="A2648" s="174"/>
      <c r="B2648" s="174"/>
      <c r="C2648" s="174"/>
      <c r="D2648" s="174"/>
      <c r="E2648" s="174"/>
    </row>
    <row r="2649" spans="1:5" x14ac:dyDescent="0.3">
      <c r="A2649" s="174"/>
      <c r="B2649" s="174"/>
      <c r="C2649" s="174"/>
      <c r="D2649" s="174"/>
      <c r="E2649" s="174"/>
    </row>
    <row r="2650" spans="1:5" x14ac:dyDescent="0.3">
      <c r="A2650" s="174"/>
      <c r="B2650" s="174"/>
      <c r="C2650" s="174"/>
      <c r="D2650" s="174"/>
      <c r="E2650" s="174"/>
    </row>
    <row r="2651" spans="1:5" x14ac:dyDescent="0.3">
      <c r="A2651" s="174"/>
      <c r="B2651" s="174"/>
      <c r="C2651" s="174"/>
      <c r="D2651" s="174"/>
      <c r="E2651" s="174"/>
    </row>
    <row r="2652" spans="1:5" x14ac:dyDescent="0.3">
      <c r="A2652" s="174"/>
      <c r="B2652" s="174"/>
      <c r="C2652" s="174"/>
      <c r="D2652" s="174"/>
      <c r="E2652" s="174"/>
    </row>
    <row r="2653" spans="1:5" x14ac:dyDescent="0.3">
      <c r="A2653" s="174"/>
      <c r="B2653" s="174"/>
      <c r="C2653" s="174"/>
      <c r="D2653" s="174"/>
      <c r="E2653" s="174"/>
    </row>
    <row r="2654" spans="1:5" x14ac:dyDescent="0.3">
      <c r="A2654" s="174"/>
      <c r="B2654" s="174"/>
      <c r="C2654" s="174"/>
      <c r="D2654" s="174"/>
      <c r="E2654" s="174"/>
    </row>
    <row r="2655" spans="1:5" x14ac:dyDescent="0.3">
      <c r="A2655" s="174"/>
      <c r="B2655" s="174"/>
      <c r="C2655" s="174"/>
      <c r="D2655" s="174"/>
      <c r="E2655" s="174"/>
    </row>
    <row r="2656" spans="1:5" x14ac:dyDescent="0.3">
      <c r="A2656" s="174"/>
      <c r="B2656" s="174"/>
      <c r="C2656" s="174"/>
      <c r="D2656" s="174"/>
      <c r="E2656" s="174"/>
    </row>
    <row r="2657" spans="1:5" x14ac:dyDescent="0.3">
      <c r="A2657" s="174"/>
      <c r="B2657" s="174"/>
      <c r="C2657" s="174"/>
      <c r="D2657" s="174"/>
      <c r="E2657" s="174"/>
    </row>
    <row r="2658" spans="1:5" x14ac:dyDescent="0.3">
      <c r="A2658" s="174"/>
      <c r="B2658" s="174"/>
      <c r="C2658" s="174"/>
      <c r="D2658" s="174"/>
      <c r="E2658" s="174"/>
    </row>
    <row r="2659" spans="1:5" x14ac:dyDescent="0.3">
      <c r="A2659" s="174"/>
      <c r="B2659" s="174"/>
      <c r="C2659" s="174"/>
      <c r="D2659" s="174"/>
      <c r="E2659" s="174"/>
    </row>
    <row r="2660" spans="1:5" x14ac:dyDescent="0.3">
      <c r="A2660" s="174"/>
      <c r="B2660" s="174"/>
      <c r="C2660" s="174"/>
      <c r="D2660" s="174"/>
      <c r="E2660" s="174"/>
    </row>
    <row r="2661" spans="1:5" x14ac:dyDescent="0.3">
      <c r="A2661" s="174"/>
      <c r="B2661" s="174"/>
      <c r="C2661" s="174"/>
      <c r="D2661" s="174"/>
      <c r="E2661" s="174"/>
    </row>
    <row r="2662" spans="1:5" x14ac:dyDescent="0.3">
      <c r="A2662" s="174"/>
      <c r="B2662" s="174"/>
      <c r="C2662" s="174"/>
      <c r="D2662" s="174"/>
      <c r="E2662" s="174"/>
    </row>
    <row r="2663" spans="1:5" x14ac:dyDescent="0.3">
      <c r="A2663" s="174"/>
      <c r="B2663" s="174"/>
      <c r="C2663" s="174"/>
      <c r="D2663" s="174"/>
      <c r="E2663" s="174"/>
    </row>
    <row r="2664" spans="1:5" x14ac:dyDescent="0.3">
      <c r="A2664" s="174"/>
      <c r="B2664" s="174"/>
      <c r="C2664" s="174"/>
      <c r="D2664" s="174"/>
      <c r="E2664" s="174"/>
    </row>
    <row r="2665" spans="1:5" x14ac:dyDescent="0.3">
      <c r="A2665" s="174"/>
      <c r="B2665" s="174"/>
      <c r="C2665" s="174"/>
      <c r="D2665" s="174"/>
      <c r="E2665" s="174"/>
    </row>
    <row r="2666" spans="1:5" x14ac:dyDescent="0.3">
      <c r="A2666" s="174"/>
      <c r="B2666" s="174"/>
      <c r="C2666" s="174"/>
      <c r="D2666" s="174"/>
      <c r="E2666" s="174"/>
    </row>
    <row r="2667" spans="1:5" x14ac:dyDescent="0.3">
      <c r="A2667" s="174"/>
      <c r="B2667" s="174"/>
      <c r="C2667" s="174"/>
      <c r="D2667" s="174"/>
      <c r="E2667" s="174"/>
    </row>
    <row r="2668" spans="1:5" x14ac:dyDescent="0.3">
      <c r="A2668" s="174"/>
      <c r="B2668" s="174"/>
      <c r="C2668" s="174"/>
      <c r="D2668" s="174"/>
      <c r="E2668" s="174"/>
    </row>
    <row r="2669" spans="1:5" x14ac:dyDescent="0.3">
      <c r="A2669" s="174"/>
      <c r="B2669" s="174"/>
      <c r="C2669" s="174"/>
      <c r="D2669" s="174"/>
      <c r="E2669" s="174"/>
    </row>
    <row r="2670" spans="1:5" x14ac:dyDescent="0.3">
      <c r="A2670" s="174"/>
      <c r="B2670" s="174"/>
      <c r="C2670" s="174"/>
      <c r="D2670" s="174"/>
      <c r="E2670" s="174"/>
    </row>
    <row r="2671" spans="1:5" x14ac:dyDescent="0.3">
      <c r="A2671" s="174"/>
      <c r="B2671" s="174"/>
      <c r="C2671" s="174"/>
      <c r="D2671" s="174"/>
      <c r="E2671" s="174"/>
    </row>
    <row r="2672" spans="1:5" x14ac:dyDescent="0.3">
      <c r="A2672" s="174"/>
      <c r="B2672" s="174"/>
      <c r="C2672" s="174"/>
      <c r="D2672" s="174"/>
      <c r="E2672" s="174"/>
    </row>
    <row r="2673" spans="1:5" x14ac:dyDescent="0.3">
      <c r="A2673" s="174"/>
      <c r="B2673" s="174"/>
      <c r="C2673" s="174"/>
      <c r="D2673" s="174"/>
      <c r="E2673" s="174"/>
    </row>
    <row r="2674" spans="1:5" x14ac:dyDescent="0.3">
      <c r="A2674" s="174"/>
      <c r="B2674" s="174"/>
      <c r="C2674" s="174"/>
      <c r="D2674" s="174"/>
      <c r="E2674" s="174"/>
    </row>
    <row r="2675" spans="1:5" x14ac:dyDescent="0.3">
      <c r="A2675" s="174"/>
      <c r="B2675" s="174"/>
      <c r="C2675" s="174"/>
      <c r="D2675" s="174"/>
      <c r="E2675" s="174"/>
    </row>
    <row r="2676" spans="1:5" x14ac:dyDescent="0.3">
      <c r="A2676" s="174"/>
      <c r="B2676" s="174"/>
      <c r="C2676" s="174"/>
      <c r="D2676" s="174"/>
      <c r="E2676" s="174"/>
    </row>
    <row r="2677" spans="1:5" x14ac:dyDescent="0.3">
      <c r="A2677" s="174"/>
      <c r="B2677" s="174"/>
      <c r="C2677" s="174"/>
      <c r="D2677" s="174"/>
      <c r="E2677" s="174"/>
    </row>
    <row r="2678" spans="1:5" x14ac:dyDescent="0.3">
      <c r="A2678" s="174"/>
      <c r="B2678" s="174"/>
      <c r="C2678" s="174"/>
      <c r="D2678" s="174"/>
      <c r="E2678" s="174"/>
    </row>
    <row r="2679" spans="1:5" x14ac:dyDescent="0.3">
      <c r="A2679" s="174"/>
      <c r="B2679" s="174"/>
      <c r="C2679" s="174"/>
      <c r="D2679" s="174"/>
      <c r="E2679" s="174"/>
    </row>
    <row r="2680" spans="1:5" x14ac:dyDescent="0.3">
      <c r="A2680" s="174"/>
      <c r="B2680" s="174"/>
      <c r="C2680" s="174"/>
      <c r="D2680" s="174"/>
      <c r="E2680" s="174"/>
    </row>
    <row r="2681" spans="1:5" x14ac:dyDescent="0.3">
      <c r="A2681" s="174"/>
      <c r="B2681" s="174"/>
      <c r="C2681" s="174"/>
      <c r="D2681" s="174"/>
      <c r="E2681" s="174"/>
    </row>
    <row r="2682" spans="1:5" x14ac:dyDescent="0.3">
      <c r="A2682" s="174"/>
      <c r="B2682" s="174"/>
      <c r="C2682" s="174"/>
      <c r="D2682" s="174"/>
      <c r="E2682" s="174"/>
    </row>
    <row r="2683" spans="1:5" x14ac:dyDescent="0.3">
      <c r="A2683" s="174"/>
      <c r="B2683" s="174"/>
      <c r="C2683" s="174"/>
      <c r="D2683" s="174"/>
      <c r="E2683" s="174"/>
    </row>
    <row r="2684" spans="1:5" x14ac:dyDescent="0.3">
      <c r="A2684" s="174"/>
      <c r="B2684" s="174"/>
      <c r="C2684" s="174"/>
      <c r="D2684" s="174"/>
      <c r="E2684" s="174"/>
    </row>
    <row r="2685" spans="1:5" x14ac:dyDescent="0.3">
      <c r="A2685" s="174"/>
      <c r="B2685" s="174"/>
      <c r="C2685" s="174"/>
      <c r="D2685" s="174"/>
      <c r="E2685" s="174"/>
    </row>
    <row r="2686" spans="1:5" x14ac:dyDescent="0.3">
      <c r="A2686" s="174"/>
      <c r="B2686" s="174"/>
      <c r="C2686" s="174"/>
      <c r="D2686" s="174"/>
      <c r="E2686" s="174"/>
    </row>
    <row r="2687" spans="1:5" x14ac:dyDescent="0.3">
      <c r="A2687" s="174"/>
      <c r="B2687" s="174"/>
      <c r="C2687" s="174"/>
      <c r="D2687" s="174"/>
      <c r="E2687" s="174"/>
    </row>
    <row r="2688" spans="1:5" x14ac:dyDescent="0.3">
      <c r="A2688" s="174"/>
      <c r="B2688" s="174"/>
      <c r="C2688" s="174"/>
      <c r="D2688" s="174"/>
      <c r="E2688" s="174"/>
    </row>
    <row r="2689" spans="1:5" x14ac:dyDescent="0.3">
      <c r="A2689" s="174"/>
      <c r="B2689" s="174"/>
      <c r="C2689" s="174"/>
      <c r="D2689" s="174"/>
      <c r="E2689" s="174"/>
    </row>
    <row r="2690" spans="1:5" x14ac:dyDescent="0.3">
      <c r="A2690" s="174"/>
      <c r="B2690" s="174"/>
      <c r="C2690" s="174"/>
      <c r="D2690" s="174"/>
      <c r="E2690" s="174"/>
    </row>
    <row r="2691" spans="1:5" x14ac:dyDescent="0.3">
      <c r="A2691" s="174"/>
      <c r="B2691" s="174"/>
      <c r="C2691" s="174"/>
      <c r="D2691" s="174"/>
      <c r="E2691" s="174"/>
    </row>
    <row r="2692" spans="1:5" x14ac:dyDescent="0.3">
      <c r="A2692" s="174"/>
      <c r="B2692" s="174"/>
      <c r="C2692" s="174"/>
      <c r="D2692" s="174"/>
      <c r="E2692" s="174"/>
    </row>
    <row r="2693" spans="1:5" x14ac:dyDescent="0.3">
      <c r="A2693" s="174"/>
      <c r="B2693" s="174"/>
      <c r="C2693" s="174"/>
      <c r="D2693" s="174"/>
      <c r="E2693" s="174"/>
    </row>
    <row r="2694" spans="1:5" x14ac:dyDescent="0.3">
      <c r="A2694" s="174"/>
      <c r="B2694" s="174"/>
      <c r="C2694" s="174"/>
      <c r="D2694" s="174"/>
      <c r="E2694" s="174"/>
    </row>
    <row r="2695" spans="1:5" x14ac:dyDescent="0.3">
      <c r="A2695" s="174"/>
      <c r="B2695" s="174"/>
      <c r="C2695" s="174"/>
      <c r="D2695" s="174"/>
      <c r="E2695" s="174"/>
    </row>
    <row r="2696" spans="1:5" x14ac:dyDescent="0.3">
      <c r="A2696" s="174"/>
      <c r="B2696" s="174"/>
      <c r="C2696" s="174"/>
      <c r="D2696" s="174"/>
      <c r="E2696" s="174"/>
    </row>
    <row r="2697" spans="1:5" x14ac:dyDescent="0.3">
      <c r="A2697" s="174"/>
      <c r="B2697" s="174"/>
      <c r="C2697" s="174"/>
      <c r="D2697" s="174"/>
      <c r="E2697" s="174"/>
    </row>
    <row r="2698" spans="1:5" x14ac:dyDescent="0.3">
      <c r="A2698" s="174"/>
      <c r="B2698" s="174"/>
      <c r="C2698" s="174"/>
      <c r="D2698" s="174"/>
      <c r="E2698" s="174"/>
    </row>
    <row r="2699" spans="1:5" x14ac:dyDescent="0.3">
      <c r="A2699" s="174"/>
      <c r="B2699" s="174"/>
      <c r="C2699" s="174"/>
      <c r="D2699" s="174"/>
      <c r="E2699" s="174"/>
    </row>
    <row r="2700" spans="1:5" x14ac:dyDescent="0.3">
      <c r="A2700" s="174"/>
      <c r="B2700" s="174"/>
      <c r="C2700" s="174"/>
      <c r="D2700" s="174"/>
      <c r="E2700" s="174"/>
    </row>
    <row r="2701" spans="1:5" x14ac:dyDescent="0.3">
      <c r="A2701" s="174"/>
      <c r="B2701" s="174"/>
      <c r="C2701" s="174"/>
      <c r="D2701" s="174"/>
      <c r="E2701" s="174"/>
    </row>
    <row r="2702" spans="1:5" x14ac:dyDescent="0.3">
      <c r="A2702" s="174"/>
      <c r="B2702" s="174"/>
      <c r="C2702" s="174"/>
      <c r="D2702" s="174"/>
      <c r="E2702" s="174"/>
    </row>
    <row r="2703" spans="1:5" x14ac:dyDescent="0.3">
      <c r="A2703" s="174"/>
      <c r="B2703" s="174"/>
      <c r="C2703" s="174"/>
      <c r="D2703" s="174"/>
      <c r="E2703" s="174"/>
    </row>
    <row r="2704" spans="1:5" x14ac:dyDescent="0.3">
      <c r="A2704" s="174"/>
      <c r="B2704" s="174"/>
      <c r="C2704" s="174"/>
      <c r="D2704" s="174"/>
      <c r="E2704" s="174"/>
    </row>
    <row r="2705" spans="1:5" x14ac:dyDescent="0.3">
      <c r="A2705" s="174"/>
      <c r="B2705" s="174"/>
      <c r="C2705" s="174"/>
      <c r="D2705" s="174"/>
      <c r="E2705" s="174"/>
    </row>
    <row r="2706" spans="1:5" x14ac:dyDescent="0.3">
      <c r="A2706" s="174"/>
      <c r="B2706" s="174"/>
      <c r="C2706" s="174"/>
      <c r="D2706" s="174"/>
      <c r="E2706" s="174"/>
    </row>
    <row r="2707" spans="1:5" x14ac:dyDescent="0.3">
      <c r="A2707" s="174"/>
      <c r="B2707" s="174"/>
      <c r="C2707" s="174"/>
      <c r="D2707" s="174"/>
      <c r="E2707" s="174"/>
    </row>
    <row r="2708" spans="1:5" x14ac:dyDescent="0.3">
      <c r="A2708" s="174"/>
      <c r="B2708" s="174"/>
      <c r="C2708" s="174"/>
      <c r="D2708" s="174"/>
      <c r="E2708" s="174"/>
    </row>
    <row r="2709" spans="1:5" x14ac:dyDescent="0.3">
      <c r="A2709" s="174"/>
      <c r="B2709" s="174"/>
      <c r="C2709" s="174"/>
      <c r="D2709" s="174"/>
      <c r="E2709" s="174"/>
    </row>
    <row r="2710" spans="1:5" x14ac:dyDescent="0.3">
      <c r="A2710" s="174"/>
      <c r="B2710" s="174"/>
      <c r="C2710" s="174"/>
      <c r="D2710" s="174"/>
      <c r="E2710" s="174"/>
    </row>
    <row r="2711" spans="1:5" x14ac:dyDescent="0.3">
      <c r="A2711" s="174"/>
      <c r="B2711" s="174"/>
      <c r="C2711" s="174"/>
      <c r="D2711" s="174"/>
      <c r="E2711" s="174"/>
    </row>
    <row r="2712" spans="1:5" x14ac:dyDescent="0.3">
      <c r="A2712" s="174"/>
      <c r="B2712" s="174"/>
      <c r="C2712" s="174"/>
      <c r="D2712" s="174"/>
      <c r="E2712" s="174"/>
    </row>
    <row r="2713" spans="1:5" x14ac:dyDescent="0.3">
      <c r="A2713" s="174"/>
      <c r="B2713" s="174"/>
      <c r="C2713" s="174"/>
      <c r="D2713" s="174"/>
      <c r="E2713" s="174"/>
    </row>
    <row r="2714" spans="1:5" x14ac:dyDescent="0.3">
      <c r="A2714" s="174"/>
      <c r="B2714" s="174"/>
      <c r="C2714" s="174"/>
      <c r="D2714" s="174"/>
      <c r="E2714" s="174"/>
    </row>
    <row r="2715" spans="1:5" x14ac:dyDescent="0.3">
      <c r="A2715" s="174"/>
      <c r="B2715" s="174"/>
      <c r="C2715" s="174"/>
      <c r="D2715" s="174"/>
      <c r="E2715" s="174"/>
    </row>
    <row r="2716" spans="1:5" x14ac:dyDescent="0.3">
      <c r="A2716" s="174"/>
      <c r="B2716" s="174"/>
      <c r="C2716" s="174"/>
      <c r="D2716" s="174"/>
      <c r="E2716" s="174"/>
    </row>
    <row r="2717" spans="1:5" x14ac:dyDescent="0.3">
      <c r="A2717" s="174"/>
      <c r="B2717" s="174"/>
      <c r="C2717" s="174"/>
      <c r="D2717" s="174"/>
      <c r="E2717" s="174"/>
    </row>
    <row r="2718" spans="1:5" x14ac:dyDescent="0.3">
      <c r="A2718" s="174"/>
      <c r="B2718" s="174"/>
      <c r="C2718" s="174"/>
      <c r="D2718" s="174"/>
      <c r="E2718" s="174"/>
    </row>
    <row r="2719" spans="1:5" x14ac:dyDescent="0.3">
      <c r="A2719" s="174"/>
      <c r="B2719" s="174"/>
      <c r="C2719" s="174"/>
      <c r="D2719" s="174"/>
      <c r="E2719" s="174"/>
    </row>
    <row r="2720" spans="1:5" x14ac:dyDescent="0.3">
      <c r="A2720" s="174"/>
      <c r="B2720" s="174"/>
      <c r="C2720" s="174"/>
      <c r="D2720" s="174"/>
      <c r="E2720" s="174"/>
    </row>
    <row r="2721" spans="1:5" x14ac:dyDescent="0.3">
      <c r="A2721" s="174"/>
      <c r="B2721" s="174"/>
      <c r="C2721" s="174"/>
      <c r="D2721" s="174"/>
      <c r="E2721" s="174"/>
    </row>
    <row r="2722" spans="1:5" x14ac:dyDescent="0.3">
      <c r="A2722" s="174"/>
      <c r="B2722" s="174"/>
      <c r="C2722" s="174"/>
      <c r="D2722" s="174"/>
      <c r="E2722" s="174"/>
    </row>
    <row r="2723" spans="1:5" x14ac:dyDescent="0.3">
      <c r="A2723" s="174"/>
      <c r="B2723" s="174"/>
      <c r="C2723" s="174"/>
      <c r="D2723" s="174"/>
      <c r="E2723" s="174"/>
    </row>
    <row r="2724" spans="1:5" x14ac:dyDescent="0.3">
      <c r="A2724" s="174"/>
      <c r="B2724" s="174"/>
      <c r="C2724" s="174"/>
      <c r="D2724" s="174"/>
      <c r="E2724" s="174"/>
    </row>
    <row r="2725" spans="1:5" x14ac:dyDescent="0.3">
      <c r="A2725" s="174"/>
      <c r="B2725" s="174"/>
      <c r="C2725" s="174"/>
      <c r="D2725" s="174"/>
      <c r="E2725" s="174"/>
    </row>
    <row r="2726" spans="1:5" x14ac:dyDescent="0.3">
      <c r="A2726" s="174"/>
      <c r="B2726" s="174"/>
      <c r="C2726" s="174"/>
      <c r="D2726" s="174"/>
      <c r="E2726" s="174"/>
    </row>
    <row r="2727" spans="1:5" x14ac:dyDescent="0.3">
      <c r="A2727" s="174"/>
      <c r="B2727" s="174"/>
      <c r="C2727" s="174"/>
      <c r="D2727" s="174"/>
      <c r="E2727" s="174"/>
    </row>
    <row r="2728" spans="1:5" x14ac:dyDescent="0.3">
      <c r="A2728" s="174"/>
      <c r="B2728" s="174"/>
      <c r="C2728" s="174"/>
      <c r="D2728" s="174"/>
      <c r="E2728" s="174"/>
    </row>
    <row r="2729" spans="1:5" x14ac:dyDescent="0.3">
      <c r="A2729" s="174"/>
      <c r="B2729" s="174"/>
      <c r="C2729" s="174"/>
      <c r="D2729" s="174"/>
      <c r="E2729" s="174"/>
    </row>
    <row r="2730" spans="1:5" x14ac:dyDescent="0.3">
      <c r="A2730" s="174"/>
      <c r="B2730" s="174"/>
      <c r="C2730" s="174"/>
      <c r="D2730" s="174"/>
      <c r="E2730" s="174"/>
    </row>
    <row r="2731" spans="1:5" x14ac:dyDescent="0.3">
      <c r="A2731" s="174"/>
      <c r="B2731" s="174"/>
      <c r="C2731" s="174"/>
      <c r="D2731" s="174"/>
      <c r="E2731" s="174"/>
    </row>
    <row r="2732" spans="1:5" x14ac:dyDescent="0.3">
      <c r="A2732" s="174"/>
      <c r="B2732" s="174"/>
      <c r="C2732" s="174"/>
      <c r="D2732" s="174"/>
      <c r="E2732" s="174"/>
    </row>
    <row r="2733" spans="1:5" x14ac:dyDescent="0.3">
      <c r="A2733" s="174"/>
      <c r="B2733" s="174"/>
      <c r="C2733" s="174"/>
      <c r="D2733" s="174"/>
      <c r="E2733" s="174"/>
    </row>
    <row r="2734" spans="1:5" x14ac:dyDescent="0.3">
      <c r="A2734" s="174"/>
      <c r="B2734" s="174"/>
      <c r="C2734" s="174"/>
      <c r="D2734" s="174"/>
      <c r="E2734" s="174"/>
    </row>
    <row r="2735" spans="1:5" x14ac:dyDescent="0.3">
      <c r="A2735" s="174"/>
      <c r="B2735" s="174"/>
      <c r="C2735" s="174"/>
      <c r="D2735" s="174"/>
      <c r="E2735" s="174"/>
    </row>
    <row r="2736" spans="1:5" x14ac:dyDescent="0.3">
      <c r="A2736" s="174"/>
      <c r="B2736" s="174"/>
      <c r="C2736" s="174"/>
      <c r="D2736" s="174"/>
      <c r="E2736" s="174"/>
    </row>
    <row r="2737" spans="1:5" x14ac:dyDescent="0.3">
      <c r="A2737" s="174"/>
      <c r="B2737" s="174"/>
      <c r="C2737" s="174"/>
      <c r="D2737" s="174"/>
      <c r="E2737" s="174"/>
    </row>
    <row r="2738" spans="1:5" x14ac:dyDescent="0.3">
      <c r="A2738" s="174"/>
      <c r="B2738" s="174"/>
      <c r="C2738" s="174"/>
      <c r="D2738" s="174"/>
      <c r="E2738" s="174"/>
    </row>
    <row r="2739" spans="1:5" x14ac:dyDescent="0.3">
      <c r="A2739" s="174"/>
      <c r="B2739" s="174"/>
      <c r="C2739" s="174"/>
      <c r="D2739" s="174"/>
      <c r="E2739" s="174"/>
    </row>
    <row r="2740" spans="1:5" x14ac:dyDescent="0.3">
      <c r="A2740" s="174"/>
      <c r="B2740" s="174"/>
      <c r="C2740" s="174"/>
      <c r="D2740" s="174"/>
      <c r="E2740" s="174"/>
    </row>
    <row r="2741" spans="1:5" x14ac:dyDescent="0.3">
      <c r="A2741" s="174"/>
      <c r="B2741" s="174"/>
      <c r="C2741" s="174"/>
      <c r="D2741" s="174"/>
      <c r="E2741" s="174"/>
    </row>
    <row r="2742" spans="1:5" x14ac:dyDescent="0.3">
      <c r="A2742" s="174"/>
      <c r="B2742" s="174"/>
      <c r="C2742" s="174"/>
      <c r="D2742" s="174"/>
      <c r="E2742" s="174"/>
    </row>
    <row r="2743" spans="1:5" x14ac:dyDescent="0.3">
      <c r="A2743" s="174"/>
      <c r="B2743" s="174"/>
      <c r="C2743" s="174"/>
      <c r="D2743" s="174"/>
      <c r="E2743" s="174"/>
    </row>
    <row r="2744" spans="1:5" x14ac:dyDescent="0.3">
      <c r="A2744" s="174"/>
      <c r="B2744" s="174"/>
      <c r="C2744" s="174"/>
      <c r="D2744" s="174"/>
      <c r="E2744" s="174"/>
    </row>
    <row r="2745" spans="1:5" x14ac:dyDescent="0.3">
      <c r="A2745" s="174"/>
      <c r="B2745" s="174"/>
      <c r="C2745" s="174"/>
      <c r="D2745" s="174"/>
      <c r="E2745" s="174"/>
    </row>
    <row r="2746" spans="1:5" x14ac:dyDescent="0.3">
      <c r="A2746" s="174"/>
      <c r="B2746" s="174"/>
      <c r="C2746" s="174"/>
      <c r="D2746" s="174"/>
      <c r="E2746" s="174"/>
    </row>
    <row r="2747" spans="1:5" x14ac:dyDescent="0.3">
      <c r="A2747" s="174"/>
      <c r="B2747" s="174"/>
      <c r="C2747" s="174"/>
      <c r="D2747" s="174"/>
      <c r="E2747" s="174"/>
    </row>
    <row r="2748" spans="1:5" x14ac:dyDescent="0.3">
      <c r="A2748" s="174"/>
      <c r="B2748" s="174"/>
      <c r="C2748" s="174"/>
      <c r="D2748" s="174"/>
      <c r="E2748" s="174"/>
    </row>
    <row r="2749" spans="1:5" x14ac:dyDescent="0.3">
      <c r="A2749" s="174"/>
      <c r="B2749" s="174"/>
      <c r="C2749" s="174"/>
      <c r="D2749" s="174"/>
      <c r="E2749" s="174"/>
    </row>
    <row r="2750" spans="1:5" x14ac:dyDescent="0.3">
      <c r="A2750" s="174"/>
      <c r="B2750" s="174"/>
      <c r="C2750" s="174"/>
      <c r="D2750" s="174"/>
      <c r="E2750" s="174"/>
    </row>
    <row r="2751" spans="1:5" x14ac:dyDescent="0.3">
      <c r="A2751" s="174"/>
      <c r="B2751" s="174"/>
      <c r="C2751" s="174"/>
      <c r="D2751" s="174"/>
      <c r="E2751" s="174"/>
    </row>
    <row r="2752" spans="1:5" x14ac:dyDescent="0.3">
      <c r="A2752" s="174"/>
      <c r="B2752" s="174"/>
      <c r="C2752" s="174"/>
      <c r="D2752" s="174"/>
      <c r="E2752" s="174"/>
    </row>
    <row r="2753" spans="1:5" x14ac:dyDescent="0.3">
      <c r="A2753" s="174"/>
      <c r="B2753" s="174"/>
      <c r="C2753" s="174"/>
      <c r="D2753" s="174"/>
      <c r="E2753" s="174"/>
    </row>
    <row r="2754" spans="1:5" x14ac:dyDescent="0.3">
      <c r="A2754" s="174"/>
      <c r="B2754" s="174"/>
      <c r="C2754" s="174"/>
      <c r="D2754" s="174"/>
      <c r="E2754" s="174"/>
    </row>
    <row r="2755" spans="1:5" x14ac:dyDescent="0.3">
      <c r="A2755" s="174"/>
      <c r="B2755" s="174"/>
      <c r="C2755" s="174"/>
      <c r="D2755" s="174"/>
      <c r="E2755" s="174"/>
    </row>
    <row r="2756" spans="1:5" x14ac:dyDescent="0.3">
      <c r="A2756" s="174"/>
      <c r="B2756" s="174"/>
      <c r="C2756" s="174"/>
      <c r="D2756" s="174"/>
      <c r="E2756" s="174"/>
    </row>
    <row r="2757" spans="1:5" x14ac:dyDescent="0.3">
      <c r="A2757" s="174"/>
      <c r="B2757" s="174"/>
      <c r="C2757" s="174"/>
      <c r="D2757" s="174"/>
      <c r="E2757" s="174"/>
    </row>
    <row r="2758" spans="1:5" x14ac:dyDescent="0.3">
      <c r="A2758" s="174"/>
      <c r="B2758" s="174"/>
      <c r="C2758" s="174"/>
      <c r="D2758" s="174"/>
      <c r="E2758" s="174"/>
    </row>
    <row r="2759" spans="1:5" x14ac:dyDescent="0.3">
      <c r="A2759" s="174"/>
      <c r="B2759" s="174"/>
      <c r="C2759" s="174"/>
      <c r="D2759" s="174"/>
      <c r="E2759" s="174"/>
    </row>
    <row r="2760" spans="1:5" x14ac:dyDescent="0.3">
      <c r="A2760" s="174"/>
      <c r="B2760" s="174"/>
      <c r="C2760" s="174"/>
      <c r="D2760" s="174"/>
      <c r="E2760" s="174"/>
    </row>
    <row r="2761" spans="1:5" x14ac:dyDescent="0.3">
      <c r="A2761" s="174"/>
      <c r="B2761" s="174"/>
      <c r="C2761" s="174"/>
      <c r="D2761" s="174"/>
      <c r="E2761" s="174"/>
    </row>
    <row r="2762" spans="1:5" x14ac:dyDescent="0.3">
      <c r="A2762" s="174"/>
      <c r="B2762" s="174"/>
      <c r="C2762" s="174"/>
      <c r="D2762" s="174"/>
      <c r="E2762" s="174"/>
    </row>
    <row r="2763" spans="1:5" x14ac:dyDescent="0.3">
      <c r="A2763" s="174"/>
      <c r="B2763" s="174"/>
      <c r="C2763" s="174"/>
      <c r="D2763" s="174"/>
      <c r="E2763" s="174"/>
    </row>
    <row r="2764" spans="1:5" x14ac:dyDescent="0.3">
      <c r="A2764" s="174"/>
      <c r="B2764" s="174"/>
      <c r="C2764" s="174"/>
      <c r="D2764" s="174"/>
      <c r="E2764" s="174"/>
    </row>
    <row r="2765" spans="1:5" x14ac:dyDescent="0.3">
      <c r="A2765" s="174"/>
      <c r="B2765" s="174"/>
      <c r="C2765" s="174"/>
      <c r="D2765" s="174"/>
      <c r="E2765" s="174"/>
    </row>
    <row r="2766" spans="1:5" x14ac:dyDescent="0.3">
      <c r="A2766" s="174"/>
      <c r="B2766" s="174"/>
      <c r="C2766" s="174"/>
      <c r="D2766" s="174"/>
      <c r="E2766" s="174"/>
    </row>
    <row r="2767" spans="1:5" x14ac:dyDescent="0.3">
      <c r="A2767" s="174"/>
      <c r="B2767" s="174"/>
      <c r="C2767" s="174"/>
      <c r="D2767" s="174"/>
      <c r="E2767" s="174"/>
    </row>
    <row r="2768" spans="1:5" x14ac:dyDescent="0.3">
      <c r="A2768" s="174"/>
      <c r="B2768" s="174"/>
      <c r="C2768" s="174"/>
      <c r="D2768" s="174"/>
      <c r="E2768" s="174"/>
    </row>
    <row r="2769" spans="1:5" x14ac:dyDescent="0.3">
      <c r="A2769" s="174"/>
      <c r="B2769" s="174"/>
      <c r="C2769" s="174"/>
      <c r="D2769" s="174"/>
      <c r="E2769" s="174"/>
    </row>
    <row r="2770" spans="1:5" x14ac:dyDescent="0.3">
      <c r="A2770" s="174"/>
      <c r="B2770" s="174"/>
      <c r="C2770" s="174"/>
      <c r="D2770" s="174"/>
      <c r="E2770" s="174"/>
    </row>
    <row r="2771" spans="1:5" x14ac:dyDescent="0.3">
      <c r="A2771" s="174"/>
      <c r="B2771" s="174"/>
      <c r="C2771" s="174"/>
      <c r="D2771" s="174"/>
      <c r="E2771" s="174"/>
    </row>
    <row r="2772" spans="1:5" x14ac:dyDescent="0.3">
      <c r="A2772" s="174"/>
      <c r="B2772" s="174"/>
      <c r="C2772" s="174"/>
      <c r="D2772" s="174"/>
      <c r="E2772" s="174"/>
    </row>
    <row r="2773" spans="1:5" x14ac:dyDescent="0.3">
      <c r="A2773" s="174"/>
      <c r="B2773" s="174"/>
      <c r="C2773" s="174"/>
      <c r="D2773" s="174"/>
      <c r="E2773" s="174"/>
    </row>
    <row r="2774" spans="1:5" x14ac:dyDescent="0.3">
      <c r="A2774" s="174"/>
      <c r="B2774" s="174"/>
      <c r="C2774" s="174"/>
      <c r="D2774" s="174"/>
      <c r="E2774" s="174"/>
    </row>
    <row r="2775" spans="1:5" x14ac:dyDescent="0.3">
      <c r="A2775" s="174"/>
      <c r="B2775" s="174"/>
      <c r="C2775" s="174"/>
      <c r="D2775" s="174"/>
      <c r="E2775" s="174"/>
    </row>
    <row r="2776" spans="1:5" x14ac:dyDescent="0.3">
      <c r="A2776" s="174"/>
      <c r="B2776" s="174"/>
      <c r="C2776" s="174"/>
      <c r="D2776" s="174"/>
      <c r="E2776" s="174"/>
    </row>
    <row r="2777" spans="1:5" x14ac:dyDescent="0.3">
      <c r="A2777" s="174"/>
      <c r="B2777" s="174"/>
      <c r="C2777" s="174"/>
      <c r="D2777" s="174"/>
      <c r="E2777" s="174"/>
    </row>
    <row r="2778" spans="1:5" x14ac:dyDescent="0.3">
      <c r="A2778" s="174"/>
      <c r="B2778" s="174"/>
      <c r="C2778" s="174"/>
      <c r="D2778" s="174"/>
      <c r="E2778" s="174"/>
    </row>
    <row r="2779" spans="1:5" x14ac:dyDescent="0.3">
      <c r="A2779" s="174"/>
      <c r="B2779" s="174"/>
      <c r="C2779" s="174"/>
      <c r="D2779" s="174"/>
      <c r="E2779" s="174"/>
    </row>
    <row r="2780" spans="1:5" x14ac:dyDescent="0.3">
      <c r="A2780" s="174"/>
      <c r="B2780" s="174"/>
      <c r="C2780" s="174"/>
      <c r="D2780" s="174"/>
      <c r="E2780" s="174"/>
    </row>
    <row r="2781" spans="1:5" x14ac:dyDescent="0.3">
      <c r="A2781" s="174"/>
      <c r="B2781" s="174"/>
      <c r="C2781" s="174"/>
      <c r="D2781" s="174"/>
      <c r="E2781" s="174"/>
    </row>
    <row r="2782" spans="1:5" x14ac:dyDescent="0.3">
      <c r="A2782" s="174"/>
      <c r="B2782" s="174"/>
      <c r="C2782" s="174"/>
      <c r="D2782" s="174"/>
      <c r="E2782" s="174"/>
    </row>
    <row r="2783" spans="1:5" x14ac:dyDescent="0.3">
      <c r="A2783" s="174"/>
      <c r="B2783" s="174"/>
      <c r="C2783" s="174"/>
      <c r="D2783" s="174"/>
      <c r="E2783" s="174"/>
    </row>
    <row r="2784" spans="1:5" x14ac:dyDescent="0.3">
      <c r="A2784" s="174"/>
      <c r="B2784" s="174"/>
      <c r="C2784" s="174"/>
      <c r="D2784" s="174"/>
      <c r="E2784" s="174"/>
    </row>
    <row r="2785" spans="1:5" x14ac:dyDescent="0.3">
      <c r="A2785" s="174"/>
      <c r="B2785" s="174"/>
      <c r="C2785" s="174"/>
      <c r="D2785" s="174"/>
      <c r="E2785" s="174"/>
    </row>
    <row r="2786" spans="1:5" x14ac:dyDescent="0.3">
      <c r="A2786" s="174"/>
      <c r="B2786" s="174"/>
      <c r="C2786" s="174"/>
      <c r="D2786" s="174"/>
      <c r="E2786" s="174"/>
    </row>
    <row r="2787" spans="1:5" x14ac:dyDescent="0.3">
      <c r="A2787" s="174"/>
      <c r="B2787" s="174"/>
      <c r="C2787" s="174"/>
      <c r="D2787" s="174"/>
      <c r="E2787" s="174"/>
    </row>
    <row r="2788" spans="1:5" x14ac:dyDescent="0.3">
      <c r="A2788" s="174"/>
      <c r="B2788" s="174"/>
      <c r="C2788" s="174"/>
      <c r="D2788" s="174"/>
      <c r="E2788" s="174"/>
    </row>
    <row r="2789" spans="1:5" x14ac:dyDescent="0.3">
      <c r="A2789" s="174"/>
      <c r="B2789" s="174"/>
      <c r="C2789" s="174"/>
      <c r="D2789" s="174"/>
      <c r="E2789" s="174"/>
    </row>
    <row r="2790" spans="1:5" x14ac:dyDescent="0.3">
      <c r="A2790" s="174"/>
      <c r="B2790" s="174"/>
      <c r="C2790" s="174"/>
      <c r="D2790" s="174"/>
      <c r="E2790" s="174"/>
    </row>
    <row r="2791" spans="1:5" x14ac:dyDescent="0.3">
      <c r="A2791" s="174"/>
      <c r="B2791" s="174"/>
      <c r="C2791" s="174"/>
      <c r="D2791" s="174"/>
      <c r="E2791" s="174"/>
    </row>
    <row r="2792" spans="1:5" x14ac:dyDescent="0.3">
      <c r="A2792" s="174"/>
      <c r="B2792" s="174"/>
      <c r="C2792" s="174"/>
      <c r="D2792" s="174"/>
      <c r="E2792" s="174"/>
    </row>
    <row r="2793" spans="1:5" x14ac:dyDescent="0.3">
      <c r="A2793" s="174"/>
      <c r="B2793" s="174"/>
      <c r="C2793" s="174"/>
      <c r="D2793" s="174"/>
      <c r="E2793" s="174"/>
    </row>
    <row r="2794" spans="1:5" x14ac:dyDescent="0.3">
      <c r="A2794" s="174"/>
      <c r="B2794" s="174"/>
      <c r="C2794" s="174"/>
      <c r="D2794" s="174"/>
      <c r="E2794" s="174"/>
    </row>
    <row r="2795" spans="1:5" x14ac:dyDescent="0.3">
      <c r="A2795" s="174"/>
      <c r="B2795" s="174"/>
      <c r="C2795" s="174"/>
      <c r="D2795" s="174"/>
      <c r="E2795" s="174"/>
    </row>
    <row r="2796" spans="1:5" x14ac:dyDescent="0.3">
      <c r="A2796" s="174"/>
      <c r="B2796" s="174"/>
      <c r="C2796" s="174"/>
      <c r="D2796" s="174"/>
      <c r="E2796" s="174"/>
    </row>
    <row r="2797" spans="1:5" x14ac:dyDescent="0.3">
      <c r="A2797" s="174"/>
      <c r="B2797" s="174"/>
      <c r="C2797" s="174"/>
      <c r="D2797" s="174"/>
      <c r="E2797" s="174"/>
    </row>
    <row r="2798" spans="1:5" x14ac:dyDescent="0.3">
      <c r="A2798" s="174"/>
      <c r="B2798" s="174"/>
      <c r="C2798" s="174"/>
      <c r="D2798" s="174"/>
      <c r="E2798" s="174"/>
    </row>
    <row r="2799" spans="1:5" x14ac:dyDescent="0.3">
      <c r="A2799" s="174"/>
      <c r="B2799" s="174"/>
      <c r="C2799" s="174"/>
      <c r="D2799" s="174"/>
      <c r="E2799" s="174"/>
    </row>
    <row r="2800" spans="1:5" x14ac:dyDescent="0.3">
      <c r="A2800" s="174"/>
      <c r="B2800" s="174"/>
      <c r="C2800" s="174"/>
      <c r="D2800" s="174"/>
      <c r="E2800" s="174"/>
    </row>
    <row r="2801" spans="1:5" x14ac:dyDescent="0.3">
      <c r="A2801" s="174"/>
      <c r="B2801" s="174"/>
      <c r="C2801" s="174"/>
      <c r="D2801" s="174"/>
      <c r="E2801" s="174"/>
    </row>
    <row r="2802" spans="1:5" x14ac:dyDescent="0.3">
      <c r="A2802" s="174"/>
      <c r="B2802" s="174"/>
      <c r="C2802" s="174"/>
      <c r="D2802" s="174"/>
      <c r="E2802" s="174"/>
    </row>
    <row r="2803" spans="1:5" x14ac:dyDescent="0.3">
      <c r="A2803" s="174"/>
      <c r="B2803" s="174"/>
      <c r="C2803" s="174"/>
      <c r="D2803" s="174"/>
      <c r="E2803" s="174"/>
    </row>
    <row r="2804" spans="1:5" x14ac:dyDescent="0.3">
      <c r="A2804" s="174"/>
      <c r="B2804" s="174"/>
      <c r="C2804" s="174"/>
      <c r="D2804" s="174"/>
      <c r="E2804" s="174"/>
    </row>
    <row r="2805" spans="1:5" x14ac:dyDescent="0.3">
      <c r="A2805" s="174"/>
      <c r="B2805" s="174"/>
      <c r="C2805" s="174"/>
      <c r="D2805" s="174"/>
      <c r="E2805" s="174"/>
    </row>
    <row r="2806" spans="1:5" x14ac:dyDescent="0.3">
      <c r="A2806" s="174"/>
      <c r="B2806" s="174"/>
      <c r="C2806" s="174"/>
      <c r="D2806" s="174"/>
      <c r="E2806" s="174"/>
    </row>
    <row r="2807" spans="1:5" x14ac:dyDescent="0.3">
      <c r="A2807" s="174"/>
      <c r="B2807" s="174"/>
      <c r="C2807" s="174"/>
      <c r="D2807" s="174"/>
      <c r="E2807" s="174"/>
    </row>
    <row r="2808" spans="1:5" x14ac:dyDescent="0.3">
      <c r="A2808" s="174"/>
      <c r="B2808" s="174"/>
      <c r="C2808" s="174"/>
      <c r="D2808" s="174"/>
      <c r="E2808" s="174"/>
    </row>
    <row r="2809" spans="1:5" x14ac:dyDescent="0.3">
      <c r="A2809" s="174"/>
      <c r="B2809" s="174"/>
      <c r="C2809" s="174"/>
      <c r="D2809" s="174"/>
      <c r="E2809" s="174"/>
    </row>
    <row r="2810" spans="1:5" x14ac:dyDescent="0.3">
      <c r="A2810" s="174"/>
      <c r="B2810" s="174"/>
      <c r="C2810" s="174"/>
      <c r="D2810" s="174"/>
      <c r="E2810" s="174"/>
    </row>
    <row r="2811" spans="1:5" x14ac:dyDescent="0.3">
      <c r="A2811" s="174"/>
      <c r="B2811" s="174"/>
      <c r="C2811" s="174"/>
      <c r="D2811" s="174"/>
      <c r="E2811" s="174"/>
    </row>
    <row r="2812" spans="1:5" x14ac:dyDescent="0.3">
      <c r="A2812" s="174"/>
      <c r="B2812" s="174"/>
      <c r="C2812" s="174"/>
      <c r="D2812" s="174"/>
      <c r="E2812" s="174"/>
    </row>
    <row r="2813" spans="1:5" x14ac:dyDescent="0.3">
      <c r="A2813" s="174"/>
      <c r="B2813" s="174"/>
      <c r="C2813" s="174"/>
      <c r="D2813" s="174"/>
      <c r="E2813" s="174"/>
    </row>
    <row r="2814" spans="1:5" x14ac:dyDescent="0.3">
      <c r="A2814" s="174"/>
      <c r="B2814" s="174"/>
      <c r="C2814" s="174"/>
      <c r="D2814" s="174"/>
      <c r="E2814" s="174"/>
    </row>
    <row r="2815" spans="1:5" x14ac:dyDescent="0.3">
      <c r="A2815" s="174"/>
      <c r="B2815" s="174"/>
      <c r="C2815" s="174"/>
      <c r="D2815" s="174"/>
      <c r="E2815" s="174"/>
    </row>
    <row r="2816" spans="1:5" x14ac:dyDescent="0.3">
      <c r="A2816" s="174"/>
      <c r="B2816" s="174"/>
      <c r="C2816" s="174"/>
      <c r="D2816" s="174"/>
      <c r="E2816" s="174"/>
    </row>
    <row r="2817" spans="1:5" x14ac:dyDescent="0.3">
      <c r="A2817" s="174"/>
      <c r="B2817" s="174"/>
      <c r="C2817" s="174"/>
      <c r="D2817" s="174"/>
      <c r="E2817" s="174"/>
    </row>
    <row r="2818" spans="1:5" x14ac:dyDescent="0.3">
      <c r="A2818" s="174"/>
      <c r="B2818" s="174"/>
      <c r="C2818" s="174"/>
      <c r="D2818" s="174"/>
      <c r="E2818" s="174"/>
    </row>
    <row r="2819" spans="1:5" x14ac:dyDescent="0.3">
      <c r="A2819" s="174"/>
      <c r="B2819" s="174"/>
      <c r="C2819" s="174"/>
      <c r="D2819" s="174"/>
      <c r="E2819" s="174"/>
    </row>
    <row r="2820" spans="1:5" x14ac:dyDescent="0.3">
      <c r="A2820" s="174"/>
      <c r="B2820" s="174"/>
      <c r="C2820" s="174"/>
      <c r="D2820" s="174"/>
      <c r="E2820" s="174"/>
    </row>
    <row r="2821" spans="1:5" x14ac:dyDescent="0.3">
      <c r="A2821" s="174"/>
      <c r="B2821" s="174"/>
      <c r="C2821" s="174"/>
      <c r="D2821" s="174"/>
      <c r="E2821" s="174"/>
    </row>
    <row r="2822" spans="1:5" x14ac:dyDescent="0.3">
      <c r="A2822" s="174"/>
      <c r="B2822" s="174"/>
      <c r="C2822" s="174"/>
      <c r="D2822" s="174"/>
      <c r="E2822" s="174"/>
    </row>
    <row r="2823" spans="1:5" x14ac:dyDescent="0.3">
      <c r="A2823" s="174"/>
      <c r="B2823" s="174"/>
      <c r="C2823" s="174"/>
      <c r="D2823" s="174"/>
      <c r="E2823" s="174"/>
    </row>
    <row r="2824" spans="1:5" x14ac:dyDescent="0.3">
      <c r="A2824" s="174"/>
      <c r="B2824" s="174"/>
      <c r="C2824" s="174"/>
      <c r="D2824" s="174"/>
      <c r="E2824" s="174"/>
    </row>
    <row r="2825" spans="1:5" x14ac:dyDescent="0.3">
      <c r="A2825" s="174"/>
      <c r="B2825" s="174"/>
      <c r="C2825" s="174"/>
      <c r="D2825" s="174"/>
      <c r="E2825" s="174"/>
    </row>
    <row r="2826" spans="1:5" x14ac:dyDescent="0.3">
      <c r="A2826" s="174"/>
      <c r="B2826" s="174"/>
      <c r="C2826" s="174"/>
      <c r="D2826" s="174"/>
      <c r="E2826" s="174"/>
    </row>
    <row r="2827" spans="1:5" x14ac:dyDescent="0.3">
      <c r="A2827" s="174"/>
      <c r="B2827" s="174"/>
      <c r="C2827" s="174"/>
      <c r="D2827" s="174"/>
      <c r="E2827" s="174"/>
    </row>
    <row r="2828" spans="1:5" x14ac:dyDescent="0.3">
      <c r="A2828" s="174"/>
      <c r="B2828" s="174"/>
      <c r="C2828" s="174"/>
      <c r="D2828" s="174"/>
      <c r="E2828" s="174"/>
    </row>
    <row r="2829" spans="1:5" x14ac:dyDescent="0.3">
      <c r="A2829" s="174"/>
      <c r="B2829" s="174"/>
      <c r="C2829" s="174"/>
      <c r="D2829" s="174"/>
      <c r="E2829" s="174"/>
    </row>
    <row r="2830" spans="1:5" x14ac:dyDescent="0.3">
      <c r="A2830" s="174"/>
      <c r="B2830" s="174"/>
      <c r="C2830" s="174"/>
      <c r="D2830" s="174"/>
      <c r="E2830" s="174"/>
    </row>
    <row r="2831" spans="1:5" x14ac:dyDescent="0.3">
      <c r="A2831" s="174"/>
      <c r="B2831" s="174"/>
      <c r="C2831" s="174"/>
      <c r="D2831" s="174"/>
      <c r="E2831" s="174"/>
    </row>
    <row r="2832" spans="1:5" x14ac:dyDescent="0.3">
      <c r="A2832" s="174"/>
      <c r="B2832" s="174"/>
      <c r="C2832" s="174"/>
      <c r="D2832" s="174"/>
      <c r="E2832" s="174"/>
    </row>
    <row r="2833" spans="1:5" x14ac:dyDescent="0.3">
      <c r="A2833" s="174"/>
      <c r="B2833" s="174"/>
      <c r="C2833" s="174"/>
      <c r="D2833" s="174"/>
      <c r="E2833" s="174"/>
    </row>
    <row r="2834" spans="1:5" x14ac:dyDescent="0.3">
      <c r="A2834" s="174"/>
      <c r="B2834" s="174"/>
      <c r="C2834" s="174"/>
      <c r="D2834" s="174"/>
      <c r="E2834" s="174"/>
    </row>
    <row r="2835" spans="1:5" x14ac:dyDescent="0.3">
      <c r="A2835" s="174"/>
      <c r="B2835" s="174"/>
      <c r="C2835" s="174"/>
      <c r="D2835" s="174"/>
      <c r="E2835" s="174"/>
    </row>
    <row r="2836" spans="1:5" x14ac:dyDescent="0.3">
      <c r="A2836" s="174"/>
      <c r="B2836" s="174"/>
      <c r="C2836" s="174"/>
      <c r="D2836" s="174"/>
      <c r="E2836" s="174"/>
    </row>
    <row r="2837" spans="1:5" x14ac:dyDescent="0.3">
      <c r="A2837" s="174"/>
      <c r="B2837" s="174"/>
      <c r="C2837" s="174"/>
      <c r="D2837" s="174"/>
      <c r="E2837" s="174"/>
    </row>
    <row r="2838" spans="1:5" x14ac:dyDescent="0.3">
      <c r="A2838" s="174"/>
      <c r="B2838" s="174"/>
      <c r="C2838" s="174"/>
      <c r="D2838" s="174"/>
      <c r="E2838" s="174"/>
    </row>
    <row r="2839" spans="1:5" x14ac:dyDescent="0.3">
      <c r="A2839" s="174"/>
      <c r="B2839" s="174"/>
      <c r="C2839" s="174"/>
      <c r="D2839" s="174"/>
      <c r="E2839" s="174"/>
    </row>
    <row r="2840" spans="1:5" x14ac:dyDescent="0.3">
      <c r="A2840" s="174"/>
      <c r="B2840" s="174"/>
      <c r="C2840" s="174"/>
      <c r="D2840" s="174"/>
      <c r="E2840" s="174"/>
    </row>
    <row r="2841" spans="1:5" x14ac:dyDescent="0.3">
      <c r="A2841" s="174"/>
      <c r="B2841" s="174"/>
      <c r="C2841" s="174"/>
      <c r="D2841" s="174"/>
      <c r="E2841" s="174"/>
    </row>
    <row r="4497" spans="1:5" x14ac:dyDescent="0.3">
      <c r="A4497" s="18"/>
      <c r="B4497" s="18"/>
      <c r="C4497" s="18"/>
      <c r="D4497" s="18"/>
      <c r="E4497" s="18"/>
    </row>
    <row r="4498" spans="1:5" x14ac:dyDescent="0.3">
      <c r="A4498" s="18"/>
      <c r="B4498" s="18"/>
      <c r="C4498" s="18"/>
      <c r="D4498" s="18"/>
      <c r="E4498" s="18"/>
    </row>
    <row r="4499" spans="1:5" x14ac:dyDescent="0.3">
      <c r="A4499" s="18"/>
      <c r="B4499" s="18"/>
      <c r="C4499" s="18"/>
      <c r="D4499" s="18"/>
      <c r="E4499" s="18"/>
    </row>
    <row r="4500" spans="1:5" x14ac:dyDescent="0.3">
      <c r="A4500" s="18"/>
      <c r="B4500" s="18"/>
      <c r="C4500" s="18"/>
      <c r="D4500" s="18"/>
      <c r="E4500" s="18"/>
    </row>
    <row r="4501" spans="1:5" x14ac:dyDescent="0.3">
      <c r="A4501" s="18"/>
      <c r="B4501" s="18"/>
      <c r="C4501" s="18"/>
      <c r="D4501" s="18"/>
      <c r="E4501" s="18"/>
    </row>
    <row r="4502" spans="1:5" x14ac:dyDescent="0.3">
      <c r="A4502" s="18"/>
      <c r="B4502" s="18"/>
      <c r="C4502" s="18"/>
      <c r="D4502" s="18"/>
      <c r="E4502" s="18"/>
    </row>
    <row r="4503" spans="1:5" x14ac:dyDescent="0.3">
      <c r="A4503" s="18"/>
      <c r="B4503" s="18"/>
      <c r="C4503" s="18"/>
      <c r="D4503" s="18"/>
      <c r="E4503" s="18"/>
    </row>
    <row r="4504" spans="1:5" x14ac:dyDescent="0.3">
      <c r="A4504" s="18"/>
      <c r="B4504" s="18"/>
      <c r="C4504" s="18"/>
      <c r="D4504" s="18"/>
      <c r="E4504" s="18"/>
    </row>
    <row r="4505" spans="1:5" x14ac:dyDescent="0.3">
      <c r="A4505" s="18"/>
      <c r="B4505" s="18"/>
      <c r="C4505" s="18"/>
      <c r="D4505" s="18"/>
      <c r="E4505" s="18"/>
    </row>
    <row r="4506" spans="1:5" x14ac:dyDescent="0.3">
      <c r="A4506" s="18"/>
      <c r="B4506" s="18"/>
      <c r="C4506" s="18"/>
      <c r="D4506" s="18"/>
      <c r="E4506" s="18"/>
    </row>
    <row r="4507" spans="1:5" x14ac:dyDescent="0.3">
      <c r="A4507" s="18"/>
      <c r="B4507" s="18"/>
      <c r="C4507" s="18"/>
      <c r="D4507" s="18"/>
      <c r="E4507" s="18"/>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workbookViewId="0">
      <selection activeCell="AW117" sqref="AW117"/>
    </sheetView>
  </sheetViews>
  <sheetFormatPr defaultColWidth="9.109375" defaultRowHeight="14.4" x14ac:dyDescent="0.3"/>
  <cols>
    <col min="1" max="1" width="7.88671875" style="18" customWidth="1"/>
    <col min="2" max="2" width="42.44140625" style="18" customWidth="1"/>
    <col min="3" max="16384" width="9.109375" style="18"/>
  </cols>
  <sheetData>
    <row r="1" spans="1:19" x14ac:dyDescent="0.3">
      <c r="B1" s="582" t="s">
        <v>697</v>
      </c>
    </row>
    <row r="2" spans="1:19" s="583" customFormat="1" x14ac:dyDescent="0.3">
      <c r="F2" s="583" t="s">
        <v>548</v>
      </c>
      <c r="G2" s="583" t="s">
        <v>51</v>
      </c>
      <c r="M2" s="677"/>
      <c r="O2" s="677"/>
    </row>
    <row r="3" spans="1:19" s="583" customFormat="1" ht="57" customHeight="1" x14ac:dyDescent="0.3">
      <c r="A3" s="583" t="s">
        <v>763</v>
      </c>
      <c r="B3" s="584" t="s">
        <v>820</v>
      </c>
      <c r="C3" s="584" t="s">
        <v>548</v>
      </c>
      <c r="D3" s="19" t="s">
        <v>549</v>
      </c>
      <c r="E3" s="738" t="s">
        <v>698</v>
      </c>
      <c r="F3" s="738"/>
      <c r="G3" s="738"/>
      <c r="H3" s="583" t="s">
        <v>749</v>
      </c>
      <c r="K3" s="18"/>
      <c r="L3" s="677" t="s">
        <v>821</v>
      </c>
      <c r="M3" s="27"/>
      <c r="N3" s="27" t="s">
        <v>551</v>
      </c>
      <c r="O3" s="27" t="s">
        <v>554</v>
      </c>
    </row>
    <row r="4" spans="1:19" x14ac:dyDescent="0.3">
      <c r="A4" s="18" t="s">
        <v>0</v>
      </c>
      <c r="B4" s="558" t="s">
        <v>699</v>
      </c>
      <c r="C4" s="558">
        <v>27.61556235791797</v>
      </c>
      <c r="D4" s="558">
        <v>10.489581249999999</v>
      </c>
      <c r="E4" s="18" t="s">
        <v>0</v>
      </c>
      <c r="F4" s="18">
        <f>AVERAGEIF($A$4:$A$45,$E4,$C$4:$C$45)/1.15</f>
        <v>24.013532485146062</v>
      </c>
      <c r="G4" s="18">
        <f>AVERAGEIF($A$4:$A$45,$E4,$D$4:$D$45)/1.15</f>
        <v>9.1213750000000005</v>
      </c>
      <c r="H4" s="223">
        <f t="shared" ref="H4:H32" si="0">G4/F4</f>
        <v>0.37984311577824575</v>
      </c>
      <c r="L4" s="27" t="s">
        <v>0</v>
      </c>
      <c r="M4" s="27"/>
      <c r="N4" s="27">
        <v>22.431057812555494</v>
      </c>
      <c r="O4" s="27">
        <v>8.2368749999999995</v>
      </c>
      <c r="Q4" s="61"/>
    </row>
    <row r="5" spans="1:19" x14ac:dyDescent="0.3">
      <c r="A5" s="18" t="s">
        <v>1</v>
      </c>
      <c r="B5" s="558" t="s">
        <v>535</v>
      </c>
      <c r="C5" s="558">
        <v>31.730736582346715</v>
      </c>
      <c r="D5" s="558">
        <v>14.75044625</v>
      </c>
      <c r="E5" s="18" t="s">
        <v>1</v>
      </c>
      <c r="F5" s="18">
        <f t="shared" ref="F5:F32" si="1">AVERAGEIF($A$4:$A$45,$E5,$C$4:$C$45)/1.15</f>
        <v>24.478335609236556</v>
      </c>
      <c r="G5" s="18">
        <f t="shared" ref="G5:G32" si="2">AVERAGEIF($A$4:$A$45,$E5,$D$4:$D$45)/1.15</f>
        <v>9.9044750000000015</v>
      </c>
      <c r="H5" s="223">
        <f t="shared" si="0"/>
        <v>0.40462207717516085</v>
      </c>
      <c r="L5" s="27" t="s">
        <v>1</v>
      </c>
      <c r="M5" s="27"/>
      <c r="N5" s="27">
        <v>24.072314416102458</v>
      </c>
      <c r="O5" s="27">
        <v>9.8005916666666675</v>
      </c>
      <c r="Q5" s="61"/>
    </row>
    <row r="6" spans="1:19" x14ac:dyDescent="0.3">
      <c r="A6" s="18" t="s">
        <v>1</v>
      </c>
      <c r="B6" s="558" t="s">
        <v>533</v>
      </c>
      <c r="C6" s="558">
        <v>24.953249358292609</v>
      </c>
      <c r="D6" s="558">
        <v>8.4747812499999995</v>
      </c>
      <c r="E6" s="18" t="s">
        <v>2</v>
      </c>
      <c r="F6" s="18">
        <f t="shared" si="1"/>
        <v>32.326370516200384</v>
      </c>
      <c r="G6" s="18">
        <f t="shared" si="2"/>
        <v>14.592843749999998</v>
      </c>
      <c r="H6" s="223">
        <f t="shared" si="0"/>
        <v>0.45142227589969569</v>
      </c>
      <c r="L6" s="27" t="s">
        <v>2</v>
      </c>
      <c r="M6" s="27"/>
      <c r="N6" s="27">
        <v>31.31951806864706</v>
      </c>
      <c r="O6" s="27">
        <v>14.388843749999998</v>
      </c>
      <c r="Q6" s="61"/>
    </row>
    <row r="7" spans="1:19" x14ac:dyDescent="0.3">
      <c r="A7" s="18" t="s">
        <v>1</v>
      </c>
      <c r="B7" s="558" t="s">
        <v>534</v>
      </c>
      <c r="C7" s="558">
        <v>27.766271911226784</v>
      </c>
      <c r="D7" s="558">
        <v>10.94521125</v>
      </c>
      <c r="E7" s="18" t="s">
        <v>68</v>
      </c>
      <c r="F7" s="18">
        <f t="shared" si="1"/>
        <v>29.839601337576084</v>
      </c>
      <c r="G7" s="18">
        <f t="shared" si="2"/>
        <v>16.184843749999999</v>
      </c>
      <c r="H7" s="223">
        <f t="shared" si="0"/>
        <v>0.54239477152863058</v>
      </c>
      <c r="L7" s="27" t="s">
        <v>68</v>
      </c>
      <c r="M7" s="27"/>
      <c r="N7" s="27">
        <v>28.427920215764779</v>
      </c>
      <c r="O7" s="27">
        <v>15.20484375</v>
      </c>
      <c r="Q7" s="61"/>
      <c r="S7" s="677"/>
    </row>
    <row r="8" spans="1:19" x14ac:dyDescent="0.3">
      <c r="A8" s="18" t="s">
        <v>2</v>
      </c>
      <c r="B8" s="558" t="s">
        <v>2</v>
      </c>
      <c r="C8" s="558">
        <v>37.175326093630439</v>
      </c>
      <c r="D8" s="558">
        <v>16.781770312499997</v>
      </c>
      <c r="E8" s="18" t="s">
        <v>5</v>
      </c>
      <c r="F8" s="18">
        <f t="shared" si="1"/>
        <v>25.605830404235178</v>
      </c>
      <c r="G8" s="18">
        <f t="shared" si="2"/>
        <v>10.838843750000002</v>
      </c>
      <c r="H8" s="223">
        <f t="shared" si="0"/>
        <v>0.42329592826668372</v>
      </c>
      <c r="L8" s="27" t="s">
        <v>5</v>
      </c>
      <c r="M8" s="27"/>
      <c r="N8" s="27">
        <v>24.855811121430857</v>
      </c>
      <c r="O8" s="27">
        <v>10.476843750000002</v>
      </c>
      <c r="Q8" s="61"/>
    </row>
    <row r="9" spans="1:19" x14ac:dyDescent="0.3">
      <c r="A9" s="18" t="s">
        <v>68</v>
      </c>
      <c r="B9" s="558" t="s">
        <v>68</v>
      </c>
      <c r="C9" s="558">
        <v>34.315541538212493</v>
      </c>
      <c r="D9" s="558">
        <v>18.612570312499997</v>
      </c>
      <c r="E9" s="18" t="s">
        <v>7</v>
      </c>
      <c r="F9" s="18">
        <f t="shared" si="1"/>
        <v>29.119549941950321</v>
      </c>
      <c r="G9" s="18">
        <f t="shared" si="2"/>
        <v>13.432843749999998</v>
      </c>
      <c r="H9" s="223">
        <f t="shared" si="0"/>
        <v>0.46129984071794744</v>
      </c>
      <c r="L9" s="27" t="s">
        <v>7</v>
      </c>
      <c r="M9" s="27"/>
      <c r="N9" s="27">
        <v>28.02814048183313</v>
      </c>
      <c r="O9" s="27">
        <v>12.63093070652174</v>
      </c>
      <c r="Q9" s="61"/>
    </row>
    <row r="10" spans="1:19" x14ac:dyDescent="0.3">
      <c r="A10" s="18" t="s">
        <v>5</v>
      </c>
      <c r="B10" s="558" t="s">
        <v>5</v>
      </c>
      <c r="C10" s="558">
        <v>29.446704964870452</v>
      </c>
      <c r="D10" s="558">
        <v>12.464670312500001</v>
      </c>
      <c r="E10" s="18" t="s">
        <v>8</v>
      </c>
      <c r="F10" s="18">
        <f t="shared" si="1"/>
        <v>23.831296442634788</v>
      </c>
      <c r="G10" s="18">
        <f t="shared" si="2"/>
        <v>9.9248437500000009</v>
      </c>
      <c r="H10" s="223">
        <f t="shared" si="0"/>
        <v>0.41646260302667404</v>
      </c>
      <c r="L10" s="27" t="s">
        <v>8</v>
      </c>
      <c r="M10" s="27"/>
      <c r="N10" s="27">
        <v>23.165063411213197</v>
      </c>
      <c r="O10" s="27">
        <v>9.4268437499999997</v>
      </c>
      <c r="Q10" s="61"/>
    </row>
    <row r="11" spans="1:19" x14ac:dyDescent="0.3">
      <c r="A11" s="18" t="s">
        <v>9</v>
      </c>
      <c r="B11" s="558" t="s">
        <v>532</v>
      </c>
      <c r="C11" s="558">
        <v>26.994181971862353</v>
      </c>
      <c r="D11" s="558">
        <v>7.8807703124999993</v>
      </c>
      <c r="E11" s="18" t="s">
        <v>9</v>
      </c>
      <c r="F11" s="18">
        <f t="shared" si="1"/>
        <v>23.473201714662917</v>
      </c>
      <c r="G11" s="18">
        <f t="shared" si="2"/>
        <v>6.8528437499999999</v>
      </c>
      <c r="H11" s="223">
        <f t="shared" si="0"/>
        <v>0.29194329062146046</v>
      </c>
      <c r="L11" s="27" t="s">
        <v>9</v>
      </c>
      <c r="M11" s="27"/>
      <c r="N11" s="27">
        <v>23.292065309221741</v>
      </c>
      <c r="O11" s="27">
        <v>6.8528437499999999</v>
      </c>
      <c r="Q11" s="61"/>
    </row>
    <row r="12" spans="1:19" x14ac:dyDescent="0.3">
      <c r="A12" s="18" t="s">
        <v>7</v>
      </c>
      <c r="B12" s="558" t="s">
        <v>517</v>
      </c>
      <c r="C12" s="558">
        <v>33.487482433242867</v>
      </c>
      <c r="D12" s="558">
        <v>15.447770312499998</v>
      </c>
      <c r="E12" s="18" t="s">
        <v>69</v>
      </c>
      <c r="F12" s="18">
        <f t="shared" si="1"/>
        <v>23.459427876631867</v>
      </c>
      <c r="G12" s="18">
        <f t="shared" si="2"/>
        <v>8.8879049399696086</v>
      </c>
      <c r="H12" s="223">
        <f t="shared" si="0"/>
        <v>0.37886281740156696</v>
      </c>
      <c r="L12" s="27" t="s">
        <v>69</v>
      </c>
      <c r="M12" s="27"/>
      <c r="N12" s="27">
        <v>22.462940933286799</v>
      </c>
      <c r="O12" s="27">
        <v>8.642371594161423</v>
      </c>
      <c r="Q12" s="61"/>
    </row>
    <row r="13" spans="1:19" x14ac:dyDescent="0.3">
      <c r="A13" s="18" t="s">
        <v>8</v>
      </c>
      <c r="B13" s="558" t="s">
        <v>8</v>
      </c>
      <c r="C13" s="558">
        <v>27.405990909030002</v>
      </c>
      <c r="D13" s="558">
        <v>11.413570312499999</v>
      </c>
      <c r="E13" s="18" t="s">
        <v>11</v>
      </c>
      <c r="F13" s="18">
        <f t="shared" si="1"/>
        <v>25.617362240629799</v>
      </c>
      <c r="G13" s="18">
        <f t="shared" si="2"/>
        <v>10.950843749999999</v>
      </c>
      <c r="H13" s="223">
        <f t="shared" si="0"/>
        <v>0.42747741344858986</v>
      </c>
      <c r="L13" s="27" t="s">
        <v>11</v>
      </c>
      <c r="M13" s="27"/>
      <c r="N13" s="27">
        <v>25.071882160422994</v>
      </c>
      <c r="O13" s="27">
        <v>10.667843749999999</v>
      </c>
      <c r="Q13" s="61"/>
    </row>
    <row r="14" spans="1:19" x14ac:dyDescent="0.3">
      <c r="A14" s="18" t="s">
        <v>69</v>
      </c>
      <c r="B14" s="558" t="s">
        <v>69</v>
      </c>
      <c r="C14" s="558">
        <v>26.978342058126646</v>
      </c>
      <c r="D14" s="558">
        <v>10.221090680965048</v>
      </c>
      <c r="E14" s="18" t="s">
        <v>70</v>
      </c>
      <c r="F14" s="84">
        <f>F5</f>
        <v>24.478335609236556</v>
      </c>
      <c r="G14" s="84">
        <f>G5</f>
        <v>9.9044750000000015</v>
      </c>
      <c r="H14" s="223">
        <f t="shared" si="0"/>
        <v>0.40462207717516085</v>
      </c>
      <c r="I14" s="84"/>
      <c r="L14" s="27" t="s">
        <v>70</v>
      </c>
      <c r="M14" s="27"/>
      <c r="N14" s="27">
        <v>24.072314416102458</v>
      </c>
      <c r="O14" s="27">
        <v>9.8005916666666675</v>
      </c>
      <c r="Q14" s="61"/>
    </row>
    <row r="15" spans="1:19" x14ac:dyDescent="0.3">
      <c r="A15" s="18" t="s">
        <v>11</v>
      </c>
      <c r="B15" s="558" t="s">
        <v>514</v>
      </c>
      <c r="C15" s="558">
        <v>29.459966576724266</v>
      </c>
      <c r="D15" s="558">
        <v>12.593470312499997</v>
      </c>
      <c r="E15" s="18" t="s">
        <v>12</v>
      </c>
      <c r="F15" s="18">
        <f t="shared" si="1"/>
        <v>24.559713164726169</v>
      </c>
      <c r="G15" s="18">
        <f t="shared" si="2"/>
        <v>9.2303437500000012</v>
      </c>
      <c r="H15" s="223">
        <f t="shared" si="0"/>
        <v>0.37583271791858958</v>
      </c>
      <c r="L15" s="27" t="s">
        <v>12</v>
      </c>
      <c r="M15" s="27"/>
      <c r="N15" s="27">
        <v>23.759677705458277</v>
      </c>
      <c r="O15" s="27">
        <v>9.2303437500000012</v>
      </c>
      <c r="Q15" s="61"/>
    </row>
    <row r="16" spans="1:19" x14ac:dyDescent="0.3">
      <c r="A16" s="18" t="s">
        <v>12</v>
      </c>
      <c r="B16" s="558" t="s">
        <v>530</v>
      </c>
      <c r="C16" s="558">
        <v>27.151193375726052</v>
      </c>
      <c r="D16" s="558">
        <v>9.5195203124999992</v>
      </c>
      <c r="E16" s="18" t="s">
        <v>13</v>
      </c>
      <c r="F16" s="18">
        <f t="shared" si="1"/>
        <v>29.127294113764684</v>
      </c>
      <c r="G16" s="18">
        <f t="shared" si="2"/>
        <v>12.26804375</v>
      </c>
      <c r="H16" s="223">
        <f t="shared" si="0"/>
        <v>0.42118721025316563</v>
      </c>
      <c r="L16" s="27" t="s">
        <v>13</v>
      </c>
      <c r="M16" s="27"/>
      <c r="N16" s="27">
        <v>28.701213855154663</v>
      </c>
      <c r="O16" s="27">
        <v>12.268043749999999</v>
      </c>
      <c r="Q16" s="61"/>
    </row>
    <row r="17" spans="1:17" x14ac:dyDescent="0.3">
      <c r="A17" s="18" t="s">
        <v>12</v>
      </c>
      <c r="B17" s="558" t="s">
        <v>529</v>
      </c>
      <c r="C17" s="558">
        <v>29.336146903144133</v>
      </c>
      <c r="D17" s="558">
        <v>11.710270312499999</v>
      </c>
      <c r="E17" s="18" t="s">
        <v>19</v>
      </c>
      <c r="F17" s="18">
        <f t="shared" si="1"/>
        <v>23.870621077372938</v>
      </c>
      <c r="G17" s="18">
        <f t="shared" si="2"/>
        <v>7.9108437499999997</v>
      </c>
      <c r="H17" s="223">
        <f t="shared" si="0"/>
        <v>0.33140502395636123</v>
      </c>
      <c r="L17" s="27" t="s">
        <v>19</v>
      </c>
      <c r="M17" s="27"/>
      <c r="N17" s="27">
        <v>23.365561985673427</v>
      </c>
      <c r="O17" s="27">
        <v>7.8628437500000006</v>
      </c>
      <c r="Q17" s="61"/>
    </row>
    <row r="18" spans="1:17" x14ac:dyDescent="0.3">
      <c r="A18" s="18" t="s">
        <v>13</v>
      </c>
      <c r="B18" s="558" t="s">
        <v>528</v>
      </c>
      <c r="C18" s="558">
        <v>33.496388230829382</v>
      </c>
      <c r="D18" s="558">
        <v>14.108250312499999</v>
      </c>
      <c r="E18" s="18" t="s">
        <v>20</v>
      </c>
      <c r="F18" s="18">
        <f t="shared" si="1"/>
        <v>22.887204603847859</v>
      </c>
      <c r="G18" s="18">
        <f t="shared" si="2"/>
        <v>8.3558749999999993</v>
      </c>
      <c r="H18" s="223">
        <f t="shared" si="0"/>
        <v>0.36508936519906787</v>
      </c>
      <c r="L18" s="27" t="s">
        <v>20</v>
      </c>
      <c r="M18" s="27"/>
      <c r="N18" s="27">
        <v>22.543420301375054</v>
      </c>
      <c r="O18" s="27">
        <v>8.1326549999999997</v>
      </c>
      <c r="Q18" s="61"/>
    </row>
    <row r="19" spans="1:17" x14ac:dyDescent="0.3">
      <c r="A19" s="586"/>
      <c r="B19" s="558" t="s">
        <v>527</v>
      </c>
      <c r="C19" s="558">
        <v>30.018139270096039</v>
      </c>
      <c r="D19" s="558">
        <v>10.033570312499998</v>
      </c>
      <c r="E19" s="18" t="s">
        <v>23</v>
      </c>
      <c r="F19" s="18">
        <f t="shared" si="1"/>
        <v>25.642069838193493</v>
      </c>
      <c r="G19" s="18">
        <f t="shared" si="2"/>
        <v>9.96484375</v>
      </c>
      <c r="H19" s="223">
        <f t="shared" si="0"/>
        <v>0.38861308049155646</v>
      </c>
      <c r="L19" s="27" t="s">
        <v>23</v>
      </c>
      <c r="M19" s="27"/>
      <c r="N19" s="27">
        <v>24.672184868078368</v>
      </c>
      <c r="O19" s="27">
        <v>9.7848437500000003</v>
      </c>
      <c r="Q19" s="61"/>
    </row>
    <row r="20" spans="1:17" x14ac:dyDescent="0.3">
      <c r="A20" s="18" t="s">
        <v>19</v>
      </c>
      <c r="B20" s="558" t="s">
        <v>19</v>
      </c>
      <c r="C20" s="558">
        <v>27.451214238978878</v>
      </c>
      <c r="D20" s="558">
        <v>9.0974703124999987</v>
      </c>
      <c r="E20" s="18" t="s">
        <v>25</v>
      </c>
      <c r="F20" s="18">
        <f t="shared" si="1"/>
        <v>23.827406528465914</v>
      </c>
      <c r="G20" s="18">
        <f t="shared" si="2"/>
        <v>9.6627741114062484</v>
      </c>
      <c r="H20" s="223">
        <f t="shared" si="0"/>
        <v>0.40553192811237815</v>
      </c>
      <c r="L20" s="27" t="s">
        <v>25</v>
      </c>
      <c r="M20" s="27"/>
      <c r="N20" s="27">
        <v>23.486739417620459</v>
      </c>
      <c r="O20" s="27">
        <v>9.5669842681062498</v>
      </c>
      <c r="Q20" s="61"/>
    </row>
    <row r="21" spans="1:17" x14ac:dyDescent="0.3">
      <c r="A21" s="18" t="s">
        <v>20</v>
      </c>
      <c r="B21" s="558" t="s">
        <v>20</v>
      </c>
      <c r="C21" s="558">
        <v>26.320285294425037</v>
      </c>
      <c r="D21" s="558">
        <v>9.6092562499999978</v>
      </c>
      <c r="E21" s="18" t="s">
        <v>71</v>
      </c>
      <c r="F21" s="18">
        <f t="shared" si="1"/>
        <v>34.696856757876979</v>
      </c>
      <c r="G21" s="18">
        <f t="shared" si="2"/>
        <v>17.409843749999997</v>
      </c>
      <c r="H21" s="223">
        <f t="shared" si="0"/>
        <v>0.5017700557572139</v>
      </c>
      <c r="L21" s="27" t="s">
        <v>71</v>
      </c>
      <c r="M21" s="27"/>
      <c r="N21" s="27">
        <v>33.825874391226506</v>
      </c>
      <c r="O21" s="27">
        <v>17.03184375</v>
      </c>
      <c r="Q21" s="61"/>
    </row>
    <row r="22" spans="1:17" x14ac:dyDescent="0.3">
      <c r="A22" s="18" t="s">
        <v>23</v>
      </c>
      <c r="B22" s="558" t="s">
        <v>23</v>
      </c>
      <c r="C22" s="558">
        <v>29.488380313922516</v>
      </c>
      <c r="D22" s="558">
        <v>11.459570312499999</v>
      </c>
      <c r="E22" s="18" t="s">
        <v>28</v>
      </c>
      <c r="F22" s="18">
        <f t="shared" si="1"/>
        <v>26.592133379894054</v>
      </c>
      <c r="G22" s="18">
        <f t="shared" si="2"/>
        <v>10.856219930185633</v>
      </c>
      <c r="H22" s="223">
        <f t="shared" si="0"/>
        <v>0.40824930347235211</v>
      </c>
      <c r="L22" s="27" t="s">
        <v>28</v>
      </c>
      <c r="M22" s="27"/>
      <c r="N22" s="27">
        <v>26.228663673903906</v>
      </c>
      <c r="O22" s="27">
        <v>10.695424570262096</v>
      </c>
      <c r="Q22" s="61"/>
    </row>
    <row r="23" spans="1:17" x14ac:dyDescent="0.3">
      <c r="A23" s="18" t="s">
        <v>25</v>
      </c>
      <c r="B23" s="558" t="s">
        <v>531</v>
      </c>
      <c r="C23" s="558">
        <v>27.4015175077358</v>
      </c>
      <c r="D23" s="558">
        <v>11.112190228117186</v>
      </c>
      <c r="E23" s="18" t="s">
        <v>31</v>
      </c>
      <c r="F23" s="18">
        <f t="shared" si="1"/>
        <v>26.649626463156263</v>
      </c>
      <c r="G23" s="18">
        <f t="shared" si="2"/>
        <v>12.370886149999999</v>
      </c>
      <c r="H23" s="223">
        <f t="shared" si="0"/>
        <v>0.4642048610738706</v>
      </c>
      <c r="L23" s="27" t="s">
        <v>31</v>
      </c>
      <c r="M23" s="27"/>
      <c r="N23" s="27">
        <v>25.199030381175191</v>
      </c>
      <c r="O23" s="27">
        <v>11.947998950000001</v>
      </c>
      <c r="Q23" s="61"/>
    </row>
    <row r="24" spans="1:17" x14ac:dyDescent="0.3">
      <c r="A24" s="18" t="s">
        <v>71</v>
      </c>
      <c r="B24" s="558" t="s">
        <v>496</v>
      </c>
      <c r="C24" s="558">
        <v>39.901385271558524</v>
      </c>
      <c r="D24" s="558">
        <v>20.021320312499995</v>
      </c>
      <c r="E24" s="18" t="s">
        <v>32</v>
      </c>
      <c r="F24" s="18">
        <f t="shared" si="1"/>
        <v>27.605814010631196</v>
      </c>
      <c r="G24" s="18">
        <f t="shared" si="2"/>
        <v>12.280916249999999</v>
      </c>
      <c r="H24" s="223">
        <f t="shared" si="0"/>
        <v>0.44486702131915146</v>
      </c>
      <c r="L24" s="27" t="s">
        <v>32</v>
      </c>
      <c r="M24" s="27"/>
      <c r="N24" s="27">
        <v>26.77212752964406</v>
      </c>
      <c r="O24" s="27">
        <v>11.528730000000001</v>
      </c>
      <c r="Q24" s="61"/>
    </row>
    <row r="25" spans="1:17" x14ac:dyDescent="0.3">
      <c r="A25" s="18" t="s">
        <v>28</v>
      </c>
      <c r="B25" s="558" t="s">
        <v>511</v>
      </c>
      <c r="C25" s="558">
        <v>32.621938256021039</v>
      </c>
      <c r="D25" s="558">
        <v>11.965570312499999</v>
      </c>
      <c r="E25" s="18" t="s">
        <v>73</v>
      </c>
      <c r="F25" s="18">
        <f t="shared" si="1"/>
        <v>26.79365271485884</v>
      </c>
      <c r="G25" s="18">
        <f t="shared" si="2"/>
        <v>11.122595265588918</v>
      </c>
      <c r="H25" s="223">
        <f t="shared" si="0"/>
        <v>0.41512052813242251</v>
      </c>
      <c r="L25" s="27" t="s">
        <v>73</v>
      </c>
      <c r="M25" s="27"/>
      <c r="N25" s="27">
        <v>25.883852202068788</v>
      </c>
      <c r="O25" s="27">
        <v>10.898325924088315</v>
      </c>
      <c r="Q25" s="61"/>
    </row>
    <row r="26" spans="1:17" x14ac:dyDescent="0.3">
      <c r="A26" s="18" t="s">
        <v>28</v>
      </c>
      <c r="B26" s="558" t="s">
        <v>512</v>
      </c>
      <c r="C26" s="558">
        <v>30.375145255175209</v>
      </c>
      <c r="D26" s="558">
        <v>13.037370312499998</v>
      </c>
      <c r="E26" s="18" t="s">
        <v>34</v>
      </c>
      <c r="F26" s="18">
        <f t="shared" si="1"/>
        <v>33.510132818545621</v>
      </c>
      <c r="G26" s="18">
        <f t="shared" si="2"/>
        <v>17.460843749999999</v>
      </c>
      <c r="H26" s="223">
        <f t="shared" si="0"/>
        <v>0.52106160976886928</v>
      </c>
      <c r="L26" s="27" t="s">
        <v>34</v>
      </c>
      <c r="M26" s="27"/>
      <c r="N26" s="27">
        <v>32.774738441529557</v>
      </c>
      <c r="O26" s="27">
        <v>16.582843750000002</v>
      </c>
      <c r="Q26" s="61"/>
    </row>
    <row r="27" spans="1:17" x14ac:dyDescent="0.3">
      <c r="A27" s="18" t="s">
        <v>28</v>
      </c>
      <c r="B27" s="558" t="s">
        <v>525</v>
      </c>
      <c r="C27" s="558">
        <v>28.645948093226753</v>
      </c>
      <c r="D27" s="558">
        <v>11.462720921538027</v>
      </c>
      <c r="E27" s="18" t="s">
        <v>36</v>
      </c>
      <c r="F27" s="18">
        <f t="shared" si="1"/>
        <v>27.295215628003248</v>
      </c>
      <c r="G27" s="18">
        <f t="shared" si="2"/>
        <v>12.151510416666667</v>
      </c>
      <c r="H27" s="223">
        <f t="shared" si="0"/>
        <v>0.4451882916872783</v>
      </c>
      <c r="L27" s="27" t="s">
        <v>36</v>
      </c>
      <c r="M27" s="27"/>
      <c r="N27" s="27">
        <v>26.434909455323027</v>
      </c>
      <c r="O27" s="27">
        <v>11.951510416666668</v>
      </c>
      <c r="Q27" s="61"/>
    </row>
    <row r="28" spans="1:17" x14ac:dyDescent="0.3">
      <c r="A28" s="18" t="s">
        <v>28</v>
      </c>
      <c r="B28" s="558" t="s">
        <v>518</v>
      </c>
      <c r="C28" s="558">
        <v>28.529189103810403</v>
      </c>
      <c r="D28" s="558">
        <v>11.462720921538027</v>
      </c>
      <c r="E28" s="18" t="s">
        <v>37</v>
      </c>
      <c r="F28" s="18">
        <f t="shared" si="1"/>
        <v>24.16507480040622</v>
      </c>
      <c r="G28" s="18">
        <f t="shared" si="2"/>
        <v>10.06484375</v>
      </c>
      <c r="H28" s="223">
        <f t="shared" si="0"/>
        <v>0.41650372834065497</v>
      </c>
      <c r="L28" s="27" t="s">
        <v>37</v>
      </c>
      <c r="M28" s="27"/>
      <c r="N28" s="27">
        <v>23.896811773758618</v>
      </c>
      <c r="O28" s="27">
        <v>9.9848437499999996</v>
      </c>
      <c r="Q28" s="61"/>
    </row>
    <row r="29" spans="1:17" x14ac:dyDescent="0.3">
      <c r="A29" s="18" t="s">
        <v>28</v>
      </c>
      <c r="B29" s="558" t="s">
        <v>523</v>
      </c>
      <c r="C29" s="558">
        <v>29.081642678077884</v>
      </c>
      <c r="D29" s="558">
        <v>11.462720921538027</v>
      </c>
      <c r="E29" s="18" t="s">
        <v>38</v>
      </c>
      <c r="F29" s="18">
        <f t="shared" si="1"/>
        <v>22.75397128191161</v>
      </c>
      <c r="G29" s="18">
        <f t="shared" si="2"/>
        <v>7.2628437500000009</v>
      </c>
      <c r="H29" s="223">
        <f t="shared" si="0"/>
        <v>0.31919016069839362</v>
      </c>
      <c r="L29" s="27" t="s">
        <v>38</v>
      </c>
      <c r="M29" s="27"/>
      <c r="N29" s="27">
        <v>22.031981922884874</v>
      </c>
      <c r="O29" s="27">
        <v>6.7488437499999998</v>
      </c>
      <c r="Q29" s="61"/>
    </row>
    <row r="30" spans="1:17" x14ac:dyDescent="0.3">
      <c r="A30" s="18" t="s">
        <v>28</v>
      </c>
      <c r="B30" s="558" t="s">
        <v>522</v>
      </c>
      <c r="C30" s="558">
        <v>32.315249176104174</v>
      </c>
      <c r="D30" s="558">
        <v>14.000733524190125</v>
      </c>
      <c r="E30" s="18" t="s">
        <v>39</v>
      </c>
      <c r="F30" s="18">
        <f t="shared" si="1"/>
        <v>25.536977072265003</v>
      </c>
      <c r="G30" s="18">
        <f t="shared" si="2"/>
        <v>11.89484375</v>
      </c>
      <c r="H30" s="223">
        <f t="shared" si="0"/>
        <v>0.46578902884001322</v>
      </c>
      <c r="L30" s="27" t="s">
        <v>39</v>
      </c>
      <c r="M30" s="27"/>
      <c r="N30" s="27">
        <v>24.8344041356284</v>
      </c>
      <c r="O30" s="27">
        <v>11.45484375</v>
      </c>
      <c r="Q30" s="61"/>
    </row>
    <row r="31" spans="1:17" x14ac:dyDescent="0.3">
      <c r="A31" s="18" t="s">
        <v>28</v>
      </c>
      <c r="B31" s="558" t="s">
        <v>524</v>
      </c>
      <c r="C31" s="558">
        <v>32.497561145731687</v>
      </c>
      <c r="D31" s="558">
        <v>14.000733524190125</v>
      </c>
      <c r="E31" s="18" t="s">
        <v>40</v>
      </c>
      <c r="F31" s="18">
        <f t="shared" si="1"/>
        <v>23.856293486557622</v>
      </c>
      <c r="G31" s="18">
        <f t="shared" si="2"/>
        <v>9.9748437500000016</v>
      </c>
      <c r="H31" s="223">
        <f t="shared" si="0"/>
        <v>0.41812210918768905</v>
      </c>
      <c r="L31" s="27" t="s">
        <v>40</v>
      </c>
      <c r="M31" s="27"/>
      <c r="N31" s="27">
        <v>23.43425727945699</v>
      </c>
      <c r="O31" s="27">
        <v>9.4048437500000013</v>
      </c>
      <c r="Q31" s="61"/>
    </row>
    <row r="32" spans="1:17" x14ac:dyDescent="0.3">
      <c r="A32" s="18" t="s">
        <v>31</v>
      </c>
      <c r="B32" s="558" t="s">
        <v>31</v>
      </c>
      <c r="C32" s="558">
        <v>30.6470704326297</v>
      </c>
      <c r="D32" s="558">
        <v>14.226519072499997</v>
      </c>
      <c r="E32" s="18" t="s">
        <v>41</v>
      </c>
      <c r="F32" s="18">
        <f t="shared" si="1"/>
        <v>29.345652697712708</v>
      </c>
      <c r="G32" s="18">
        <f t="shared" si="2"/>
        <v>11.198399999999999</v>
      </c>
      <c r="H32" s="223">
        <f t="shared" si="0"/>
        <v>0.38160337121664489</v>
      </c>
      <c r="L32" s="27" t="s">
        <v>41</v>
      </c>
      <c r="M32" s="27"/>
      <c r="N32" s="27">
        <v>28.743162235846775</v>
      </c>
      <c r="O32" s="27">
        <v>10.976800000000001</v>
      </c>
      <c r="Q32" s="61"/>
    </row>
    <row r="33" spans="1:4" x14ac:dyDescent="0.3">
      <c r="A33" s="18" t="s">
        <v>32</v>
      </c>
      <c r="B33" s="558" t="s">
        <v>519</v>
      </c>
      <c r="C33" s="558">
        <v>31.312645924725874</v>
      </c>
      <c r="D33" s="558">
        <v>13.689013499999996</v>
      </c>
    </row>
    <row r="34" spans="1:4" x14ac:dyDescent="0.3">
      <c r="A34" s="18" t="s">
        <v>32</v>
      </c>
      <c r="B34" s="558" t="s">
        <v>520</v>
      </c>
      <c r="C34" s="558">
        <v>32.180726299725876</v>
      </c>
      <c r="D34" s="558">
        <v>14.557093874999996</v>
      </c>
    </row>
    <row r="35" spans="1:4" x14ac:dyDescent="0.3">
      <c r="A35" s="18" t="s">
        <v>73</v>
      </c>
      <c r="B35" s="558" t="s">
        <v>536</v>
      </c>
      <c r="C35" s="558">
        <v>30.812700622087664</v>
      </c>
      <c r="D35" s="558">
        <v>12.790984555427254</v>
      </c>
    </row>
    <row r="36" spans="1:4" x14ac:dyDescent="0.3">
      <c r="A36" s="18" t="s">
        <v>34</v>
      </c>
      <c r="B36" s="558" t="s">
        <v>34</v>
      </c>
      <c r="C36" s="558">
        <v>38.536652741327458</v>
      </c>
      <c r="D36" s="558">
        <v>20.079970312499999</v>
      </c>
    </row>
    <row r="37" spans="1:4" x14ac:dyDescent="0.3">
      <c r="A37" s="18" t="s">
        <v>36</v>
      </c>
      <c r="B37" s="558" t="s">
        <v>521</v>
      </c>
      <c r="C37" s="558">
        <v>30.457436652952708</v>
      </c>
      <c r="D37" s="558">
        <v>14.5875703125</v>
      </c>
    </row>
    <row r="38" spans="1:4" x14ac:dyDescent="0.3">
      <c r="A38" s="18" t="s">
        <v>36</v>
      </c>
      <c r="B38" s="558" t="s">
        <v>515</v>
      </c>
      <c r="C38" s="558">
        <v>31.848378347109673</v>
      </c>
      <c r="D38" s="558">
        <v>13.667570312500001</v>
      </c>
    </row>
    <row r="39" spans="1:4" x14ac:dyDescent="0.3">
      <c r="A39" s="18" t="s">
        <v>36</v>
      </c>
      <c r="B39" s="558" t="s">
        <v>516</v>
      </c>
      <c r="C39" s="558">
        <v>31.862678916548809</v>
      </c>
      <c r="D39" s="558">
        <v>13.667570312500001</v>
      </c>
    </row>
    <row r="40" spans="1:4" x14ac:dyDescent="0.3">
      <c r="A40" s="18" t="s">
        <v>37</v>
      </c>
      <c r="B40" s="558" t="s">
        <v>510</v>
      </c>
      <c r="C40" s="558">
        <v>27.838798388159542</v>
      </c>
      <c r="D40" s="558">
        <v>11.574570312499999</v>
      </c>
    </row>
    <row r="41" spans="1:4" x14ac:dyDescent="0.3">
      <c r="A41" s="18" t="s">
        <v>37</v>
      </c>
      <c r="B41" s="558" t="s">
        <v>509</v>
      </c>
      <c r="C41" s="558">
        <v>27.740873652774756</v>
      </c>
      <c r="D41" s="558">
        <v>11.574570312499999</v>
      </c>
    </row>
    <row r="42" spans="1:4" x14ac:dyDescent="0.3">
      <c r="A42" s="18" t="s">
        <v>38</v>
      </c>
      <c r="B42" s="558" t="s">
        <v>513</v>
      </c>
      <c r="C42" s="558">
        <v>26.167066974198349</v>
      </c>
      <c r="D42" s="558">
        <v>8.3522703125</v>
      </c>
    </row>
    <row r="43" spans="1:4" x14ac:dyDescent="0.3">
      <c r="A43" s="18" t="s">
        <v>39</v>
      </c>
      <c r="B43" s="558" t="s">
        <v>503</v>
      </c>
      <c r="C43" s="558">
        <v>29.367523633104753</v>
      </c>
      <c r="D43" s="558">
        <v>13.679070312499999</v>
      </c>
    </row>
    <row r="44" spans="1:4" x14ac:dyDescent="0.3">
      <c r="A44" s="18" t="s">
        <v>40</v>
      </c>
      <c r="B44" s="558" t="s">
        <v>526</v>
      </c>
      <c r="C44" s="558">
        <v>27.434737509541261</v>
      </c>
      <c r="D44" s="558">
        <v>11.4710703125</v>
      </c>
    </row>
    <row r="45" spans="1:4" x14ac:dyDescent="0.3">
      <c r="A45" s="18" t="s">
        <v>41</v>
      </c>
      <c r="B45" s="558" t="s">
        <v>41</v>
      </c>
      <c r="C45" s="558">
        <v>33.747500602369612</v>
      </c>
      <c r="D45" s="558">
        <v>12.878159999999999</v>
      </c>
    </row>
    <row r="52" spans="2:10" x14ac:dyDescent="0.3">
      <c r="B52" s="334"/>
      <c r="C52" s="335"/>
      <c r="D52" s="22"/>
      <c r="E52" s="22"/>
      <c r="F52" s="22"/>
      <c r="G52" s="22"/>
      <c r="H52" s="140"/>
      <c r="I52" s="335"/>
      <c r="J52" s="22"/>
    </row>
    <row r="53" spans="2:10" x14ac:dyDescent="0.3">
      <c r="B53" s="140"/>
      <c r="C53" s="336"/>
      <c r="D53" s="22"/>
      <c r="E53" s="22"/>
      <c r="F53" s="22"/>
      <c r="G53" s="22"/>
      <c r="H53" s="140"/>
      <c r="I53" s="337"/>
      <c r="J53" s="22"/>
    </row>
    <row r="54" spans="2:10" x14ac:dyDescent="0.3">
      <c r="B54" s="140"/>
      <c r="C54" s="336"/>
      <c r="D54" s="22"/>
      <c r="E54" s="22"/>
      <c r="F54" s="22"/>
      <c r="G54" s="22"/>
      <c r="H54" s="140"/>
      <c r="I54" s="337"/>
      <c r="J54" s="22"/>
    </row>
    <row r="55" spans="2:10" x14ac:dyDescent="0.3">
      <c r="B55" s="140"/>
      <c r="C55" s="336"/>
      <c r="D55" s="22"/>
      <c r="E55" s="22"/>
      <c r="F55" s="22"/>
      <c r="G55" s="22"/>
      <c r="H55" s="140"/>
      <c r="I55" s="337"/>
      <c r="J55" s="22"/>
    </row>
    <row r="56" spans="2:10" x14ac:dyDescent="0.3">
      <c r="B56" s="140"/>
      <c r="C56" s="336"/>
      <c r="D56" s="22"/>
      <c r="E56" s="22"/>
      <c r="F56" s="22"/>
      <c r="G56" s="22"/>
      <c r="H56" s="140"/>
      <c r="I56" s="337"/>
      <c r="J56" s="22"/>
    </row>
    <row r="57" spans="2:10" x14ac:dyDescent="0.3">
      <c r="B57" s="140"/>
      <c r="C57" s="336"/>
      <c r="D57" s="22"/>
      <c r="E57" s="22"/>
      <c r="F57" s="22"/>
      <c r="G57" s="22"/>
      <c r="H57" s="140"/>
      <c r="I57" s="337"/>
      <c r="J57" s="22"/>
    </row>
    <row r="58" spans="2:10" x14ac:dyDescent="0.3">
      <c r="B58" s="140"/>
      <c r="C58" s="336"/>
      <c r="D58" s="22"/>
      <c r="E58" s="22"/>
      <c r="F58" s="22"/>
      <c r="G58" s="22"/>
      <c r="H58" s="140"/>
      <c r="I58" s="337"/>
      <c r="J58" s="22"/>
    </row>
    <row r="59" spans="2:10" x14ac:dyDescent="0.3">
      <c r="B59" s="140"/>
      <c r="C59" s="336"/>
      <c r="D59" s="22"/>
      <c r="E59" s="22"/>
      <c r="F59" s="22"/>
      <c r="G59" s="22"/>
      <c r="H59" s="140"/>
      <c r="I59" s="337"/>
      <c r="J59" s="22"/>
    </row>
    <row r="60" spans="2:10" x14ac:dyDescent="0.3">
      <c r="B60" s="140"/>
      <c r="C60" s="336"/>
      <c r="D60" s="22"/>
      <c r="E60" s="22"/>
      <c r="F60" s="22"/>
      <c r="G60" s="22"/>
      <c r="H60" s="140"/>
      <c r="I60" s="337"/>
      <c r="J60" s="22"/>
    </row>
    <row r="61" spans="2:10" x14ac:dyDescent="0.3">
      <c r="B61" s="140"/>
      <c r="C61" s="336"/>
      <c r="D61" s="22"/>
      <c r="E61" s="22"/>
      <c r="F61" s="22"/>
      <c r="G61" s="22"/>
      <c r="H61" s="140"/>
      <c r="I61" s="337"/>
      <c r="J61" s="22"/>
    </row>
    <row r="62" spans="2:10" x14ac:dyDescent="0.3">
      <c r="B62" s="140"/>
      <c r="C62" s="336"/>
      <c r="D62" s="22"/>
      <c r="E62" s="22"/>
      <c r="F62" s="22"/>
      <c r="G62" s="22"/>
      <c r="H62" s="140"/>
      <c r="I62" s="337"/>
      <c r="J62" s="22"/>
    </row>
    <row r="63" spans="2:10" x14ac:dyDescent="0.3">
      <c r="B63" s="140"/>
      <c r="C63" s="336"/>
      <c r="D63" s="22"/>
      <c r="E63" s="22"/>
      <c r="F63" s="22"/>
      <c r="G63" s="22"/>
      <c r="H63" s="140"/>
      <c r="I63" s="337"/>
      <c r="J63" s="22"/>
    </row>
    <row r="64" spans="2:10" x14ac:dyDescent="0.3">
      <c r="B64" s="140"/>
      <c r="C64" s="336"/>
      <c r="D64" s="22"/>
      <c r="E64" s="22"/>
      <c r="F64" s="22"/>
      <c r="G64" s="22"/>
      <c r="H64" s="140"/>
      <c r="I64" s="337"/>
      <c r="J64" s="22"/>
    </row>
    <row r="65" spans="2:10" x14ac:dyDescent="0.3">
      <c r="B65" s="140"/>
      <c r="C65" s="336"/>
      <c r="D65" s="22"/>
      <c r="E65" s="22"/>
      <c r="F65" s="22"/>
      <c r="G65" s="22"/>
      <c r="H65" s="140"/>
      <c r="I65" s="337"/>
      <c r="J65" s="22"/>
    </row>
    <row r="66" spans="2:10" x14ac:dyDescent="0.3">
      <c r="B66" s="140"/>
      <c r="C66" s="336"/>
      <c r="D66" s="22"/>
      <c r="E66" s="22"/>
      <c r="F66" s="22"/>
      <c r="G66" s="22"/>
      <c r="H66" s="140"/>
      <c r="I66" s="337"/>
      <c r="J66" s="22"/>
    </row>
    <row r="67" spans="2:10" x14ac:dyDescent="0.3">
      <c r="B67" s="140"/>
      <c r="C67" s="336"/>
      <c r="D67" s="22"/>
      <c r="E67" s="22"/>
      <c r="F67" s="22"/>
      <c r="G67" s="22"/>
      <c r="H67" s="140"/>
      <c r="I67" s="337"/>
      <c r="J67" s="22"/>
    </row>
    <row r="68" spans="2:10" x14ac:dyDescent="0.3">
      <c r="B68" s="140"/>
      <c r="C68" s="336"/>
      <c r="D68" s="22"/>
      <c r="E68" s="22"/>
      <c r="F68" s="22"/>
      <c r="G68" s="22"/>
      <c r="H68" s="140"/>
      <c r="I68" s="337"/>
      <c r="J68" s="22"/>
    </row>
    <row r="69" spans="2:10" x14ac:dyDescent="0.3">
      <c r="B69" s="140"/>
      <c r="C69" s="336"/>
      <c r="D69" s="22"/>
      <c r="E69" s="22"/>
      <c r="F69" s="22"/>
      <c r="G69" s="22"/>
      <c r="H69" s="140"/>
      <c r="I69" s="337"/>
      <c r="J69" s="22"/>
    </row>
    <row r="70" spans="2:10" x14ac:dyDescent="0.3">
      <c r="B70" s="140"/>
      <c r="C70" s="336"/>
      <c r="D70" s="22"/>
      <c r="E70" s="22"/>
      <c r="F70" s="22"/>
      <c r="G70" s="22"/>
      <c r="H70" s="140"/>
      <c r="I70" s="337"/>
      <c r="J70" s="22"/>
    </row>
    <row r="71" spans="2:10" x14ac:dyDescent="0.3">
      <c r="B71" s="140"/>
      <c r="C71" s="336"/>
      <c r="D71" s="22"/>
      <c r="E71" s="22"/>
      <c r="F71" s="22"/>
      <c r="G71" s="22"/>
      <c r="H71" s="140"/>
      <c r="I71" s="337"/>
      <c r="J71" s="22"/>
    </row>
    <row r="72" spans="2:10" x14ac:dyDescent="0.3">
      <c r="B72" s="140"/>
      <c r="C72" s="336"/>
      <c r="D72" s="22"/>
      <c r="E72" s="22"/>
      <c r="F72" s="22"/>
      <c r="G72" s="22"/>
      <c r="H72" s="140"/>
      <c r="I72" s="337"/>
      <c r="J72" s="22"/>
    </row>
    <row r="73" spans="2:10" x14ac:dyDescent="0.3">
      <c r="B73" s="140"/>
      <c r="C73" s="336"/>
      <c r="D73" s="22"/>
      <c r="E73" s="22"/>
      <c r="F73" s="22"/>
      <c r="G73" s="22"/>
      <c r="H73" s="140"/>
      <c r="I73" s="337"/>
      <c r="J73" s="22"/>
    </row>
    <row r="74" spans="2:10" x14ac:dyDescent="0.3">
      <c r="B74" s="140"/>
      <c r="C74" s="336"/>
      <c r="D74" s="22"/>
      <c r="E74" s="22"/>
      <c r="F74" s="22"/>
      <c r="G74" s="22"/>
      <c r="H74" s="140"/>
      <c r="I74" s="337"/>
      <c r="J74" s="22"/>
    </row>
    <row r="75" spans="2:10" x14ac:dyDescent="0.3">
      <c r="B75" s="140"/>
      <c r="C75" s="336"/>
      <c r="D75" s="22"/>
      <c r="E75" s="22"/>
      <c r="F75" s="22"/>
      <c r="G75" s="22"/>
      <c r="H75" s="140"/>
      <c r="I75" s="337"/>
      <c r="J75" s="22"/>
    </row>
    <row r="76" spans="2:10" x14ac:dyDescent="0.3">
      <c r="B76" s="140"/>
      <c r="C76" s="22"/>
      <c r="D76" s="336"/>
      <c r="E76" s="336"/>
      <c r="F76" s="22"/>
      <c r="G76" s="22"/>
      <c r="H76" s="140"/>
      <c r="I76" s="338"/>
      <c r="J76" s="22"/>
    </row>
    <row r="77" spans="2:10" x14ac:dyDescent="0.3">
      <c r="B77" s="339"/>
      <c r="C77" s="22"/>
      <c r="D77" s="22"/>
      <c r="E77" s="22"/>
      <c r="F77" s="22"/>
      <c r="G77" s="22"/>
      <c r="H77" s="140"/>
      <c r="I77" s="338"/>
      <c r="J77" s="22"/>
    </row>
    <row r="78" spans="2:10" x14ac:dyDescent="0.3">
      <c r="B78" s="22"/>
      <c r="C78" s="22"/>
      <c r="D78" s="22"/>
      <c r="E78" s="22"/>
      <c r="F78" s="22"/>
      <c r="G78" s="22"/>
      <c r="H78" s="140"/>
      <c r="I78" s="338"/>
      <c r="J78" s="22"/>
    </row>
  </sheetData>
  <mergeCells count="1">
    <mergeCell ref="E3:G3"/>
  </mergeCells>
  <hyperlinks>
    <hyperlink ref="H1" r:id="rId1" display="http://www.mbie.govt.nz/info-services/sectors-industries/energy/energy-data-modelling/statistics/prices/electricity-prices/QSDEP_Report_15Aug2016.xls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vt:i4>
      </vt:variant>
    </vt:vector>
  </HeadingPairs>
  <TitlesOfParts>
    <vt:vector size="29" baseType="lpstr">
      <vt:lpstr>Notes</vt:lpstr>
      <vt:lpstr>Inputs&gt;</vt:lpstr>
      <vt:lpstr>Mapping A</vt:lpstr>
      <vt:lpstr>Mapping B</vt:lpstr>
      <vt:lpstr>Recovery amounts</vt:lpstr>
      <vt:lpstr>Volumes</vt:lpstr>
      <vt:lpstr>vSPD Benefits</vt:lpstr>
      <vt:lpstr>AMDs</vt:lpstr>
      <vt:lpstr>EDB data_trans</vt:lpstr>
      <vt:lpstr>ACOT</vt:lpstr>
      <vt:lpstr>Other Options</vt:lpstr>
      <vt:lpstr>Working&gt;</vt:lpstr>
      <vt:lpstr>AMD Calculations</vt:lpstr>
      <vt:lpstr>Charges to party by investment</vt:lpstr>
      <vt:lpstr>Charges as $M per year</vt:lpstr>
      <vt:lpstr>Charges as $ per MWh</vt:lpstr>
      <vt:lpstr>Results&gt;</vt:lpstr>
      <vt:lpstr>Residential Cap</vt:lpstr>
      <vt:lpstr>ACOT_trans</vt:lpstr>
      <vt:lpstr>Deltas_trans </vt:lpstr>
      <vt:lpstr>Geographic sort_trans</vt:lpstr>
      <vt:lpstr>DC transition table</vt:lpstr>
      <vt:lpstr>'Charges as $ per MWh'!Print_Area</vt:lpstr>
      <vt:lpstr>'Charges to party by investment'!Print_Area</vt:lpstr>
      <vt:lpstr>'Mapping A'!Print_Area</vt:lpstr>
      <vt:lpstr>Notes!Print_Area</vt:lpstr>
      <vt:lpstr>'Recovery amounts'!Print_Area</vt:lpstr>
      <vt:lpstr>'Residential Cap'!Print_Area</vt:lpstr>
      <vt:lpstr>Volumes!Print_Area</vt:lpstr>
    </vt:vector>
  </TitlesOfParts>
  <Company>Concept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Bull</dc:creator>
  <cp:lastModifiedBy>blair robertson</cp:lastModifiedBy>
  <cp:lastPrinted>2016-12-07T20:13:31Z</cp:lastPrinted>
  <dcterms:created xsi:type="dcterms:W3CDTF">2015-09-28T03:40:47Z</dcterms:created>
  <dcterms:modified xsi:type="dcterms:W3CDTF">2016-12-20T23:43:17Z</dcterms:modified>
</cp:coreProperties>
</file>