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ml.chartshapes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defaultThemeVersion="124226"/>
  <bookViews>
    <workbookView xWindow="240" yWindow="465" windowWidth="14805" windowHeight="7650"/>
  </bookViews>
  <sheets>
    <sheet name="Fig 5" sheetId="3" r:id="rId1"/>
    <sheet name="Fig 6" sheetId="5" r:id="rId2"/>
    <sheet name="Figs 7 8 9" sheetId="6" r:id="rId3"/>
    <sheet name="Fig 11" sheetId="14" r:id="rId4"/>
    <sheet name="Figs 12 13" sheetId="21" r:id="rId5"/>
    <sheet name="Fig 14" sheetId="22" r:id="rId6"/>
    <sheet name="Figs 15 16" sheetId="20" r:id="rId7"/>
    <sheet name="Fig 17" sheetId="24" r:id="rId8"/>
    <sheet name="Fig 19" sheetId="1" r:id="rId9"/>
    <sheet name="Figs 23 24" sheetId="25" r:id="rId10"/>
    <sheet name="Figs 25 26" sheetId="26" r:id="rId11"/>
  </sheets>
  <definedNames>
    <definedName name="_Ref375581809" localSheetId="10">'Figs 25 26'!$L$1</definedName>
    <definedName name="_Toc377461357" localSheetId="2">'Figs 7 8 9'!$R$1</definedName>
    <definedName name="_Toc377461369" localSheetId="8">'Fig 19'!$D$1</definedName>
  </definedNames>
  <calcPr calcId="125725" calcOnSave="0"/>
</workbook>
</file>

<file path=xl/calcChain.xml><?xml version="1.0" encoding="utf-8"?>
<calcChain xmlns="http://schemas.openxmlformats.org/spreadsheetml/2006/main">
  <c r="J2" i="26"/>
  <c r="J3" l="1"/>
  <c r="J4" s="1"/>
  <c r="J5" s="1"/>
  <c r="J6" s="1"/>
  <c r="J7" s="1"/>
  <c r="E10" i="1"/>
  <c r="E9"/>
  <c r="E8"/>
  <c r="E6"/>
  <c r="E5"/>
  <c r="I2" i="26" l="1"/>
  <c r="I3" s="1"/>
  <c r="I4" s="1"/>
  <c r="I5" s="1"/>
  <c r="I6" s="1"/>
  <c r="I7" s="1"/>
  <c r="K15" i="25" l="1"/>
  <c r="K14"/>
  <c r="K13"/>
  <c r="K12"/>
  <c r="S11"/>
  <c r="R11"/>
  <c r="Q11"/>
  <c r="P11"/>
  <c r="O11"/>
  <c r="N11"/>
  <c r="M11"/>
  <c r="L11"/>
  <c r="K11"/>
  <c r="S7"/>
  <c r="S15" s="1"/>
  <c r="R7"/>
  <c r="R15" s="1"/>
  <c r="Q7"/>
  <c r="Q15" s="1"/>
  <c r="P7"/>
  <c r="P15" s="1"/>
  <c r="O7"/>
  <c r="O15" s="1"/>
  <c r="N7"/>
  <c r="N15" s="1"/>
  <c r="M7"/>
  <c r="M15" s="1"/>
  <c r="L7"/>
  <c r="L15" s="1"/>
  <c r="AB6"/>
  <c r="AC6" s="1"/>
  <c r="S6"/>
  <c r="S14" s="1"/>
  <c r="R6"/>
  <c r="R14" s="1"/>
  <c r="Q6"/>
  <c r="Q14" s="1"/>
  <c r="P6"/>
  <c r="P14" s="1"/>
  <c r="O6"/>
  <c r="O14" s="1"/>
  <c r="N6"/>
  <c r="N14" s="1"/>
  <c r="M6"/>
  <c r="M14" s="1"/>
  <c r="L6"/>
  <c r="L14" s="1"/>
  <c r="AB5"/>
  <c r="AC5" s="1"/>
  <c r="AA5"/>
  <c r="AA7" s="1"/>
  <c r="Z5"/>
  <c r="Z6" s="1"/>
  <c r="V5"/>
  <c r="S5"/>
  <c r="S13" s="1"/>
  <c r="R5"/>
  <c r="Q5"/>
  <c r="Q13" s="1"/>
  <c r="P5"/>
  <c r="O5"/>
  <c r="O13" s="1"/>
  <c r="N5"/>
  <c r="M5"/>
  <c r="M13" s="1"/>
  <c r="L5"/>
  <c r="AC4"/>
  <c r="AB4"/>
  <c r="AA4"/>
  <c r="Y4"/>
  <c r="X4"/>
  <c r="W4"/>
  <c r="S4"/>
  <c r="R4"/>
  <c r="R12" s="1"/>
  <c r="Q4"/>
  <c r="Q12" s="1"/>
  <c r="P4"/>
  <c r="P12" s="1"/>
  <c r="O4"/>
  <c r="O12" s="1"/>
  <c r="N4"/>
  <c r="N12" s="1"/>
  <c r="M4"/>
  <c r="M12" s="1"/>
  <c r="L4"/>
  <c r="L12" s="1"/>
  <c r="Z7" l="1"/>
  <c r="L13"/>
  <c r="P13"/>
  <c r="R13"/>
  <c r="N13"/>
  <c r="L8"/>
  <c r="P8"/>
  <c r="O8"/>
  <c r="S8"/>
  <c r="S12"/>
  <c r="AC7"/>
  <c r="M8"/>
  <c r="Q8"/>
  <c r="V6"/>
  <c r="X6" s="1"/>
  <c r="Y6" s="1"/>
  <c r="AB7"/>
  <c r="N8"/>
  <c r="R8"/>
  <c r="W5"/>
  <c r="W7" s="1"/>
  <c r="X5"/>
  <c r="Y5" s="1"/>
  <c r="Y7" l="1"/>
  <c r="V7"/>
  <c r="X7"/>
  <c r="D25" i="24" l="1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H11" i="3" l="1"/>
  <c r="H10"/>
  <c r="D2" i="6" l="1"/>
  <c r="I14" i="3" l="1"/>
  <c r="I13"/>
  <c r="I12"/>
  <c r="I11"/>
  <c r="I10"/>
  <c r="I9"/>
  <c r="I8"/>
  <c r="I7"/>
  <c r="I6"/>
  <c r="I5"/>
  <c r="I15" l="1"/>
  <c r="R77" i="20" l="1"/>
  <c r="Q77"/>
  <c r="R76"/>
  <c r="Q76"/>
  <c r="R75"/>
  <c r="Q75"/>
  <c r="R74"/>
  <c r="Q74"/>
  <c r="R73"/>
  <c r="Q73"/>
  <c r="R72"/>
  <c r="Q72"/>
  <c r="R71"/>
  <c r="Q71"/>
  <c r="R70"/>
  <c r="Q70"/>
  <c r="R69"/>
  <c r="Q69"/>
  <c r="R68"/>
  <c r="Q68"/>
  <c r="R67"/>
  <c r="Q67"/>
  <c r="R66"/>
  <c r="Q66"/>
  <c r="R65"/>
  <c r="Q65"/>
  <c r="R64"/>
  <c r="Q64"/>
  <c r="R63"/>
  <c r="Q63"/>
  <c r="R62"/>
  <c r="Q62"/>
  <c r="R61"/>
  <c r="Q61"/>
  <c r="R60"/>
  <c r="Q60"/>
  <c r="R59"/>
  <c r="Q59"/>
  <c r="R58"/>
  <c r="Q58"/>
  <c r="R57"/>
  <c r="Q57"/>
  <c r="R56"/>
  <c r="Q56"/>
  <c r="R55"/>
  <c r="Q55"/>
  <c r="R54"/>
  <c r="Q54"/>
  <c r="R53"/>
  <c r="Q53"/>
  <c r="R52"/>
  <c r="Q52"/>
  <c r="R51"/>
  <c r="Q51"/>
  <c r="R50"/>
  <c r="Q50"/>
  <c r="R49"/>
  <c r="Q49"/>
  <c r="R48"/>
  <c r="Q48"/>
  <c r="R47"/>
  <c r="Q47"/>
  <c r="R46"/>
  <c r="Q46"/>
  <c r="R45"/>
  <c r="Q45"/>
  <c r="R41"/>
  <c r="Q41"/>
  <c r="R40"/>
  <c r="Q40"/>
  <c r="R39"/>
  <c r="Q39"/>
  <c r="Q6" i="22" l="1"/>
  <c r="P6"/>
  <c r="O6"/>
  <c r="Q5"/>
  <c r="P5"/>
  <c r="O5"/>
  <c r="N6"/>
  <c r="N5"/>
  <c r="K6" l="1"/>
  <c r="J6"/>
  <c r="I6"/>
  <c r="K5"/>
  <c r="J5"/>
  <c r="I5"/>
  <c r="H6"/>
  <c r="H5"/>
  <c r="P77" i="20"/>
  <c r="O77"/>
  <c r="N77"/>
  <c r="M77"/>
  <c r="L77"/>
  <c r="K77"/>
  <c r="J77"/>
  <c r="I77"/>
  <c r="H77"/>
  <c r="G77"/>
  <c r="F77"/>
  <c r="E77"/>
  <c r="P76"/>
  <c r="O76"/>
  <c r="N76"/>
  <c r="M76"/>
  <c r="L76"/>
  <c r="K76"/>
  <c r="J76"/>
  <c r="I76"/>
  <c r="H76"/>
  <c r="G76"/>
  <c r="F76"/>
  <c r="E76"/>
  <c r="P75"/>
  <c r="O75"/>
  <c r="N75"/>
  <c r="M75"/>
  <c r="L75"/>
  <c r="K75"/>
  <c r="J75"/>
  <c r="I75"/>
  <c r="H75"/>
  <c r="G75"/>
  <c r="F75"/>
  <c r="E75"/>
  <c r="P74"/>
  <c r="O74"/>
  <c r="N74"/>
  <c r="M74"/>
  <c r="L74"/>
  <c r="K74"/>
  <c r="J74"/>
  <c r="I74"/>
  <c r="H74"/>
  <c r="G74"/>
  <c r="F74"/>
  <c r="E74"/>
  <c r="P73"/>
  <c r="O73"/>
  <c r="N73"/>
  <c r="M73"/>
  <c r="L73"/>
  <c r="K73"/>
  <c r="J73"/>
  <c r="I73"/>
  <c r="H73"/>
  <c r="G73"/>
  <c r="F73"/>
  <c r="E73"/>
  <c r="P72"/>
  <c r="O72"/>
  <c r="N72"/>
  <c r="M72"/>
  <c r="L72"/>
  <c r="K72"/>
  <c r="J72"/>
  <c r="I72"/>
  <c r="H72"/>
  <c r="G72"/>
  <c r="F72"/>
  <c r="E72"/>
  <c r="P71"/>
  <c r="O71"/>
  <c r="N71"/>
  <c r="M71"/>
  <c r="L71"/>
  <c r="K71"/>
  <c r="J71"/>
  <c r="I71"/>
  <c r="H71"/>
  <c r="G71"/>
  <c r="F71"/>
  <c r="E71"/>
  <c r="P70"/>
  <c r="O70"/>
  <c r="N70"/>
  <c r="M70"/>
  <c r="L70"/>
  <c r="K70"/>
  <c r="J70"/>
  <c r="I70"/>
  <c r="H70"/>
  <c r="G70"/>
  <c r="F70"/>
  <c r="E70"/>
  <c r="P69"/>
  <c r="O69"/>
  <c r="N69"/>
  <c r="M69"/>
  <c r="L69"/>
  <c r="K69"/>
  <c r="J69"/>
  <c r="I69"/>
  <c r="H69"/>
  <c r="G69"/>
  <c r="F69"/>
  <c r="E69"/>
  <c r="P68"/>
  <c r="O68"/>
  <c r="N68"/>
  <c r="M68"/>
  <c r="L68"/>
  <c r="K68"/>
  <c r="J68"/>
  <c r="I68"/>
  <c r="H68"/>
  <c r="G68"/>
  <c r="F68"/>
  <c r="E68"/>
  <c r="P67"/>
  <c r="O67"/>
  <c r="N67"/>
  <c r="M67"/>
  <c r="L67"/>
  <c r="K67"/>
  <c r="J67"/>
  <c r="I67"/>
  <c r="H67"/>
  <c r="G67"/>
  <c r="F67"/>
  <c r="E67"/>
  <c r="P66"/>
  <c r="O66"/>
  <c r="N66"/>
  <c r="M66"/>
  <c r="L66"/>
  <c r="K66"/>
  <c r="J66"/>
  <c r="I66"/>
  <c r="H66"/>
  <c r="G66"/>
  <c r="F66"/>
  <c r="E66"/>
  <c r="P65"/>
  <c r="O65"/>
  <c r="N65"/>
  <c r="M65"/>
  <c r="L65"/>
  <c r="K65"/>
  <c r="J65"/>
  <c r="I65"/>
  <c r="H65"/>
  <c r="G65"/>
  <c r="F65"/>
  <c r="E65"/>
  <c r="P64"/>
  <c r="O64"/>
  <c r="N64"/>
  <c r="M64"/>
  <c r="L64"/>
  <c r="K64"/>
  <c r="J64"/>
  <c r="I64"/>
  <c r="H64"/>
  <c r="G64"/>
  <c r="F64"/>
  <c r="E64"/>
  <c r="P63"/>
  <c r="O63"/>
  <c r="N63"/>
  <c r="M63"/>
  <c r="L63"/>
  <c r="K63"/>
  <c r="J63"/>
  <c r="I63"/>
  <c r="H63"/>
  <c r="G63"/>
  <c r="F63"/>
  <c r="E63"/>
  <c r="P62"/>
  <c r="O62"/>
  <c r="N62"/>
  <c r="M62"/>
  <c r="L62"/>
  <c r="K62"/>
  <c r="J62"/>
  <c r="I62"/>
  <c r="H62"/>
  <c r="G62"/>
  <c r="F62"/>
  <c r="E62"/>
  <c r="P61"/>
  <c r="O61"/>
  <c r="N61"/>
  <c r="M61"/>
  <c r="L61"/>
  <c r="K61"/>
  <c r="J61"/>
  <c r="I61"/>
  <c r="H61"/>
  <c r="G61"/>
  <c r="F61"/>
  <c r="E61"/>
  <c r="P60"/>
  <c r="O60"/>
  <c r="N60"/>
  <c r="M60"/>
  <c r="L60"/>
  <c r="K60"/>
  <c r="J60"/>
  <c r="I60"/>
  <c r="H60"/>
  <c r="G60"/>
  <c r="F60"/>
  <c r="E60"/>
  <c r="P59"/>
  <c r="O59"/>
  <c r="N59"/>
  <c r="M59"/>
  <c r="L59"/>
  <c r="K59"/>
  <c r="J59"/>
  <c r="I59"/>
  <c r="H59"/>
  <c r="G59"/>
  <c r="F59"/>
  <c r="E59"/>
  <c r="P58"/>
  <c r="O58"/>
  <c r="N58"/>
  <c r="M58"/>
  <c r="L58"/>
  <c r="K58"/>
  <c r="J58"/>
  <c r="I58"/>
  <c r="H58"/>
  <c r="G58"/>
  <c r="F58"/>
  <c r="E58"/>
  <c r="P57"/>
  <c r="O57"/>
  <c r="N57"/>
  <c r="M57"/>
  <c r="L57"/>
  <c r="K57"/>
  <c r="J57"/>
  <c r="I57"/>
  <c r="H57"/>
  <c r="G57"/>
  <c r="F57"/>
  <c r="E57"/>
  <c r="P56"/>
  <c r="O56"/>
  <c r="N56"/>
  <c r="M56"/>
  <c r="L56"/>
  <c r="K56"/>
  <c r="J56"/>
  <c r="I56"/>
  <c r="H56"/>
  <c r="G56"/>
  <c r="F56"/>
  <c r="E56"/>
  <c r="P55"/>
  <c r="O55"/>
  <c r="N55"/>
  <c r="M55"/>
  <c r="L55"/>
  <c r="K55"/>
  <c r="J55"/>
  <c r="I55"/>
  <c r="H55"/>
  <c r="G55"/>
  <c r="F55"/>
  <c r="E55"/>
  <c r="P54"/>
  <c r="O54"/>
  <c r="N54"/>
  <c r="M54"/>
  <c r="L54"/>
  <c r="K54"/>
  <c r="J54"/>
  <c r="I54"/>
  <c r="H54"/>
  <c r="G54"/>
  <c r="F54"/>
  <c r="E54"/>
  <c r="P53"/>
  <c r="O53"/>
  <c r="N53"/>
  <c r="M53"/>
  <c r="L53"/>
  <c r="K53"/>
  <c r="J53"/>
  <c r="I53"/>
  <c r="H53"/>
  <c r="G53"/>
  <c r="F53"/>
  <c r="E53"/>
  <c r="P52"/>
  <c r="O52"/>
  <c r="N52"/>
  <c r="M52"/>
  <c r="L52"/>
  <c r="K52"/>
  <c r="J52"/>
  <c r="I52"/>
  <c r="H52"/>
  <c r="G52"/>
  <c r="F52"/>
  <c r="E52"/>
  <c r="P51"/>
  <c r="O51"/>
  <c r="N51"/>
  <c r="M51"/>
  <c r="L51"/>
  <c r="K51"/>
  <c r="J51"/>
  <c r="I51"/>
  <c r="H51"/>
  <c r="G51"/>
  <c r="F51"/>
  <c r="E51"/>
  <c r="P50"/>
  <c r="O50"/>
  <c r="N50"/>
  <c r="M50"/>
  <c r="L50"/>
  <c r="K50"/>
  <c r="J50"/>
  <c r="I50"/>
  <c r="H50"/>
  <c r="G50"/>
  <c r="F50"/>
  <c r="E50"/>
  <c r="P49"/>
  <c r="O49"/>
  <c r="N49"/>
  <c r="M49"/>
  <c r="L49"/>
  <c r="K49"/>
  <c r="J49"/>
  <c r="I49"/>
  <c r="H49"/>
  <c r="G49"/>
  <c r="F49"/>
  <c r="E49"/>
  <c r="P48"/>
  <c r="O48"/>
  <c r="N48"/>
  <c r="M48"/>
  <c r="L48"/>
  <c r="K48"/>
  <c r="J48"/>
  <c r="I48"/>
  <c r="H48"/>
  <c r="G48"/>
  <c r="F48"/>
  <c r="E48"/>
  <c r="P47"/>
  <c r="O47"/>
  <c r="N47"/>
  <c r="M47"/>
  <c r="L47"/>
  <c r="K47"/>
  <c r="J47"/>
  <c r="I47"/>
  <c r="H47"/>
  <c r="G47"/>
  <c r="F47"/>
  <c r="E47"/>
  <c r="P46"/>
  <c r="O46"/>
  <c r="N46"/>
  <c r="M46"/>
  <c r="L46"/>
  <c r="K46"/>
  <c r="J46"/>
  <c r="I46"/>
  <c r="H46"/>
  <c r="G46"/>
  <c r="F46"/>
  <c r="E46"/>
  <c r="P45"/>
  <c r="O45"/>
  <c r="N45"/>
  <c r="M45"/>
  <c r="L45"/>
  <c r="K45"/>
  <c r="J45"/>
  <c r="I45"/>
  <c r="H45"/>
  <c r="G45"/>
  <c r="F45"/>
  <c r="E45"/>
  <c r="D70"/>
  <c r="D71"/>
  <c r="D72"/>
  <c r="D73"/>
  <c r="D74"/>
  <c r="D75"/>
  <c r="D76"/>
  <c r="D77"/>
  <c r="D6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49"/>
  <c r="D48"/>
  <c r="D47"/>
  <c r="D46"/>
  <c r="D45"/>
  <c r="P41"/>
  <c r="O41"/>
  <c r="N41"/>
  <c r="M41"/>
  <c r="E39"/>
  <c r="F39"/>
  <c r="G39"/>
  <c r="H39"/>
  <c r="I39"/>
  <c r="J39"/>
  <c r="K39"/>
  <c r="L39"/>
  <c r="M39"/>
  <c r="N39"/>
  <c r="O39"/>
  <c r="P39"/>
  <c r="E40"/>
  <c r="F40"/>
  <c r="G40"/>
  <c r="H40"/>
  <c r="I40"/>
  <c r="J40"/>
  <c r="K40"/>
  <c r="L40"/>
  <c r="M40"/>
  <c r="N40"/>
  <c r="O40"/>
  <c r="P40"/>
  <c r="D40"/>
  <c r="D39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5"/>
  <c r="J14" i="3"/>
  <c r="J13"/>
  <c r="J12"/>
  <c r="J11"/>
  <c r="J10"/>
  <c r="J9"/>
  <c r="J8"/>
  <c r="J7"/>
  <c r="J6"/>
  <c r="J5"/>
  <c r="I41" i="20" l="1"/>
  <c r="D41"/>
  <c r="K41"/>
  <c r="J41"/>
  <c r="F41"/>
  <c r="E41"/>
  <c r="G41"/>
  <c r="L41"/>
  <c r="H41"/>
  <c r="J15" i="3"/>
  <c r="H14" i="5" l="1"/>
  <c r="H13"/>
  <c r="H12"/>
  <c r="H11"/>
  <c r="H10"/>
  <c r="H9"/>
  <c r="H8"/>
  <c r="H7"/>
  <c r="H6"/>
  <c r="H5"/>
  <c r="L14"/>
  <c r="L13"/>
  <c r="L12"/>
  <c r="L11"/>
  <c r="L10"/>
  <c r="L9"/>
  <c r="L8"/>
  <c r="L7"/>
  <c r="L6"/>
  <c r="L5"/>
  <c r="L15" l="1"/>
  <c r="H15"/>
  <c r="N8" i="21"/>
  <c r="M8"/>
  <c r="L8"/>
  <c r="N7"/>
  <c r="M7"/>
  <c r="L7"/>
  <c r="N6"/>
  <c r="M6"/>
  <c r="L6"/>
  <c r="N5"/>
  <c r="M5"/>
  <c r="L5"/>
  <c r="M4"/>
  <c r="L4"/>
  <c r="P8" i="14" l="1"/>
  <c r="O8"/>
  <c r="N8"/>
  <c r="P7"/>
  <c r="O7"/>
  <c r="N7"/>
  <c r="P6"/>
  <c r="O6"/>
  <c r="N6"/>
  <c r="P5"/>
  <c r="O5"/>
  <c r="N5"/>
  <c r="K8"/>
  <c r="K7"/>
  <c r="K6"/>
  <c r="K5"/>
  <c r="J8"/>
  <c r="J7"/>
  <c r="J6"/>
  <c r="J5"/>
  <c r="I8"/>
  <c r="I7"/>
  <c r="I6"/>
  <c r="I5"/>
  <c r="F2" i="6" l="1"/>
  <c r="B2"/>
  <c r="K14" i="5" l="1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G5" i="3"/>
  <c r="H5"/>
  <c r="H6"/>
  <c r="H7"/>
  <c r="H8"/>
  <c r="H9"/>
  <c r="H12"/>
  <c r="H13"/>
  <c r="H14"/>
  <c r="G6"/>
  <c r="G7"/>
  <c r="G8"/>
  <c r="G9"/>
  <c r="G10"/>
  <c r="G11"/>
  <c r="G12"/>
  <c r="G13"/>
  <c r="G14"/>
  <c r="K15" i="5" l="1"/>
  <c r="J15"/>
  <c r="I15"/>
  <c r="H15" i="3"/>
  <c r="G15"/>
</calcChain>
</file>

<file path=xl/comments1.xml><?xml version="1.0" encoding="utf-8"?>
<comments xmlns="http://schemas.openxmlformats.org/spreadsheetml/2006/main">
  <authors>
    <author>Author</author>
  </authors>
  <commentList>
    <comment ref="B25" authorId="0">
      <text>
        <r>
          <rPr>
            <b/>
            <sz val="8"/>
            <color indexed="81"/>
            <rFont val="Tahoma"/>
            <charset val="1"/>
          </rPr>
          <t>Author:</t>
        </r>
        <r>
          <rPr>
            <sz val="8"/>
            <color indexed="81"/>
            <rFont val="Tahoma"/>
            <charset val="1"/>
          </rPr>
          <t xml:space="preserve">
This figure is not in the SQL database and is instead entered manually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2" authorId="0">
      <text>
        <r>
          <rPr>
            <b/>
            <sz val="8"/>
            <color indexed="81"/>
            <rFont val="Tahoma"/>
            <charset val="1"/>
          </rPr>
          <t>Author:</t>
        </r>
        <r>
          <rPr>
            <sz val="8"/>
            <color indexed="81"/>
            <rFont val="Tahoma"/>
            <charset val="1"/>
          </rPr>
          <t xml:space="preserve">
Entered manually, rather than through an SQL extract
</t>
        </r>
      </text>
    </comment>
    <comment ref="D2" authorId="0">
      <text>
        <r>
          <rPr>
            <b/>
            <sz val="8"/>
            <color indexed="81"/>
            <rFont val="Tahoma"/>
            <charset val="1"/>
          </rPr>
          <t>Author:</t>
        </r>
        <r>
          <rPr>
            <sz val="8"/>
            <color indexed="81"/>
            <rFont val="Tahoma"/>
            <charset val="1"/>
          </rPr>
          <t xml:space="preserve">
Entered manually, rather than through an SQL extract
</t>
        </r>
      </text>
    </comment>
    <comment ref="F2" authorId="0">
      <text>
        <r>
          <rPr>
            <b/>
            <sz val="8"/>
            <color indexed="81"/>
            <rFont val="Tahoma"/>
            <charset val="1"/>
          </rPr>
          <t>Author:</t>
        </r>
        <r>
          <rPr>
            <sz val="8"/>
            <color indexed="81"/>
            <rFont val="Tahoma"/>
            <charset val="1"/>
          </rPr>
          <t xml:space="preserve">
Entered manually, rather than through an SQL extract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These figures are hard-coded, workings can be provided on request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G2" authorId="0">
      <text>
        <r>
          <rPr>
            <b/>
            <sz val="8"/>
            <color indexed="81"/>
            <rFont val="Tahoma"/>
            <charset val="1"/>
          </rPr>
          <t>Author:</t>
        </r>
        <r>
          <rPr>
            <sz val="8"/>
            <color indexed="81"/>
            <rFont val="Tahoma"/>
            <charset val="1"/>
          </rPr>
          <t xml:space="preserve">
From e.g. "Incidence maps input data - load.xlsx"</t>
        </r>
      </text>
    </comment>
  </commentList>
</comments>
</file>

<file path=xl/sharedStrings.xml><?xml version="1.0" encoding="utf-8"?>
<sst xmlns="http://schemas.openxmlformats.org/spreadsheetml/2006/main" count="527" uniqueCount="222">
  <si>
    <t>spd_naan</t>
  </si>
  <si>
    <t>spd_nigu</t>
  </si>
  <si>
    <t>spd_wairakei_ring</t>
  </si>
  <si>
    <t>spd_bpe_hay</t>
  </si>
  <si>
    <t>spd_pole_2</t>
  </si>
  <si>
    <t>spd_pole_3</t>
  </si>
  <si>
    <t>spd_lsi_renewables</t>
  </si>
  <si>
    <t>spd_lsi_reliability</t>
  </si>
  <si>
    <t>Source</t>
  </si>
  <si>
    <t>Recovery ($M over 4 months)</t>
  </si>
  <si>
    <t>Approach</t>
  </si>
  <si>
    <t>spd_uni_reactive</t>
  </si>
  <si>
    <t>spd_usi_reactive</t>
  </si>
  <si>
    <t>SPD</t>
  </si>
  <si>
    <t>NAaN</t>
  </si>
  <si>
    <t>NIGU</t>
  </si>
  <si>
    <t>UNI Reactive</t>
  </si>
  <si>
    <t>Wairakei Ring</t>
  </si>
  <si>
    <t>BPE-HAY</t>
  </si>
  <si>
    <t>Pole 2</t>
  </si>
  <si>
    <t>Pole 3</t>
  </si>
  <si>
    <t>USI Reactive</t>
  </si>
  <si>
    <t>LSI Renewables</t>
  </si>
  <si>
    <t>LSI Reliability</t>
  </si>
  <si>
    <t>GIT</t>
  </si>
  <si>
    <t>Total</t>
  </si>
  <si>
    <t>Amount to be recovered for 4 months, $M (*)</t>
  </si>
  <si>
    <t>Investment</t>
  </si>
  <si>
    <t>GIT-based</t>
  </si>
  <si>
    <t>gross</t>
  </si>
  <si>
    <t>net</t>
  </si>
  <si>
    <t>investment</t>
  </si>
  <si>
    <t>(*) Assuming daily flooring and capping</t>
  </si>
  <si>
    <t>Gross benefit method</t>
  </si>
  <si>
    <t>daily</t>
  </si>
  <si>
    <t>monthly</t>
  </si>
  <si>
    <t>4monthly</t>
  </si>
  <si>
    <t>(*) Assuming the "gross benefit" method with daily capping</t>
  </si>
  <si>
    <t>(*) Assuming the gross benefit method</t>
  </si>
  <si>
    <t>Daily capping</t>
  </si>
  <si>
    <t>Monthly capping</t>
  </si>
  <si>
    <t>Capping over 4 months</t>
  </si>
  <si>
    <t>approach</t>
  </si>
  <si>
    <t>ni_load</t>
  </si>
  <si>
    <t>ni_generation</t>
  </si>
  <si>
    <t>si_load</t>
  </si>
  <si>
    <t>si_generation</t>
  </si>
  <si>
    <t>North Island load</t>
  </si>
  <si>
    <t>North Island generation</t>
  </si>
  <si>
    <t>South Island load</t>
  </si>
  <si>
    <t>South Island generation</t>
  </si>
  <si>
    <t>Contact</t>
  </si>
  <si>
    <t>Genesis</t>
  </si>
  <si>
    <t>Meridian</t>
  </si>
  <si>
    <t>MRP</t>
  </si>
  <si>
    <t>TrustPower</t>
  </si>
  <si>
    <t>Todd</t>
  </si>
  <si>
    <t>Pioneer</t>
  </si>
  <si>
    <t>Pulse</t>
  </si>
  <si>
    <t>Rayonier</t>
  </si>
  <si>
    <t>Kiwirail</t>
  </si>
  <si>
    <t>Fonterra</t>
  </si>
  <si>
    <t>CHH</t>
  </si>
  <si>
    <t>Methanex</t>
  </si>
  <si>
    <t>Winstones</t>
  </si>
  <si>
    <t>PanPac</t>
  </si>
  <si>
    <t>Other</t>
  </si>
  <si>
    <t>Pacific Steel</t>
  </si>
  <si>
    <t>King Country Energy</t>
  </si>
  <si>
    <t>Simply Energy</t>
  </si>
  <si>
    <t>Top Energy</t>
  </si>
  <si>
    <t>Daiken MDF</t>
  </si>
  <si>
    <t>NZ Steel</t>
  </si>
  <si>
    <t>Pacific Aluminium</t>
  </si>
  <si>
    <t>Norske Skog</t>
  </si>
  <si>
    <t>component</t>
  </si>
  <si>
    <t>NI load</t>
  </si>
  <si>
    <t>NI generation</t>
  </si>
  <si>
    <t>SI load</t>
  </si>
  <si>
    <t>SI generation</t>
  </si>
  <si>
    <t>Daily</t>
  </si>
  <si>
    <t>Monthly</t>
  </si>
  <si>
    <t>Average:</t>
  </si>
  <si>
    <t>node</t>
  </si>
  <si>
    <t>KAW0112</t>
  </si>
  <si>
    <t>Daily capping:</t>
  </si>
  <si>
    <t>variant</t>
  </si>
  <si>
    <t>4 month base approach</t>
  </si>
  <si>
    <t>4 month bidz 1</t>
  </si>
  <si>
    <t>4 month bidz 2</t>
  </si>
  <si>
    <t>4 month bidz 3</t>
  </si>
  <si>
    <t>Treatment of demand-side response</t>
  </si>
  <si>
    <t>% of charge borne by NI load (*)</t>
  </si>
  <si>
    <t>None</t>
  </si>
  <si>
    <t>Use actual bids into the PRS</t>
  </si>
  <si>
    <t>Use fixed bid quantities, based on actual bids</t>
  </si>
  <si>
    <t>Assume all load has elasticity of -0.01</t>
  </si>
  <si>
    <t>record_date</t>
  </si>
  <si>
    <t>raw_time</t>
  </si>
  <si>
    <t>tp</t>
  </si>
  <si>
    <t>demand</t>
  </si>
  <si>
    <t>price</t>
  </si>
  <si>
    <t>cost</t>
  </si>
  <si>
    <t>Benefit to Node</t>
  </si>
  <si>
    <t>dispatched_bid</t>
  </si>
  <si>
    <t>Dispatched Load</t>
  </si>
  <si>
    <t>Non Dispatched Bidded Load</t>
  </si>
  <si>
    <t>Benefit of HVDC upgrade</t>
  </si>
  <si>
    <t>Base Case</t>
  </si>
  <si>
    <t>No Bids</t>
  </si>
  <si>
    <t>No HVDC</t>
  </si>
  <si>
    <t>Bidz 1</t>
  </si>
  <si>
    <t>No HVDC - Bidz 1</t>
  </si>
  <si>
    <t>Bidz 2</t>
  </si>
  <si>
    <t>No HVDC - Bidz 2</t>
  </si>
  <si>
    <t>Bidz 3</t>
  </si>
  <si>
    <t>No HVDC - Bidz 3</t>
  </si>
  <si>
    <t>Factual</t>
  </si>
  <si>
    <t>Counterfactual - Base approach</t>
  </si>
  <si>
    <t>Counterfactual - Alternative 1: Actual bids</t>
  </si>
  <si>
    <t>Counterfactual - Alternative 3: Elasticity of -0.01</t>
  </si>
  <si>
    <t>Counterfactual - Alternative 2: Typical bids</t>
  </si>
  <si>
    <t>(Assuming the gross benefit method)</t>
  </si>
  <si>
    <t>(Assuming the "gross benefit" method with daily capping)</t>
  </si>
  <si>
    <t>(*) Assuming the "gross benefit" method with daily capping, where applicable</t>
  </si>
  <si>
    <t>halfhourly</t>
  </si>
  <si>
    <t>annual revenue requirement ($M)</t>
  </si>
  <si>
    <t>4/12 of annual</t>
  </si>
  <si>
    <t>revenue requirement</t>
  </si>
  <si>
    <t>Half-hourly capping</t>
  </si>
  <si>
    <t>Otahuhu GIS</t>
  </si>
  <si>
    <t>record_year</t>
  </si>
  <si>
    <t>record_month</t>
  </si>
  <si>
    <t>SPD method: NIGU</t>
  </si>
  <si>
    <t>SPD method: Wairakei Ring</t>
  </si>
  <si>
    <t>SPD method: Pole 3</t>
  </si>
  <si>
    <t>Zonal 3: LSI-CSI</t>
  </si>
  <si>
    <t>NI gen</t>
  </si>
  <si>
    <t>SI gen</t>
  </si>
  <si>
    <t>LSI gen</t>
  </si>
  <si>
    <t>LSI load</t>
  </si>
  <si>
    <t>UNI load</t>
  </si>
  <si>
    <t>Waikato and BOP gen</t>
  </si>
  <si>
    <t>Other gen</t>
  </si>
  <si>
    <t>Other load</t>
  </si>
  <si>
    <t>date</t>
  </si>
  <si>
    <t>2013 (pro-rated)</t>
  </si>
  <si>
    <t>24-month rolling average</t>
  </si>
  <si>
    <t>VoLL in the counterfactual</t>
  </si>
  <si>
    <t>VoLL in the counterfactual ($/MWh)</t>
  </si>
  <si>
    <t>$3000/MWh (base case)</t>
  </si>
  <si>
    <t>$1000/MWh</t>
  </si>
  <si>
    <t>Amount to be recovered for Pole 2 for 4 months, $M (*)</t>
  </si>
  <si>
    <t>Zonal 3: CNI-UNI</t>
  </si>
  <si>
    <t>net unfloored</t>
  </si>
  <si>
    <t>Net benefits only</t>
  </si>
  <si>
    <t>Net benefits with compensation</t>
  </si>
  <si>
    <t>YES</t>
  </si>
  <si>
    <t>party</t>
  </si>
  <si>
    <t>base</t>
  </si>
  <si>
    <t>with_IR_charge</t>
  </si>
  <si>
    <t>gross_or_net</t>
  </si>
  <si>
    <t>charge_type</t>
  </si>
  <si>
    <t>island</t>
  </si>
  <si>
    <t>sum(charge_with_daily_capping)</t>
  </si>
  <si>
    <t>Gross SPD, varying GIT rate</t>
  </si>
  <si>
    <t>Simplified SPD (gross)</t>
  </si>
  <si>
    <t>GIT-based + simplified SPD (gross)</t>
  </si>
  <si>
    <t>Simplified SPD (gross) + GIT-based (varying rate)</t>
  </si>
  <si>
    <t>Simplified SPD (gross) + GIT-based (constant rate)</t>
  </si>
  <si>
    <t>Simplified SPD (net)</t>
  </si>
  <si>
    <t>GIT-based + simplified SPD (net)</t>
  </si>
  <si>
    <t>Simplified SPD (net) + GIT-based (varying rate)</t>
  </si>
  <si>
    <t>Simplified SPD (net) + GIT-based (constant rate)</t>
  </si>
  <si>
    <t xml:space="preserve">load         </t>
  </si>
  <si>
    <t>N</t>
  </si>
  <si>
    <t>sum(git_charge)</t>
  </si>
  <si>
    <t>S</t>
  </si>
  <si>
    <t>negative_load</t>
  </si>
  <si>
    <t>Gross SPD, constant GIT rate</t>
  </si>
  <si>
    <t>SUM(git_charge)</t>
  </si>
  <si>
    <t xml:space="preserve">offered_gen  </t>
  </si>
  <si>
    <t>Net SPD, varying GIT rate</t>
  </si>
  <si>
    <t>Net SPD, constant GIT rate</t>
  </si>
  <si>
    <t>SUM(charge_with_daily_capping)</t>
  </si>
  <si>
    <t>SPD economic</t>
  </si>
  <si>
    <t>Time period</t>
  </si>
  <si>
    <t>July</t>
  </si>
  <si>
    <t>August</t>
  </si>
  <si>
    <t>September</t>
  </si>
  <si>
    <t>October</t>
  </si>
  <si>
    <t>Charging rate is constant over 4 months</t>
  </si>
  <si>
    <t>KEN0331 - GIT-based post SPD</t>
  </si>
  <si>
    <t>KEN0331 - SPD only</t>
  </si>
  <si>
    <t>Simplified SPD</t>
  </si>
  <si>
    <t>Figure 19: Revenue recovered for investments under GIT based and Simplified SPD charges for 4 months</t>
  </si>
  <si>
    <t>Figure 5: Net versus gross benefit charging (with SPD charges calculated using daily capping)</t>
  </si>
  <si>
    <r>
      <t>Figure 6: Effect of capping period on revenue recovery.</t>
    </r>
    <r>
      <rPr>
        <sz val="11"/>
        <color theme="5"/>
        <rFont val="Calibri"/>
        <family val="2"/>
        <scheme val="minor"/>
      </rPr>
      <t xml:space="preserve"> SPD charges calculated using gross benefit</t>
    </r>
  </si>
  <si>
    <t>Figure 7: Charges in top 50 trading periods – Wairakei Ring</t>
  </si>
  <si>
    <t>Figure 9: Charges in top 50 trading periods – Pole 3</t>
  </si>
  <si>
    <t>Figure 8: Charges in top 50 trading periods – NIGU</t>
  </si>
  <si>
    <t>(*) Assuming the "gross benefit" method with monthly capping</t>
  </si>
  <si>
    <t>Figure 11a: Incidence of SPD charges on North Island load under different approaches to demand response for daily capping</t>
  </si>
  <si>
    <t>Figure 11b: Incidence of SPD charges on North Island load under different approaches to demand response for monthly capping</t>
  </si>
  <si>
    <t>Figure 12: Impact of approach to demand response in SPD method on prices in counterfactual for KAW0112 for trading period 21 of 9 July 2013</t>
  </si>
  <si>
    <t>Figure 13: Impact of approach to demand response in SPD method on estimates of the benefit from the HVDC link at KAW0112 for trading period 21 on 9 July 2013</t>
  </si>
  <si>
    <t>Figure 14a: Effect of price for non-supply in Pole 2 counterfactual on charge allocation under the SPD method using daily capping</t>
  </si>
  <si>
    <t>Figure 14b: Effect of price for non-supply in Pole 2 counterfactual on charge allocation under the SPD method using monthly capping</t>
  </si>
  <si>
    <t>Figure 15: Incidence of SPD charges calculated half hourly and charged monthly</t>
  </si>
  <si>
    <t>Figure 16: Incidence of SPD charges for Pole 3 using 2-year rolling average</t>
  </si>
  <si>
    <t>Figure 17: SPD charges for Pole 3 for IR providers from not taking into account (base) and taking into account change in producer surplus of IR providers (gross benefit, daily capping)</t>
  </si>
  <si>
    <t>For graphing (work-around to get negative bars to work correctly):</t>
  </si>
  <si>
    <t xml:space="preserve">Figure 23: Revenue recovered over four months under SPD-plus-GIT option compared with Simplified SPD and GIT-plus-SPD options </t>
  </si>
  <si>
    <t xml:space="preserve">Figure 24: Extent to which costs are recovered under GIT-based versus SPD charges under different options for four months </t>
  </si>
  <si>
    <t>Working</t>
  </si>
  <si>
    <t>Figure 25: GIT-based charge for KEN node over four months</t>
  </si>
  <si>
    <t>Figure 26: SPD and GIT-based charges for KEN node over four months</t>
  </si>
  <si>
    <t>Simplified SPD (economic)</t>
  </si>
  <si>
    <t>Simplified SPD (reliability)</t>
  </si>
  <si>
    <t>These source data are not in "Data for Excel graphs.sql" as they were not extracted using a SQL query, but their derivation can be provided on request</t>
  </si>
  <si>
    <t>Average - GIT only</t>
  </si>
  <si>
    <t>Average - SPD and GIT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</si>
</sst>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0" fillId="0" borderId="0" xfId="0" applyAlignment="1">
      <alignment horizontal="right"/>
    </xf>
    <xf numFmtId="0" fontId="1" fillId="0" borderId="0" xfId="0" applyFont="1"/>
    <xf numFmtId="0" fontId="1" fillId="0" borderId="1" xfId="0" applyFont="1" applyBorder="1"/>
    <xf numFmtId="0" fontId="1" fillId="0" borderId="3" xfId="0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1" xfId="0" applyBorder="1"/>
    <xf numFmtId="0" fontId="0" fillId="0" borderId="9" xfId="0" applyBorder="1"/>
    <xf numFmtId="0" fontId="1" fillId="0" borderId="10" xfId="0" applyFont="1" applyBorder="1"/>
    <xf numFmtId="0" fontId="1" fillId="0" borderId="9" xfId="0" applyFont="1" applyBorder="1"/>
    <xf numFmtId="2" fontId="0" fillId="0" borderId="0" xfId="0" applyNumberFormat="1"/>
    <xf numFmtId="164" fontId="0" fillId="0" borderId="0" xfId="0" applyNumberFormat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64" fontId="0" fillId="2" borderId="5" xfId="0" applyNumberFormat="1" applyFill="1" applyBorder="1"/>
    <xf numFmtId="0" fontId="1" fillId="0" borderId="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1" fillId="0" borderId="1" xfId="0" applyFont="1" applyBorder="1" applyAlignment="1"/>
    <xf numFmtId="0" fontId="1" fillId="0" borderId="12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14" xfId="0" applyFont="1" applyBorder="1"/>
    <xf numFmtId="164" fontId="0" fillId="0" borderId="1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2" borderId="0" xfId="0" applyNumberFormat="1" applyFill="1"/>
    <xf numFmtId="0" fontId="1" fillId="0" borderId="2" xfId="0" applyFont="1" applyBorder="1" applyAlignment="1"/>
    <xf numFmtId="0" fontId="1" fillId="0" borderId="10" xfId="0" applyFont="1" applyBorder="1" applyAlignment="1">
      <alignment horizontal="right"/>
    </xf>
    <xf numFmtId="164" fontId="0" fillId="0" borderId="2" xfId="0" applyNumberFormat="1" applyBorder="1"/>
    <xf numFmtId="164" fontId="0" fillId="0" borderId="0" xfId="0" applyNumberFormat="1" applyBorder="1"/>
    <xf numFmtId="164" fontId="0" fillId="0" borderId="7" xfId="0" applyNumberFormat="1" applyBorder="1"/>
    <xf numFmtId="164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 horizontal="right"/>
    </xf>
    <xf numFmtId="0" fontId="1" fillId="0" borderId="0" xfId="0" applyFont="1" applyBorder="1" applyAlignment="1">
      <alignment horizontal="right"/>
    </xf>
    <xf numFmtId="1" fontId="0" fillId="2" borderId="0" xfId="0" applyNumberFormat="1" applyFill="1"/>
    <xf numFmtId="0" fontId="0" fillId="0" borderId="0" xfId="0" applyAlignment="1">
      <alignment horizontal="left"/>
    </xf>
    <xf numFmtId="1" fontId="0" fillId="2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9" fontId="0" fillId="0" borderId="0" xfId="1" applyFont="1" applyBorder="1"/>
    <xf numFmtId="9" fontId="0" fillId="0" borderId="5" xfId="1" applyFont="1" applyBorder="1"/>
    <xf numFmtId="9" fontId="0" fillId="0" borderId="7" xfId="1" applyFont="1" applyBorder="1"/>
    <xf numFmtId="9" fontId="0" fillId="0" borderId="8" xfId="1" applyFont="1" applyBorder="1"/>
    <xf numFmtId="9" fontId="0" fillId="0" borderId="2" xfId="1" applyFont="1" applyBorder="1"/>
    <xf numFmtId="9" fontId="0" fillId="0" borderId="3" xfId="1" applyFont="1" applyBorder="1"/>
    <xf numFmtId="0" fontId="0" fillId="0" borderId="0" xfId="0" applyFill="1"/>
    <xf numFmtId="0" fontId="6" fillId="0" borderId="0" xfId="0" applyFont="1"/>
    <xf numFmtId="0" fontId="0" fillId="2" borderId="0" xfId="0" applyFill="1" applyAlignment="1">
      <alignment horizontal="right"/>
    </xf>
    <xf numFmtId="2" fontId="3" fillId="0" borderId="0" xfId="0" applyNumberFormat="1" applyFont="1" applyAlignment="1">
      <alignment horizontal="right"/>
    </xf>
    <xf numFmtId="2" fontId="0" fillId="2" borderId="0" xfId="0" applyNumberFormat="1" applyFill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1" fillId="0" borderId="15" xfId="0" applyFont="1" applyBorder="1"/>
    <xf numFmtId="2" fontId="1" fillId="0" borderId="0" xfId="0" applyNumberFormat="1" applyFont="1" applyBorder="1" applyAlignment="1">
      <alignment horizontal="right"/>
    </xf>
    <xf numFmtId="14" fontId="0" fillId="2" borderId="0" xfId="0" applyNumberFormat="1" applyFill="1" applyAlignment="1">
      <alignment horizontal="right"/>
    </xf>
    <xf numFmtId="20" fontId="0" fillId="2" borderId="0" xfId="0" applyNumberFormat="1" applyFill="1" applyAlignment="1">
      <alignment horizontal="right"/>
    </xf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64" fontId="0" fillId="0" borderId="6" xfId="0" applyNumberFormat="1" applyFont="1" applyBorder="1"/>
    <xf numFmtId="0" fontId="7" fillId="0" borderId="0" xfId="0" applyFo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4" fillId="0" borderId="0" xfId="0" applyFont="1" applyFill="1"/>
    <xf numFmtId="14" fontId="4" fillId="0" borderId="0" xfId="0" applyNumberFormat="1" applyFont="1"/>
    <xf numFmtId="0" fontId="8" fillId="0" borderId="0" xfId="0" applyFont="1"/>
    <xf numFmtId="0" fontId="0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164" fontId="0" fillId="0" borderId="2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4" fontId="0" fillId="0" borderId="8" xfId="1" applyNumberFormat="1" applyFont="1" applyBorder="1" applyAlignment="1">
      <alignment horizontal="right"/>
    </xf>
    <xf numFmtId="0" fontId="3" fillId="0" borderId="0" xfId="0" applyFont="1" applyFill="1"/>
    <xf numFmtId="0" fontId="1" fillId="0" borderId="2" xfId="0" applyFont="1" applyBorder="1" applyAlignment="1">
      <alignment horizontal="center"/>
    </xf>
    <xf numFmtId="164" fontId="0" fillId="0" borderId="2" xfId="0" applyNumberFormat="1" applyFill="1" applyBorder="1"/>
    <xf numFmtId="164" fontId="0" fillId="0" borderId="0" xfId="0" applyNumberFormat="1" applyFill="1" applyBorder="1"/>
    <xf numFmtId="164" fontId="0" fillId="0" borderId="7" xfId="0" applyNumberFormat="1" applyFill="1" applyBorder="1"/>
    <xf numFmtId="9" fontId="0" fillId="0" borderId="0" xfId="1" applyFont="1"/>
    <xf numFmtId="0" fontId="1" fillId="0" borderId="3" xfId="0" applyFont="1" applyBorder="1" applyAlignment="1">
      <alignment horizontal="right" wrapText="1"/>
    </xf>
    <xf numFmtId="164" fontId="0" fillId="0" borderId="4" xfId="0" applyNumberFormat="1" applyBorder="1" applyAlignment="1">
      <alignment horizontal="right"/>
    </xf>
    <xf numFmtId="164" fontId="0" fillId="2" borderId="5" xfId="0" applyNumberFormat="1" applyFill="1" applyBorder="1" applyAlignment="1">
      <alignment horizontal="right"/>
    </xf>
    <xf numFmtId="0" fontId="0" fillId="2" borderId="4" xfId="0" applyFill="1" applyBorder="1"/>
    <xf numFmtId="164" fontId="0" fillId="0" borderId="6" xfId="0" applyNumberFormat="1" applyBorder="1" applyAlignment="1">
      <alignment horizontal="right"/>
    </xf>
    <xf numFmtId="164" fontId="0" fillId="2" borderId="8" xfId="0" applyNumberFormat="1" applyFill="1" applyBorder="1" applyAlignment="1">
      <alignment horizontal="right"/>
    </xf>
    <xf numFmtId="0" fontId="0" fillId="0" borderId="0" xfId="0" applyFont="1"/>
    <xf numFmtId="0" fontId="12" fillId="0" borderId="0" xfId="0" applyFont="1"/>
    <xf numFmtId="0" fontId="13" fillId="0" borderId="0" xfId="0" applyFont="1"/>
    <xf numFmtId="164" fontId="13" fillId="0" borderId="0" xfId="0" applyNumberFormat="1" applyFont="1"/>
    <xf numFmtId="0" fontId="0" fillId="2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2" fontId="0" fillId="2" borderId="0" xfId="0" applyNumberFormat="1" applyFont="1" applyFill="1" applyAlignment="1">
      <alignment horizontal="right" wrapText="1"/>
    </xf>
    <xf numFmtId="0" fontId="0" fillId="0" borderId="0" xfId="0" applyFill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0.10665160506952266"/>
          <c:y val="3.5259623797025401E-2"/>
          <c:w val="0.86792516104026318"/>
          <c:h val="0.71785148731408976"/>
        </c:manualLayout>
      </c:layout>
      <c:barChart>
        <c:barDir val="col"/>
        <c:grouping val="clustered"/>
        <c:ser>
          <c:idx val="0"/>
          <c:order val="0"/>
          <c:tx>
            <c:strRef>
              <c:f>'Fig 5'!$G$4</c:f>
              <c:strCache>
                <c:ptCount val="1"/>
                <c:pt idx="0">
                  <c:v>Gross benefit method</c:v>
                </c:pt>
              </c:strCache>
            </c:strRef>
          </c:tx>
          <c:cat>
            <c:strRef>
              <c:f>'Fig 5'!$F$5:$F$14</c:f>
              <c:strCache>
                <c:ptCount val="10"/>
                <c:pt idx="0">
                  <c:v>NAaN</c:v>
                </c:pt>
                <c:pt idx="1">
                  <c:v>NIGU</c:v>
                </c:pt>
                <c:pt idx="2">
                  <c:v>UNI Reactive</c:v>
                </c:pt>
                <c:pt idx="3">
                  <c:v>Wairakei Ring</c:v>
                </c:pt>
                <c:pt idx="4">
                  <c:v>BPE-HAY</c:v>
                </c:pt>
                <c:pt idx="5">
                  <c:v>Pole 2</c:v>
                </c:pt>
                <c:pt idx="6">
                  <c:v>Pole 3</c:v>
                </c:pt>
                <c:pt idx="7">
                  <c:v>USI Reactive</c:v>
                </c:pt>
                <c:pt idx="8">
                  <c:v>LSI Renewables</c:v>
                </c:pt>
                <c:pt idx="9">
                  <c:v>LSI Reliability</c:v>
                </c:pt>
              </c:strCache>
            </c:strRef>
          </c:cat>
          <c:val>
            <c:numRef>
              <c:f>'Fig 5'!$G$5:$G$14</c:f>
              <c:numCache>
                <c:formatCode>0.0</c:formatCode>
                <c:ptCount val="10"/>
                <c:pt idx="0">
                  <c:v>4.2810780092921599</c:v>
                </c:pt>
                <c:pt idx="1">
                  <c:v>27.0643241546822</c:v>
                </c:pt>
                <c:pt idx="2">
                  <c:v>0</c:v>
                </c:pt>
                <c:pt idx="3">
                  <c:v>4.3328851339153198</c:v>
                </c:pt>
                <c:pt idx="4">
                  <c:v>1.0342371901349201</c:v>
                </c:pt>
                <c:pt idx="5">
                  <c:v>17.174914817772201</c:v>
                </c:pt>
                <c:pt idx="6">
                  <c:v>14.4777079700148</c:v>
                </c:pt>
                <c:pt idx="7">
                  <c:v>0.19178310225585399</c:v>
                </c:pt>
                <c:pt idx="8">
                  <c:v>4.2213764034994599</c:v>
                </c:pt>
                <c:pt idx="9">
                  <c:v>0.92059133209890898</c:v>
                </c:pt>
              </c:numCache>
            </c:numRef>
          </c:val>
        </c:ser>
        <c:ser>
          <c:idx val="1"/>
          <c:order val="1"/>
          <c:tx>
            <c:strRef>
              <c:f>'Fig 5'!$H$4</c:f>
              <c:strCache>
                <c:ptCount val="1"/>
                <c:pt idx="0">
                  <c:v>Net benefits only</c:v>
                </c:pt>
              </c:strCache>
            </c:strRef>
          </c:tx>
          <c:cat>
            <c:strRef>
              <c:f>'Fig 5'!$F$5:$F$14</c:f>
              <c:strCache>
                <c:ptCount val="10"/>
                <c:pt idx="0">
                  <c:v>NAaN</c:v>
                </c:pt>
                <c:pt idx="1">
                  <c:v>NIGU</c:v>
                </c:pt>
                <c:pt idx="2">
                  <c:v>UNI Reactive</c:v>
                </c:pt>
                <c:pt idx="3">
                  <c:v>Wairakei Ring</c:v>
                </c:pt>
                <c:pt idx="4">
                  <c:v>BPE-HAY</c:v>
                </c:pt>
                <c:pt idx="5">
                  <c:v>Pole 2</c:v>
                </c:pt>
                <c:pt idx="6">
                  <c:v>Pole 3</c:v>
                </c:pt>
                <c:pt idx="7">
                  <c:v>USI Reactive</c:v>
                </c:pt>
                <c:pt idx="8">
                  <c:v>LSI Renewables</c:v>
                </c:pt>
                <c:pt idx="9">
                  <c:v>LSI Reliability</c:v>
                </c:pt>
              </c:strCache>
            </c:strRef>
          </c:cat>
          <c:val>
            <c:numRef>
              <c:f>'Fig 5'!$H$5:$H$14</c:f>
              <c:numCache>
                <c:formatCode>0.0</c:formatCode>
                <c:ptCount val="10"/>
                <c:pt idx="0">
                  <c:v>1.7861840600838499</c:v>
                </c:pt>
                <c:pt idx="1">
                  <c:v>13.833241023894301</c:v>
                </c:pt>
                <c:pt idx="2">
                  <c:v>0</c:v>
                </c:pt>
                <c:pt idx="3">
                  <c:v>3.70020818869027</c:v>
                </c:pt>
                <c:pt idx="4">
                  <c:v>0.58263048843832499</c:v>
                </c:pt>
                <c:pt idx="5">
                  <c:v>16.984841975656401</c:v>
                </c:pt>
                <c:pt idx="6">
                  <c:v>7.9685605710747103</c:v>
                </c:pt>
                <c:pt idx="7">
                  <c:v>0.191789588710464</c:v>
                </c:pt>
                <c:pt idx="8">
                  <c:v>1.56971493542026</c:v>
                </c:pt>
                <c:pt idx="9">
                  <c:v>0.62849308025211903</c:v>
                </c:pt>
              </c:numCache>
            </c:numRef>
          </c:val>
        </c:ser>
        <c:ser>
          <c:idx val="3"/>
          <c:order val="2"/>
          <c:tx>
            <c:strRef>
              <c:f>'Fig 5'!$I$4</c:f>
              <c:strCache>
                <c:ptCount val="1"/>
                <c:pt idx="0">
                  <c:v>Net benefits with compensation</c:v>
                </c:pt>
              </c:strCache>
            </c:strRef>
          </c:tx>
          <c:spPr>
            <a:solidFill>
              <a:schemeClr val="accent3"/>
            </a:solidFill>
          </c:spPr>
          <c:val>
            <c:numRef>
              <c:f>'Fig 5'!$I$5:$I$14</c:f>
              <c:numCache>
                <c:formatCode>0.0</c:formatCode>
                <c:ptCount val="10"/>
                <c:pt idx="0">
                  <c:v>1.6582444449314999</c:v>
                </c:pt>
                <c:pt idx="1">
                  <c:v>11.336599724931499</c:v>
                </c:pt>
                <c:pt idx="2">
                  <c:v>0</c:v>
                </c:pt>
                <c:pt idx="3">
                  <c:v>3.4763183601369798</c:v>
                </c:pt>
                <c:pt idx="4">
                  <c:v>0.30814734000000099</c:v>
                </c:pt>
                <c:pt idx="5">
                  <c:v>14.873334371369801</c:v>
                </c:pt>
                <c:pt idx="6">
                  <c:v>5.0780597483561403</c:v>
                </c:pt>
                <c:pt idx="7">
                  <c:v>0.191788291917807</c:v>
                </c:pt>
                <c:pt idx="8">
                  <c:v>0.86250127000000598</c:v>
                </c:pt>
                <c:pt idx="9">
                  <c:v>0.36008848616438399</c:v>
                </c:pt>
              </c:numCache>
            </c:numRef>
          </c:val>
        </c:ser>
        <c:dLbls/>
        <c:gapWidth val="78"/>
        <c:axId val="58241792"/>
        <c:axId val="58243712"/>
      </c:barChart>
      <c:barChart>
        <c:barDir val="col"/>
        <c:grouping val="clustered"/>
        <c:ser>
          <c:idx val="2"/>
          <c:order val="3"/>
          <c:tx>
            <c:v>Revenue requirement</c:v>
          </c:tx>
          <c:spPr>
            <a:noFill/>
            <a:ln>
              <a:solidFill>
                <a:schemeClr val="tx1"/>
              </a:solidFill>
            </a:ln>
          </c:spPr>
          <c:val>
            <c:numRef>
              <c:f>'Fig 5'!$J$5:$J$14</c:f>
              <c:numCache>
                <c:formatCode>0.0</c:formatCode>
                <c:ptCount val="10"/>
                <c:pt idx="0">
                  <c:v>11.457534246575342</c:v>
                </c:pt>
                <c:pt idx="1">
                  <c:v>30.328767123287673</c:v>
                </c:pt>
                <c:pt idx="2">
                  <c:v>2.6958904109589041</c:v>
                </c:pt>
                <c:pt idx="3">
                  <c:v>4.3808219178082188</c:v>
                </c:pt>
                <c:pt idx="4">
                  <c:v>2.6958904109589041</c:v>
                </c:pt>
                <c:pt idx="5">
                  <c:v>17.186301369863013</c:v>
                </c:pt>
                <c:pt idx="6">
                  <c:v>24.936986301369863</c:v>
                </c:pt>
                <c:pt idx="7">
                  <c:v>1.6849315068493151</c:v>
                </c:pt>
                <c:pt idx="8">
                  <c:v>9.0986301369863014</c:v>
                </c:pt>
                <c:pt idx="9">
                  <c:v>1.010958904109589</c:v>
                </c:pt>
              </c:numCache>
            </c:numRef>
          </c:val>
        </c:ser>
        <c:dLbls/>
        <c:gapWidth val="26"/>
        <c:axId val="58259712"/>
        <c:axId val="58258176"/>
      </c:barChart>
      <c:catAx>
        <c:axId val="58241792"/>
        <c:scaling>
          <c:orientation val="minMax"/>
        </c:scaling>
        <c:axPos val="b"/>
        <c:title>
          <c:tx>
            <c:strRef>
              <c:f>'Fig 5'!$F$4</c:f>
              <c:strCache>
                <c:ptCount val="1"/>
                <c:pt idx="0">
                  <c:v>Investment</c:v>
                </c:pt>
              </c:strCache>
            </c:strRef>
          </c:tx>
          <c:layout>
            <c:manualLayout>
              <c:xMode val="edge"/>
              <c:yMode val="edge"/>
              <c:x val="0.47776017984813995"/>
              <c:y val="0.94452972159518678"/>
            </c:manualLayout>
          </c:layout>
        </c:title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8243712"/>
        <c:crosses val="autoZero"/>
        <c:auto val="1"/>
        <c:lblAlgn val="ctr"/>
        <c:lblOffset val="100"/>
      </c:catAx>
      <c:valAx>
        <c:axId val="58243712"/>
        <c:scaling>
          <c:orientation val="minMax"/>
          <c:max val="35"/>
        </c:scaling>
        <c:axPos val="l"/>
        <c:majorGridlines/>
        <c:title>
          <c:tx>
            <c:strRef>
              <c:f>'Fig 5'!$H$3</c:f>
              <c:strCache>
                <c:ptCount val="1"/>
                <c:pt idx="0">
                  <c:v>Amount to be recovered for 4 months, $M (*)</c:v>
                </c:pt>
              </c:strCache>
            </c:strRef>
          </c:tx>
          <c:layout>
            <c:manualLayout>
              <c:xMode val="edge"/>
              <c:yMode val="edge"/>
              <c:x val="9.8047050289838227E-3"/>
              <c:y val="0.10969378827646604"/>
            </c:manualLayout>
          </c:layout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0"/>
        <c:tickLblPos val="nextTo"/>
        <c:crossAx val="58241792"/>
        <c:crosses val="autoZero"/>
        <c:crossBetween val="between"/>
      </c:valAx>
      <c:valAx>
        <c:axId val="58258176"/>
        <c:scaling>
          <c:orientation val="minMax"/>
        </c:scaling>
        <c:delete val="1"/>
        <c:axPos val="r"/>
        <c:numFmt formatCode="0.0" sourceLinked="1"/>
        <c:tickLblPos val="none"/>
        <c:crossAx val="58259712"/>
        <c:crosses val="max"/>
        <c:crossBetween val="between"/>
      </c:valAx>
      <c:catAx>
        <c:axId val="58259712"/>
        <c:scaling>
          <c:orientation val="minMax"/>
        </c:scaling>
        <c:delete val="1"/>
        <c:axPos val="b"/>
        <c:tickLblPos val="none"/>
        <c:crossAx val="5825817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28600868711635796"/>
          <c:y val="4.917869641294844E-2"/>
          <c:w val="0.32206778500513544"/>
          <c:h val="0.24545931758530207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col"/>
        <c:grouping val="stacked"/>
        <c:ser>
          <c:idx val="2"/>
          <c:order val="0"/>
          <c:tx>
            <c:v>SI generation</c:v>
          </c:tx>
          <c:spPr>
            <a:solidFill>
              <a:schemeClr val="accent4"/>
            </a:solidFill>
          </c:spPr>
          <c:cat>
            <c:numRef>
              <c:f>'Figs 15 16'!$A$39:$A$41</c:f>
              <c:numCache>
                <c:formatCode>General</c:formatCode>
                <c:ptCount val="3"/>
              </c:numCache>
            </c:numRef>
          </c:cat>
          <c:val>
            <c:numRef>
              <c:f>'Fig 14'!$K$5:$K$6</c:f>
              <c:numCache>
                <c:formatCode>0.0</c:formatCode>
                <c:ptCount val="2"/>
                <c:pt idx="0">
                  <c:v>2.9096594489321701</c:v>
                </c:pt>
                <c:pt idx="1">
                  <c:v>3.23278201751131</c:v>
                </c:pt>
              </c:numCache>
            </c:numRef>
          </c:val>
        </c:ser>
        <c:ser>
          <c:idx val="0"/>
          <c:order val="1"/>
          <c:tx>
            <c:v>SI load</c:v>
          </c:tx>
          <c:spPr>
            <a:solidFill>
              <a:schemeClr val="accent3"/>
            </a:solidFill>
          </c:spPr>
          <c:cat>
            <c:strRef>
              <c:f>'Fig 14'!$G$5:$G$6</c:f>
              <c:strCache>
                <c:ptCount val="2"/>
                <c:pt idx="0">
                  <c:v>$3000/MWh (base case)</c:v>
                </c:pt>
                <c:pt idx="1">
                  <c:v>$1000/MWh</c:v>
                </c:pt>
              </c:strCache>
            </c:strRef>
          </c:cat>
          <c:val>
            <c:numRef>
              <c:f>'Fig 14'!$J$5:$J$6</c:f>
              <c:numCache>
                <c:formatCode>0.0</c:formatCode>
                <c:ptCount val="2"/>
                <c:pt idx="0">
                  <c:v>2.3899151522159801</c:v>
                </c:pt>
                <c:pt idx="1">
                  <c:v>2.4987774471429902</c:v>
                </c:pt>
              </c:numCache>
            </c:numRef>
          </c:val>
        </c:ser>
        <c:ser>
          <c:idx val="1"/>
          <c:order val="2"/>
          <c:tx>
            <c:v>NI generation</c:v>
          </c:tx>
          <c:cat>
            <c:strRef>
              <c:f>'Fig 14'!$G$5:$G$6</c:f>
              <c:strCache>
                <c:ptCount val="2"/>
                <c:pt idx="0">
                  <c:v>$3000/MWh (base case)</c:v>
                </c:pt>
                <c:pt idx="1">
                  <c:v>$1000/MWh</c:v>
                </c:pt>
              </c:strCache>
            </c:strRef>
          </c:cat>
          <c:val>
            <c:numRef>
              <c:f>'Fig 14'!$I$5:$I$6</c:f>
              <c:numCache>
                <c:formatCode>0.0</c:formatCode>
                <c:ptCount val="2"/>
                <c:pt idx="0">
                  <c:v>1.7547638112433099</c:v>
                </c:pt>
                <c:pt idx="1">
                  <c:v>1.8681816368752899</c:v>
                </c:pt>
              </c:numCache>
            </c:numRef>
          </c:val>
        </c:ser>
        <c:ser>
          <c:idx val="3"/>
          <c:order val="3"/>
          <c:tx>
            <c:v>NI load</c:v>
          </c:tx>
          <c:spPr>
            <a:solidFill>
              <a:schemeClr val="accent1"/>
            </a:solidFill>
          </c:spPr>
          <c:cat>
            <c:strRef>
              <c:f>'Fig 14'!$G$5:$G$6</c:f>
              <c:strCache>
                <c:ptCount val="2"/>
                <c:pt idx="0">
                  <c:v>$3000/MWh (base case)</c:v>
                </c:pt>
                <c:pt idx="1">
                  <c:v>$1000/MWh</c:v>
                </c:pt>
              </c:strCache>
            </c:strRef>
          </c:cat>
          <c:val>
            <c:numRef>
              <c:f>'Fig 14'!$H$5:$H$6</c:f>
              <c:numCache>
                <c:formatCode>0.0</c:formatCode>
                <c:ptCount val="2"/>
                <c:pt idx="0">
                  <c:v>10.120576405381099</c:v>
                </c:pt>
                <c:pt idx="1">
                  <c:v>9.5865602683332298</c:v>
                </c:pt>
              </c:numCache>
            </c:numRef>
          </c:val>
        </c:ser>
        <c:dLbls/>
        <c:overlap val="100"/>
        <c:axId val="61219584"/>
        <c:axId val="61221120"/>
      </c:barChart>
      <c:catAx>
        <c:axId val="61219584"/>
        <c:scaling>
          <c:orientation val="minMax"/>
        </c:scaling>
        <c:axPos val="b"/>
        <c:numFmt formatCode="yyyy\-mm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1221120"/>
        <c:crosses val="autoZero"/>
        <c:auto val="1"/>
        <c:lblAlgn val="ctr"/>
        <c:lblOffset val="100"/>
      </c:catAx>
      <c:valAx>
        <c:axId val="612211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Amount</a:t>
                </a:r>
                <a:r>
                  <a:rPr lang="en-NZ" baseline="0"/>
                  <a:t> to be recovered, $M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1.3276434329065941E-2"/>
              <c:y val="0.27103983855564967"/>
            </c:manualLayout>
          </c:layout>
        </c:title>
        <c:numFmt formatCode="0" sourceLinked="0"/>
        <c:tickLblPos val="nextTo"/>
        <c:crossAx val="6121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274451378083783"/>
          <c:y val="0.33846375610371382"/>
          <c:w val="0.2290903772153717"/>
          <c:h val="0.23549253139696263"/>
        </c:manualLayout>
      </c:layout>
      <c:spPr>
        <a:ln>
          <a:solidFill>
            <a:schemeClr val="bg1">
              <a:lumMod val="65000"/>
            </a:schemeClr>
          </a:solidFill>
        </a:ln>
      </c:spPr>
    </c:legend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col"/>
        <c:grouping val="stacked"/>
        <c:ser>
          <c:idx val="2"/>
          <c:order val="0"/>
          <c:tx>
            <c:v>SI generation</c:v>
          </c:tx>
          <c:spPr>
            <a:solidFill>
              <a:schemeClr val="accent4"/>
            </a:solidFill>
          </c:spPr>
          <c:cat>
            <c:numRef>
              <c:f>'Figs 15 16'!$A$39:$A$41</c:f>
              <c:numCache>
                <c:formatCode>General</c:formatCode>
                <c:ptCount val="3"/>
              </c:numCache>
            </c:numRef>
          </c:cat>
          <c:val>
            <c:numRef>
              <c:f>'Fig 14'!$Q$5:$Q$6</c:f>
              <c:numCache>
                <c:formatCode>0.0</c:formatCode>
                <c:ptCount val="2"/>
                <c:pt idx="0">
                  <c:v>2.0494102562050101</c:v>
                </c:pt>
                <c:pt idx="1">
                  <c:v>2.8408747152622098</c:v>
                </c:pt>
              </c:numCache>
            </c:numRef>
          </c:val>
        </c:ser>
        <c:ser>
          <c:idx val="0"/>
          <c:order val="1"/>
          <c:tx>
            <c:v>SI load</c:v>
          </c:tx>
          <c:spPr>
            <a:solidFill>
              <a:schemeClr val="accent3"/>
            </a:solidFill>
          </c:spPr>
          <c:cat>
            <c:strRef>
              <c:f>'Fig 14'!$G$5:$G$6</c:f>
              <c:strCache>
                <c:ptCount val="2"/>
                <c:pt idx="0">
                  <c:v>$3000/MWh (base case)</c:v>
                </c:pt>
                <c:pt idx="1">
                  <c:v>$1000/MWh</c:v>
                </c:pt>
              </c:strCache>
            </c:strRef>
          </c:cat>
          <c:val>
            <c:numRef>
              <c:f>'Fig 14'!$P$5:$P$6</c:f>
              <c:numCache>
                <c:formatCode>0.0</c:formatCode>
                <c:ptCount val="2"/>
                <c:pt idx="0">
                  <c:v>0.86593338758742899</c:v>
                </c:pt>
                <c:pt idx="1">
                  <c:v>1.3860313236952699</c:v>
                </c:pt>
              </c:numCache>
            </c:numRef>
          </c:val>
        </c:ser>
        <c:ser>
          <c:idx val="1"/>
          <c:order val="2"/>
          <c:tx>
            <c:v>NI generation</c:v>
          </c:tx>
          <c:cat>
            <c:strRef>
              <c:f>'Fig 14'!$G$5:$G$6</c:f>
              <c:strCache>
                <c:ptCount val="2"/>
                <c:pt idx="0">
                  <c:v>$3000/MWh (base case)</c:v>
                </c:pt>
                <c:pt idx="1">
                  <c:v>$1000/MWh</c:v>
                </c:pt>
              </c:strCache>
            </c:strRef>
          </c:cat>
          <c:val>
            <c:numRef>
              <c:f>'Fig 14'!$O$5:$O$6</c:f>
              <c:numCache>
                <c:formatCode>0.0</c:formatCode>
                <c:ptCount val="2"/>
                <c:pt idx="0">
                  <c:v>0.66006987598601397</c:v>
                </c:pt>
                <c:pt idx="1">
                  <c:v>1.1912507587289101</c:v>
                </c:pt>
              </c:numCache>
            </c:numRef>
          </c:val>
        </c:ser>
        <c:ser>
          <c:idx val="3"/>
          <c:order val="3"/>
          <c:tx>
            <c:v>NI load</c:v>
          </c:tx>
          <c:spPr>
            <a:solidFill>
              <a:schemeClr val="accent1"/>
            </a:solidFill>
          </c:spPr>
          <c:cat>
            <c:strRef>
              <c:f>'Fig 14'!$G$5:$G$6</c:f>
              <c:strCache>
                <c:ptCount val="2"/>
                <c:pt idx="0">
                  <c:v>$3000/MWh (base case)</c:v>
                </c:pt>
                <c:pt idx="1">
                  <c:v>$1000/MWh</c:v>
                </c:pt>
              </c:strCache>
            </c:strRef>
          </c:cat>
          <c:val>
            <c:numRef>
              <c:f>'Fig 14'!$N$5:$N$6</c:f>
              <c:numCache>
                <c:formatCode>0.0</c:formatCode>
                <c:ptCount val="2"/>
                <c:pt idx="0">
                  <c:v>13.6045029599921</c:v>
                </c:pt>
                <c:pt idx="1">
                  <c:v>11.768144572176601</c:v>
                </c:pt>
              </c:numCache>
            </c:numRef>
          </c:val>
        </c:ser>
        <c:dLbls/>
        <c:overlap val="100"/>
        <c:axId val="61368192"/>
        <c:axId val="61369728"/>
      </c:barChart>
      <c:catAx>
        <c:axId val="61368192"/>
        <c:scaling>
          <c:orientation val="minMax"/>
        </c:scaling>
        <c:axPos val="b"/>
        <c:numFmt formatCode="yyyy\-mm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1369728"/>
        <c:crosses val="autoZero"/>
        <c:auto val="1"/>
        <c:lblAlgn val="ctr"/>
        <c:lblOffset val="100"/>
      </c:catAx>
      <c:valAx>
        <c:axId val="613697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Amount</a:t>
                </a:r>
                <a:r>
                  <a:rPr lang="en-NZ" baseline="0"/>
                  <a:t> to be recovered, $M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1.3276434329065941E-2"/>
              <c:y val="0.27103983855564967"/>
            </c:manualLayout>
          </c:layout>
        </c:title>
        <c:numFmt formatCode="0" sourceLinked="0"/>
        <c:tickLblPos val="nextTo"/>
        <c:crossAx val="61368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274451378083783"/>
          <c:y val="0.33846375610371382"/>
          <c:w val="0.2290903772153717"/>
          <c:h val="0.23549253139696263"/>
        </c:manualLayout>
      </c:layout>
      <c:spPr>
        <a:ln>
          <a:solidFill>
            <a:schemeClr val="bg1">
              <a:lumMod val="65000"/>
            </a:schemeClr>
          </a:solidFill>
        </a:ln>
      </c:spPr>
    </c:legend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/>
      <c:barChart>
        <c:barDir val="col"/>
        <c:grouping val="stacked"/>
        <c:ser>
          <c:idx val="2"/>
          <c:order val="0"/>
          <c:tx>
            <c:v>SI generation</c:v>
          </c:tx>
          <c:spPr>
            <a:solidFill>
              <a:schemeClr val="accent4"/>
            </a:solidFill>
          </c:spPr>
          <c:cat>
            <c:numRef>
              <c:f>'Figs 15 16'!$A$5:$A$37</c:f>
              <c:numCache>
                <c:formatCode>d/mm/yyyy</c:formatCode>
                <c:ptCount val="3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</c:numCache>
            </c:numRef>
          </c:cat>
          <c:val>
            <c:numRef>
              <c:f>'Figs 15 16'!$L$5:$L$37</c:f>
              <c:numCache>
                <c:formatCode>0.00</c:formatCode>
                <c:ptCount val="33"/>
                <c:pt idx="0">
                  <c:v>1.3248965633037699</c:v>
                </c:pt>
                <c:pt idx="1">
                  <c:v>0.98062543879883501</c:v>
                </c:pt>
                <c:pt idx="2">
                  <c:v>0.89707913794802596</c:v>
                </c:pt>
                <c:pt idx="3">
                  <c:v>1.2869886469227101</c:v>
                </c:pt>
                <c:pt idx="4">
                  <c:v>1.1724252197645699</c:v>
                </c:pt>
                <c:pt idx="5">
                  <c:v>1.2746680585572201</c:v>
                </c:pt>
                <c:pt idx="6">
                  <c:v>0.42274443428097302</c:v>
                </c:pt>
                <c:pt idx="7">
                  <c:v>0.59827863373145795</c:v>
                </c:pt>
                <c:pt idx="8">
                  <c:v>0.41088115540124598</c:v>
                </c:pt>
                <c:pt idx="9">
                  <c:v>0.63607236665857603</c:v>
                </c:pt>
                <c:pt idx="10">
                  <c:v>1.6033055870168</c:v>
                </c:pt>
                <c:pt idx="11">
                  <c:v>1.7469929591286499</c:v>
                </c:pt>
                <c:pt idx="12">
                  <c:v>1.9175668114959701E-2</c:v>
                </c:pt>
                <c:pt idx="13">
                  <c:v>2.6533976430636898E-2</c:v>
                </c:pt>
                <c:pt idx="14">
                  <c:v>1.80318040685205E-2</c:v>
                </c:pt>
                <c:pt idx="15">
                  <c:v>5.7703387596697098E-3</c:v>
                </c:pt>
                <c:pt idx="16">
                  <c:v>5.5866787295123697E-2</c:v>
                </c:pt>
                <c:pt idx="17">
                  <c:v>5.8630396485957803E-2</c:v>
                </c:pt>
                <c:pt idx="18">
                  <c:v>0.35657784965557898</c:v>
                </c:pt>
                <c:pt idx="19">
                  <c:v>0.58550278466009298</c:v>
                </c:pt>
                <c:pt idx="20">
                  <c:v>0.97900472038768205</c:v>
                </c:pt>
                <c:pt idx="21">
                  <c:v>1.6259910512314499</c:v>
                </c:pt>
                <c:pt idx="22">
                  <c:v>1.5238427772661101</c:v>
                </c:pt>
                <c:pt idx="23">
                  <c:v>1.9336282309615</c:v>
                </c:pt>
                <c:pt idx="24">
                  <c:v>2.1750312117441699</c:v>
                </c:pt>
                <c:pt idx="25">
                  <c:v>1.20597269773811</c:v>
                </c:pt>
                <c:pt idx="26">
                  <c:v>0.52267412763981203</c:v>
                </c:pt>
                <c:pt idx="27">
                  <c:v>0.126039229884364</c:v>
                </c:pt>
                <c:pt idx="28">
                  <c:v>1.1520284993737999</c:v>
                </c:pt>
                <c:pt idx="29">
                  <c:v>2.0834465355913299</c:v>
                </c:pt>
                <c:pt idx="30">
                  <c:v>2.8821004786307398</c:v>
                </c:pt>
                <c:pt idx="31">
                  <c:v>0.87711870114999901</c:v>
                </c:pt>
                <c:pt idx="32">
                  <c:v>0.88850297565570302</c:v>
                </c:pt>
              </c:numCache>
            </c:numRef>
          </c:val>
        </c:ser>
        <c:ser>
          <c:idx val="0"/>
          <c:order val="1"/>
          <c:tx>
            <c:v>SI load</c:v>
          </c:tx>
          <c:spPr>
            <a:solidFill>
              <a:schemeClr val="accent3"/>
            </a:solidFill>
          </c:spPr>
          <c:cat>
            <c:numRef>
              <c:f>'Figs 15 16'!$A$5:$A$37</c:f>
              <c:numCache>
                <c:formatCode>d/mm/yyyy</c:formatCode>
                <c:ptCount val="3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</c:numCache>
            </c:numRef>
          </c:cat>
          <c:val>
            <c:numRef>
              <c:f>'Figs 15 16'!$K$5:$K$37</c:f>
              <c:numCache>
                <c:formatCode>0.00</c:formatCode>
                <c:ptCount val="33"/>
                <c:pt idx="0">
                  <c:v>2.5507527506225199E-2</c:v>
                </c:pt>
                <c:pt idx="1">
                  <c:v>4.2643415189588897E-2</c:v>
                </c:pt>
                <c:pt idx="2">
                  <c:v>6.8667032765010794E-2</c:v>
                </c:pt>
                <c:pt idx="3">
                  <c:v>0.198425157288563</c:v>
                </c:pt>
                <c:pt idx="4">
                  <c:v>0.12265190449383701</c:v>
                </c:pt>
                <c:pt idx="5">
                  <c:v>0.33855582918431798</c:v>
                </c:pt>
                <c:pt idx="6">
                  <c:v>2.85089917009905</c:v>
                </c:pt>
                <c:pt idx="7">
                  <c:v>1.8542407265687999</c:v>
                </c:pt>
                <c:pt idx="8">
                  <c:v>3.3158998235637598</c:v>
                </c:pt>
                <c:pt idx="9">
                  <c:v>2.3703929041210801</c:v>
                </c:pt>
                <c:pt idx="10">
                  <c:v>0.16364840475693801</c:v>
                </c:pt>
                <c:pt idx="11">
                  <c:v>0.305994791772703</c:v>
                </c:pt>
                <c:pt idx="12">
                  <c:v>3.4247601543899102</c:v>
                </c:pt>
                <c:pt idx="13">
                  <c:v>1.99407055518715</c:v>
                </c:pt>
                <c:pt idx="14">
                  <c:v>2.99376419846678</c:v>
                </c:pt>
                <c:pt idx="15">
                  <c:v>3.21426688070932</c:v>
                </c:pt>
                <c:pt idx="16">
                  <c:v>3.4265825116897402</c:v>
                </c:pt>
                <c:pt idx="17">
                  <c:v>3.7251411790665001</c:v>
                </c:pt>
                <c:pt idx="18">
                  <c:v>1.66982522270322</c:v>
                </c:pt>
                <c:pt idx="19">
                  <c:v>1.05732527852421</c:v>
                </c:pt>
                <c:pt idx="20">
                  <c:v>0.37391114757830801</c:v>
                </c:pt>
                <c:pt idx="21">
                  <c:v>8.8414161056016502E-2</c:v>
                </c:pt>
                <c:pt idx="22">
                  <c:v>0.17472907828179099</c:v>
                </c:pt>
                <c:pt idx="23">
                  <c:v>0.12029522844163699</c:v>
                </c:pt>
                <c:pt idx="24">
                  <c:v>0.110348461528595</c:v>
                </c:pt>
                <c:pt idx="25">
                  <c:v>0.338679470153741</c:v>
                </c:pt>
                <c:pt idx="26">
                  <c:v>2.8716716991359701</c:v>
                </c:pt>
                <c:pt idx="27">
                  <c:v>2.43712423049534</c:v>
                </c:pt>
                <c:pt idx="28">
                  <c:v>1.1081302570980101</c:v>
                </c:pt>
                <c:pt idx="29">
                  <c:v>6.7486234499596801E-2</c:v>
                </c:pt>
                <c:pt idx="30">
                  <c:v>7.1301476767006405E-2</c:v>
                </c:pt>
                <c:pt idx="31">
                  <c:v>0.483519185399999</c:v>
                </c:pt>
                <c:pt idx="32">
                  <c:v>0.224288092906444</c:v>
                </c:pt>
              </c:numCache>
            </c:numRef>
          </c:val>
        </c:ser>
        <c:ser>
          <c:idx val="1"/>
          <c:order val="2"/>
          <c:tx>
            <c:v>NI generation</c:v>
          </c:tx>
          <c:cat>
            <c:numRef>
              <c:f>'Figs 15 16'!$A$5:$A$37</c:f>
              <c:numCache>
                <c:formatCode>d/mm/yyyy</c:formatCode>
                <c:ptCount val="3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</c:numCache>
            </c:numRef>
          </c:cat>
          <c:val>
            <c:numRef>
              <c:f>'Figs 15 16'!$J$5:$J$37</c:f>
              <c:numCache>
                <c:formatCode>0.00</c:formatCode>
                <c:ptCount val="33"/>
                <c:pt idx="0">
                  <c:v>5.7522883036570903E-3</c:v>
                </c:pt>
                <c:pt idx="1">
                  <c:v>8.0734295287297406E-3</c:v>
                </c:pt>
                <c:pt idx="2">
                  <c:v>5.9947848270290802E-2</c:v>
                </c:pt>
                <c:pt idx="3">
                  <c:v>6.8127569522724807E-2</c:v>
                </c:pt>
                <c:pt idx="4">
                  <c:v>7.2324998712290006E-2</c:v>
                </c:pt>
                <c:pt idx="5">
                  <c:v>5.0411185464598399E-2</c:v>
                </c:pt>
                <c:pt idx="6">
                  <c:v>0.67251609982314398</c:v>
                </c:pt>
                <c:pt idx="7">
                  <c:v>0.83442759469689098</c:v>
                </c:pt>
                <c:pt idx="8">
                  <c:v>0.98640108830203699</c:v>
                </c:pt>
                <c:pt idx="9">
                  <c:v>0.91267073088334205</c:v>
                </c:pt>
                <c:pt idx="10">
                  <c:v>0.136937088157326</c:v>
                </c:pt>
                <c:pt idx="11">
                  <c:v>0.112292707290801</c:v>
                </c:pt>
                <c:pt idx="12">
                  <c:v>2.1209296988547899</c:v>
                </c:pt>
                <c:pt idx="13">
                  <c:v>3.2142442087182501</c:v>
                </c:pt>
                <c:pt idx="14">
                  <c:v>1.88476158074835</c:v>
                </c:pt>
                <c:pt idx="15">
                  <c:v>1.8837076919058999</c:v>
                </c:pt>
                <c:pt idx="16">
                  <c:v>2.1580404205674202</c:v>
                </c:pt>
                <c:pt idx="17">
                  <c:v>1.48095710949781</c:v>
                </c:pt>
                <c:pt idx="18">
                  <c:v>0.85404343867089305</c:v>
                </c:pt>
                <c:pt idx="19">
                  <c:v>0.67606829045470096</c:v>
                </c:pt>
                <c:pt idx="20">
                  <c:v>0.27644426035864</c:v>
                </c:pt>
                <c:pt idx="21">
                  <c:v>4.2223918692618503E-2</c:v>
                </c:pt>
                <c:pt idx="22">
                  <c:v>7.0182479210010695E-2</c:v>
                </c:pt>
                <c:pt idx="23">
                  <c:v>3.58696053134838E-2</c:v>
                </c:pt>
                <c:pt idx="24">
                  <c:v>6.76586667700462E-2</c:v>
                </c:pt>
                <c:pt idx="25">
                  <c:v>0.23854504553767999</c:v>
                </c:pt>
                <c:pt idx="26">
                  <c:v>1.44445263085455</c:v>
                </c:pt>
                <c:pt idx="27">
                  <c:v>2.2677693343754299</c:v>
                </c:pt>
                <c:pt idx="28">
                  <c:v>0.52672895346559201</c:v>
                </c:pt>
                <c:pt idx="29">
                  <c:v>3.2970549103361203E-2</c:v>
                </c:pt>
                <c:pt idx="30">
                  <c:v>2.2416332633035E-2</c:v>
                </c:pt>
                <c:pt idx="31">
                  <c:v>7.3475263169999999E-2</c:v>
                </c:pt>
                <c:pt idx="32">
                  <c:v>8.0807110244139599E-2</c:v>
                </c:pt>
              </c:numCache>
            </c:numRef>
          </c:val>
        </c:ser>
        <c:ser>
          <c:idx val="3"/>
          <c:order val="3"/>
          <c:tx>
            <c:v>NI load</c:v>
          </c:tx>
          <c:spPr>
            <a:solidFill>
              <a:schemeClr val="accent1"/>
            </a:solidFill>
          </c:spPr>
          <c:cat>
            <c:numRef>
              <c:f>'Figs 15 16'!$A$5:$A$37</c:f>
              <c:numCache>
                <c:formatCode>d/mm/yyyy</c:formatCode>
                <c:ptCount val="3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</c:numCache>
            </c:numRef>
          </c:cat>
          <c:val>
            <c:numRef>
              <c:f>'Figs 15 16'!$I$5:$I$37</c:f>
              <c:numCache>
                <c:formatCode>0.00</c:formatCode>
                <c:ptCount val="33"/>
                <c:pt idx="0">
                  <c:v>2.8144283282368798</c:v>
                </c:pt>
                <c:pt idx="1">
                  <c:v>3.8405250193555802</c:v>
                </c:pt>
                <c:pt idx="2">
                  <c:v>2.9588994348876301</c:v>
                </c:pt>
                <c:pt idx="3">
                  <c:v>3.4929540580991398</c:v>
                </c:pt>
                <c:pt idx="4">
                  <c:v>2.2904283531102498</c:v>
                </c:pt>
                <c:pt idx="5">
                  <c:v>2.8025760391422101</c:v>
                </c:pt>
                <c:pt idx="6">
                  <c:v>0.49957485614518599</c:v>
                </c:pt>
                <c:pt idx="7">
                  <c:v>0.84350488960900905</c:v>
                </c:pt>
                <c:pt idx="8">
                  <c:v>0.24118849097349601</c:v>
                </c:pt>
                <c:pt idx="9">
                  <c:v>0.732493038945353</c:v>
                </c:pt>
                <c:pt idx="10">
                  <c:v>1.4290988262580999</c:v>
                </c:pt>
                <c:pt idx="11">
                  <c:v>1.4470342824339999</c:v>
                </c:pt>
                <c:pt idx="12">
                  <c:v>0.208497393132658</c:v>
                </c:pt>
                <c:pt idx="13">
                  <c:v>0.336187108181489</c:v>
                </c:pt>
                <c:pt idx="14">
                  <c:v>0.38156281639908102</c:v>
                </c:pt>
                <c:pt idx="15">
                  <c:v>0.30462895361305198</c:v>
                </c:pt>
                <c:pt idx="16">
                  <c:v>0.52385945457482996</c:v>
                </c:pt>
                <c:pt idx="17">
                  <c:v>0.28615128454205302</c:v>
                </c:pt>
                <c:pt idx="18">
                  <c:v>1.4621788552716699</c:v>
                </c:pt>
                <c:pt idx="19">
                  <c:v>1.03840184855277</c:v>
                </c:pt>
                <c:pt idx="20">
                  <c:v>1.45586791783975</c:v>
                </c:pt>
                <c:pt idx="21">
                  <c:v>1.9456534294308601</c:v>
                </c:pt>
                <c:pt idx="22">
                  <c:v>2.4488353787330399</c:v>
                </c:pt>
                <c:pt idx="23">
                  <c:v>2.2558744737817298</c:v>
                </c:pt>
                <c:pt idx="24">
                  <c:v>1.9382108536707401</c:v>
                </c:pt>
                <c:pt idx="25">
                  <c:v>1.2924510089344301</c:v>
                </c:pt>
                <c:pt idx="26">
                  <c:v>0.33235687623759502</c:v>
                </c:pt>
                <c:pt idx="27">
                  <c:v>0.478027237640202</c:v>
                </c:pt>
                <c:pt idx="28">
                  <c:v>1.10995239698477</c:v>
                </c:pt>
                <c:pt idx="29">
                  <c:v>3.5596720132456001</c:v>
                </c:pt>
                <c:pt idx="30">
                  <c:v>2.9420132195063702</c:v>
                </c:pt>
                <c:pt idx="31">
                  <c:v>1.6231361556899899</c:v>
                </c:pt>
                <c:pt idx="32">
                  <c:v>1.21958512259873</c:v>
                </c:pt>
              </c:numCache>
            </c:numRef>
          </c:val>
        </c:ser>
        <c:dLbls/>
        <c:overlap val="100"/>
        <c:axId val="63110528"/>
        <c:axId val="62203008"/>
      </c:barChart>
      <c:dateAx>
        <c:axId val="63110528"/>
        <c:scaling>
          <c:orientation val="minMax"/>
        </c:scaling>
        <c:axPos val="b"/>
        <c:numFmt formatCode="yyyy\-mm" sourceLinked="0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2203008"/>
        <c:crosses val="autoZero"/>
        <c:auto val="1"/>
        <c:lblOffset val="100"/>
        <c:baseTimeUnit val="months"/>
      </c:dateAx>
      <c:valAx>
        <c:axId val="62203008"/>
        <c:scaling>
          <c:orientation val="minMax"/>
          <c:max val="7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Amount</a:t>
                </a:r>
                <a:r>
                  <a:rPr lang="en-NZ" baseline="0"/>
                  <a:t> to be recovered, $M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1.3276434329065933E-2"/>
              <c:y val="0.27103983855564967"/>
            </c:manualLayout>
          </c:layout>
        </c:title>
        <c:numFmt formatCode="0" sourceLinked="0"/>
        <c:tickLblPos val="nextTo"/>
        <c:crossAx val="6311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53246491414678"/>
          <c:y val="0.33846375610371382"/>
          <c:w val="0.15030252797347687"/>
          <c:h val="0.23549253139696244"/>
        </c:manualLayout>
      </c:layout>
      <c:spPr>
        <a:ln>
          <a:solidFill>
            <a:schemeClr val="bg1">
              <a:lumMod val="65000"/>
            </a:schemeClr>
          </a:solidFill>
        </a:ln>
      </c:spPr>
    </c:legend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8.4801768200027702E-2"/>
          <c:y val="3.5743827216106028E-2"/>
          <c:w val="0.72506595281564201"/>
          <c:h val="0.81077472867379086"/>
        </c:manualLayout>
      </c:layout>
      <c:barChart>
        <c:barDir val="col"/>
        <c:grouping val="stacked"/>
        <c:ser>
          <c:idx val="2"/>
          <c:order val="0"/>
          <c:tx>
            <c:v>SI generation</c:v>
          </c:tx>
          <c:spPr>
            <a:solidFill>
              <a:schemeClr val="accent4"/>
            </a:solidFill>
          </c:spPr>
          <c:cat>
            <c:numRef>
              <c:f>'Figs 15 16'!$A$5:$A$37</c:f>
              <c:numCache>
                <c:formatCode>d/mm/yyyy</c:formatCode>
                <c:ptCount val="3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</c:numCache>
            </c:numRef>
          </c:cat>
          <c:val>
            <c:numRef>
              <c:f>'Figs 15 16'!$L$45:$L$77</c:f>
              <c:numCache>
                <c:formatCode>0.00</c:formatCode>
                <c:ptCount val="33"/>
                <c:pt idx="0">
                  <c:v>0.961993406480389</c:v>
                </c:pt>
                <c:pt idx="1">
                  <c:v>0.99069441467393871</c:v>
                </c:pt>
                <c:pt idx="2">
                  <c:v>0.96474940849819035</c:v>
                </c:pt>
                <c:pt idx="3">
                  <c:v>0.92933633261566417</c:v>
                </c:pt>
                <c:pt idx="4">
                  <c:v>0.9821618733993206</c:v>
                </c:pt>
                <c:pt idx="5">
                  <c:v>1.0299073418715676</c:v>
                </c:pt>
                <c:pt idx="6">
                  <c:v>1.082267185808597</c:v>
                </c:pt>
                <c:pt idx="7">
                  <c:v>1.099641106455318</c:v>
                </c:pt>
                <c:pt idx="8">
                  <c:v>1.1222416000568318</c:v>
                </c:pt>
                <c:pt idx="9">
                  <c:v>1.1369187150116356</c:v>
                </c:pt>
                <c:pt idx="10">
                  <c:v>1.1485643198867603</c:v>
                </c:pt>
                <c:pt idx="11">
                  <c:v>1.1909727699849566</c:v>
                </c:pt>
                <c:pt idx="12">
                  <c:v>1.2229722799324967</c:v>
                </c:pt>
                <c:pt idx="13">
                  <c:v>1.1560216389693097</c:v>
                </c:pt>
                <c:pt idx="14">
                  <c:v>1.0936337722678318</c:v>
                </c:pt>
                <c:pt idx="15">
                  <c:v>1.0138172544806241</c:v>
                </c:pt>
                <c:pt idx="16">
                  <c:v>0.92343138477293663</c:v>
                </c:pt>
                <c:pt idx="17">
                  <c:v>0.87551030517114559</c:v>
                </c:pt>
                <c:pt idx="18">
                  <c:v>0.85617514970640152</c:v>
                </c:pt>
                <c:pt idx="19">
                  <c:v>0.86578092553020225</c:v>
                </c:pt>
                <c:pt idx="20">
                  <c:v>0.84217568741713122</c:v>
                </c:pt>
                <c:pt idx="21">
                  <c:v>0.79615727845031248</c:v>
                </c:pt>
                <c:pt idx="22">
                  <c:v>0.74381938564200867</c:v>
                </c:pt>
                <c:pt idx="23">
                  <c:v>0.77076622214684665</c:v>
                </c:pt>
                <c:pt idx="24">
                  <c:v>0.8143131077845881</c:v>
                </c:pt>
                <c:pt idx="25">
                  <c:v>0.84973538480293798</c:v>
                </c:pt>
                <c:pt idx="26">
                  <c:v>0.85912485392540783</c:v>
                </c:pt>
                <c:pt idx="27">
                  <c:v>0.84352464516256564</c:v>
                </c:pt>
                <c:pt idx="28">
                  <c:v>0.79515175278596795</c:v>
                </c:pt>
                <c:pt idx="29">
                  <c:v>0.79430188943635249</c:v>
                </c:pt>
                <c:pt idx="30">
                  <c:v>0.82800099264610694</c:v>
                </c:pt>
                <c:pt idx="31">
                  <c:v>0.9304741611606806</c:v>
                </c:pt>
                <c:pt idx="32">
                  <c:v>0.94209249730312006</c:v>
                </c:pt>
              </c:numCache>
            </c:numRef>
          </c:val>
        </c:ser>
        <c:ser>
          <c:idx val="0"/>
          <c:order val="1"/>
          <c:tx>
            <c:v>SI load</c:v>
          </c:tx>
          <c:spPr>
            <a:solidFill>
              <a:schemeClr val="accent3"/>
            </a:solidFill>
          </c:spPr>
          <c:cat>
            <c:numRef>
              <c:f>'Figs 15 16'!$A$5:$A$37</c:f>
              <c:numCache>
                <c:formatCode>d/mm/yyyy</c:formatCode>
                <c:ptCount val="3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</c:numCache>
            </c:numRef>
          </c:cat>
          <c:val>
            <c:numRef>
              <c:f>'Figs 15 16'!$K$45:$K$77</c:f>
              <c:numCache>
                <c:formatCode>0.00</c:formatCode>
                <c:ptCount val="33"/>
                <c:pt idx="0">
                  <c:v>1.3673196168637503</c:v>
                </c:pt>
                <c:pt idx="1">
                  <c:v>1.2696160595047983</c:v>
                </c:pt>
                <c:pt idx="2">
                  <c:v>1.264574184939492</c:v>
                </c:pt>
                <c:pt idx="3">
                  <c:v>1.2546855283141716</c:v>
                </c:pt>
                <c:pt idx="4">
                  <c:v>1.1202549034349489</c:v>
                </c:pt>
                <c:pt idx="5">
                  <c:v>1.0422791263227273</c:v>
                </c:pt>
                <c:pt idx="6">
                  <c:v>0.93164544426929152</c:v>
                </c:pt>
                <c:pt idx="7">
                  <c:v>0.91650512299386344</c:v>
                </c:pt>
                <c:pt idx="8">
                  <c:v>0.85099088194715755</c:v>
                </c:pt>
                <c:pt idx="9">
                  <c:v>0.83393915880121006</c:v>
                </c:pt>
                <c:pt idx="10">
                  <c:v>0.86312947886028768</c:v>
                </c:pt>
                <c:pt idx="11">
                  <c:v>0.82589294245331801</c:v>
                </c:pt>
                <c:pt idx="12">
                  <c:v>0.823063094294751</c:v>
                </c:pt>
                <c:pt idx="13">
                  <c:v>0.96207751068366321</c:v>
                </c:pt>
                <c:pt idx="14">
                  <c:v>1.0378834055547199</c:v>
                </c:pt>
                <c:pt idx="15">
                  <c:v>1.1576112793057676</c:v>
                </c:pt>
                <c:pt idx="16">
                  <c:v>1.2869412134382978</c:v>
                </c:pt>
                <c:pt idx="17">
                  <c:v>1.4156038401689643</c:v>
                </c:pt>
                <c:pt idx="18">
                  <c:v>1.4511650684994031</c:v>
                </c:pt>
                <c:pt idx="19">
                  <c:v>1.4191942765080645</c:v>
                </c:pt>
                <c:pt idx="20">
                  <c:v>1.4170774024008228</c:v>
                </c:pt>
                <c:pt idx="21">
                  <c:v>1.4298451071124356</c:v>
                </c:pt>
                <c:pt idx="22">
                  <c:v>1.4305581356244776</c:v>
                </c:pt>
                <c:pt idx="23">
                  <c:v>1.4176918811612191</c:v>
                </c:pt>
                <c:pt idx="24">
                  <c:v>1.4133588451418522</c:v>
                </c:pt>
                <c:pt idx="25">
                  <c:v>1.4168938840594512</c:v>
                </c:pt>
                <c:pt idx="26">
                  <c:v>1.4292287196829572</c:v>
                </c:pt>
                <c:pt idx="27">
                  <c:v>1.5460205807817475</c:v>
                </c:pt>
                <c:pt idx="28">
                  <c:v>1.6392997088320298</c:v>
                </c:pt>
                <c:pt idx="29">
                  <c:v>1.6803613068572039</c:v>
                </c:pt>
                <c:pt idx="30">
                  <c:v>1.6690667404120072</c:v>
                </c:pt>
                <c:pt idx="31">
                  <c:v>1.5532501698565058</c:v>
                </c:pt>
                <c:pt idx="32">
                  <c:v>1.4961367723078054</c:v>
                </c:pt>
              </c:numCache>
            </c:numRef>
          </c:val>
        </c:ser>
        <c:ser>
          <c:idx val="1"/>
          <c:order val="2"/>
          <c:tx>
            <c:v>NI generation</c:v>
          </c:tx>
          <c:cat>
            <c:numRef>
              <c:f>'Figs 15 16'!$A$5:$A$37</c:f>
              <c:numCache>
                <c:formatCode>d/mm/yyyy</c:formatCode>
                <c:ptCount val="3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</c:numCache>
            </c:numRef>
          </c:cat>
          <c:val>
            <c:numRef>
              <c:f>'Figs 15 16'!$J$45:$J$77</c:f>
              <c:numCache>
                <c:formatCode>0.00</c:formatCode>
                <c:ptCount val="33"/>
                <c:pt idx="0">
                  <c:v>0.8589248798115906</c:v>
                </c:pt>
                <c:pt idx="1">
                  <c:v>0.82113661137077043</c:v>
                </c:pt>
                <c:pt idx="2">
                  <c:v>0.81576729226124556</c:v>
                </c:pt>
                <c:pt idx="3">
                  <c:v>0.81358625646872429</c:v>
                </c:pt>
                <c:pt idx="4">
                  <c:v>0.72805283441322155</c:v>
                </c:pt>
                <c:pt idx="5">
                  <c:v>0.59713953399630648</c:v>
                </c:pt>
                <c:pt idx="6">
                  <c:v>0.52070826752615007</c:v>
                </c:pt>
                <c:pt idx="7">
                  <c:v>0.47024195118936851</c:v>
                </c:pt>
                <c:pt idx="8">
                  <c:v>0.41509141677809652</c:v>
                </c:pt>
                <c:pt idx="9">
                  <c:v>0.39448491589493928</c:v>
                </c:pt>
                <c:pt idx="10">
                  <c:v>0.39692771973712465</c:v>
                </c:pt>
                <c:pt idx="11">
                  <c:v>0.37446391964140063</c:v>
                </c:pt>
                <c:pt idx="12">
                  <c:v>0.36762427159690736</c:v>
                </c:pt>
                <c:pt idx="13">
                  <c:v>0.45423701243699782</c:v>
                </c:pt>
                <c:pt idx="14">
                  <c:v>0.58523958449984137</c:v>
                </c:pt>
                <c:pt idx="15">
                  <c:v>0.66227675014296061</c:v>
                </c:pt>
                <c:pt idx="16">
                  <c:v>0.73794545952362134</c:v>
                </c:pt>
                <c:pt idx="17">
                  <c:v>0.81792443348319388</c:v>
                </c:pt>
                <c:pt idx="18">
                  <c:v>0.81944545342666297</c:v>
                </c:pt>
                <c:pt idx="19">
                  <c:v>0.76054020777230724</c:v>
                </c:pt>
                <c:pt idx="20">
                  <c:v>0.76676268014685345</c:v>
                </c:pt>
                <c:pt idx="21">
                  <c:v>0.77690741811582342</c:v>
                </c:pt>
                <c:pt idx="22">
                  <c:v>0.77773273420163935</c:v>
                </c:pt>
                <c:pt idx="23">
                  <c:v>0.77759553486997313</c:v>
                </c:pt>
                <c:pt idx="24">
                  <c:v>0.7757231388311957</c:v>
                </c:pt>
                <c:pt idx="25">
                  <c:v>0.77830257126729541</c:v>
                </c:pt>
                <c:pt idx="26">
                  <c:v>0.78790555526766815</c:v>
                </c:pt>
                <c:pt idx="27">
                  <c:v>0.84559325454201228</c:v>
                </c:pt>
                <c:pt idx="28">
                  <c:v>0.93724499474420842</c:v>
                </c:pt>
                <c:pt idx="29">
                  <c:v>0.95617849285892931</c:v>
                </c:pt>
                <c:pt idx="30">
                  <c:v>0.95545179967721117</c:v>
                </c:pt>
                <c:pt idx="31">
                  <c:v>0.92836430937762338</c:v>
                </c:pt>
                <c:pt idx="32">
                  <c:v>0.89665796223066951</c:v>
                </c:pt>
              </c:numCache>
            </c:numRef>
          </c:val>
        </c:ser>
        <c:ser>
          <c:idx val="3"/>
          <c:order val="3"/>
          <c:tx>
            <c:v>NI load</c:v>
          </c:tx>
          <c:spPr>
            <a:solidFill>
              <a:schemeClr val="accent1"/>
            </a:solidFill>
          </c:spPr>
          <c:cat>
            <c:numRef>
              <c:f>'Figs 15 16'!$A$5:$A$37</c:f>
              <c:numCache>
                <c:formatCode>d/mm/yyyy</c:formatCode>
                <c:ptCount val="3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</c:numCache>
            </c:numRef>
          </c:cat>
          <c:val>
            <c:numRef>
              <c:f>'Figs 15 16'!$I$45:$I$77</c:f>
              <c:numCache>
                <c:formatCode>0.00</c:formatCode>
                <c:ptCount val="33"/>
                <c:pt idx="0">
                  <c:v>1.2813220810916193</c:v>
                </c:pt>
                <c:pt idx="1">
                  <c:v>1.3680693848120997</c:v>
                </c:pt>
                <c:pt idx="2">
                  <c:v>1.4685454761911612</c:v>
                </c:pt>
                <c:pt idx="3">
                  <c:v>1.5315398575433958</c:v>
                </c:pt>
                <c:pt idx="4">
                  <c:v>1.6683922185836659</c:v>
                </c:pt>
                <c:pt idx="5">
                  <c:v>1.7498189371223647</c:v>
                </c:pt>
                <c:pt idx="6">
                  <c:v>1.8506944880699949</c:v>
                </c:pt>
                <c:pt idx="7">
                  <c:v>1.858817234008834</c:v>
                </c:pt>
                <c:pt idx="8">
                  <c:v>1.8721357938019247</c:v>
                </c:pt>
                <c:pt idx="9">
                  <c:v>1.8702623440699016</c:v>
                </c:pt>
                <c:pt idx="10">
                  <c:v>1.8398587683896384</c:v>
                </c:pt>
                <c:pt idx="11">
                  <c:v>1.8561378091273604</c:v>
                </c:pt>
                <c:pt idx="12">
                  <c:v>1.8557697409854541</c:v>
                </c:pt>
                <c:pt idx="13">
                  <c:v>1.7833882394730287</c:v>
                </c:pt>
                <c:pt idx="14">
                  <c:v>1.6953612282000474</c:v>
                </c:pt>
                <c:pt idx="15">
                  <c:v>1.6172649091424371</c:v>
                </c:pt>
                <c:pt idx="16">
                  <c:v>1.5491989966400332</c:v>
                </c:pt>
                <c:pt idx="17">
                  <c:v>1.5171743485417164</c:v>
                </c:pt>
                <c:pt idx="18">
                  <c:v>1.5152491155544023</c:v>
                </c:pt>
                <c:pt idx="19">
                  <c:v>1.5562554329557134</c:v>
                </c:pt>
                <c:pt idx="20">
                  <c:v>1.5532741601043802</c:v>
                </c:pt>
                <c:pt idx="21">
                  <c:v>1.4656156561291365</c:v>
                </c:pt>
                <c:pt idx="22">
                  <c:v>1.4241006648759902</c:v>
                </c:pt>
                <c:pt idx="23">
                  <c:v>1.4585047991694504</c:v>
                </c:pt>
                <c:pt idx="24">
                  <c:v>1.5016835221354088</c:v>
                </c:pt>
                <c:pt idx="25">
                  <c:v>1.4651744606951531</c:v>
                </c:pt>
                <c:pt idx="26">
                  <c:v>1.3590047102609384</c:v>
                </c:pt>
                <c:pt idx="27">
                  <c:v>1.2495654369838538</c:v>
                </c:pt>
                <c:pt idx="28">
                  <c:v>1.1239434861313979</c:v>
                </c:pt>
                <c:pt idx="29">
                  <c:v>1.0747569879595031</c:v>
                </c:pt>
                <c:pt idx="30">
                  <c:v>1.1063026535471443</c:v>
                </c:pt>
                <c:pt idx="31">
                  <c:v>1.2080709186871939</c:v>
                </c:pt>
                <c:pt idx="32">
                  <c:v>1.2405555547739013</c:v>
                </c:pt>
              </c:numCache>
            </c:numRef>
          </c:val>
        </c:ser>
        <c:dLbls/>
        <c:overlap val="100"/>
        <c:axId val="62255872"/>
        <c:axId val="62257408"/>
      </c:barChart>
      <c:dateAx>
        <c:axId val="62255872"/>
        <c:scaling>
          <c:orientation val="minMax"/>
        </c:scaling>
        <c:axPos val="b"/>
        <c:numFmt formatCode="yyyy\-mm" sourceLinked="0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2257408"/>
        <c:crosses val="autoZero"/>
        <c:auto val="1"/>
        <c:lblOffset val="100"/>
        <c:baseTimeUnit val="months"/>
      </c:dateAx>
      <c:valAx>
        <c:axId val="62257408"/>
        <c:scaling>
          <c:orientation val="minMax"/>
          <c:max val="7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Amount</a:t>
                </a:r>
                <a:r>
                  <a:rPr lang="en-NZ" baseline="0"/>
                  <a:t> to be recovered, $M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1.3276434329065938E-2"/>
              <c:y val="0.27103983855564967"/>
            </c:manualLayout>
          </c:layout>
        </c:title>
        <c:numFmt formatCode="0" sourceLinked="0"/>
        <c:tickLblPos val="nextTo"/>
        <c:crossAx val="62255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53246491414655"/>
          <c:y val="0.33846375610371382"/>
          <c:w val="0.15030252797347687"/>
          <c:h val="0.23549253139696252"/>
        </c:manualLayout>
      </c:layout>
      <c:spPr>
        <a:ln>
          <a:solidFill>
            <a:schemeClr val="bg1">
              <a:lumMod val="65000"/>
            </a:schemeClr>
          </a:solidFill>
        </a:ln>
      </c:spPr>
    </c:legend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0.19637717139214161"/>
          <c:y val="0.10385007606533261"/>
          <c:w val="0.76480964913215355"/>
          <c:h val="0.87225220255111435"/>
        </c:manualLayout>
      </c:layout>
      <c:barChart>
        <c:barDir val="bar"/>
        <c:grouping val="clustered"/>
        <c:ser>
          <c:idx val="0"/>
          <c:order val="0"/>
          <c:tx>
            <c:v>Base approach</c:v>
          </c:tx>
          <c:cat>
            <c:strRef>
              <c:f>'Fig 17'!$A$2:$A$25</c:f>
              <c:strCache>
                <c:ptCount val="24"/>
                <c:pt idx="0">
                  <c:v>CHH</c:v>
                </c:pt>
                <c:pt idx="1">
                  <c:v>Contact</c:v>
                </c:pt>
                <c:pt idx="2">
                  <c:v>Daiken MDF</c:v>
                </c:pt>
                <c:pt idx="3">
                  <c:v>Fonterra</c:v>
                </c:pt>
                <c:pt idx="4">
                  <c:v>Genesis</c:v>
                </c:pt>
                <c:pt idx="5">
                  <c:v>King Country Energy</c:v>
                </c:pt>
                <c:pt idx="6">
                  <c:v>Kiwirail</c:v>
                </c:pt>
                <c:pt idx="7">
                  <c:v>Meridian</c:v>
                </c:pt>
                <c:pt idx="8">
                  <c:v>Methanex</c:v>
                </c:pt>
                <c:pt idx="9">
                  <c:v>MRP</c:v>
                </c:pt>
                <c:pt idx="10">
                  <c:v>Norske Skog</c:v>
                </c:pt>
                <c:pt idx="11">
                  <c:v>NZ Steel</c:v>
                </c:pt>
                <c:pt idx="12">
                  <c:v>Pacific Aluminium</c:v>
                </c:pt>
                <c:pt idx="13">
                  <c:v>Pacific Steel</c:v>
                </c:pt>
                <c:pt idx="14">
                  <c:v>PanPac</c:v>
                </c:pt>
                <c:pt idx="15">
                  <c:v>Pioneer</c:v>
                </c:pt>
                <c:pt idx="16">
                  <c:v>Pulse</c:v>
                </c:pt>
                <c:pt idx="17">
                  <c:v>Rayonier</c:v>
                </c:pt>
                <c:pt idx="18">
                  <c:v>Simply Energy</c:v>
                </c:pt>
                <c:pt idx="19">
                  <c:v>Todd</c:v>
                </c:pt>
                <c:pt idx="20">
                  <c:v>Top Energy</c:v>
                </c:pt>
                <c:pt idx="21">
                  <c:v>TrustPower</c:v>
                </c:pt>
                <c:pt idx="22">
                  <c:v>Winstones</c:v>
                </c:pt>
                <c:pt idx="23">
                  <c:v>Other</c:v>
                </c:pt>
              </c:strCache>
            </c:strRef>
          </c:cat>
          <c:val>
            <c:numRef>
              <c:f>'Fig 17'!$B$2:$B$25</c:f>
              <c:numCache>
                <c:formatCode>0.000</c:formatCode>
                <c:ptCount val="24"/>
                <c:pt idx="0">
                  <c:v>7.1145274241006806E-2</c:v>
                </c:pt>
                <c:pt idx="1">
                  <c:v>2.16099692981973</c:v>
                </c:pt>
                <c:pt idx="2">
                  <c:v>1.1447154845167E-2</c:v>
                </c:pt>
                <c:pt idx="3">
                  <c:v>1.30430616131804E-2</c:v>
                </c:pt>
                <c:pt idx="4">
                  <c:v>1.2953730281117499</c:v>
                </c:pt>
                <c:pt idx="5">
                  <c:v>2.05760132175388E-2</c:v>
                </c:pt>
                <c:pt idx="6">
                  <c:v>4.2547350496053796E-3</c:v>
                </c:pt>
                <c:pt idx="7">
                  <c:v>2.7595894295598402</c:v>
                </c:pt>
                <c:pt idx="8">
                  <c:v>4.9585093008385102E-3</c:v>
                </c:pt>
                <c:pt idx="9">
                  <c:v>1.24113165248607</c:v>
                </c:pt>
                <c:pt idx="10">
                  <c:v>4.9823724704261198E-2</c:v>
                </c:pt>
                <c:pt idx="11">
                  <c:v>0.121759978261688</c:v>
                </c:pt>
                <c:pt idx="12">
                  <c:v>0.68178805097121198</c:v>
                </c:pt>
                <c:pt idx="13">
                  <c:v>2.31315253339461E-2</c:v>
                </c:pt>
                <c:pt idx="14">
                  <c:v>4.8030187213667697E-2</c:v>
                </c:pt>
                <c:pt idx="15">
                  <c:v>8.1300195382750604E-3</c:v>
                </c:pt>
                <c:pt idx="16">
                  <c:v>3.7868871138111E-2</c:v>
                </c:pt>
                <c:pt idx="17">
                  <c:v>8.65480505061033E-3</c:v>
                </c:pt>
                <c:pt idx="18">
                  <c:v>7.9798144632103607E-3</c:v>
                </c:pt>
                <c:pt idx="19">
                  <c:v>9.7968454682960796E-2</c:v>
                </c:pt>
                <c:pt idx="20">
                  <c:v>0</c:v>
                </c:pt>
                <c:pt idx="21">
                  <c:v>0.68863348110651401</c:v>
                </c:pt>
                <c:pt idx="22">
                  <c:v>2.79186080516452E-2</c:v>
                </c:pt>
                <c:pt idx="23">
                  <c:v>4.8439442717177102E-3</c:v>
                </c:pt>
              </c:numCache>
            </c:numRef>
          </c:val>
        </c:ser>
        <c:ser>
          <c:idx val="1"/>
          <c:order val="1"/>
          <c:tx>
            <c:v>Considering effect on IR providers</c:v>
          </c:tx>
          <c:cat>
            <c:strRef>
              <c:f>'Fig 17'!$A$2:$A$25</c:f>
              <c:strCache>
                <c:ptCount val="24"/>
                <c:pt idx="0">
                  <c:v>CHH</c:v>
                </c:pt>
                <c:pt idx="1">
                  <c:v>Contact</c:v>
                </c:pt>
                <c:pt idx="2">
                  <c:v>Daiken MDF</c:v>
                </c:pt>
                <c:pt idx="3">
                  <c:v>Fonterra</c:v>
                </c:pt>
                <c:pt idx="4">
                  <c:v>Genesis</c:v>
                </c:pt>
                <c:pt idx="5">
                  <c:v>King Country Energy</c:v>
                </c:pt>
                <c:pt idx="6">
                  <c:v>Kiwirail</c:v>
                </c:pt>
                <c:pt idx="7">
                  <c:v>Meridian</c:v>
                </c:pt>
                <c:pt idx="8">
                  <c:v>Methanex</c:v>
                </c:pt>
                <c:pt idx="9">
                  <c:v>MRP</c:v>
                </c:pt>
                <c:pt idx="10">
                  <c:v>Norske Skog</c:v>
                </c:pt>
                <c:pt idx="11">
                  <c:v>NZ Steel</c:v>
                </c:pt>
                <c:pt idx="12">
                  <c:v>Pacific Aluminium</c:v>
                </c:pt>
                <c:pt idx="13">
                  <c:v>Pacific Steel</c:v>
                </c:pt>
                <c:pt idx="14">
                  <c:v>PanPac</c:v>
                </c:pt>
                <c:pt idx="15">
                  <c:v>Pioneer</c:v>
                </c:pt>
                <c:pt idx="16">
                  <c:v>Pulse</c:v>
                </c:pt>
                <c:pt idx="17">
                  <c:v>Rayonier</c:v>
                </c:pt>
                <c:pt idx="18">
                  <c:v>Simply Energy</c:v>
                </c:pt>
                <c:pt idx="19">
                  <c:v>Todd</c:v>
                </c:pt>
                <c:pt idx="20">
                  <c:v>Top Energy</c:v>
                </c:pt>
                <c:pt idx="21">
                  <c:v>TrustPower</c:v>
                </c:pt>
                <c:pt idx="22">
                  <c:v>Winstones</c:v>
                </c:pt>
                <c:pt idx="23">
                  <c:v>Other</c:v>
                </c:pt>
              </c:strCache>
            </c:strRef>
          </c:cat>
          <c:val>
            <c:numRef>
              <c:f>'Fig 17'!$C$2:$C$25</c:f>
              <c:numCache>
                <c:formatCode>0.000</c:formatCode>
                <c:ptCount val="24"/>
                <c:pt idx="0">
                  <c:v>7.2516948579378904E-2</c:v>
                </c:pt>
                <c:pt idx="1">
                  <c:v>2.1813845807910699</c:v>
                </c:pt>
                <c:pt idx="2">
                  <c:v>1.1660975474741601E-2</c:v>
                </c:pt>
                <c:pt idx="3">
                  <c:v>1.3267962478452199E-2</c:v>
                </c:pt>
                <c:pt idx="4">
                  <c:v>1.30510513401768</c:v>
                </c:pt>
                <c:pt idx="5">
                  <c:v>2.0945612983652499E-2</c:v>
                </c:pt>
                <c:pt idx="6">
                  <c:v>4.3471418510855299E-3</c:v>
                </c:pt>
                <c:pt idx="7">
                  <c:v>2.7918837664238101</c:v>
                </c:pt>
                <c:pt idx="8">
                  <c:v>5.0602221494861696E-3</c:v>
                </c:pt>
                <c:pt idx="9">
                  <c:v>1.2599844994218401</c:v>
                </c:pt>
                <c:pt idx="10">
                  <c:v>3.28299707761113E-2</c:v>
                </c:pt>
                <c:pt idx="11">
                  <c:v>9.6244930283742994E-2</c:v>
                </c:pt>
                <c:pt idx="12">
                  <c:v>0.637518622866031</c:v>
                </c:pt>
                <c:pt idx="13">
                  <c:v>2.3577460795570701E-2</c:v>
                </c:pt>
                <c:pt idx="14">
                  <c:v>3.5666861672243901E-2</c:v>
                </c:pt>
                <c:pt idx="15">
                  <c:v>8.2299440386729393E-3</c:v>
                </c:pt>
                <c:pt idx="16">
                  <c:v>3.8307572046825902E-2</c:v>
                </c:pt>
                <c:pt idx="17">
                  <c:v>8.8194284385445295E-3</c:v>
                </c:pt>
                <c:pt idx="18">
                  <c:v>7.9749284950127591E-3</c:v>
                </c:pt>
                <c:pt idx="19">
                  <c:v>9.9288656422532803E-2</c:v>
                </c:pt>
                <c:pt idx="20">
                  <c:v>0</c:v>
                </c:pt>
                <c:pt idx="21">
                  <c:v>0.69797949289912697</c:v>
                </c:pt>
                <c:pt idx="22">
                  <c:v>2.10296164585968E-2</c:v>
                </c:pt>
                <c:pt idx="23">
                  <c:v>4.9244008632079598E-3</c:v>
                </c:pt>
              </c:numCache>
            </c:numRef>
          </c:val>
        </c:ser>
        <c:dLbls/>
        <c:axId val="63193856"/>
        <c:axId val="63195392"/>
      </c:barChart>
      <c:catAx>
        <c:axId val="63193856"/>
        <c:scaling>
          <c:orientation val="maxMin"/>
        </c:scaling>
        <c:axPos val="l"/>
        <c:tickLblPos val="nextTo"/>
        <c:crossAx val="63195392"/>
        <c:crosses val="autoZero"/>
        <c:auto val="1"/>
        <c:lblAlgn val="ctr"/>
        <c:lblOffset val="100"/>
      </c:catAx>
      <c:valAx>
        <c:axId val="6319539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Amount to be recovered for 4</a:t>
                </a:r>
                <a:r>
                  <a:rPr lang="en-NZ" baseline="0"/>
                  <a:t> months, $M</a:t>
                </a:r>
                <a:endParaRPr lang="en-NZ"/>
              </a:p>
            </c:rich>
          </c:tx>
          <c:layout/>
        </c:title>
        <c:numFmt formatCode="0.0" sourceLinked="0"/>
        <c:tickLblPos val="nextTo"/>
        <c:crossAx val="63193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250680187439127"/>
          <c:y val="0.56031562933614187"/>
          <c:w val="0.3698448342875611"/>
          <c:h val="9.3806108631325533E-2"/>
        </c:manualLayout>
      </c:layout>
      <c:spPr>
        <a:solidFill>
          <a:schemeClr val="lt1"/>
        </a:solidFill>
        <a:ln>
          <a:solidFill>
            <a:schemeClr val="bg1">
              <a:lumMod val="65000"/>
            </a:schemeClr>
          </a:solidFill>
        </a:ln>
      </c:spPr>
    </c:legend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0.12298530099467903"/>
          <c:y val="3.5259712174804544E-2"/>
          <c:w val="0.84773987521222771"/>
          <c:h val="0.83729593620210874"/>
        </c:manualLayout>
      </c:layout>
      <c:barChart>
        <c:barDir val="col"/>
        <c:grouping val="clustered"/>
        <c:ser>
          <c:idx val="0"/>
          <c:order val="0"/>
          <c:tx>
            <c:strRef>
              <c:f>'Fig 19'!$E$4</c:f>
              <c:strCache>
                <c:ptCount val="1"/>
                <c:pt idx="0">
                  <c:v>Simplified SPD</c:v>
                </c:pt>
              </c:strCache>
            </c:strRef>
          </c:tx>
          <c:cat>
            <c:strRef>
              <c:f>'Fig 19'!$D$5:$D$10</c:f>
              <c:strCache>
                <c:ptCount val="6"/>
                <c:pt idx="0">
                  <c:v>NAaN</c:v>
                </c:pt>
                <c:pt idx="1">
                  <c:v>NIGU</c:v>
                </c:pt>
                <c:pt idx="2">
                  <c:v>Otahuhu GIS</c:v>
                </c:pt>
                <c:pt idx="3">
                  <c:v>UNI Reactive</c:v>
                </c:pt>
                <c:pt idx="4">
                  <c:v>USI Reactive</c:v>
                </c:pt>
                <c:pt idx="5">
                  <c:v>LSI Reliability</c:v>
                </c:pt>
              </c:strCache>
            </c:strRef>
          </c:cat>
          <c:val>
            <c:numRef>
              <c:f>'Fig 19'!$E$5:$E$10</c:f>
              <c:numCache>
                <c:formatCode>0.0</c:formatCode>
                <c:ptCount val="6"/>
                <c:pt idx="0">
                  <c:v>4.2810780092921599</c:v>
                </c:pt>
                <c:pt idx="1">
                  <c:v>27.0643241546822</c:v>
                </c:pt>
                <c:pt idx="2" formatCode="General">
                  <c:v>0</c:v>
                </c:pt>
                <c:pt idx="3">
                  <c:v>0</c:v>
                </c:pt>
                <c:pt idx="4">
                  <c:v>0.19178310225585399</c:v>
                </c:pt>
                <c:pt idx="5">
                  <c:v>0.92059133209890898</c:v>
                </c:pt>
              </c:numCache>
            </c:numRef>
          </c:val>
        </c:ser>
        <c:ser>
          <c:idx val="1"/>
          <c:order val="1"/>
          <c:tx>
            <c:strRef>
              <c:f>'Fig 19'!$F$4</c:f>
              <c:strCache>
                <c:ptCount val="1"/>
                <c:pt idx="0">
                  <c:v>GIT-based</c:v>
                </c:pt>
              </c:strCache>
            </c:strRef>
          </c:tx>
          <c:cat>
            <c:strRef>
              <c:f>'Fig 19'!$D$5:$D$10</c:f>
              <c:strCache>
                <c:ptCount val="6"/>
                <c:pt idx="0">
                  <c:v>NAaN</c:v>
                </c:pt>
                <c:pt idx="1">
                  <c:v>NIGU</c:v>
                </c:pt>
                <c:pt idx="2">
                  <c:v>Otahuhu GIS</c:v>
                </c:pt>
                <c:pt idx="3">
                  <c:v>UNI Reactive</c:v>
                </c:pt>
                <c:pt idx="4">
                  <c:v>USI Reactive</c:v>
                </c:pt>
                <c:pt idx="5">
                  <c:v>LSI Reliability</c:v>
                </c:pt>
              </c:strCache>
            </c:strRef>
          </c:cat>
          <c:val>
            <c:numRef>
              <c:f>'Fig 19'!$F$5:$F$10</c:f>
              <c:numCache>
                <c:formatCode>0.0</c:formatCode>
                <c:ptCount val="6"/>
                <c:pt idx="0">
                  <c:v>12.276088685798966</c:v>
                </c:pt>
                <c:pt idx="1">
                  <c:v>33.692307162898572</c:v>
                </c:pt>
                <c:pt idx="2">
                  <c:v>4.2648490079618444</c:v>
                </c:pt>
                <c:pt idx="3">
                  <c:v>2.9853943055732906</c:v>
                </c:pt>
                <c:pt idx="4">
                  <c:v>1.9041026169674113</c:v>
                </c:pt>
                <c:pt idx="5">
                  <c:v>0.98285173345618848</c:v>
                </c:pt>
              </c:numCache>
            </c:numRef>
          </c:val>
        </c:ser>
        <c:dLbls/>
        <c:axId val="63309696"/>
        <c:axId val="63512576"/>
      </c:barChart>
      <c:barChart>
        <c:barDir val="col"/>
        <c:grouping val="clustered"/>
        <c:ser>
          <c:idx val="2"/>
          <c:order val="2"/>
          <c:tx>
            <c:v>Revenue requirement</c:v>
          </c:tx>
          <c:spPr>
            <a:noFill/>
            <a:ln>
              <a:solidFill>
                <a:schemeClr val="tx1"/>
              </a:solidFill>
            </a:ln>
          </c:spPr>
          <c:val>
            <c:numRef>
              <c:f>'Fig 19'!$F$5:$F$10</c:f>
              <c:numCache>
                <c:formatCode>0.0</c:formatCode>
                <c:ptCount val="6"/>
                <c:pt idx="0">
                  <c:v>12.276088685798966</c:v>
                </c:pt>
                <c:pt idx="1">
                  <c:v>33.692307162898572</c:v>
                </c:pt>
                <c:pt idx="2">
                  <c:v>4.2648490079618444</c:v>
                </c:pt>
                <c:pt idx="3">
                  <c:v>2.9853943055732906</c:v>
                </c:pt>
                <c:pt idx="4">
                  <c:v>1.9041026169674113</c:v>
                </c:pt>
                <c:pt idx="5">
                  <c:v>0.98285173345618848</c:v>
                </c:pt>
              </c:numCache>
            </c:numRef>
          </c:val>
        </c:ser>
        <c:dLbls/>
        <c:gapWidth val="76"/>
        <c:axId val="63516032"/>
        <c:axId val="63514496"/>
      </c:barChart>
      <c:catAx>
        <c:axId val="63309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Approach</a:t>
                </a:r>
              </a:p>
            </c:rich>
          </c:tx>
          <c:layout>
            <c:manualLayout>
              <c:xMode val="edge"/>
              <c:yMode val="edge"/>
              <c:x val="0.51200313443965551"/>
              <c:y val="0.94452972159518556"/>
            </c:manualLayout>
          </c:layout>
        </c:title>
        <c:tickLblPos val="nextTo"/>
        <c:crossAx val="63512576"/>
        <c:crosses val="autoZero"/>
        <c:auto val="1"/>
        <c:lblAlgn val="ctr"/>
        <c:lblOffset val="100"/>
      </c:catAx>
      <c:valAx>
        <c:axId val="63512576"/>
        <c:scaling>
          <c:orientation val="minMax"/>
          <c:max val="3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Amount to be recovered for 4 months ($M)</a:t>
                </a:r>
              </a:p>
            </c:rich>
          </c:tx>
          <c:layout>
            <c:manualLayout>
              <c:xMode val="edge"/>
              <c:yMode val="edge"/>
              <c:x val="1.5968060526074249E-2"/>
              <c:y val="0.14302720060669621"/>
            </c:manualLayout>
          </c:layout>
        </c:title>
        <c:numFmt formatCode="0" sourceLinked="0"/>
        <c:tickLblPos val="nextTo"/>
        <c:crossAx val="63309696"/>
        <c:crosses val="autoZero"/>
        <c:crossBetween val="between"/>
      </c:valAx>
      <c:valAx>
        <c:axId val="63514496"/>
        <c:scaling>
          <c:orientation val="minMax"/>
          <c:max val="35"/>
        </c:scaling>
        <c:delete val="1"/>
        <c:axPos val="r"/>
        <c:numFmt formatCode="0.0" sourceLinked="1"/>
        <c:tickLblPos val="none"/>
        <c:crossAx val="63516032"/>
        <c:crosses val="max"/>
        <c:crossBetween val="between"/>
      </c:valAx>
      <c:catAx>
        <c:axId val="63516032"/>
        <c:scaling>
          <c:orientation val="minMax"/>
        </c:scaling>
        <c:delete val="1"/>
        <c:axPos val="b"/>
        <c:tickLblPos val="none"/>
        <c:crossAx val="6351449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61910710599377361"/>
          <c:y val="0.11987747581213748"/>
          <c:w val="0.24811668204395798"/>
          <c:h val="0.1742272622242762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8.5113355707048269E-2"/>
          <c:y val="3.1028382290958677E-2"/>
          <c:w val="0.78153674322480171"/>
          <c:h val="0.74859900850824324"/>
        </c:manualLayout>
      </c:layout>
      <c:barChart>
        <c:barDir val="col"/>
        <c:grouping val="stacked"/>
        <c:ser>
          <c:idx val="0"/>
          <c:order val="0"/>
          <c:tx>
            <c:strRef>
              <c:f>'Figs 23 24'!$K$12</c:f>
              <c:strCache>
                <c:ptCount val="1"/>
                <c:pt idx="0">
                  <c:v>NI generation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'Figs 23 24'!$L$11:$S$11</c:f>
              <c:strCache>
                <c:ptCount val="8"/>
                <c:pt idx="0">
                  <c:v>Simplified SPD (gross)</c:v>
                </c:pt>
                <c:pt idx="1">
                  <c:v>GIT-based + simplified SPD (gross)</c:v>
                </c:pt>
                <c:pt idx="2">
                  <c:v>Simplified SPD (gross) + GIT-based (varying rate)</c:v>
                </c:pt>
                <c:pt idx="3">
                  <c:v>Simplified SPD (gross) + GIT-based (constant rate)</c:v>
                </c:pt>
                <c:pt idx="4">
                  <c:v>Simplified SPD (net)</c:v>
                </c:pt>
                <c:pt idx="5">
                  <c:v>GIT-based + simplified SPD (net)</c:v>
                </c:pt>
                <c:pt idx="6">
                  <c:v>Simplified SPD (net) + GIT-based (varying rate)</c:v>
                </c:pt>
                <c:pt idx="7">
                  <c:v>Simplified SPD (net) + GIT-based (constant rate)</c:v>
                </c:pt>
              </c:strCache>
            </c:strRef>
          </c:cat>
          <c:val>
            <c:numRef>
              <c:f>'Figs 23 24'!$L$12:$S$12</c:f>
              <c:numCache>
                <c:formatCode>0.0</c:formatCode>
                <c:ptCount val="8"/>
                <c:pt idx="0">
                  <c:v>8.4985900469218087</c:v>
                </c:pt>
                <c:pt idx="1">
                  <c:v>6.4213301483654934</c:v>
                </c:pt>
                <c:pt idx="2">
                  <c:v>8.4985900469218087</c:v>
                </c:pt>
                <c:pt idx="3">
                  <c:v>8.4985900469218087</c:v>
                </c:pt>
                <c:pt idx="4">
                  <c:v>-19.526570569642459</c:v>
                </c:pt>
                <c:pt idx="5">
                  <c:v>-8.2059470351344608</c:v>
                </c:pt>
                <c:pt idx="6">
                  <c:v>-19.526570569642459</c:v>
                </c:pt>
                <c:pt idx="7">
                  <c:v>-19.526570569642459</c:v>
                </c:pt>
              </c:numCache>
            </c:numRef>
          </c:val>
        </c:ser>
        <c:ser>
          <c:idx val="1"/>
          <c:order val="1"/>
          <c:tx>
            <c:strRef>
              <c:f>'Figs 23 24'!$K$13</c:f>
              <c:strCache>
                <c:ptCount val="1"/>
                <c:pt idx="0">
                  <c:v>NI load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'Figs 23 24'!$L$11:$S$11</c:f>
              <c:strCache>
                <c:ptCount val="8"/>
                <c:pt idx="0">
                  <c:v>Simplified SPD (gross)</c:v>
                </c:pt>
                <c:pt idx="1">
                  <c:v>GIT-based + simplified SPD (gross)</c:v>
                </c:pt>
                <c:pt idx="2">
                  <c:v>Simplified SPD (gross) + GIT-based (varying rate)</c:v>
                </c:pt>
                <c:pt idx="3">
                  <c:v>Simplified SPD (gross) + GIT-based (constant rate)</c:v>
                </c:pt>
                <c:pt idx="4">
                  <c:v>Simplified SPD (net)</c:v>
                </c:pt>
                <c:pt idx="5">
                  <c:v>GIT-based + simplified SPD (net)</c:v>
                </c:pt>
                <c:pt idx="6">
                  <c:v>Simplified SPD (net) + GIT-based (varying rate)</c:v>
                </c:pt>
                <c:pt idx="7">
                  <c:v>Simplified SPD (net) + GIT-based (constant rate)</c:v>
                </c:pt>
              </c:strCache>
            </c:strRef>
          </c:cat>
          <c:val>
            <c:numRef>
              <c:f>'Figs 23 24'!$L$13:$S$13</c:f>
              <c:numCache>
                <c:formatCode>0.0</c:formatCode>
                <c:ptCount val="8"/>
                <c:pt idx="0">
                  <c:v>41.836557994527801</c:v>
                </c:pt>
                <c:pt idx="1">
                  <c:v>71.984268130840803</c:v>
                </c:pt>
                <c:pt idx="2">
                  <c:v>63.683538785005602</c:v>
                </c:pt>
                <c:pt idx="3">
                  <c:v>63.676774916173102</c:v>
                </c:pt>
                <c:pt idx="4">
                  <c:v>30.840131420686241</c:v>
                </c:pt>
                <c:pt idx="5">
                  <c:v>70.365558473511342</c:v>
                </c:pt>
                <c:pt idx="6">
                  <c:v>68.397419666654244</c:v>
                </c:pt>
                <c:pt idx="7">
                  <c:v>68.401510523755334</c:v>
                </c:pt>
              </c:numCache>
            </c:numRef>
          </c:val>
        </c:ser>
        <c:ser>
          <c:idx val="2"/>
          <c:order val="2"/>
          <c:tx>
            <c:strRef>
              <c:f>'Figs 23 24'!$K$14</c:f>
              <c:strCache>
                <c:ptCount val="1"/>
                <c:pt idx="0">
                  <c:v>SI generation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'Figs 23 24'!$L$11:$S$11</c:f>
              <c:strCache>
                <c:ptCount val="8"/>
                <c:pt idx="0">
                  <c:v>Simplified SPD (gross)</c:v>
                </c:pt>
                <c:pt idx="1">
                  <c:v>GIT-based + simplified SPD (gross)</c:v>
                </c:pt>
                <c:pt idx="2">
                  <c:v>Simplified SPD (gross) + GIT-based (varying rate)</c:v>
                </c:pt>
                <c:pt idx="3">
                  <c:v>Simplified SPD (gross) + GIT-based (constant rate)</c:v>
                </c:pt>
                <c:pt idx="4">
                  <c:v>Simplified SPD (net)</c:v>
                </c:pt>
                <c:pt idx="5">
                  <c:v>GIT-based + simplified SPD (net)</c:v>
                </c:pt>
                <c:pt idx="6">
                  <c:v>Simplified SPD (net) + GIT-based (varying rate)</c:v>
                </c:pt>
                <c:pt idx="7">
                  <c:v>Simplified SPD (net) + GIT-based (constant rate)</c:v>
                </c:pt>
              </c:strCache>
            </c:strRef>
          </c:cat>
          <c:val>
            <c:numRef>
              <c:f>'Figs 23 24'!$L$14:$S$14</c:f>
              <c:numCache>
                <c:formatCode>0.0</c:formatCode>
                <c:ptCount val="8"/>
                <c:pt idx="0">
                  <c:v>8.8782838730517586</c:v>
                </c:pt>
                <c:pt idx="1">
                  <c:v>7.9623904225624749</c:v>
                </c:pt>
                <c:pt idx="2">
                  <c:v>8.8782838730517586</c:v>
                </c:pt>
                <c:pt idx="3">
                  <c:v>8.8782838730517586</c:v>
                </c:pt>
                <c:pt idx="4">
                  <c:v>6.8123677356706054</c:v>
                </c:pt>
                <c:pt idx="5">
                  <c:v>10.618598366326415</c:v>
                </c:pt>
                <c:pt idx="6">
                  <c:v>6.8123677356706054</c:v>
                </c:pt>
                <c:pt idx="7">
                  <c:v>6.8123677356706054</c:v>
                </c:pt>
              </c:numCache>
            </c:numRef>
          </c:val>
        </c:ser>
        <c:ser>
          <c:idx val="3"/>
          <c:order val="3"/>
          <c:tx>
            <c:strRef>
              <c:f>'Figs 23 24'!$K$15</c:f>
              <c:strCache>
                <c:ptCount val="1"/>
                <c:pt idx="0">
                  <c:v>SI load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'Figs 23 24'!$L$11:$S$11</c:f>
              <c:strCache>
                <c:ptCount val="8"/>
                <c:pt idx="0">
                  <c:v>Simplified SPD (gross)</c:v>
                </c:pt>
                <c:pt idx="1">
                  <c:v>GIT-based + simplified SPD (gross)</c:v>
                </c:pt>
                <c:pt idx="2">
                  <c:v>Simplified SPD (gross) + GIT-based (varying rate)</c:v>
                </c:pt>
                <c:pt idx="3">
                  <c:v>Simplified SPD (gross) + GIT-based (constant rate)</c:v>
                </c:pt>
                <c:pt idx="4">
                  <c:v>Simplified SPD (net)</c:v>
                </c:pt>
                <c:pt idx="5">
                  <c:v>GIT-based + simplified SPD (net)</c:v>
                </c:pt>
                <c:pt idx="6">
                  <c:v>Simplified SPD (net) + GIT-based (varying rate)</c:v>
                </c:pt>
                <c:pt idx="7">
                  <c:v>Simplified SPD (net) + GIT-based (constant rate)</c:v>
                </c:pt>
              </c:strCache>
            </c:strRef>
          </c:cat>
          <c:val>
            <c:numRef>
              <c:f>'Figs 23 24'!$L$15:$S$15</c:f>
              <c:numCache>
                <c:formatCode>0.0</c:formatCode>
                <c:ptCount val="8"/>
                <c:pt idx="0">
                  <c:v>14.485466199164801</c:v>
                </c:pt>
                <c:pt idx="1">
                  <c:v>10.97743559782371</c:v>
                </c:pt>
                <c:pt idx="2">
                  <c:v>16.169392832707601</c:v>
                </c:pt>
                <c:pt idx="3">
                  <c:v>16.134188806128261</c:v>
                </c:pt>
                <c:pt idx="4">
                  <c:v>9.5931647558641409</c:v>
                </c:pt>
                <c:pt idx="5">
                  <c:v>5.9259396629581804</c:v>
                </c:pt>
                <c:pt idx="6">
                  <c:v>11.532686440598091</c:v>
                </c:pt>
                <c:pt idx="7">
                  <c:v>11.536742882864461</c:v>
                </c:pt>
              </c:numCache>
            </c:numRef>
          </c:val>
        </c:ser>
        <c:dLbls/>
        <c:overlap val="100"/>
        <c:axId val="63441920"/>
        <c:axId val="63468288"/>
      </c:barChart>
      <c:catAx>
        <c:axId val="63441920"/>
        <c:scaling>
          <c:orientation val="minMax"/>
        </c:scaling>
        <c:axPos val="b"/>
        <c:tickLblPos val="low"/>
        <c:crossAx val="63468288"/>
        <c:crosses val="autoZero"/>
        <c:auto val="1"/>
        <c:lblAlgn val="ctr"/>
        <c:lblOffset val="100"/>
      </c:catAx>
      <c:valAx>
        <c:axId val="63468288"/>
        <c:scaling>
          <c:orientation val="minMax"/>
          <c:max val="120"/>
          <c:min val="-2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Amount to be recovered</a:t>
                </a:r>
                <a:r>
                  <a:rPr lang="en-NZ" baseline="0"/>
                  <a:t> for 4 months ($M)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1.7415649374657106E-2"/>
              <c:y val="0.13305889451025726"/>
            </c:manualLayout>
          </c:layout>
        </c:title>
        <c:numFmt formatCode="0" sourceLinked="0"/>
        <c:tickLblPos val="low"/>
        <c:crossAx val="63441920"/>
        <c:crosses val="autoZero"/>
        <c:crossBetween val="between"/>
      </c:valAx>
    </c:plotArea>
    <c:legend>
      <c:legendPos val="r"/>
      <c:layout/>
      <c:spPr>
        <a:ln>
          <a:solidFill>
            <a:schemeClr val="bg1">
              <a:lumMod val="65000"/>
            </a:schemeClr>
          </a:solidFill>
        </a:ln>
      </c:spPr>
    </c:legend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7.6885556769518637E-2"/>
          <c:y val="3.5219956357658878E-2"/>
          <c:w val="0.72488525537178683"/>
          <c:h val="0.73655493476137568"/>
        </c:manualLayout>
      </c:layout>
      <c:barChart>
        <c:barDir val="col"/>
        <c:grouping val="stacked"/>
        <c:ser>
          <c:idx val="1"/>
          <c:order val="0"/>
          <c:tx>
            <c:strRef>
              <c:f>'Figs 23 24'!$U$5</c:f>
              <c:strCache>
                <c:ptCount val="1"/>
                <c:pt idx="0">
                  <c:v>Simplified SPD (economic)</c:v>
                </c:pt>
              </c:strCache>
            </c:strRef>
          </c:tx>
          <c:cat>
            <c:strRef>
              <c:f>'Figs 23 24'!$V$3:$AC$3</c:f>
              <c:strCache>
                <c:ptCount val="8"/>
                <c:pt idx="0">
                  <c:v>Simplified SPD (gross)</c:v>
                </c:pt>
                <c:pt idx="1">
                  <c:v>GIT-based + simplified SPD (gross)</c:v>
                </c:pt>
                <c:pt idx="2">
                  <c:v>Simplified SPD (gross) + GIT-based (varying rate)</c:v>
                </c:pt>
                <c:pt idx="3">
                  <c:v>Simplified SPD (gross) + GIT-based (constant rate)</c:v>
                </c:pt>
                <c:pt idx="4">
                  <c:v>Simplified SPD (net)</c:v>
                </c:pt>
                <c:pt idx="5">
                  <c:v>GIT-based + simplified SPD (net)</c:v>
                </c:pt>
                <c:pt idx="6">
                  <c:v>Simplified SPD (net) + GIT-based (varying rate)</c:v>
                </c:pt>
                <c:pt idx="7">
                  <c:v>Simplified SPD (net) + GIT-based (constant rate)</c:v>
                </c:pt>
              </c:strCache>
            </c:strRef>
          </c:cat>
          <c:val>
            <c:numRef>
              <c:f>'Figs 23 24'!$V$5:$AC$5</c:f>
              <c:numCache>
                <c:formatCode>0.0</c:formatCode>
                <c:ptCount val="8"/>
                <c:pt idx="0">
                  <c:v>41.241311589592478</c:v>
                </c:pt>
                <c:pt idx="1">
                  <c:v>41.241311589592478</c:v>
                </c:pt>
                <c:pt idx="2">
                  <c:v>41.241311589592478</c:v>
                </c:pt>
                <c:pt idx="3">
                  <c:v>41.241311589592478</c:v>
                </c:pt>
                <c:pt idx="4">
                  <c:v>30.805983792795935</c:v>
                </c:pt>
                <c:pt idx="5">
                  <c:v>30.805983792795935</c:v>
                </c:pt>
                <c:pt idx="6">
                  <c:v>30.805983792795935</c:v>
                </c:pt>
                <c:pt idx="7">
                  <c:v>30.805983792795935</c:v>
                </c:pt>
              </c:numCache>
            </c:numRef>
          </c:val>
        </c:ser>
        <c:ser>
          <c:idx val="2"/>
          <c:order val="1"/>
          <c:tx>
            <c:strRef>
              <c:f>'Figs 23 24'!$U$6</c:f>
              <c:strCache>
                <c:ptCount val="1"/>
                <c:pt idx="0">
                  <c:v>Simplified SPD (reliability)</c:v>
                </c:pt>
              </c:strCache>
            </c:strRef>
          </c:tx>
          <c:cat>
            <c:strRef>
              <c:f>'Figs 23 24'!$V$3:$AC$3</c:f>
              <c:strCache>
                <c:ptCount val="8"/>
                <c:pt idx="0">
                  <c:v>Simplified SPD (gross)</c:v>
                </c:pt>
                <c:pt idx="1">
                  <c:v>GIT-based + simplified SPD (gross)</c:v>
                </c:pt>
                <c:pt idx="2">
                  <c:v>Simplified SPD (gross) + GIT-based (varying rate)</c:v>
                </c:pt>
                <c:pt idx="3">
                  <c:v>Simplified SPD (gross) + GIT-based (constant rate)</c:v>
                </c:pt>
                <c:pt idx="4">
                  <c:v>Simplified SPD (net)</c:v>
                </c:pt>
                <c:pt idx="5">
                  <c:v>GIT-based + simplified SPD (net)</c:v>
                </c:pt>
                <c:pt idx="6">
                  <c:v>Simplified SPD (net) + GIT-based (varying rate)</c:v>
                </c:pt>
                <c:pt idx="7">
                  <c:v>Simplified SPD (net) + GIT-based (constant rate)</c:v>
                </c:pt>
              </c:strCache>
            </c:strRef>
          </c:cat>
          <c:val>
            <c:numRef>
              <c:f>'Figs 23 24'!$V$6:$AC$6</c:f>
              <c:numCache>
                <c:formatCode>General</c:formatCode>
                <c:ptCount val="8"/>
                <c:pt idx="0" formatCode="0.0">
                  <c:v>32.457586524073683</c:v>
                </c:pt>
                <c:pt idx="1">
                  <c:v>0</c:v>
                </c:pt>
                <c:pt idx="2" formatCode="0.0">
                  <c:v>32.457586524073683</c:v>
                </c:pt>
                <c:pt idx="3" formatCode="0.0">
                  <c:v>32.457586524073683</c:v>
                </c:pt>
                <c:pt idx="4" formatCode="0.0">
                  <c:v>16.439680119425063</c:v>
                </c:pt>
                <c:pt idx="5">
                  <c:v>0</c:v>
                </c:pt>
                <c:pt idx="6" formatCode="0.0">
                  <c:v>16.439680119425063</c:v>
                </c:pt>
                <c:pt idx="7" formatCode="0.0">
                  <c:v>16.439680119425063</c:v>
                </c:pt>
              </c:numCache>
            </c:numRef>
          </c:val>
        </c:ser>
        <c:ser>
          <c:idx val="0"/>
          <c:order val="2"/>
          <c:tx>
            <c:strRef>
              <c:f>'Figs 23 24'!$U$4</c:f>
              <c:strCache>
                <c:ptCount val="1"/>
                <c:pt idx="0">
                  <c:v>GIT-based</c:v>
                </c:pt>
              </c:strCache>
            </c:strRef>
          </c:tx>
          <c:cat>
            <c:strRef>
              <c:f>'Figs 23 24'!$V$3:$AC$3</c:f>
              <c:strCache>
                <c:ptCount val="8"/>
                <c:pt idx="0">
                  <c:v>Simplified SPD (gross)</c:v>
                </c:pt>
                <c:pt idx="1">
                  <c:v>GIT-based + simplified SPD (gross)</c:v>
                </c:pt>
                <c:pt idx="2">
                  <c:v>Simplified SPD (gross) + GIT-based (varying rate)</c:v>
                </c:pt>
                <c:pt idx="3">
                  <c:v>Simplified SPD (gross) + GIT-based (constant rate)</c:v>
                </c:pt>
                <c:pt idx="4">
                  <c:v>Simplified SPD (net)</c:v>
                </c:pt>
                <c:pt idx="5">
                  <c:v>GIT-based + simplified SPD (net)</c:v>
                </c:pt>
                <c:pt idx="6">
                  <c:v>Simplified SPD (net) + GIT-based (varying rate)</c:v>
                </c:pt>
                <c:pt idx="7">
                  <c:v>Simplified SPD (net) + GIT-based (constant rate)</c:v>
                </c:pt>
              </c:strCache>
            </c:strRef>
          </c:cat>
          <c:val>
            <c:numRef>
              <c:f>'Figs 23 24'!$V$4:$AC$4</c:f>
              <c:numCache>
                <c:formatCode>0.0</c:formatCode>
                <c:ptCount val="8"/>
                <c:pt idx="0" formatCode="General">
                  <c:v>0</c:v>
                </c:pt>
                <c:pt idx="1">
                  <c:v>56.104112709999995</c:v>
                </c:pt>
                <c:pt idx="2">
                  <c:v>23.530907424020601</c:v>
                </c:pt>
                <c:pt idx="3">
                  <c:v>23.488939528608761</c:v>
                </c:pt>
                <c:pt idx="4" formatCode="General">
                  <c:v>0</c:v>
                </c:pt>
                <c:pt idx="5">
                  <c:v>56.104112709999995</c:v>
                </c:pt>
                <c:pt idx="6">
                  <c:v>39.49680993070195</c:v>
                </c:pt>
                <c:pt idx="7">
                  <c:v>39.504957230069422</c:v>
                </c:pt>
              </c:numCache>
            </c:numRef>
          </c:val>
        </c:ser>
        <c:dLbls/>
        <c:overlap val="100"/>
        <c:axId val="63572992"/>
        <c:axId val="63582976"/>
      </c:barChart>
      <c:catAx>
        <c:axId val="63572992"/>
        <c:scaling>
          <c:orientation val="minMax"/>
        </c:scaling>
        <c:axPos val="b"/>
        <c:tickLblPos val="nextTo"/>
        <c:txPr>
          <a:bodyPr rot="0" vert="horz" anchor="t" anchorCtr="1"/>
          <a:lstStyle/>
          <a:p>
            <a:pPr>
              <a:defRPr sz="1100"/>
            </a:pPr>
            <a:endParaRPr lang="en-US"/>
          </a:p>
        </c:txPr>
        <c:crossAx val="63582976"/>
        <c:crosses val="autoZero"/>
        <c:auto val="1"/>
        <c:lblAlgn val="ctr"/>
        <c:lblOffset val="100"/>
      </c:catAx>
      <c:valAx>
        <c:axId val="63582976"/>
        <c:scaling>
          <c:orientation val="minMax"/>
          <c:max val="12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 sz="1100" b="1" i="0" baseline="0">
                    <a:effectLst/>
                  </a:rPr>
                  <a:t>Amount to be recovered for 4 months ($M)</a:t>
                </a:r>
                <a:endParaRPr lang="en-NZ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7.7435577202866713E-3"/>
              <c:y val="0.11699608317326883"/>
            </c:manualLayout>
          </c:layout>
        </c:title>
        <c:numFmt formatCode="0" sourceLinked="0"/>
        <c:tickLblPos val="nextTo"/>
        <c:crossAx val="63572992"/>
        <c:crosses val="autoZero"/>
        <c:crossBetween val="between"/>
      </c:valAx>
    </c:plotArea>
    <c:legend>
      <c:legendPos val="r"/>
      <c:spPr>
        <a:ln>
          <a:solidFill>
            <a:schemeClr val="bg1">
              <a:lumMod val="65000"/>
            </a:schemeClr>
          </a:solidFill>
        </a:ln>
      </c:spPr>
    </c:legend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0.12320923531941426"/>
          <c:y val="3.8520469719769218E-2"/>
          <c:w val="0.84968671885051872"/>
          <c:h val="0.74192002460653894"/>
        </c:manualLayout>
      </c:layout>
      <c:barChart>
        <c:barDir val="col"/>
        <c:grouping val="clustered"/>
        <c:ser>
          <c:idx val="0"/>
          <c:order val="0"/>
          <c:dPt>
            <c:idx val="5"/>
            <c:spPr>
              <a:solidFill>
                <a:schemeClr val="accent3"/>
              </a:solidFill>
            </c:spPr>
          </c:dPt>
          <c:cat>
            <c:strRef>
              <c:f>'Figs 25 26'!$B$1:$G$1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5">
                  <c:v>Charging rate is constant over 4 months</c:v>
                </c:pt>
              </c:strCache>
            </c:strRef>
          </c:cat>
          <c:val>
            <c:numRef>
              <c:f>'Figs 25 26'!$B$3:$G$3</c:f>
              <c:numCache>
                <c:formatCode>General</c:formatCode>
                <c:ptCount val="6"/>
                <c:pt idx="0">
                  <c:v>6.6000000000000005</c:v>
                </c:pt>
                <c:pt idx="1">
                  <c:v>8.33</c:v>
                </c:pt>
                <c:pt idx="2">
                  <c:v>9.86</c:v>
                </c:pt>
                <c:pt idx="3">
                  <c:v>9.85</c:v>
                </c:pt>
                <c:pt idx="5">
                  <c:v>8.58</c:v>
                </c:pt>
              </c:numCache>
            </c:numRef>
          </c:val>
        </c:ser>
        <c:dLbls/>
        <c:axId val="63676800"/>
        <c:axId val="63678336"/>
      </c:barChart>
      <c:lineChart>
        <c:grouping val="standard"/>
        <c:ser>
          <c:idx val="2"/>
          <c:order val="1"/>
          <c:spPr>
            <a:ln w="1270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numRef>
              <c:f>'Figs 25 26'!$H$2:$H$8</c:f>
              <c:numCache>
                <c:formatCode>General</c:formatCode>
                <c:ptCount val="7"/>
                <c:pt idx="0">
                  <c:v>0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</c:numCache>
            </c:numRef>
          </c:cat>
          <c:val>
            <c:numRef>
              <c:f>'Figs 25 26'!$I$2:$I$7</c:f>
              <c:numCache>
                <c:formatCode>General</c:formatCode>
                <c:ptCount val="6"/>
                <c:pt idx="0">
                  <c:v>8.66</c:v>
                </c:pt>
                <c:pt idx="1">
                  <c:v>8.66</c:v>
                </c:pt>
                <c:pt idx="2">
                  <c:v>8.66</c:v>
                </c:pt>
                <c:pt idx="3">
                  <c:v>8.66</c:v>
                </c:pt>
                <c:pt idx="4">
                  <c:v>8.66</c:v>
                </c:pt>
                <c:pt idx="5">
                  <c:v>8.66</c:v>
                </c:pt>
              </c:numCache>
            </c:numRef>
          </c:val>
        </c:ser>
        <c:ser>
          <c:idx val="1"/>
          <c:order val="2"/>
          <c:marker>
            <c:symbol val="none"/>
          </c:marker>
          <c:cat>
            <c:numRef>
              <c:f>'Figs 25 26'!$H$2:$H$8</c:f>
              <c:numCache>
                <c:formatCode>General</c:formatCode>
                <c:ptCount val="7"/>
                <c:pt idx="0">
                  <c:v>0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</c:numCache>
            </c:numRef>
          </c:cat>
          <c:val>
            <c:numRef>
              <c:f>'Figs 25 26'!$I$2</c:f>
              <c:numCache>
                <c:formatCode>General</c:formatCode>
                <c:ptCount val="1"/>
                <c:pt idx="0">
                  <c:v>8.66</c:v>
                </c:pt>
              </c:numCache>
            </c:numRef>
          </c:val>
        </c:ser>
        <c:dLbls/>
        <c:marker val="1"/>
        <c:axId val="63676800"/>
        <c:axId val="63678336"/>
      </c:lineChart>
      <c:catAx>
        <c:axId val="63676800"/>
        <c:scaling>
          <c:orientation val="minMax"/>
        </c:scaling>
        <c:axPos val="b"/>
        <c:tickLblPos val="nextTo"/>
        <c:crossAx val="63678336"/>
        <c:crosses val="autoZero"/>
        <c:auto val="1"/>
        <c:lblAlgn val="ctr"/>
        <c:lblOffset val="100"/>
      </c:catAx>
      <c:valAx>
        <c:axId val="636783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GIT-based</a:t>
                </a:r>
                <a:r>
                  <a:rPr lang="en-NZ" baseline="0"/>
                  <a:t> charging rate at KEN ($/MWh)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2.2307688213261352E-2"/>
              <c:y val="9.3089042323039592E-2"/>
            </c:manualLayout>
          </c:layout>
        </c:title>
        <c:numFmt formatCode="General" sourceLinked="1"/>
        <c:tickLblPos val="nextTo"/>
        <c:crossAx val="6367680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9.3794144291648257E-2"/>
          <c:y val="7.1401682068192016E-2"/>
          <c:w val="0.72881070324875541"/>
          <c:h val="0.73251548006052214"/>
        </c:manualLayout>
      </c:layout>
      <c:barChart>
        <c:barDir val="col"/>
        <c:grouping val="stacked"/>
        <c:ser>
          <c:idx val="2"/>
          <c:order val="0"/>
          <c:tx>
            <c:v>Simplified SPD</c:v>
          </c:tx>
          <c:spPr>
            <a:solidFill>
              <a:schemeClr val="accent1"/>
            </a:solidFill>
          </c:spPr>
          <c:cat>
            <c:strRef>
              <c:f>'Figs 25 26'!$B$1:$G$1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5">
                  <c:v>Charging rate is constant over 4 months</c:v>
                </c:pt>
              </c:strCache>
            </c:strRef>
          </c:cat>
          <c:val>
            <c:numRef>
              <c:f>'Figs 25 26'!$B$2:$G$2</c:f>
              <c:numCache>
                <c:formatCode>0.00</c:formatCode>
                <c:ptCount val="6"/>
                <c:pt idx="0">
                  <c:v>7.3158352219902598</c:v>
                </c:pt>
                <c:pt idx="1">
                  <c:v>6.7318956577812497</c:v>
                </c:pt>
                <c:pt idx="2">
                  <c:v>5.7669296504448999</c:v>
                </c:pt>
                <c:pt idx="3">
                  <c:v>6.7480538188841503</c:v>
                </c:pt>
                <c:pt idx="5">
                  <c:v>6.6508744159999997</c:v>
                </c:pt>
              </c:numCache>
            </c:numRef>
          </c:val>
        </c:ser>
        <c:ser>
          <c:idx val="0"/>
          <c:order val="1"/>
          <c:tx>
            <c:v>GIT-based post SPD</c:v>
          </c:tx>
          <c:spPr>
            <a:solidFill>
              <a:schemeClr val="accent3"/>
            </a:solidFill>
          </c:spPr>
          <c:cat>
            <c:strRef>
              <c:f>'Figs 25 26'!$B$1:$G$1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5">
                  <c:v>Charging rate is constant over 4 months</c:v>
                </c:pt>
              </c:strCache>
            </c:strRef>
          </c:cat>
          <c:val>
            <c:numRef>
              <c:f>'Figs 25 26'!$B$3:$G$3</c:f>
              <c:numCache>
                <c:formatCode>General</c:formatCode>
                <c:ptCount val="6"/>
                <c:pt idx="0">
                  <c:v>6.6000000000000005</c:v>
                </c:pt>
                <c:pt idx="1">
                  <c:v>8.33</c:v>
                </c:pt>
                <c:pt idx="2">
                  <c:v>9.86</c:v>
                </c:pt>
                <c:pt idx="3">
                  <c:v>9.85</c:v>
                </c:pt>
                <c:pt idx="5">
                  <c:v>8.58</c:v>
                </c:pt>
              </c:numCache>
            </c:numRef>
          </c:val>
        </c:ser>
        <c:dLbls/>
        <c:overlap val="100"/>
        <c:axId val="63746432"/>
        <c:axId val="63747968"/>
      </c:barChart>
      <c:lineChart>
        <c:grouping val="standard"/>
        <c:ser>
          <c:idx val="1"/>
          <c:order val="2"/>
          <c:spPr>
            <a:ln w="1270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numRef>
              <c:f>'Figs 25 26'!$H$2:$H$7</c:f>
              <c:numCache>
                <c:formatCode>General</c:formatCode>
                <c:ptCount val="6"/>
                <c:pt idx="0">
                  <c:v>0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</c:numCache>
            </c:numRef>
          </c:cat>
          <c:val>
            <c:numRef>
              <c:f>'Figs 25 26'!$J$2:$J$7</c:f>
              <c:numCache>
                <c:formatCode>0.00</c:formatCode>
                <c:ptCount val="6"/>
                <c:pt idx="0">
                  <c:v>15.30067858727514</c:v>
                </c:pt>
                <c:pt idx="1">
                  <c:v>15.30067858727514</c:v>
                </c:pt>
                <c:pt idx="2">
                  <c:v>15.30067858727514</c:v>
                </c:pt>
                <c:pt idx="3">
                  <c:v>15.30067858727514</c:v>
                </c:pt>
                <c:pt idx="4">
                  <c:v>15.30067858727514</c:v>
                </c:pt>
                <c:pt idx="5">
                  <c:v>15.30067858727514</c:v>
                </c:pt>
              </c:numCache>
            </c:numRef>
          </c:val>
        </c:ser>
        <c:dLbls/>
        <c:marker val="1"/>
        <c:axId val="63746432"/>
        <c:axId val="63747968"/>
      </c:lineChart>
      <c:catAx>
        <c:axId val="63746432"/>
        <c:scaling>
          <c:orientation val="minMax"/>
        </c:scaling>
        <c:axPos val="b"/>
        <c:tickLblPos val="nextTo"/>
        <c:crossAx val="63747968"/>
        <c:crosses val="autoZero"/>
        <c:auto val="1"/>
        <c:lblAlgn val="ctr"/>
        <c:lblOffset val="100"/>
      </c:catAx>
      <c:valAx>
        <c:axId val="637479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Charging </a:t>
                </a:r>
                <a:r>
                  <a:rPr lang="en-NZ" baseline="0"/>
                  <a:t>rate at KEN ($/MWh)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1.531468250377503E-2"/>
              <c:y val="0.19173267936830787"/>
            </c:manualLayout>
          </c:layout>
        </c:title>
        <c:numFmt formatCode="0" sourceLinked="0"/>
        <c:tickLblPos val="nextTo"/>
        <c:crossAx val="63746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88753760375012"/>
          <c:y val="0.40483012064039126"/>
          <c:w val="0.14890798225104482"/>
          <c:h val="0.22322071216045616"/>
        </c:manualLayout>
      </c:layout>
      <c:overlay val="1"/>
    </c:legend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9.9529412755990102E-2"/>
          <c:y val="3.5259623797025401E-2"/>
          <c:w val="0.86578497912480179"/>
          <c:h val="0.71785148731408976"/>
        </c:manualLayout>
      </c:layout>
      <c:barChart>
        <c:barDir val="col"/>
        <c:grouping val="clustered"/>
        <c:ser>
          <c:idx val="3"/>
          <c:order val="0"/>
          <c:tx>
            <c:strRef>
              <c:f>'Fig 6'!$H$4</c:f>
              <c:strCache>
                <c:ptCount val="1"/>
                <c:pt idx="0">
                  <c:v>Half-hourly capping</c:v>
                </c:pt>
              </c:strCache>
            </c:strRef>
          </c:tx>
          <c:val>
            <c:numRef>
              <c:f>'Fig 6'!$H$5:$H$14</c:f>
              <c:numCache>
                <c:formatCode>0.0</c:formatCode>
                <c:ptCount val="10"/>
                <c:pt idx="0">
                  <c:v>2.43931522794289</c:v>
                </c:pt>
                <c:pt idx="1">
                  <c:v>18.590402747656899</c:v>
                </c:pt>
                <c:pt idx="2">
                  <c:v>0</c:v>
                </c:pt>
                <c:pt idx="3">
                  <c:v>3.5326049870583098</c:v>
                </c:pt>
                <c:pt idx="4">
                  <c:v>0.65243044064278699</c:v>
                </c:pt>
                <c:pt idx="5">
                  <c:v>16.6813712629238</c:v>
                </c:pt>
                <c:pt idx="6">
                  <c:v>9.3890472530325795</c:v>
                </c:pt>
                <c:pt idx="7">
                  <c:v>1.2845092436589701E-2</c:v>
                </c:pt>
                <c:pt idx="8">
                  <c:v>3.2135190520533001</c:v>
                </c:pt>
                <c:pt idx="9">
                  <c:v>0.68763484685526499</c:v>
                </c:pt>
              </c:numCache>
            </c:numRef>
          </c:val>
        </c:ser>
        <c:ser>
          <c:idx val="0"/>
          <c:order val="1"/>
          <c:tx>
            <c:strRef>
              <c:f>'Fig 6'!$I$4</c:f>
              <c:strCache>
                <c:ptCount val="1"/>
                <c:pt idx="0">
                  <c:v>Daily capping</c:v>
                </c:pt>
              </c:strCache>
            </c:strRef>
          </c:tx>
          <c:cat>
            <c:strRef>
              <c:f>'Fig 6'!$G$5:$G$14</c:f>
              <c:strCache>
                <c:ptCount val="10"/>
                <c:pt idx="0">
                  <c:v>NAaN</c:v>
                </c:pt>
                <c:pt idx="1">
                  <c:v>NIGU</c:v>
                </c:pt>
                <c:pt idx="2">
                  <c:v>UNI Reactive</c:v>
                </c:pt>
                <c:pt idx="3">
                  <c:v>Wairakei Ring</c:v>
                </c:pt>
                <c:pt idx="4">
                  <c:v>BPE-HAY</c:v>
                </c:pt>
                <c:pt idx="5">
                  <c:v>Pole 2</c:v>
                </c:pt>
                <c:pt idx="6">
                  <c:v>Pole 3</c:v>
                </c:pt>
                <c:pt idx="7">
                  <c:v>USI Reactive</c:v>
                </c:pt>
                <c:pt idx="8">
                  <c:v>LSI Renewables</c:v>
                </c:pt>
                <c:pt idx="9">
                  <c:v>LSI Reliability</c:v>
                </c:pt>
              </c:strCache>
            </c:strRef>
          </c:cat>
          <c:val>
            <c:numRef>
              <c:f>'Fig 6'!$I$5:$I$14</c:f>
              <c:numCache>
                <c:formatCode>0.0</c:formatCode>
                <c:ptCount val="10"/>
                <c:pt idx="0">
                  <c:v>4.2810780092921599</c:v>
                </c:pt>
                <c:pt idx="1">
                  <c:v>27.0643241546822</c:v>
                </c:pt>
                <c:pt idx="2">
                  <c:v>0</c:v>
                </c:pt>
                <c:pt idx="3">
                  <c:v>4.3328851339153198</c:v>
                </c:pt>
                <c:pt idx="4">
                  <c:v>1.0342371901349201</c:v>
                </c:pt>
                <c:pt idx="5">
                  <c:v>17.174914817772201</c:v>
                </c:pt>
                <c:pt idx="6">
                  <c:v>14.4777079700148</c:v>
                </c:pt>
                <c:pt idx="7">
                  <c:v>0.19178310225585399</c:v>
                </c:pt>
                <c:pt idx="8">
                  <c:v>4.2213764034994599</c:v>
                </c:pt>
                <c:pt idx="9">
                  <c:v>0.92059133209890898</c:v>
                </c:pt>
              </c:numCache>
            </c:numRef>
          </c:val>
        </c:ser>
        <c:ser>
          <c:idx val="1"/>
          <c:order val="2"/>
          <c:tx>
            <c:strRef>
              <c:f>'Fig 6'!$J$4</c:f>
              <c:strCache>
                <c:ptCount val="1"/>
                <c:pt idx="0">
                  <c:v>Monthly capping</c:v>
                </c:pt>
              </c:strCache>
            </c:strRef>
          </c:tx>
          <c:val>
            <c:numRef>
              <c:f>'Fig 6'!$J$5:$J$14</c:f>
              <c:numCache>
                <c:formatCode>0.0</c:formatCode>
                <c:ptCount val="10"/>
                <c:pt idx="0">
                  <c:v>5.3805293625948503</c:v>
                </c:pt>
                <c:pt idx="1">
                  <c:v>29.3505216974234</c:v>
                </c:pt>
                <c:pt idx="2">
                  <c:v>0</c:v>
                </c:pt>
                <c:pt idx="3">
                  <c:v>4.3800795957181</c:v>
                </c:pt>
                <c:pt idx="4">
                  <c:v>1.2936049028029499</c:v>
                </c:pt>
                <c:pt idx="5">
                  <c:v>17.1799164797701</c:v>
                </c:pt>
                <c:pt idx="6">
                  <c:v>22.923475676395501</c:v>
                </c:pt>
                <c:pt idx="7">
                  <c:v>0.84931410208134495</c:v>
                </c:pt>
                <c:pt idx="8">
                  <c:v>4.3572185899999996</c:v>
                </c:pt>
                <c:pt idx="9">
                  <c:v>1.01051245828536</c:v>
                </c:pt>
              </c:numCache>
            </c:numRef>
          </c:val>
        </c:ser>
        <c:ser>
          <c:idx val="2"/>
          <c:order val="3"/>
          <c:tx>
            <c:strRef>
              <c:f>'Fig 6'!$K$4</c:f>
              <c:strCache>
                <c:ptCount val="1"/>
                <c:pt idx="0">
                  <c:v>Capping over 4 months</c:v>
                </c:pt>
              </c:strCache>
            </c:strRef>
          </c:tx>
          <c:val>
            <c:numRef>
              <c:f>'Fig 6'!$K$5:$K$14</c:f>
              <c:numCache>
                <c:formatCode>0.0</c:formatCode>
                <c:ptCount val="10"/>
                <c:pt idx="0">
                  <c:v>6.0360053899999597</c:v>
                </c:pt>
                <c:pt idx="1">
                  <c:v>30.324199706553198</c:v>
                </c:pt>
                <c:pt idx="2">
                  <c:v>0</c:v>
                </c:pt>
                <c:pt idx="3">
                  <c:v>4.3802330805815899</c:v>
                </c:pt>
                <c:pt idx="4">
                  <c:v>2.1365889</c:v>
                </c:pt>
                <c:pt idx="5">
                  <c:v>17.181920809902</c:v>
                </c:pt>
                <c:pt idx="6">
                  <c:v>24.9238213624972</c:v>
                </c:pt>
                <c:pt idx="7">
                  <c:v>1.6849302908462001</c:v>
                </c:pt>
                <c:pt idx="8">
                  <c:v>4.3572185899999996</c:v>
                </c:pt>
                <c:pt idx="9">
                  <c:v>1.0104963677979899</c:v>
                </c:pt>
              </c:numCache>
            </c:numRef>
          </c:val>
        </c:ser>
        <c:dLbls/>
        <c:axId val="59945344"/>
        <c:axId val="59947264"/>
      </c:barChart>
      <c:barChart>
        <c:barDir val="col"/>
        <c:grouping val="clustered"/>
        <c:ser>
          <c:idx val="4"/>
          <c:order val="4"/>
          <c:tx>
            <c:v>Revenue requirement</c:v>
          </c:tx>
          <c:spPr>
            <a:noFill/>
            <a:ln>
              <a:solidFill>
                <a:schemeClr val="tx1"/>
              </a:solidFill>
            </a:ln>
          </c:spPr>
          <c:val>
            <c:numRef>
              <c:f>'Fig 6'!$L$5:$L$14</c:f>
              <c:numCache>
                <c:formatCode>0.0</c:formatCode>
                <c:ptCount val="10"/>
                <c:pt idx="0">
                  <c:v>11.457534246575342</c:v>
                </c:pt>
                <c:pt idx="1">
                  <c:v>30.328767123287673</c:v>
                </c:pt>
                <c:pt idx="2">
                  <c:v>2.6958904109589041</c:v>
                </c:pt>
                <c:pt idx="3">
                  <c:v>4.3808219178082188</c:v>
                </c:pt>
                <c:pt idx="4">
                  <c:v>2.6958904109589041</c:v>
                </c:pt>
                <c:pt idx="5">
                  <c:v>17.186301369863013</c:v>
                </c:pt>
                <c:pt idx="6">
                  <c:v>24.936986301369863</c:v>
                </c:pt>
                <c:pt idx="7">
                  <c:v>1.6849315068493151</c:v>
                </c:pt>
                <c:pt idx="8">
                  <c:v>9.0986301369863014</c:v>
                </c:pt>
                <c:pt idx="9">
                  <c:v>1.010958904109589</c:v>
                </c:pt>
              </c:numCache>
            </c:numRef>
          </c:val>
        </c:ser>
        <c:dLbls/>
        <c:gapWidth val="38"/>
        <c:axId val="59955072"/>
        <c:axId val="59953536"/>
      </c:barChart>
      <c:catAx>
        <c:axId val="59945344"/>
        <c:scaling>
          <c:orientation val="minMax"/>
        </c:scaling>
        <c:axPos val="b"/>
        <c:title>
          <c:tx>
            <c:strRef>
              <c:f>'Fig 6'!$G$4</c:f>
              <c:strCache>
                <c:ptCount val="1"/>
                <c:pt idx="0">
                  <c:v>Investment</c:v>
                </c:pt>
              </c:strCache>
            </c:strRef>
          </c:tx>
          <c:layout>
            <c:manualLayout>
              <c:xMode val="edge"/>
              <c:yMode val="edge"/>
              <c:x val="0.47776017984813995"/>
              <c:y val="0.94452972159518678"/>
            </c:manualLayout>
          </c:layout>
        </c:title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9947264"/>
        <c:crosses val="autoZero"/>
        <c:auto val="1"/>
        <c:lblAlgn val="ctr"/>
        <c:lblOffset val="100"/>
      </c:catAx>
      <c:valAx>
        <c:axId val="59947264"/>
        <c:scaling>
          <c:orientation val="minMax"/>
        </c:scaling>
        <c:axPos val="l"/>
        <c:majorGridlines/>
        <c:title>
          <c:tx>
            <c:strRef>
              <c:f>'Fig 6'!$K$3</c:f>
              <c:strCache>
                <c:ptCount val="1"/>
                <c:pt idx="0">
                  <c:v>Amount to be recovered for 4 months, $M (*)</c:v>
                </c:pt>
              </c:strCache>
            </c:strRef>
          </c:tx>
          <c:layout>
            <c:manualLayout>
              <c:xMode val="edge"/>
              <c:yMode val="edge"/>
              <c:x val="9.8047050289838227E-3"/>
              <c:y val="0.10969378827646604"/>
            </c:manualLayout>
          </c:layout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0"/>
        <c:tickLblPos val="nextTo"/>
        <c:crossAx val="59945344"/>
        <c:crosses val="autoZero"/>
        <c:crossBetween val="between"/>
      </c:valAx>
      <c:valAx>
        <c:axId val="59953536"/>
        <c:scaling>
          <c:orientation val="minMax"/>
        </c:scaling>
        <c:delete val="1"/>
        <c:axPos val="r"/>
        <c:numFmt formatCode="0.0" sourceLinked="1"/>
        <c:tickLblPos val="none"/>
        <c:crossAx val="59955072"/>
        <c:crosses val="max"/>
        <c:crossBetween val="between"/>
      </c:valAx>
      <c:catAx>
        <c:axId val="59955072"/>
        <c:scaling>
          <c:orientation val="minMax"/>
        </c:scaling>
        <c:delete val="1"/>
        <c:axPos val="b"/>
        <c:tickLblPos val="none"/>
        <c:crossAx val="5995353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29051385430753734"/>
          <c:y val="5.0156824146981784E-2"/>
          <c:w val="0.2600479434452716"/>
          <c:h val="0.26799540682414696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0.15834782015884391"/>
          <c:y val="3.4943954153381834E-2"/>
          <c:w val="0.80397893445137802"/>
          <c:h val="0.83167808721896364"/>
        </c:manualLayout>
      </c:layout>
      <c:lineChart>
        <c:grouping val="standard"/>
        <c:ser>
          <c:idx val="1"/>
          <c:order val="0"/>
          <c:tx>
            <c:v>Monthly capping</c:v>
          </c:tx>
          <c:marker>
            <c:symbol val="none"/>
          </c:marker>
          <c:val>
            <c:numRef>
              <c:f>'Figs 7 8 9'!$B$5:$B$54</c:f>
              <c:numCache>
                <c:formatCode>0</c:formatCode>
                <c:ptCount val="50"/>
                <c:pt idx="0">
                  <c:v>217837.69431406699</c:v>
                </c:pt>
                <c:pt idx="1">
                  <c:v>96434.354014041397</c:v>
                </c:pt>
                <c:pt idx="2">
                  <c:v>95181.997867146507</c:v>
                </c:pt>
                <c:pt idx="3">
                  <c:v>92619.911808895398</c:v>
                </c:pt>
                <c:pt idx="4">
                  <c:v>91829.600387610597</c:v>
                </c:pt>
                <c:pt idx="5">
                  <c:v>90897.543817730402</c:v>
                </c:pt>
                <c:pt idx="6">
                  <c:v>82984.904424256005</c:v>
                </c:pt>
                <c:pt idx="7">
                  <c:v>65475.908303880002</c:v>
                </c:pt>
                <c:pt idx="8">
                  <c:v>63726.529563794</c:v>
                </c:pt>
                <c:pt idx="9">
                  <c:v>57867.450389724901</c:v>
                </c:pt>
                <c:pt idx="10">
                  <c:v>56138.341990004898</c:v>
                </c:pt>
                <c:pt idx="11">
                  <c:v>45921.806331259599</c:v>
                </c:pt>
                <c:pt idx="12">
                  <c:v>38227.208633808601</c:v>
                </c:pt>
                <c:pt idx="13">
                  <c:v>26206.510894383398</c:v>
                </c:pt>
                <c:pt idx="14">
                  <c:v>24024.976641630099</c:v>
                </c:pt>
                <c:pt idx="15">
                  <c:v>20132.646276319199</c:v>
                </c:pt>
                <c:pt idx="16">
                  <c:v>18552.0053358312</c:v>
                </c:pt>
                <c:pt idx="17">
                  <c:v>16718.617532871001</c:v>
                </c:pt>
                <c:pt idx="18">
                  <c:v>16471.652585389202</c:v>
                </c:pt>
                <c:pt idx="19">
                  <c:v>13491.5887506075</c:v>
                </c:pt>
                <c:pt idx="20">
                  <c:v>13442.695229796</c:v>
                </c:pt>
                <c:pt idx="21">
                  <c:v>12778.4366609345</c:v>
                </c:pt>
                <c:pt idx="22">
                  <c:v>12450.4011264729</c:v>
                </c:pt>
                <c:pt idx="23">
                  <c:v>11945.1827616051</c:v>
                </c:pt>
                <c:pt idx="24">
                  <c:v>11454.7245186491</c:v>
                </c:pt>
                <c:pt idx="25">
                  <c:v>10841.2183975799</c:v>
                </c:pt>
                <c:pt idx="26">
                  <c:v>10827.6511802145</c:v>
                </c:pt>
                <c:pt idx="27">
                  <c:v>10704.2965358742</c:v>
                </c:pt>
                <c:pt idx="28">
                  <c:v>10699.388979167899</c:v>
                </c:pt>
                <c:pt idx="29">
                  <c:v>10676.9331893903</c:v>
                </c:pt>
                <c:pt idx="30">
                  <c:v>10311.027915151401</c:v>
                </c:pt>
                <c:pt idx="31">
                  <c:v>9775.0093926160298</c:v>
                </c:pt>
                <c:pt idx="32">
                  <c:v>9250.9828464210896</c:v>
                </c:pt>
                <c:pt idx="33">
                  <c:v>8854.4271370371007</c:v>
                </c:pt>
                <c:pt idx="34">
                  <c:v>8410.0214677503409</c:v>
                </c:pt>
                <c:pt idx="35">
                  <c:v>8362.9202051089305</c:v>
                </c:pt>
                <c:pt idx="36">
                  <c:v>8229.1110818934994</c:v>
                </c:pt>
                <c:pt idx="37">
                  <c:v>8209.5475198927506</c:v>
                </c:pt>
                <c:pt idx="38">
                  <c:v>8200.0170140006194</c:v>
                </c:pt>
                <c:pt idx="39">
                  <c:v>8011.4504294368098</c:v>
                </c:pt>
                <c:pt idx="40">
                  <c:v>7902.8534300947103</c:v>
                </c:pt>
                <c:pt idx="41">
                  <c:v>7884.5308594449598</c:v>
                </c:pt>
                <c:pt idx="42">
                  <c:v>7880.6950679963302</c:v>
                </c:pt>
                <c:pt idx="43">
                  <c:v>7688.53627499698</c:v>
                </c:pt>
                <c:pt idx="44">
                  <c:v>7645.3810571680397</c:v>
                </c:pt>
                <c:pt idx="45">
                  <c:v>7640.4581162713803</c:v>
                </c:pt>
                <c:pt idx="46">
                  <c:v>7607.3359545510903</c:v>
                </c:pt>
                <c:pt idx="47">
                  <c:v>7606.2462410713497</c:v>
                </c:pt>
                <c:pt idx="48">
                  <c:v>7465.5834610763704</c:v>
                </c:pt>
                <c:pt idx="49">
                  <c:v>7362.5427184650398</c:v>
                </c:pt>
              </c:numCache>
            </c:numRef>
          </c:val>
        </c:ser>
        <c:ser>
          <c:idx val="0"/>
          <c:order val="1"/>
          <c:tx>
            <c:v>Daily capping</c:v>
          </c:tx>
          <c:marker>
            <c:symbol val="none"/>
          </c:marker>
          <c:val>
            <c:numRef>
              <c:f>'Figs 7 8 9'!$A$5:$A$54</c:f>
              <c:numCache>
                <c:formatCode>0</c:formatCode>
                <c:ptCount val="50"/>
                <c:pt idx="0">
                  <c:v>21162.3255550389</c:v>
                </c:pt>
                <c:pt idx="1">
                  <c:v>20209.6570558075</c:v>
                </c:pt>
                <c:pt idx="2">
                  <c:v>19900.818205549102</c:v>
                </c:pt>
                <c:pt idx="3">
                  <c:v>17402.612798528698</c:v>
                </c:pt>
                <c:pt idx="4">
                  <c:v>14784.784317240599</c:v>
                </c:pt>
                <c:pt idx="5">
                  <c:v>14017.078348753101</c:v>
                </c:pt>
                <c:pt idx="6">
                  <c:v>13836.759397362501</c:v>
                </c:pt>
                <c:pt idx="7">
                  <c:v>13285.458001885299</c:v>
                </c:pt>
                <c:pt idx="8">
                  <c:v>12497.658619481699</c:v>
                </c:pt>
                <c:pt idx="9">
                  <c:v>12496.7467683867</c:v>
                </c:pt>
                <c:pt idx="10">
                  <c:v>11982.284682514301</c:v>
                </c:pt>
                <c:pt idx="11">
                  <c:v>11131.5845361182</c:v>
                </c:pt>
                <c:pt idx="12">
                  <c:v>10877.7714981026</c:v>
                </c:pt>
                <c:pt idx="13">
                  <c:v>10589.475991027401</c:v>
                </c:pt>
                <c:pt idx="14">
                  <c:v>9534.12542775781</c:v>
                </c:pt>
                <c:pt idx="15">
                  <c:v>9453.1231290937994</c:v>
                </c:pt>
                <c:pt idx="16">
                  <c:v>9419.2227047761298</c:v>
                </c:pt>
                <c:pt idx="17">
                  <c:v>8951.6670392787</c:v>
                </c:pt>
                <c:pt idx="18">
                  <c:v>8828.0756802865508</c:v>
                </c:pt>
                <c:pt idx="19">
                  <c:v>8814.7097924726495</c:v>
                </c:pt>
                <c:pt idx="20">
                  <c:v>8780.2278813048597</c:v>
                </c:pt>
                <c:pt idx="21">
                  <c:v>8682.1927288083607</c:v>
                </c:pt>
                <c:pt idx="22">
                  <c:v>8577.7367873353596</c:v>
                </c:pt>
                <c:pt idx="23">
                  <c:v>8442.7710013331798</c:v>
                </c:pt>
                <c:pt idx="24">
                  <c:v>8411.1386343694303</c:v>
                </c:pt>
                <c:pt idx="25">
                  <c:v>8392.6903529688607</c:v>
                </c:pt>
                <c:pt idx="26">
                  <c:v>8309.5555866429204</c:v>
                </c:pt>
                <c:pt idx="27">
                  <c:v>8198.6426350007496</c:v>
                </c:pt>
                <c:pt idx="28">
                  <c:v>8073.6344809960501</c:v>
                </c:pt>
                <c:pt idx="29">
                  <c:v>7974.7358699628103</c:v>
                </c:pt>
                <c:pt idx="30">
                  <c:v>7954.8482616214797</c:v>
                </c:pt>
                <c:pt idx="31">
                  <c:v>7709.3179893629604</c:v>
                </c:pt>
                <c:pt idx="32">
                  <c:v>7698.1455268252403</c:v>
                </c:pt>
                <c:pt idx="33">
                  <c:v>7613.5076894928798</c:v>
                </c:pt>
                <c:pt idx="34">
                  <c:v>7594.7438018160501</c:v>
                </c:pt>
                <c:pt idx="35">
                  <c:v>7556.1829691509201</c:v>
                </c:pt>
                <c:pt idx="36">
                  <c:v>7409.5887601863997</c:v>
                </c:pt>
                <c:pt idx="37">
                  <c:v>7264.93305561744</c:v>
                </c:pt>
                <c:pt idx="38">
                  <c:v>7227.3106435502204</c:v>
                </c:pt>
                <c:pt idx="39">
                  <c:v>6996.7832246774196</c:v>
                </c:pt>
                <c:pt idx="40">
                  <c:v>6944.0215099136403</c:v>
                </c:pt>
                <c:pt idx="41">
                  <c:v>6925.7364913719102</c:v>
                </c:pt>
                <c:pt idx="42">
                  <c:v>6702.0857316503898</c:v>
                </c:pt>
                <c:pt idx="43">
                  <c:v>6622.3105615939303</c:v>
                </c:pt>
                <c:pt idx="44">
                  <c:v>6554.8000862531198</c:v>
                </c:pt>
                <c:pt idx="45">
                  <c:v>6537.5013600207403</c:v>
                </c:pt>
                <c:pt idx="46">
                  <c:v>6426.4620246443501</c:v>
                </c:pt>
                <c:pt idx="47">
                  <c:v>6317.1993846704299</c:v>
                </c:pt>
                <c:pt idx="48">
                  <c:v>6245.7136494201304</c:v>
                </c:pt>
                <c:pt idx="49">
                  <c:v>6220.8952524614397</c:v>
                </c:pt>
              </c:numCache>
            </c:numRef>
          </c:val>
        </c:ser>
        <c:dLbls/>
        <c:marker val="1"/>
        <c:axId val="59227136"/>
        <c:axId val="59237504"/>
      </c:lineChart>
      <c:catAx>
        <c:axId val="5922713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Trading period (sorted from greatest</a:t>
                </a:r>
                <a:r>
                  <a:rPr lang="en-NZ" baseline="0"/>
                  <a:t> charge to least)</a:t>
                </a:r>
                <a:endParaRPr lang="en-NZ"/>
              </a:p>
            </c:rich>
          </c:tx>
          <c:layout/>
        </c:title>
        <c:tickLblPos val="nextTo"/>
        <c:crossAx val="59237504"/>
        <c:crosses val="autoZero"/>
        <c:auto val="1"/>
        <c:lblAlgn val="ctr"/>
        <c:lblOffset val="100"/>
        <c:tickLblSkip val="5"/>
        <c:tickMarkSkip val="5"/>
      </c:catAx>
      <c:valAx>
        <c:axId val="592375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Total</a:t>
                </a:r>
                <a:r>
                  <a:rPr lang="en-NZ" baseline="0"/>
                  <a:t> charge for the trading period ($)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6.1146333980979664E-3"/>
              <c:y val="0.23677100765088918"/>
            </c:manualLayout>
          </c:layout>
        </c:title>
        <c:numFmt formatCode="#,##0" sourceLinked="0"/>
        <c:tickLblPos val="nextTo"/>
        <c:crossAx val="59227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9284623512970088"/>
          <c:y val="0.15672497313674721"/>
          <c:w val="0.22814943586597231"/>
          <c:h val="0.11511212105198305"/>
        </c:manualLayout>
      </c:layout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legend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0.17133483314585676"/>
          <c:y val="3.4943954153381834E-2"/>
          <c:w val="0.7909919214643627"/>
          <c:h val="0.83167808721896364"/>
        </c:manualLayout>
      </c:layout>
      <c:lineChart>
        <c:grouping val="standard"/>
        <c:ser>
          <c:idx val="1"/>
          <c:order val="0"/>
          <c:tx>
            <c:v>Monthly capping</c:v>
          </c:tx>
          <c:marker>
            <c:symbol val="none"/>
          </c:marker>
          <c:val>
            <c:numRef>
              <c:f>'Figs 7 8 9'!$D$5:$D$54</c:f>
              <c:numCache>
                <c:formatCode>0</c:formatCode>
                <c:ptCount val="50"/>
                <c:pt idx="0">
                  <c:v>2004182.8314130199</c:v>
                </c:pt>
                <c:pt idx="1">
                  <c:v>1924042.30332975</c:v>
                </c:pt>
                <c:pt idx="2">
                  <c:v>756015.18700299505</c:v>
                </c:pt>
                <c:pt idx="3">
                  <c:v>753584.17209286895</c:v>
                </c:pt>
                <c:pt idx="4">
                  <c:v>302364.951205183</c:v>
                </c:pt>
                <c:pt idx="5">
                  <c:v>294650.32857709302</c:v>
                </c:pt>
                <c:pt idx="6">
                  <c:v>285711.90271491202</c:v>
                </c:pt>
                <c:pt idx="7">
                  <c:v>279953.89960692899</c:v>
                </c:pt>
                <c:pt idx="8">
                  <c:v>263626.49460686999</c:v>
                </c:pt>
                <c:pt idx="9">
                  <c:v>216799.210699249</c:v>
                </c:pt>
                <c:pt idx="10">
                  <c:v>216435.78524683299</c:v>
                </c:pt>
                <c:pt idx="11">
                  <c:v>195470.822946762</c:v>
                </c:pt>
                <c:pt idx="12">
                  <c:v>194728.331592298</c:v>
                </c:pt>
                <c:pt idx="13">
                  <c:v>186431.603455751</c:v>
                </c:pt>
                <c:pt idx="14">
                  <c:v>182710.431656184</c:v>
                </c:pt>
                <c:pt idx="15">
                  <c:v>174425.82307448101</c:v>
                </c:pt>
                <c:pt idx="16">
                  <c:v>171466.82143508599</c:v>
                </c:pt>
                <c:pt idx="17">
                  <c:v>161993.883571151</c:v>
                </c:pt>
                <c:pt idx="18">
                  <c:v>152520.307582048</c:v>
                </c:pt>
                <c:pt idx="19">
                  <c:v>137855.34960351099</c:v>
                </c:pt>
                <c:pt idx="20">
                  <c:v>129809.991425566</c:v>
                </c:pt>
                <c:pt idx="21">
                  <c:v>95422.406026785495</c:v>
                </c:pt>
                <c:pt idx="22">
                  <c:v>94435.978427758804</c:v>
                </c:pt>
                <c:pt idx="23">
                  <c:v>94218.4885613402</c:v>
                </c:pt>
                <c:pt idx="24">
                  <c:v>93117.410215738506</c:v>
                </c:pt>
                <c:pt idx="25">
                  <c:v>91680.170809143601</c:v>
                </c:pt>
                <c:pt idx="26">
                  <c:v>91350.632804999899</c:v>
                </c:pt>
                <c:pt idx="27">
                  <c:v>90118.882962824006</c:v>
                </c:pt>
                <c:pt idx="28">
                  <c:v>80580.571245146799</c:v>
                </c:pt>
                <c:pt idx="29">
                  <c:v>76694.970000000103</c:v>
                </c:pt>
                <c:pt idx="30">
                  <c:v>75895.559999999896</c:v>
                </c:pt>
                <c:pt idx="31">
                  <c:v>73483.961669044904</c:v>
                </c:pt>
                <c:pt idx="32">
                  <c:v>70215.634331537294</c:v>
                </c:pt>
                <c:pt idx="33">
                  <c:v>68975.330000000104</c:v>
                </c:pt>
                <c:pt idx="34">
                  <c:v>66416.7909840918</c:v>
                </c:pt>
                <c:pt idx="35">
                  <c:v>65808.67</c:v>
                </c:pt>
                <c:pt idx="36">
                  <c:v>63646.499999999898</c:v>
                </c:pt>
                <c:pt idx="37">
                  <c:v>61412.701120413003</c:v>
                </c:pt>
                <c:pt idx="38">
                  <c:v>58729.2227208806</c:v>
                </c:pt>
                <c:pt idx="39">
                  <c:v>58391.660468555703</c:v>
                </c:pt>
                <c:pt idx="40">
                  <c:v>58287.592184830901</c:v>
                </c:pt>
                <c:pt idx="41">
                  <c:v>56961.34</c:v>
                </c:pt>
                <c:pt idx="42">
                  <c:v>55806.34</c:v>
                </c:pt>
                <c:pt idx="43">
                  <c:v>52416.32</c:v>
                </c:pt>
                <c:pt idx="44">
                  <c:v>51087.053056819299</c:v>
                </c:pt>
                <c:pt idx="45">
                  <c:v>50807.47</c:v>
                </c:pt>
                <c:pt idx="46">
                  <c:v>50382.299999999901</c:v>
                </c:pt>
                <c:pt idx="47">
                  <c:v>49856.960000000101</c:v>
                </c:pt>
                <c:pt idx="48">
                  <c:v>49667.476984913803</c:v>
                </c:pt>
                <c:pt idx="49">
                  <c:v>49037.554080235997</c:v>
                </c:pt>
              </c:numCache>
            </c:numRef>
          </c:val>
        </c:ser>
        <c:ser>
          <c:idx val="0"/>
          <c:order val="1"/>
          <c:tx>
            <c:v>Daily capping</c:v>
          </c:tx>
          <c:marker>
            <c:symbol val="none"/>
          </c:marker>
          <c:val>
            <c:numRef>
              <c:f>'Figs 7 8 9'!$C$5:$C$54</c:f>
              <c:numCache>
                <c:formatCode>0</c:formatCode>
                <c:ptCount val="50"/>
                <c:pt idx="0">
                  <c:v>165999.259945522</c:v>
                </c:pt>
                <c:pt idx="1">
                  <c:v>148529.41553323399</c:v>
                </c:pt>
                <c:pt idx="2">
                  <c:v>90820.464925755005</c:v>
                </c:pt>
                <c:pt idx="3">
                  <c:v>87188.860111145201</c:v>
                </c:pt>
                <c:pt idx="4">
                  <c:v>85947.9141204068</c:v>
                </c:pt>
                <c:pt idx="5">
                  <c:v>85803.837675328105</c:v>
                </c:pt>
                <c:pt idx="6">
                  <c:v>79533.618177777898</c:v>
                </c:pt>
                <c:pt idx="7">
                  <c:v>68975.330000000104</c:v>
                </c:pt>
                <c:pt idx="8">
                  <c:v>67790.809999999896</c:v>
                </c:pt>
                <c:pt idx="9">
                  <c:v>56147.116148737201</c:v>
                </c:pt>
                <c:pt idx="10">
                  <c:v>55122.007862336097</c:v>
                </c:pt>
                <c:pt idx="11">
                  <c:v>52416.32</c:v>
                </c:pt>
                <c:pt idx="12">
                  <c:v>51729.917080269101</c:v>
                </c:pt>
                <c:pt idx="13">
                  <c:v>50583.632520253399</c:v>
                </c:pt>
                <c:pt idx="14">
                  <c:v>48900.886623635903</c:v>
                </c:pt>
                <c:pt idx="15">
                  <c:v>48743.6427130054</c:v>
                </c:pt>
                <c:pt idx="16">
                  <c:v>46535.149273552503</c:v>
                </c:pt>
                <c:pt idx="17">
                  <c:v>42272.467786176901</c:v>
                </c:pt>
                <c:pt idx="18">
                  <c:v>41902.679336269299</c:v>
                </c:pt>
                <c:pt idx="19">
                  <c:v>39412.870000000003</c:v>
                </c:pt>
                <c:pt idx="20">
                  <c:v>38404.614405071901</c:v>
                </c:pt>
                <c:pt idx="21">
                  <c:v>38101.94</c:v>
                </c:pt>
                <c:pt idx="22">
                  <c:v>36953.542800001298</c:v>
                </c:pt>
                <c:pt idx="23">
                  <c:v>35930.22</c:v>
                </c:pt>
                <c:pt idx="24">
                  <c:v>35885.3651481825</c:v>
                </c:pt>
                <c:pt idx="25">
                  <c:v>35763.580526342397</c:v>
                </c:pt>
                <c:pt idx="26">
                  <c:v>35298.555118080702</c:v>
                </c:pt>
                <c:pt idx="27">
                  <c:v>35264.6989459045</c:v>
                </c:pt>
                <c:pt idx="28">
                  <c:v>34775.67</c:v>
                </c:pt>
                <c:pt idx="29">
                  <c:v>34297.988709460602</c:v>
                </c:pt>
                <c:pt idx="30">
                  <c:v>32803.702648051498</c:v>
                </c:pt>
                <c:pt idx="31">
                  <c:v>32762.859148812498</c:v>
                </c:pt>
                <c:pt idx="32">
                  <c:v>32731.904866318899</c:v>
                </c:pt>
                <c:pt idx="33">
                  <c:v>32588.280755488799</c:v>
                </c:pt>
                <c:pt idx="34">
                  <c:v>32248.6053175983</c:v>
                </c:pt>
                <c:pt idx="35">
                  <c:v>31655.962440838899</c:v>
                </c:pt>
                <c:pt idx="36">
                  <c:v>29809.9543113072</c:v>
                </c:pt>
                <c:pt idx="37">
                  <c:v>29699.3485057666</c:v>
                </c:pt>
                <c:pt idx="38">
                  <c:v>29696.479999999901</c:v>
                </c:pt>
                <c:pt idx="39">
                  <c:v>29571.48</c:v>
                </c:pt>
                <c:pt idx="40">
                  <c:v>29055.0150337103</c:v>
                </c:pt>
                <c:pt idx="41">
                  <c:v>28924.22</c:v>
                </c:pt>
                <c:pt idx="42">
                  <c:v>28772.609999999899</c:v>
                </c:pt>
                <c:pt idx="43">
                  <c:v>28136.09</c:v>
                </c:pt>
                <c:pt idx="44">
                  <c:v>28013.87</c:v>
                </c:pt>
                <c:pt idx="45">
                  <c:v>27962.608422759899</c:v>
                </c:pt>
                <c:pt idx="46">
                  <c:v>26447.419939404401</c:v>
                </c:pt>
                <c:pt idx="47">
                  <c:v>26446.577370968502</c:v>
                </c:pt>
                <c:pt idx="48">
                  <c:v>26144.74</c:v>
                </c:pt>
                <c:pt idx="49">
                  <c:v>25674.0637316311</c:v>
                </c:pt>
              </c:numCache>
            </c:numRef>
          </c:val>
        </c:ser>
        <c:dLbls/>
        <c:marker val="1"/>
        <c:axId val="60463360"/>
        <c:axId val="60473728"/>
      </c:lineChart>
      <c:catAx>
        <c:axId val="6046336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Trading period (sorted from greatest</a:t>
                </a:r>
                <a:r>
                  <a:rPr lang="en-NZ" baseline="0"/>
                  <a:t> charge to least)</a:t>
                </a:r>
                <a:endParaRPr lang="en-NZ"/>
              </a:p>
            </c:rich>
          </c:tx>
          <c:layout/>
        </c:title>
        <c:tickLblPos val="nextTo"/>
        <c:crossAx val="60473728"/>
        <c:crosses val="autoZero"/>
        <c:auto val="1"/>
        <c:lblAlgn val="ctr"/>
        <c:lblOffset val="100"/>
        <c:tickLblSkip val="5"/>
        <c:tickMarkSkip val="5"/>
      </c:catAx>
      <c:valAx>
        <c:axId val="604737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Total</a:t>
                </a:r>
                <a:r>
                  <a:rPr lang="en-NZ" baseline="0"/>
                  <a:t> charge for the trading period ($)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6.1146333980979664E-3"/>
              <c:y val="0.23677100765088918"/>
            </c:manualLayout>
          </c:layout>
        </c:title>
        <c:numFmt formatCode="#,##0" sourceLinked="0"/>
        <c:tickLblPos val="nextTo"/>
        <c:crossAx val="60463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9284623512970088"/>
          <c:y val="0.15672497313674721"/>
          <c:w val="0.22814943586597231"/>
          <c:h val="0.11511212105198305"/>
        </c:manualLayout>
      </c:layout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legend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0.17133483314585676"/>
          <c:y val="3.4943954153381834E-2"/>
          <c:w val="0.7909919214643627"/>
          <c:h val="0.83167808721896364"/>
        </c:manualLayout>
      </c:layout>
      <c:lineChart>
        <c:grouping val="standard"/>
        <c:ser>
          <c:idx val="1"/>
          <c:order val="0"/>
          <c:tx>
            <c:v>Monthly capping</c:v>
          </c:tx>
          <c:marker>
            <c:symbol val="none"/>
          </c:marker>
          <c:val>
            <c:numRef>
              <c:f>'Figs 7 8 9'!$F$5:$F$54</c:f>
              <c:numCache>
                <c:formatCode>0</c:formatCode>
                <c:ptCount val="50"/>
                <c:pt idx="0">
                  <c:v>2259430.2520098998</c:v>
                </c:pt>
                <c:pt idx="1">
                  <c:v>1054242.3153603999</c:v>
                </c:pt>
                <c:pt idx="2">
                  <c:v>1022597.44704046</c:v>
                </c:pt>
                <c:pt idx="3">
                  <c:v>993403.29670773295</c:v>
                </c:pt>
                <c:pt idx="4">
                  <c:v>645000.06827268004</c:v>
                </c:pt>
                <c:pt idx="5">
                  <c:v>366693.80565842002</c:v>
                </c:pt>
                <c:pt idx="6">
                  <c:v>242351.96144351701</c:v>
                </c:pt>
                <c:pt idx="7">
                  <c:v>181813.25546864601</c:v>
                </c:pt>
                <c:pt idx="8">
                  <c:v>133204.296194425</c:v>
                </c:pt>
                <c:pt idx="9">
                  <c:v>104881.197476815</c:v>
                </c:pt>
                <c:pt idx="10">
                  <c:v>102742.13062249801</c:v>
                </c:pt>
                <c:pt idx="11">
                  <c:v>101224.362389674</c:v>
                </c:pt>
                <c:pt idx="12">
                  <c:v>98012.322152606197</c:v>
                </c:pt>
                <c:pt idx="13">
                  <c:v>97974.415814936903</c:v>
                </c:pt>
                <c:pt idx="14">
                  <c:v>97217.969943196993</c:v>
                </c:pt>
                <c:pt idx="15">
                  <c:v>89607.343332537697</c:v>
                </c:pt>
                <c:pt idx="16">
                  <c:v>82621.61</c:v>
                </c:pt>
                <c:pt idx="17">
                  <c:v>79193.053828069795</c:v>
                </c:pt>
                <c:pt idx="18">
                  <c:v>69460.47</c:v>
                </c:pt>
                <c:pt idx="19">
                  <c:v>69151.813809746498</c:v>
                </c:pt>
                <c:pt idx="20">
                  <c:v>65780.53</c:v>
                </c:pt>
                <c:pt idx="21">
                  <c:v>64039.965757995902</c:v>
                </c:pt>
                <c:pt idx="22">
                  <c:v>56649.75</c:v>
                </c:pt>
                <c:pt idx="23">
                  <c:v>54143.049999999901</c:v>
                </c:pt>
                <c:pt idx="24">
                  <c:v>53134.25</c:v>
                </c:pt>
                <c:pt idx="25">
                  <c:v>52317.714209746198</c:v>
                </c:pt>
                <c:pt idx="26">
                  <c:v>51183.624986954499</c:v>
                </c:pt>
                <c:pt idx="27">
                  <c:v>49074.769999999902</c:v>
                </c:pt>
                <c:pt idx="28">
                  <c:v>48707.376769035203</c:v>
                </c:pt>
                <c:pt idx="29">
                  <c:v>48529.499699583401</c:v>
                </c:pt>
                <c:pt idx="30">
                  <c:v>48093.357025993799</c:v>
                </c:pt>
                <c:pt idx="31">
                  <c:v>48021.53</c:v>
                </c:pt>
                <c:pt idx="32">
                  <c:v>47641.577470974698</c:v>
                </c:pt>
                <c:pt idx="33">
                  <c:v>46806.26</c:v>
                </c:pt>
                <c:pt idx="34">
                  <c:v>45791.6</c:v>
                </c:pt>
                <c:pt idx="35">
                  <c:v>45031.057780143499</c:v>
                </c:pt>
                <c:pt idx="36">
                  <c:v>43402.514784327002</c:v>
                </c:pt>
                <c:pt idx="37">
                  <c:v>43297.309999999903</c:v>
                </c:pt>
                <c:pt idx="38">
                  <c:v>42867.300971986602</c:v>
                </c:pt>
                <c:pt idx="39">
                  <c:v>42710.2798597562</c:v>
                </c:pt>
                <c:pt idx="40">
                  <c:v>42446.5</c:v>
                </c:pt>
                <c:pt idx="41">
                  <c:v>41854.821466708301</c:v>
                </c:pt>
                <c:pt idx="42">
                  <c:v>40963.852905169399</c:v>
                </c:pt>
                <c:pt idx="43">
                  <c:v>40211.258852169398</c:v>
                </c:pt>
                <c:pt idx="44">
                  <c:v>38950.15</c:v>
                </c:pt>
                <c:pt idx="45">
                  <c:v>38722.054711061697</c:v>
                </c:pt>
                <c:pt idx="46">
                  <c:v>38703.799999999901</c:v>
                </c:pt>
                <c:pt idx="47">
                  <c:v>37313.2599999999</c:v>
                </c:pt>
                <c:pt idx="48">
                  <c:v>36815.54</c:v>
                </c:pt>
                <c:pt idx="49">
                  <c:v>36674.519999999997</c:v>
                </c:pt>
              </c:numCache>
            </c:numRef>
          </c:val>
        </c:ser>
        <c:ser>
          <c:idx val="0"/>
          <c:order val="1"/>
          <c:tx>
            <c:v>Daily capping</c:v>
          </c:tx>
          <c:marker>
            <c:symbol val="none"/>
          </c:marker>
          <c:val>
            <c:numRef>
              <c:f>'Figs 7 8 9'!$E$5:$E$54</c:f>
              <c:numCache>
                <c:formatCode>0</c:formatCode>
                <c:ptCount val="50"/>
                <c:pt idx="0">
                  <c:v>212365.989469311</c:v>
                </c:pt>
                <c:pt idx="1">
                  <c:v>112296.126234916</c:v>
                </c:pt>
                <c:pt idx="2">
                  <c:v>90282.988473217702</c:v>
                </c:pt>
                <c:pt idx="3">
                  <c:v>80784.552233733804</c:v>
                </c:pt>
                <c:pt idx="4">
                  <c:v>80554.466655697703</c:v>
                </c:pt>
                <c:pt idx="5">
                  <c:v>78819.104394250695</c:v>
                </c:pt>
                <c:pt idx="6">
                  <c:v>75584.809600239096</c:v>
                </c:pt>
                <c:pt idx="7">
                  <c:v>73000.513807174095</c:v>
                </c:pt>
                <c:pt idx="8">
                  <c:v>67913.923647349598</c:v>
                </c:pt>
                <c:pt idx="9">
                  <c:v>66161.468389901202</c:v>
                </c:pt>
                <c:pt idx="10">
                  <c:v>64175.519880201799</c:v>
                </c:pt>
                <c:pt idx="11">
                  <c:v>64134.7404205645</c:v>
                </c:pt>
                <c:pt idx="12">
                  <c:v>62343.371970497697</c:v>
                </c:pt>
                <c:pt idx="13">
                  <c:v>60453.579020192301</c:v>
                </c:pt>
                <c:pt idx="14">
                  <c:v>60319.720592777201</c:v>
                </c:pt>
                <c:pt idx="15">
                  <c:v>59699.673109074</c:v>
                </c:pt>
                <c:pt idx="16">
                  <c:v>57401.470846665499</c:v>
                </c:pt>
                <c:pt idx="17">
                  <c:v>56649.75</c:v>
                </c:pt>
                <c:pt idx="18">
                  <c:v>55826.705772706999</c:v>
                </c:pt>
                <c:pt idx="19">
                  <c:v>55721.021680540798</c:v>
                </c:pt>
                <c:pt idx="20">
                  <c:v>55530.693294804398</c:v>
                </c:pt>
                <c:pt idx="21">
                  <c:v>55363.6390693832</c:v>
                </c:pt>
                <c:pt idx="22">
                  <c:v>55234.259731355698</c:v>
                </c:pt>
                <c:pt idx="23">
                  <c:v>54143.049999999901</c:v>
                </c:pt>
                <c:pt idx="24">
                  <c:v>53982.0099999999</c:v>
                </c:pt>
                <c:pt idx="25">
                  <c:v>52211.495637234097</c:v>
                </c:pt>
                <c:pt idx="26">
                  <c:v>51868.230161535401</c:v>
                </c:pt>
                <c:pt idx="27">
                  <c:v>51248.309277230299</c:v>
                </c:pt>
                <c:pt idx="28">
                  <c:v>50465.91</c:v>
                </c:pt>
                <c:pt idx="29">
                  <c:v>48022.29</c:v>
                </c:pt>
                <c:pt idx="30">
                  <c:v>47704.647986905198</c:v>
                </c:pt>
                <c:pt idx="31">
                  <c:v>46823.699187745602</c:v>
                </c:pt>
                <c:pt idx="32">
                  <c:v>46806.26</c:v>
                </c:pt>
                <c:pt idx="33">
                  <c:v>45149.877510291102</c:v>
                </c:pt>
                <c:pt idx="34">
                  <c:v>44833.841792167601</c:v>
                </c:pt>
                <c:pt idx="35">
                  <c:v>43568.282635359399</c:v>
                </c:pt>
                <c:pt idx="36">
                  <c:v>43400.504222252297</c:v>
                </c:pt>
                <c:pt idx="37">
                  <c:v>42743.133235700698</c:v>
                </c:pt>
                <c:pt idx="38">
                  <c:v>42194.083061763697</c:v>
                </c:pt>
                <c:pt idx="39">
                  <c:v>41918.493268371298</c:v>
                </c:pt>
                <c:pt idx="40">
                  <c:v>41857.959999999897</c:v>
                </c:pt>
                <c:pt idx="41">
                  <c:v>41582.627211210704</c:v>
                </c:pt>
                <c:pt idx="42">
                  <c:v>41562.139999999898</c:v>
                </c:pt>
                <c:pt idx="43">
                  <c:v>41497.969999999899</c:v>
                </c:pt>
                <c:pt idx="44">
                  <c:v>41018.8408838572</c:v>
                </c:pt>
                <c:pt idx="45">
                  <c:v>40939.140809895202</c:v>
                </c:pt>
                <c:pt idx="46">
                  <c:v>40753.14</c:v>
                </c:pt>
                <c:pt idx="47">
                  <c:v>39393.259490420904</c:v>
                </c:pt>
                <c:pt idx="48">
                  <c:v>38930.120120676103</c:v>
                </c:pt>
                <c:pt idx="49">
                  <c:v>38628.634372887696</c:v>
                </c:pt>
              </c:numCache>
            </c:numRef>
          </c:val>
        </c:ser>
        <c:dLbls/>
        <c:marker val="1"/>
        <c:axId val="60835328"/>
        <c:axId val="60837248"/>
      </c:lineChart>
      <c:catAx>
        <c:axId val="60835328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Trading period (sorted from greatest</a:t>
                </a:r>
                <a:r>
                  <a:rPr lang="en-NZ" baseline="0"/>
                  <a:t> charge to least)</a:t>
                </a:r>
                <a:endParaRPr lang="en-NZ"/>
              </a:p>
            </c:rich>
          </c:tx>
          <c:layout/>
        </c:title>
        <c:tickLblPos val="nextTo"/>
        <c:crossAx val="60837248"/>
        <c:crosses val="autoZero"/>
        <c:auto val="1"/>
        <c:lblAlgn val="ctr"/>
        <c:lblOffset val="100"/>
        <c:tickLblSkip val="5"/>
        <c:tickMarkSkip val="5"/>
      </c:catAx>
      <c:valAx>
        <c:axId val="608372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Total</a:t>
                </a:r>
                <a:r>
                  <a:rPr lang="en-NZ" baseline="0"/>
                  <a:t> charge for the trading period ($)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6.1146333980979664E-3"/>
              <c:y val="0.23677100765088918"/>
            </c:manualLayout>
          </c:layout>
        </c:title>
        <c:numFmt formatCode="#,##0" sourceLinked="0"/>
        <c:tickLblPos val="nextTo"/>
        <c:crossAx val="60835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9284623512970088"/>
          <c:y val="0.15672497313674721"/>
          <c:w val="0.22814943586597231"/>
          <c:h val="0.11511212105198305"/>
        </c:manualLayout>
      </c:layout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legend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0.13755591984449056"/>
          <c:y val="3.5259712174804572E-2"/>
          <c:w val="0.83316940331264067"/>
          <c:h val="0.83729593620210896"/>
        </c:manualLayout>
      </c:layout>
      <c:barChart>
        <c:barDir val="col"/>
        <c:grouping val="clustered"/>
        <c:ser>
          <c:idx val="0"/>
          <c:order val="0"/>
          <c:tx>
            <c:strRef>
              <c:f>'Fig 11'!$H$5</c:f>
              <c:strCache>
                <c:ptCount val="1"/>
                <c:pt idx="0">
                  <c:v>None</c:v>
                </c:pt>
              </c:strCache>
            </c:strRef>
          </c:tx>
          <c:cat>
            <c:strRef>
              <c:f>'Fig 11'!$I$4:$K$4</c:f>
              <c:strCache>
                <c:ptCount val="3"/>
                <c:pt idx="0">
                  <c:v>Pole 2</c:v>
                </c:pt>
                <c:pt idx="1">
                  <c:v>Pole 3</c:v>
                </c:pt>
                <c:pt idx="2">
                  <c:v>Wairakei Ring</c:v>
                </c:pt>
              </c:strCache>
            </c:strRef>
          </c:cat>
          <c:val>
            <c:numRef>
              <c:f>'Fig 11'!$I$5:$K$5</c:f>
              <c:numCache>
                <c:formatCode>0%</c:formatCode>
                <c:ptCount val="3"/>
                <c:pt idx="0">
                  <c:v>0.58926501311716961</c:v>
                </c:pt>
                <c:pt idx="1">
                  <c:v>0.39820715561832115</c:v>
                </c:pt>
                <c:pt idx="2">
                  <c:v>0.39295251553995214</c:v>
                </c:pt>
              </c:numCache>
            </c:numRef>
          </c:val>
        </c:ser>
        <c:ser>
          <c:idx val="3"/>
          <c:order val="1"/>
          <c:tx>
            <c:strRef>
              <c:f>'Fig 11'!$H$6</c:f>
              <c:strCache>
                <c:ptCount val="1"/>
                <c:pt idx="0">
                  <c:v>Use actual bids into the PRS</c:v>
                </c:pt>
              </c:strCache>
            </c:strRef>
          </c:tx>
          <c:cat>
            <c:strRef>
              <c:f>'Fig 11'!$I$4:$K$4</c:f>
              <c:strCache>
                <c:ptCount val="3"/>
                <c:pt idx="0">
                  <c:v>Pole 2</c:v>
                </c:pt>
                <c:pt idx="1">
                  <c:v>Pole 3</c:v>
                </c:pt>
                <c:pt idx="2">
                  <c:v>Wairakei Ring</c:v>
                </c:pt>
              </c:strCache>
            </c:strRef>
          </c:cat>
          <c:val>
            <c:numRef>
              <c:f>'Fig 11'!$I$6:$K$6</c:f>
              <c:numCache>
                <c:formatCode>0%</c:formatCode>
                <c:ptCount val="3"/>
                <c:pt idx="0">
                  <c:v>0.52943704786672019</c:v>
                </c:pt>
                <c:pt idx="1">
                  <c:v>0.35338865053132795</c:v>
                </c:pt>
                <c:pt idx="2">
                  <c:v>0.37773428824815553</c:v>
                </c:pt>
              </c:numCache>
            </c:numRef>
          </c:val>
        </c:ser>
        <c:ser>
          <c:idx val="2"/>
          <c:order val="2"/>
          <c:tx>
            <c:strRef>
              <c:f>'Fig 11'!$H$7</c:f>
              <c:strCache>
                <c:ptCount val="1"/>
                <c:pt idx="0">
                  <c:v>Use fixed bid quantities, based on actual bids</c:v>
                </c:pt>
              </c:strCache>
            </c:strRef>
          </c:tx>
          <c:cat>
            <c:strRef>
              <c:f>'Fig 11'!$I$4:$K$4</c:f>
              <c:strCache>
                <c:ptCount val="3"/>
                <c:pt idx="0">
                  <c:v>Pole 2</c:v>
                </c:pt>
                <c:pt idx="1">
                  <c:v>Pole 3</c:v>
                </c:pt>
                <c:pt idx="2">
                  <c:v>Wairakei Ring</c:v>
                </c:pt>
              </c:strCache>
            </c:strRef>
          </c:cat>
          <c:val>
            <c:numRef>
              <c:f>'Fig 11'!$I$7:$K$7</c:f>
              <c:numCache>
                <c:formatCode>0%</c:formatCode>
                <c:ptCount val="3"/>
                <c:pt idx="0">
                  <c:v>0.56004993477369602</c:v>
                </c:pt>
                <c:pt idx="1">
                  <c:v>0.36864752378018184</c:v>
                </c:pt>
                <c:pt idx="2">
                  <c:v>0.386896231006993</c:v>
                </c:pt>
              </c:numCache>
            </c:numRef>
          </c:val>
        </c:ser>
        <c:ser>
          <c:idx val="1"/>
          <c:order val="3"/>
          <c:tx>
            <c:strRef>
              <c:f>'Fig 11'!$H$8</c:f>
              <c:strCache>
                <c:ptCount val="1"/>
                <c:pt idx="0">
                  <c:v>Assume all load has elasticity of -0.01</c:v>
                </c:pt>
              </c:strCache>
            </c:strRef>
          </c:tx>
          <c:cat>
            <c:strRef>
              <c:f>'Fig 11'!$I$4:$K$4</c:f>
              <c:strCache>
                <c:ptCount val="3"/>
                <c:pt idx="0">
                  <c:v>Pole 2</c:v>
                </c:pt>
                <c:pt idx="1">
                  <c:v>Pole 3</c:v>
                </c:pt>
                <c:pt idx="2">
                  <c:v>Wairakei Ring</c:v>
                </c:pt>
              </c:strCache>
            </c:strRef>
          </c:cat>
          <c:val>
            <c:numRef>
              <c:f>'Fig 11'!$I$8:$K$8</c:f>
              <c:numCache>
                <c:formatCode>0%</c:formatCode>
                <c:ptCount val="3"/>
                <c:pt idx="0">
                  <c:v>0.51125648994912276</c:v>
                </c:pt>
                <c:pt idx="1">
                  <c:v>0.34602350722360969</c:v>
                </c:pt>
                <c:pt idx="2">
                  <c:v>0.36893075063609992</c:v>
                </c:pt>
              </c:numCache>
            </c:numRef>
          </c:val>
        </c:ser>
        <c:dLbls/>
        <c:axId val="60795904"/>
        <c:axId val="60884096"/>
      </c:barChart>
      <c:catAx>
        <c:axId val="60795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Investment</a:t>
                </a:r>
              </a:p>
            </c:rich>
          </c:tx>
          <c:layout>
            <c:manualLayout>
              <c:xMode val="edge"/>
              <c:yMode val="edge"/>
              <c:x val="0.50146382813259449"/>
              <c:y val="0.94452972159518589"/>
            </c:manualLayout>
          </c:layout>
        </c:title>
        <c:tickLblPos val="nextTo"/>
        <c:crossAx val="60884096"/>
        <c:crosses val="autoZero"/>
        <c:auto val="1"/>
        <c:lblAlgn val="ctr"/>
        <c:lblOffset val="100"/>
      </c:catAx>
      <c:valAx>
        <c:axId val="608840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Percentage</a:t>
                </a:r>
                <a:r>
                  <a:rPr lang="en-NZ" baseline="0"/>
                  <a:t> of the charge falling on North Island load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1.5967967507711171E-2"/>
              <c:y val="0.106909819116854"/>
            </c:manualLayout>
          </c:layout>
        </c:title>
        <c:numFmt formatCode="0%" sourceLinked="0"/>
        <c:tickLblPos val="nextTo"/>
        <c:crossAx val="60795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085924413031979"/>
          <c:y val="7.3840848900659367E-2"/>
          <c:w val="0.5119937652844585"/>
          <c:h val="0.2541310440032460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legend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0.13256212291645361"/>
          <c:y val="3.5259712174804593E-2"/>
          <c:w val="0.83816324095851669"/>
          <c:h val="0.8372959362021094"/>
        </c:manualLayout>
      </c:layout>
      <c:barChart>
        <c:barDir val="col"/>
        <c:grouping val="clustered"/>
        <c:ser>
          <c:idx val="0"/>
          <c:order val="0"/>
          <c:tx>
            <c:strRef>
              <c:f>'Fig 11'!$M$5</c:f>
              <c:strCache>
                <c:ptCount val="1"/>
                <c:pt idx="0">
                  <c:v>None</c:v>
                </c:pt>
              </c:strCache>
            </c:strRef>
          </c:tx>
          <c:cat>
            <c:strRef>
              <c:f>'Fig 11'!$N$4:$P$4</c:f>
              <c:strCache>
                <c:ptCount val="3"/>
                <c:pt idx="0">
                  <c:v>Pole 2</c:v>
                </c:pt>
                <c:pt idx="1">
                  <c:v>Pole 3</c:v>
                </c:pt>
                <c:pt idx="2">
                  <c:v>Wairakei Ring</c:v>
                </c:pt>
              </c:strCache>
            </c:strRef>
          </c:cat>
          <c:val>
            <c:numRef>
              <c:f>'Fig 11'!$N$5:$P$5</c:f>
              <c:numCache>
                <c:formatCode>0%</c:formatCode>
                <c:ptCount val="3"/>
                <c:pt idx="0">
                  <c:v>0.79188411515338009</c:v>
                </c:pt>
                <c:pt idx="1">
                  <c:v>0.62638357601503503</c:v>
                </c:pt>
                <c:pt idx="2">
                  <c:v>0.49321442400847954</c:v>
                </c:pt>
              </c:numCache>
            </c:numRef>
          </c:val>
        </c:ser>
        <c:ser>
          <c:idx val="3"/>
          <c:order val="1"/>
          <c:tx>
            <c:strRef>
              <c:f>'Fig 11'!$M$6</c:f>
              <c:strCache>
                <c:ptCount val="1"/>
                <c:pt idx="0">
                  <c:v>Use actual bids into the PRS</c:v>
                </c:pt>
              </c:strCache>
            </c:strRef>
          </c:tx>
          <c:cat>
            <c:strRef>
              <c:f>'Fig 11'!$N$4:$P$4</c:f>
              <c:strCache>
                <c:ptCount val="3"/>
                <c:pt idx="0">
                  <c:v>Pole 2</c:v>
                </c:pt>
                <c:pt idx="1">
                  <c:v>Pole 3</c:v>
                </c:pt>
                <c:pt idx="2">
                  <c:v>Wairakei Ring</c:v>
                </c:pt>
              </c:strCache>
            </c:strRef>
          </c:cat>
          <c:val>
            <c:numRef>
              <c:f>'Fig 11'!$N$6:$P$6</c:f>
              <c:numCache>
                <c:formatCode>0%</c:formatCode>
                <c:ptCount val="3"/>
                <c:pt idx="0">
                  <c:v>0.70967938535724695</c:v>
                </c:pt>
                <c:pt idx="1">
                  <c:v>0.45726251897828041</c:v>
                </c:pt>
                <c:pt idx="2">
                  <c:v>0.44169211469827935</c:v>
                </c:pt>
              </c:numCache>
            </c:numRef>
          </c:val>
        </c:ser>
        <c:ser>
          <c:idx val="2"/>
          <c:order val="2"/>
          <c:tx>
            <c:strRef>
              <c:f>'Fig 11'!$M$7</c:f>
              <c:strCache>
                <c:ptCount val="1"/>
                <c:pt idx="0">
                  <c:v>Use fixed bid quantities, based on actual bids</c:v>
                </c:pt>
              </c:strCache>
            </c:strRef>
          </c:tx>
          <c:cat>
            <c:strRef>
              <c:f>'Fig 11'!$N$4:$P$4</c:f>
              <c:strCache>
                <c:ptCount val="3"/>
                <c:pt idx="0">
                  <c:v>Pole 2</c:v>
                </c:pt>
                <c:pt idx="1">
                  <c:v>Pole 3</c:v>
                </c:pt>
                <c:pt idx="2">
                  <c:v>Wairakei Ring</c:v>
                </c:pt>
              </c:strCache>
            </c:strRef>
          </c:cat>
          <c:val>
            <c:numRef>
              <c:f>'Fig 11'!$N$7:$P$7</c:f>
              <c:numCache>
                <c:formatCode>0%</c:formatCode>
                <c:ptCount val="3"/>
                <c:pt idx="0">
                  <c:v>0.75676135317270288</c:v>
                </c:pt>
                <c:pt idx="1">
                  <c:v>0.54877279627040632</c:v>
                </c:pt>
                <c:pt idx="2">
                  <c:v>0.46684075807156822</c:v>
                </c:pt>
              </c:numCache>
            </c:numRef>
          </c:val>
        </c:ser>
        <c:ser>
          <c:idx val="1"/>
          <c:order val="3"/>
          <c:tx>
            <c:strRef>
              <c:f>'Fig 11'!$M$8</c:f>
              <c:strCache>
                <c:ptCount val="1"/>
                <c:pt idx="0">
                  <c:v>Assume all load has elasticity of -0.01</c:v>
                </c:pt>
              </c:strCache>
            </c:strRef>
          </c:tx>
          <c:cat>
            <c:strRef>
              <c:f>'Fig 11'!$N$4:$P$4</c:f>
              <c:strCache>
                <c:ptCount val="3"/>
                <c:pt idx="0">
                  <c:v>Pole 2</c:v>
                </c:pt>
                <c:pt idx="1">
                  <c:v>Pole 3</c:v>
                </c:pt>
                <c:pt idx="2">
                  <c:v>Wairakei Ring</c:v>
                </c:pt>
              </c:strCache>
            </c:strRef>
          </c:cat>
          <c:val>
            <c:numRef>
              <c:f>'Fig 11'!$N$8:$P$8</c:f>
              <c:numCache>
                <c:formatCode>0%</c:formatCode>
                <c:ptCount val="3"/>
                <c:pt idx="0">
                  <c:v>0.62284517298016695</c:v>
                </c:pt>
                <c:pt idx="1">
                  <c:v>0.35908952322669691</c:v>
                </c:pt>
                <c:pt idx="2">
                  <c:v>0.38481511975323202</c:v>
                </c:pt>
              </c:numCache>
            </c:numRef>
          </c:val>
        </c:ser>
        <c:dLbls/>
        <c:axId val="60949248"/>
        <c:axId val="60951168"/>
      </c:barChart>
      <c:catAx>
        <c:axId val="60949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Investment</a:t>
                </a:r>
              </a:p>
            </c:rich>
          </c:tx>
          <c:layout>
            <c:manualLayout>
              <c:xMode val="edge"/>
              <c:yMode val="edge"/>
              <c:x val="0.50146382813259449"/>
              <c:y val="0.94452972159518611"/>
            </c:manualLayout>
          </c:layout>
        </c:title>
        <c:tickLblPos val="nextTo"/>
        <c:crossAx val="60951168"/>
        <c:crosses val="autoZero"/>
        <c:auto val="1"/>
        <c:lblAlgn val="ctr"/>
        <c:lblOffset val="100"/>
      </c:catAx>
      <c:valAx>
        <c:axId val="609511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Percentage</a:t>
                </a:r>
                <a:r>
                  <a:rPr lang="en-NZ" baseline="0"/>
                  <a:t> of the charge falling on North Island load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1.5967967507711171E-2"/>
              <c:y val="0.10690981911685397"/>
            </c:manualLayout>
          </c:layout>
        </c:title>
        <c:numFmt formatCode="0%" sourceLinked="0"/>
        <c:tickLblPos val="nextTo"/>
        <c:crossAx val="60949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6326533047005475"/>
          <c:y val="1.9664776665896503E-2"/>
          <c:w val="0.52514316392269089"/>
          <c:h val="0.2541310440032459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legend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plotArea>
      <c:layout>
        <c:manualLayout>
          <c:layoutTarget val="inner"/>
          <c:xMode val="edge"/>
          <c:yMode val="edge"/>
          <c:x val="0.11779436398236054"/>
          <c:y val="3.5259712174804544E-2"/>
          <c:w val="0.77576629105014561"/>
          <c:h val="0.7229242281509396"/>
        </c:manualLayout>
      </c:layout>
      <c:barChart>
        <c:barDir val="col"/>
        <c:grouping val="clustered"/>
        <c:ser>
          <c:idx val="0"/>
          <c:order val="0"/>
          <c:tx>
            <c:v>Price</c:v>
          </c:tx>
          <c:cat>
            <c:strRef>
              <c:f>'Figs 12 13'!$O$4:$O$8</c:f>
              <c:strCache>
                <c:ptCount val="5"/>
                <c:pt idx="0">
                  <c:v>Factual</c:v>
                </c:pt>
                <c:pt idx="1">
                  <c:v>Counterfactual - Base approach</c:v>
                </c:pt>
                <c:pt idx="2">
                  <c:v>Counterfactual - Alternative 1: Actual bids</c:v>
                </c:pt>
                <c:pt idx="3">
                  <c:v>Counterfactual - Alternative 2: Typical bids</c:v>
                </c:pt>
                <c:pt idx="4">
                  <c:v>Counterfactual - Alternative 3: Elasticity of -0.01</c:v>
                </c:pt>
              </c:strCache>
            </c:strRef>
          </c:cat>
          <c:val>
            <c:numRef>
              <c:f>'Figs 12 13'!$H$4:$H$8</c:f>
              <c:numCache>
                <c:formatCode>General</c:formatCode>
                <c:ptCount val="5"/>
                <c:pt idx="0">
                  <c:v>217.41</c:v>
                </c:pt>
                <c:pt idx="1">
                  <c:v>592.28</c:v>
                </c:pt>
                <c:pt idx="2">
                  <c:v>234.548</c:v>
                </c:pt>
                <c:pt idx="3">
                  <c:v>444.21</c:v>
                </c:pt>
                <c:pt idx="4">
                  <c:v>194.95500000000001</c:v>
                </c:pt>
              </c:numCache>
            </c:numRef>
          </c:val>
        </c:ser>
        <c:dLbls/>
        <c:axId val="61023744"/>
        <c:axId val="61025664"/>
      </c:barChart>
      <c:lineChart>
        <c:grouping val="standard"/>
        <c:ser>
          <c:idx val="1"/>
          <c:order val="1"/>
          <c:tx>
            <c:v>Quantity of load dispatched</c:v>
          </c:tx>
          <c:marker>
            <c:symbol val="none"/>
          </c:marker>
          <c:val>
            <c:numRef>
              <c:f>'Figs 12 13'!$L$4:$L$8</c:f>
              <c:numCache>
                <c:formatCode>General</c:formatCode>
                <c:ptCount val="5"/>
                <c:pt idx="0">
                  <c:v>22.488</c:v>
                </c:pt>
                <c:pt idx="1">
                  <c:v>22.488</c:v>
                </c:pt>
                <c:pt idx="2">
                  <c:v>0</c:v>
                </c:pt>
                <c:pt idx="3">
                  <c:v>15.087059999999999</c:v>
                </c:pt>
                <c:pt idx="4">
                  <c:v>22.488</c:v>
                </c:pt>
              </c:numCache>
            </c:numRef>
          </c:val>
        </c:ser>
        <c:dLbls/>
        <c:marker val="1"/>
        <c:axId val="61037952"/>
        <c:axId val="61036032"/>
      </c:lineChart>
      <c:catAx>
        <c:axId val="61023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SPD case</a:t>
                </a:r>
              </a:p>
            </c:rich>
          </c:tx>
          <c:layout>
            <c:manualLayout>
              <c:xMode val="edge"/>
              <c:yMode val="edge"/>
              <c:x val="0.46583476000540414"/>
              <c:y val="0.92647103085026339"/>
            </c:manualLayout>
          </c:layout>
        </c:title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1025664"/>
        <c:crosses val="autoZero"/>
        <c:auto val="1"/>
        <c:lblAlgn val="ctr"/>
        <c:lblOffset val="100"/>
      </c:catAx>
      <c:valAx>
        <c:axId val="61025664"/>
        <c:scaling>
          <c:orientation val="minMax"/>
          <c:max val="75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Modelled</a:t>
                </a:r>
                <a:r>
                  <a:rPr lang="en-US" baseline="0"/>
                  <a:t> spot p</a:t>
                </a:r>
                <a:r>
                  <a:rPr lang="en-US"/>
                  <a:t>rice                                                                                     at KAW0112 ($/MWh)</a:t>
                </a:r>
              </a:p>
            </c:rich>
          </c:tx>
          <c:layout>
            <c:manualLayout>
              <c:xMode val="edge"/>
              <c:yMode val="edge"/>
              <c:x val="6.9954031862876943E-3"/>
              <c:y val="0.20021305463227967"/>
            </c:manualLayout>
          </c:layout>
        </c:title>
        <c:numFmt formatCode="0" sourceLinked="0"/>
        <c:tickLblPos val="nextTo"/>
        <c:crossAx val="61023744"/>
        <c:crosses val="autoZero"/>
        <c:crossBetween val="between"/>
        <c:majorUnit val="150"/>
      </c:valAx>
      <c:valAx>
        <c:axId val="61036032"/>
        <c:scaling>
          <c:orientation val="minMax"/>
          <c:max val="25"/>
          <c:min val="0"/>
        </c:scaling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NZ"/>
                  <a:t>Modelled</a:t>
                </a:r>
                <a:r>
                  <a:rPr lang="en-NZ" baseline="0"/>
                  <a:t> quantity of load dispatched                                             at KAW0112 (MW)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0.94713946833409846"/>
              <c:y val="0.11456224856768778"/>
            </c:manualLayout>
          </c:layout>
        </c:title>
        <c:numFmt formatCode="General" sourceLinked="1"/>
        <c:tickLblPos val="nextTo"/>
        <c:crossAx val="61037952"/>
        <c:crosses val="max"/>
        <c:crossBetween val="between"/>
      </c:valAx>
      <c:catAx>
        <c:axId val="61037952"/>
        <c:scaling>
          <c:orientation val="minMax"/>
        </c:scaling>
        <c:delete val="1"/>
        <c:axPos val="b"/>
        <c:tickLblPos val="none"/>
        <c:crossAx val="6103603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43552181720247318"/>
          <c:y val="4.0733249201637726E-2"/>
          <c:w val="0.27914847883504501"/>
          <c:h val="0.12094109003868872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autoTitleDeleted val="1"/>
    <c:plotArea>
      <c:layout>
        <c:manualLayout>
          <c:layoutTarget val="inner"/>
          <c:xMode val="edge"/>
          <c:yMode val="edge"/>
          <c:x val="0.14055702970246642"/>
          <c:y val="3.5259712174804544E-2"/>
          <c:w val="0.83375742669381192"/>
          <c:h val="0.7229242281509396"/>
        </c:manualLayout>
      </c:layout>
      <c:barChart>
        <c:barDir val="col"/>
        <c:grouping val="clustered"/>
        <c:ser>
          <c:idx val="0"/>
          <c:order val="0"/>
          <c:tx>
            <c:strRef>
              <c:f>'Figs 12 13'!$N$5:$N$8</c:f>
              <c:strCache>
                <c:ptCount val="1"/>
                <c:pt idx="0">
                  <c:v>4215 -195.8 1646.4 -252.5</c:v>
                </c:pt>
              </c:strCache>
            </c:strRef>
          </c:tx>
          <c:cat>
            <c:strRef>
              <c:f>'Figs 12 13'!$O$5:$O$8</c:f>
              <c:strCache>
                <c:ptCount val="4"/>
                <c:pt idx="0">
                  <c:v>Counterfactual - Base approach</c:v>
                </c:pt>
                <c:pt idx="1">
                  <c:v>Counterfactual - Alternative 1: Actual bids</c:v>
                </c:pt>
                <c:pt idx="2">
                  <c:v>Counterfactual - Alternative 2: Typical bids</c:v>
                </c:pt>
                <c:pt idx="3">
                  <c:v>Counterfactual - Alternative 3: Elasticity of -0.01</c:v>
                </c:pt>
              </c:strCache>
            </c:strRef>
          </c:cat>
          <c:val>
            <c:numRef>
              <c:f>'Figs 12 13'!$N$5:$N$8</c:f>
              <c:numCache>
                <c:formatCode>General</c:formatCode>
                <c:ptCount val="4"/>
                <c:pt idx="0">
                  <c:v>4215</c:v>
                </c:pt>
                <c:pt idx="1">
                  <c:v>-195.79999999999927</c:v>
                </c:pt>
                <c:pt idx="2">
                  <c:v>1646.4000000000015</c:v>
                </c:pt>
                <c:pt idx="3">
                  <c:v>-252.5</c:v>
                </c:pt>
              </c:numCache>
            </c:numRef>
          </c:val>
        </c:ser>
        <c:dLbls/>
        <c:axId val="61049856"/>
        <c:axId val="61072512"/>
      </c:barChart>
      <c:catAx>
        <c:axId val="61049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Version</a:t>
                </a:r>
                <a:r>
                  <a:rPr lang="en-US" baseline="0"/>
                  <a:t> of the "simplified SPD" method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2841279264841422"/>
              <c:y val="0.92045146726862304"/>
            </c:manualLayout>
          </c:layout>
        </c:title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61072512"/>
        <c:crosses val="autoZero"/>
        <c:auto val="1"/>
        <c:lblAlgn val="ctr"/>
        <c:lblOffset val="100"/>
      </c:catAx>
      <c:valAx>
        <c:axId val="610725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Estimated</a:t>
                </a:r>
                <a:r>
                  <a:rPr lang="en-US" baseline="0"/>
                  <a:t> benefit </a:t>
                </a:r>
                <a:r>
                  <a:rPr lang="en-US"/>
                  <a:t>at KAW0112 ($)</a:t>
                </a:r>
              </a:p>
            </c:rich>
          </c:tx>
          <c:layout>
            <c:manualLayout>
              <c:xMode val="edge"/>
              <c:yMode val="edge"/>
              <c:x val="6.9954031862876943E-3"/>
              <c:y val="0.20021305463227967"/>
            </c:manualLayout>
          </c:layout>
        </c:title>
        <c:numFmt formatCode="0" sourceLinked="0"/>
        <c:tickLblPos val="low"/>
        <c:crossAx val="6104985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100"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18</xdr:row>
      <xdr:rowOff>9525</xdr:rowOff>
    </xdr:from>
    <xdr:to>
      <xdr:col>9</xdr:col>
      <xdr:colOff>904875</xdr:colOff>
      <xdr:row>42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12</xdr:row>
      <xdr:rowOff>171450</xdr:rowOff>
    </xdr:from>
    <xdr:to>
      <xdr:col>9</xdr:col>
      <xdr:colOff>9524</xdr:colOff>
      <xdr:row>35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26430</xdr:colOff>
      <xdr:row>16</xdr:row>
      <xdr:rowOff>2530</xdr:rowOff>
    </xdr:from>
    <xdr:to>
      <xdr:col>14</xdr:col>
      <xdr:colOff>1722382</xdr:colOff>
      <xdr:row>41</xdr:row>
      <xdr:rowOff>35027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28574</xdr:colOff>
      <xdr:row>8</xdr:row>
      <xdr:rowOff>23812</xdr:rowOff>
    </xdr:from>
    <xdr:to>
      <xdr:col>24</xdr:col>
      <xdr:colOff>2076449</xdr:colOff>
      <xdr:row>30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0.0835</cdr:x>
      <cdr:y>0.08962</cdr:y>
    </cdr:from>
    <cdr:to>
      <cdr:x>0.86705</cdr:x>
      <cdr:y>0.08962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765362" y="429747"/>
          <a:ext cx="7181850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accent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0.86179</cdr:x>
      <cdr:y>0.03599</cdr:y>
    </cdr:from>
    <cdr:to>
      <cdr:x>0.99584</cdr:x>
      <cdr:y>0.20244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893195" y="172571"/>
          <a:ext cx="1227773" cy="798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1000">
              <a:solidFill>
                <a:schemeClr val="accent2"/>
              </a:solidFill>
            </a:rPr>
            <a:t>Total revenue requirement for relevant</a:t>
          </a:r>
          <a:r>
            <a:rPr lang="en-NZ" sz="1000" baseline="0">
              <a:solidFill>
                <a:schemeClr val="accent2"/>
              </a:solidFill>
            </a:rPr>
            <a:t> investments</a:t>
          </a:r>
          <a:endParaRPr lang="en-NZ" sz="1000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0.47455</cdr:x>
      <cdr:y>0.06192</cdr:y>
    </cdr:from>
    <cdr:to>
      <cdr:x>0.47545</cdr:x>
      <cdr:y>0.97223</cdr:y>
    </cdr:to>
    <cdr:sp macro="" textlink="">
      <cdr:nvSpPr>
        <cdr:cNvPr id="7" name="Straight Connector 6"/>
        <cdr:cNvSpPr/>
      </cdr:nvSpPr>
      <cdr:spPr>
        <a:xfrm xmlns:a="http://schemas.openxmlformats.org/drawingml/2006/main" flipH="1" flipV="1">
          <a:off x="4350101" y="296886"/>
          <a:ext cx="8282" cy="43649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0.09314</cdr:x>
      <cdr:y>0.10017</cdr:y>
    </cdr:from>
    <cdr:to>
      <cdr:x>0.78308</cdr:x>
      <cdr:y>0.10243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927081" y="423166"/>
          <a:ext cx="6867412" cy="952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accent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0.78308</cdr:x>
      <cdr:y>0.06079</cdr:y>
    </cdr:from>
    <cdr:to>
      <cdr:x>0.96235</cdr:x>
      <cdr:y>0.18792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794494" y="256809"/>
          <a:ext cx="1784407" cy="537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1000">
              <a:solidFill>
                <a:schemeClr val="accent2"/>
              </a:solidFill>
            </a:rPr>
            <a:t>Total revenue requirement for relevant</a:t>
          </a:r>
          <a:r>
            <a:rPr lang="en-NZ" sz="1000" baseline="0">
              <a:solidFill>
                <a:schemeClr val="accent2"/>
              </a:solidFill>
            </a:rPr>
            <a:t> investments</a:t>
          </a:r>
          <a:endParaRPr lang="en-NZ" sz="1000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0.43806</cdr:x>
      <cdr:y>0.04813</cdr:y>
    </cdr:from>
    <cdr:to>
      <cdr:x>0.43879</cdr:x>
      <cdr:y>0.983</cdr:y>
    </cdr:to>
    <cdr:sp macro="" textlink="">
      <cdr:nvSpPr>
        <cdr:cNvPr id="6" name="Straight Connector 5"/>
        <cdr:cNvSpPr/>
      </cdr:nvSpPr>
      <cdr:spPr>
        <a:xfrm xmlns:a="http://schemas.openxmlformats.org/drawingml/2006/main" flipH="1" flipV="1">
          <a:off x="4360253" y="203321"/>
          <a:ext cx="7327" cy="39492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1</xdr:row>
      <xdr:rowOff>119062</xdr:rowOff>
    </xdr:from>
    <xdr:to>
      <xdr:col>19</xdr:col>
      <xdr:colOff>590550</xdr:colOff>
      <xdr:row>21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</xdr:colOff>
      <xdr:row>1</xdr:row>
      <xdr:rowOff>104775</xdr:rowOff>
    </xdr:from>
    <xdr:to>
      <xdr:col>32</xdr:col>
      <xdr:colOff>104776</xdr:colOff>
      <xdr:row>21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0.12762</cdr:x>
      <cdr:y>0.88656</cdr:y>
    </cdr:from>
    <cdr:to>
      <cdr:x>0.6486</cdr:x>
      <cdr:y>0.95561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5326" y="3424238"/>
          <a:ext cx="28384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1100" b="1"/>
            <a:t>Charging rate varies from month to month</a:t>
          </a:r>
        </a:p>
      </cdr:txBody>
    </cdr:sp>
  </cdr:relSizeAnchor>
  <cdr:relSizeAnchor xmlns:cdr="http://schemas.openxmlformats.org/drawingml/2006/chartDrawing">
    <cdr:from>
      <cdr:x>0.18706</cdr:x>
      <cdr:y>0.18126</cdr:y>
    </cdr:from>
    <cdr:to>
      <cdr:x>0.37762</cdr:x>
      <cdr:y>0.25277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19176" y="700088"/>
          <a:ext cx="1038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1100">
              <a:solidFill>
                <a:schemeClr val="accent1"/>
              </a:solidFill>
            </a:rPr>
            <a:t>Average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0.12762</cdr:x>
      <cdr:y>0.88656</cdr:y>
    </cdr:from>
    <cdr:to>
      <cdr:x>0.6486</cdr:x>
      <cdr:y>0.95561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5326" y="3424238"/>
          <a:ext cx="28384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1100" b="1"/>
            <a:t>Charging rate varies from month to month</a:t>
          </a:r>
        </a:p>
      </cdr:txBody>
    </cdr:sp>
  </cdr:relSizeAnchor>
  <cdr:relSizeAnchor xmlns:cdr="http://schemas.openxmlformats.org/drawingml/2006/chartDrawing">
    <cdr:from>
      <cdr:x>0.15372</cdr:x>
      <cdr:y>0.11919</cdr:y>
    </cdr:from>
    <cdr:to>
      <cdr:x>0.34428</cdr:x>
      <cdr:y>0.19071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045452" y="460375"/>
          <a:ext cx="1295966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solidFill>
                <a:schemeClr val="accent1"/>
              </a:solidFill>
            </a:rPr>
            <a:t>Average</a:t>
          </a:r>
        </a:p>
      </cdr:txBody>
    </cdr:sp>
  </cdr:relSizeAnchor>
  <cdr:relSizeAnchor xmlns:cdr="http://schemas.openxmlformats.org/drawingml/2006/chartDrawing">
    <cdr:from>
      <cdr:x>0.12762</cdr:x>
      <cdr:y>0.88656</cdr:y>
    </cdr:from>
    <cdr:to>
      <cdr:x>0.6486</cdr:x>
      <cdr:y>0.95561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95326" y="3424238"/>
          <a:ext cx="28384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1100" b="1"/>
            <a:t>Charging rate varies from month to month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17</xdr:row>
      <xdr:rowOff>161925</xdr:rowOff>
    </xdr:from>
    <xdr:to>
      <xdr:col>11</xdr:col>
      <xdr:colOff>371475</xdr:colOff>
      <xdr:row>41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180974</xdr:rowOff>
    </xdr:from>
    <xdr:to>
      <xdr:col>16</xdr:col>
      <xdr:colOff>390525</xdr:colOff>
      <xdr:row>24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19050</xdr:colOff>
      <xdr:row>2</xdr:row>
      <xdr:rowOff>0</xdr:rowOff>
    </xdr:from>
    <xdr:to>
      <xdr:col>36</xdr:col>
      <xdr:colOff>400050</xdr:colOff>
      <xdr:row>24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9525</xdr:colOff>
      <xdr:row>2</xdr:row>
      <xdr:rowOff>0</xdr:rowOff>
    </xdr:from>
    <xdr:to>
      <xdr:col>26</xdr:col>
      <xdr:colOff>390525</xdr:colOff>
      <xdr:row>24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600076</xdr:colOff>
      <xdr:row>11</xdr:row>
      <xdr:rowOff>19050</xdr:rowOff>
    </xdr:from>
    <xdr:to>
      <xdr:col>10</xdr:col>
      <xdr:colOff>752476</xdr:colOff>
      <xdr:row>33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1628776</xdr:colOff>
      <xdr:row>11</xdr:row>
      <xdr:rowOff>28575</xdr:rowOff>
    </xdr:from>
    <xdr:to>
      <xdr:col>16</xdr:col>
      <xdr:colOff>152401</xdr:colOff>
      <xdr:row>33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85724</xdr:colOff>
      <xdr:row>2</xdr:row>
      <xdr:rowOff>66675</xdr:rowOff>
    </xdr:from>
    <xdr:to>
      <xdr:col>29</xdr:col>
      <xdr:colOff>457200</xdr:colOff>
      <xdr:row>24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85724</xdr:colOff>
      <xdr:row>2</xdr:row>
      <xdr:rowOff>66675</xdr:rowOff>
    </xdr:from>
    <xdr:to>
      <xdr:col>39</xdr:col>
      <xdr:colOff>314325</xdr:colOff>
      <xdr:row>24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9</xdr:row>
      <xdr:rowOff>9525</xdr:rowOff>
    </xdr:from>
    <xdr:to>
      <xdr:col>8</xdr:col>
      <xdr:colOff>1476376</xdr:colOff>
      <xdr:row>30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9</xdr:row>
      <xdr:rowOff>19050</xdr:rowOff>
    </xdr:from>
    <xdr:to>
      <xdr:col>14</xdr:col>
      <xdr:colOff>1485901</xdr:colOff>
      <xdr:row>30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28574</xdr:colOff>
      <xdr:row>2</xdr:row>
      <xdr:rowOff>190499</xdr:rowOff>
    </xdr:from>
    <xdr:to>
      <xdr:col>30</xdr:col>
      <xdr:colOff>19049</xdr:colOff>
      <xdr:row>24</xdr:row>
      <xdr:rowOff>161924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0</xdr:colOff>
      <xdr:row>3</xdr:row>
      <xdr:rowOff>0</xdr:rowOff>
    </xdr:from>
    <xdr:to>
      <xdr:col>41</xdr:col>
      <xdr:colOff>600075</xdr:colOff>
      <xdr:row>24</xdr:row>
      <xdr:rowOff>161925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</xdr:row>
      <xdr:rowOff>152400</xdr:rowOff>
    </xdr:from>
    <xdr:to>
      <xdr:col>16</xdr:col>
      <xdr:colOff>542925</xdr:colOff>
      <xdr:row>33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0.20298</cdr:x>
      <cdr:y>0.46656</cdr:y>
    </cdr:from>
    <cdr:to>
      <cdr:x>0.37754</cdr:x>
      <cdr:y>0.50318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28750" y="2790824"/>
          <a:ext cx="12287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800"/>
            <a:t>34% decrease</a:t>
          </a:r>
        </a:p>
      </cdr:txBody>
    </cdr:sp>
  </cdr:relSizeAnchor>
  <cdr:relSizeAnchor xmlns:cdr="http://schemas.openxmlformats.org/drawingml/2006/chartDrawing">
    <cdr:from>
      <cdr:x>0.22102</cdr:x>
      <cdr:y>0.50372</cdr:y>
    </cdr:from>
    <cdr:to>
      <cdr:x>0.39558</cdr:x>
      <cdr:y>0.54034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555750" y="3013075"/>
          <a:ext cx="12287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800"/>
            <a:t>21% decrease</a:t>
          </a:r>
        </a:p>
      </cdr:txBody>
    </cdr:sp>
  </cdr:relSizeAnchor>
  <cdr:relSizeAnchor xmlns:cdr="http://schemas.openxmlformats.org/drawingml/2006/chartDrawing">
    <cdr:from>
      <cdr:x>0.20343</cdr:x>
      <cdr:y>0.61518</cdr:y>
    </cdr:from>
    <cdr:to>
      <cdr:x>0.37799</cdr:x>
      <cdr:y>0.6518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31925" y="3679825"/>
          <a:ext cx="12287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800"/>
            <a:t>26% decrease</a:t>
          </a:r>
        </a:p>
      </cdr:txBody>
    </cdr:sp>
  </cdr:relSizeAnchor>
  <cdr:relSizeAnchor xmlns:cdr="http://schemas.openxmlformats.org/drawingml/2006/chartDrawing">
    <cdr:from>
      <cdr:x>0.19666</cdr:x>
      <cdr:y>0.9018</cdr:y>
    </cdr:from>
    <cdr:to>
      <cdr:x>0.37122</cdr:x>
      <cdr:y>0.93843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384300" y="5394325"/>
          <a:ext cx="12287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800"/>
            <a:t>25% decrease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33"/>
  <sheetViews>
    <sheetView tabSelected="1" workbookViewId="0">
      <selection activeCell="D4" sqref="D4"/>
    </sheetView>
  </sheetViews>
  <sheetFormatPr defaultRowHeight="15"/>
  <cols>
    <col min="1" max="1" width="19.5703125" customWidth="1"/>
    <col min="4" max="4" width="13.42578125" bestFit="1" customWidth="1"/>
    <col min="6" max="6" width="14.28515625" customWidth="1"/>
    <col min="7" max="7" width="22.42578125" customWidth="1"/>
    <col min="8" max="8" width="19.28515625" customWidth="1"/>
    <col min="9" max="9" width="30.140625" customWidth="1"/>
    <col min="10" max="10" width="20.42578125" bestFit="1" customWidth="1"/>
  </cols>
  <sheetData>
    <row r="1" spans="1:10" s="23" customFormat="1">
      <c r="F1" s="23" t="s">
        <v>196</v>
      </c>
    </row>
    <row r="3" spans="1:10">
      <c r="A3" t="s">
        <v>31</v>
      </c>
      <c r="B3" s="3" t="s">
        <v>29</v>
      </c>
      <c r="C3" s="3" t="s">
        <v>30</v>
      </c>
      <c r="D3" s="3" t="s">
        <v>154</v>
      </c>
      <c r="G3" s="25"/>
      <c r="H3" s="91" t="s">
        <v>26</v>
      </c>
      <c r="I3" s="21"/>
      <c r="J3" s="70" t="s">
        <v>127</v>
      </c>
    </row>
    <row r="4" spans="1:10">
      <c r="A4" s="1" t="s">
        <v>0</v>
      </c>
      <c r="B4" s="2">
        <v>4.2810780092921599</v>
      </c>
      <c r="C4" s="2">
        <v>1.7861840600838499</v>
      </c>
      <c r="D4" s="2">
        <v>1.6582444449314999</v>
      </c>
      <c r="F4" s="26" t="s">
        <v>27</v>
      </c>
      <c r="G4" s="20" t="s">
        <v>33</v>
      </c>
      <c r="H4" s="38" t="s">
        <v>155</v>
      </c>
      <c r="I4" s="21" t="s">
        <v>156</v>
      </c>
      <c r="J4" s="71" t="s">
        <v>128</v>
      </c>
    </row>
    <row r="5" spans="1:10">
      <c r="A5" s="1" t="s">
        <v>1</v>
      </c>
      <c r="B5" s="2">
        <v>27.0643241546822</v>
      </c>
      <c r="C5" s="2">
        <v>13.833241023894301</v>
      </c>
      <c r="D5" s="2">
        <v>11.336599724931499</v>
      </c>
      <c r="F5" s="27" t="s">
        <v>14</v>
      </c>
      <c r="G5" s="33">
        <f t="shared" ref="G5:G14" si="0">B4</f>
        <v>4.2810780092921599</v>
      </c>
      <c r="H5" s="92">
        <f t="shared" ref="H5:H14" si="1">C4</f>
        <v>1.7861840600838499</v>
      </c>
      <c r="I5" s="16">
        <f t="shared" ref="I5:I14" si="2">D4</f>
        <v>1.6582444449314999</v>
      </c>
      <c r="J5" s="66">
        <f>VLOOKUP(F5,'Fig 6'!$A$15:$B$25,2,FALSE)*123/365</f>
        <v>11.457534246575342</v>
      </c>
    </row>
    <row r="6" spans="1:10">
      <c r="A6" s="1" t="s">
        <v>11</v>
      </c>
      <c r="B6" s="2">
        <v>0</v>
      </c>
      <c r="C6" s="2">
        <v>0</v>
      </c>
      <c r="D6" s="2">
        <v>0</v>
      </c>
      <c r="F6" s="28" t="s">
        <v>15</v>
      </c>
      <c r="G6" s="34">
        <f t="shared" si="0"/>
        <v>27.0643241546822</v>
      </c>
      <c r="H6" s="93">
        <f t="shared" si="1"/>
        <v>13.833241023894301</v>
      </c>
      <c r="I6" s="17">
        <f t="shared" si="2"/>
        <v>11.336599724931499</v>
      </c>
      <c r="J6" s="67">
        <f>VLOOKUP(F6,'Fig 6'!$A$15:$B$25,2,FALSE)*123/365</f>
        <v>30.328767123287673</v>
      </c>
    </row>
    <row r="7" spans="1:10">
      <c r="A7" s="1" t="s">
        <v>2</v>
      </c>
      <c r="B7" s="2">
        <v>4.3328851339153198</v>
      </c>
      <c r="C7" s="2">
        <v>3.70020818869027</v>
      </c>
      <c r="D7" s="2">
        <v>3.4763183601369798</v>
      </c>
      <c r="F7" s="28" t="s">
        <v>16</v>
      </c>
      <c r="G7" s="34">
        <f t="shared" si="0"/>
        <v>0</v>
      </c>
      <c r="H7" s="93">
        <f t="shared" si="1"/>
        <v>0</v>
      </c>
      <c r="I7" s="17">
        <f t="shared" si="2"/>
        <v>0</v>
      </c>
      <c r="J7" s="67">
        <f>VLOOKUP(F7,'Fig 6'!$A$15:$B$25,2,FALSE)*123/365</f>
        <v>2.6958904109589041</v>
      </c>
    </row>
    <row r="8" spans="1:10">
      <c r="A8" s="1" t="s">
        <v>3</v>
      </c>
      <c r="B8" s="2">
        <v>1.0342371901349201</v>
      </c>
      <c r="C8" s="2">
        <v>0.58263048843832499</v>
      </c>
      <c r="D8" s="2">
        <v>0.30814734000000099</v>
      </c>
      <c r="F8" s="28" t="s">
        <v>17</v>
      </c>
      <c r="G8" s="34">
        <f t="shared" si="0"/>
        <v>4.3328851339153198</v>
      </c>
      <c r="H8" s="93">
        <f t="shared" si="1"/>
        <v>3.70020818869027</v>
      </c>
      <c r="I8" s="17">
        <f t="shared" si="2"/>
        <v>3.4763183601369798</v>
      </c>
      <c r="J8" s="67">
        <f>VLOOKUP(F8,'Fig 6'!$A$15:$B$25,2,FALSE)*123/365</f>
        <v>4.3808219178082188</v>
      </c>
    </row>
    <row r="9" spans="1:10">
      <c r="A9" s="1" t="s">
        <v>4</v>
      </c>
      <c r="B9" s="2">
        <v>17.174914817772201</v>
      </c>
      <c r="C9" s="2">
        <v>16.984841975656401</v>
      </c>
      <c r="D9" s="2">
        <v>14.873334371369801</v>
      </c>
      <c r="F9" s="28" t="s">
        <v>18</v>
      </c>
      <c r="G9" s="34">
        <f t="shared" si="0"/>
        <v>1.0342371901349201</v>
      </c>
      <c r="H9" s="93">
        <f t="shared" si="1"/>
        <v>0.58263048843832499</v>
      </c>
      <c r="I9" s="17">
        <f t="shared" si="2"/>
        <v>0.30814734000000099</v>
      </c>
      <c r="J9" s="67">
        <f>VLOOKUP(F9,'Fig 6'!$A$15:$B$25,2,FALSE)*123/365</f>
        <v>2.6958904109589041</v>
      </c>
    </row>
    <row r="10" spans="1:10">
      <c r="A10" s="1" t="s">
        <v>5</v>
      </c>
      <c r="B10" s="2">
        <v>14.4777079700148</v>
      </c>
      <c r="C10" s="2">
        <v>7.9685605710747103</v>
      </c>
      <c r="D10" s="2">
        <v>5.0780597483561403</v>
      </c>
      <c r="F10" s="28" t="s">
        <v>19</v>
      </c>
      <c r="G10" s="34">
        <f t="shared" si="0"/>
        <v>17.174914817772201</v>
      </c>
      <c r="H10" s="93">
        <f t="shared" si="1"/>
        <v>16.984841975656401</v>
      </c>
      <c r="I10" s="17">
        <f t="shared" si="2"/>
        <v>14.873334371369801</v>
      </c>
      <c r="J10" s="67">
        <f>VLOOKUP(F10,'Fig 6'!$A$15:$B$25,2,FALSE)*123/365</f>
        <v>17.186301369863013</v>
      </c>
    </row>
    <row r="11" spans="1:10">
      <c r="A11" s="1" t="s">
        <v>12</v>
      </c>
      <c r="B11" s="2">
        <v>0.19178310225585399</v>
      </c>
      <c r="C11" s="2">
        <v>0.191789588710464</v>
      </c>
      <c r="D11" s="2">
        <v>0.191788291917807</v>
      </c>
      <c r="F11" s="28" t="s">
        <v>20</v>
      </c>
      <c r="G11" s="34">
        <f t="shared" si="0"/>
        <v>14.4777079700148</v>
      </c>
      <c r="H11" s="93">
        <f t="shared" si="1"/>
        <v>7.9685605710747103</v>
      </c>
      <c r="I11" s="17">
        <f t="shared" si="2"/>
        <v>5.0780597483561403</v>
      </c>
      <c r="J11" s="67">
        <f>VLOOKUP(F11,'Fig 6'!$A$15:$B$25,2,FALSE)*123/365</f>
        <v>24.936986301369863</v>
      </c>
    </row>
    <row r="12" spans="1:10">
      <c r="A12" s="1" t="s">
        <v>6</v>
      </c>
      <c r="B12" s="2">
        <v>4.2213764034994599</v>
      </c>
      <c r="C12" s="2">
        <v>1.56971493542026</v>
      </c>
      <c r="D12" s="2">
        <v>0.86250127000000598</v>
      </c>
      <c r="F12" s="28" t="s">
        <v>21</v>
      </c>
      <c r="G12" s="34">
        <f t="shared" si="0"/>
        <v>0.19178310225585399</v>
      </c>
      <c r="H12" s="93">
        <f t="shared" si="1"/>
        <v>0.191789588710464</v>
      </c>
      <c r="I12" s="17">
        <f t="shared" si="2"/>
        <v>0.191788291917807</v>
      </c>
      <c r="J12" s="67">
        <f>VLOOKUP(F12,'Fig 6'!$A$15:$B$25,2,FALSE)*123/365</f>
        <v>1.6849315068493151</v>
      </c>
    </row>
    <row r="13" spans="1:10">
      <c r="A13" s="1" t="s">
        <v>7</v>
      </c>
      <c r="B13" s="2">
        <v>0.92059133209890898</v>
      </c>
      <c r="C13" s="2">
        <v>0.62849308025211903</v>
      </c>
      <c r="D13" s="2">
        <v>0.36008848616438399</v>
      </c>
      <c r="F13" s="28" t="s">
        <v>22</v>
      </c>
      <c r="G13" s="34">
        <f t="shared" si="0"/>
        <v>4.2213764034994599</v>
      </c>
      <c r="H13" s="93">
        <f t="shared" si="1"/>
        <v>1.56971493542026</v>
      </c>
      <c r="I13" s="17">
        <f t="shared" si="2"/>
        <v>0.86250127000000598</v>
      </c>
      <c r="J13" s="67">
        <f>VLOOKUP(F13,'Fig 6'!$A$15:$B$25,2,FALSE)*123/365</f>
        <v>9.0986301369863014</v>
      </c>
    </row>
    <row r="14" spans="1:10">
      <c r="F14" s="29" t="s">
        <v>23</v>
      </c>
      <c r="G14" s="35">
        <f t="shared" si="0"/>
        <v>0.92059133209890898</v>
      </c>
      <c r="H14" s="94">
        <f t="shared" si="1"/>
        <v>0.62849308025211903</v>
      </c>
      <c r="I14" s="18">
        <f t="shared" si="2"/>
        <v>0.36008848616438399</v>
      </c>
      <c r="J14" s="68">
        <f>VLOOKUP(F14,'Fig 6'!$A$15:$B$25,2,FALSE)*123/365</f>
        <v>1.010958904109589</v>
      </c>
    </row>
    <row r="15" spans="1:10">
      <c r="F15" s="32" t="s">
        <v>25</v>
      </c>
      <c r="G15" s="35">
        <f>SUM(G5:G14)</f>
        <v>73.698898113665834</v>
      </c>
      <c r="H15" s="94">
        <f>SUM(H5:H14)</f>
        <v>47.245663912220699</v>
      </c>
      <c r="I15" s="18">
        <f>SUM(I5:I14)</f>
        <v>38.145082037808123</v>
      </c>
      <c r="J15" s="69">
        <f>SUM(J5:J14)</f>
        <v>105.47671232876711</v>
      </c>
    </row>
    <row r="17" spans="6:6">
      <c r="F17" t="s">
        <v>32</v>
      </c>
    </row>
    <row r="29" spans="6:6">
      <c r="F29" s="73"/>
    </row>
    <row r="30" spans="6:6">
      <c r="F30" s="73"/>
    </row>
    <row r="31" spans="6:6">
      <c r="F31" s="73"/>
    </row>
    <row r="33" spans="6:6">
      <c r="F33" s="56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7"/>
  <sheetViews>
    <sheetView zoomScaleNormal="100" workbookViewId="0">
      <selection activeCell="G1" sqref="G1:H21"/>
    </sheetView>
  </sheetViews>
  <sheetFormatPr defaultRowHeight="15"/>
  <cols>
    <col min="1" max="1" width="12.42578125" bestFit="1" customWidth="1"/>
    <col min="2" max="2" width="13.85546875" bestFit="1" customWidth="1"/>
    <col min="3" max="3" width="13.7109375" bestFit="1" customWidth="1"/>
    <col min="4" max="4" width="6.28515625" bestFit="1" customWidth="1"/>
    <col min="5" max="5" width="30.85546875" bestFit="1" customWidth="1"/>
    <col min="8" max="8" width="16.140625" style="3" bestFit="1" customWidth="1"/>
    <col min="11" max="11" width="13.85546875" bestFit="1" customWidth="1"/>
    <col min="12" max="12" width="20.42578125" bestFit="1" customWidth="1"/>
    <col min="13" max="13" width="32.42578125" bestFit="1" customWidth="1"/>
    <col min="14" max="14" width="45.28515625" bestFit="1" customWidth="1"/>
    <col min="15" max="15" width="47" bestFit="1" customWidth="1"/>
    <col min="16" max="16" width="18.5703125" bestFit="1" customWidth="1"/>
    <col min="17" max="17" width="30.5703125" bestFit="1" customWidth="1"/>
    <col min="18" max="18" width="43.5703125" bestFit="1" customWidth="1"/>
    <col min="19" max="19" width="45" bestFit="1" customWidth="1"/>
    <col min="21" max="21" width="23.85546875" bestFit="1" customWidth="1"/>
    <col min="22" max="22" width="19.85546875" bestFit="1" customWidth="1"/>
    <col min="23" max="23" width="31" bestFit="1" customWidth="1"/>
    <col min="24" max="24" width="43.85546875" bestFit="1" customWidth="1"/>
    <col min="25" max="25" width="45" bestFit="1" customWidth="1"/>
    <col min="26" max="26" width="18.28515625" bestFit="1" customWidth="1"/>
    <col min="27" max="27" width="29.28515625" bestFit="1" customWidth="1"/>
    <col min="28" max="28" width="42.28515625" bestFit="1" customWidth="1"/>
    <col min="29" max="29" width="43.42578125" bestFit="1" customWidth="1"/>
  </cols>
  <sheetData>
    <row r="1" spans="1:29">
      <c r="K1" s="23" t="s">
        <v>212</v>
      </c>
      <c r="U1" s="23" t="s">
        <v>213</v>
      </c>
    </row>
    <row r="3" spans="1:29">
      <c r="A3" s="1" t="s">
        <v>161</v>
      </c>
      <c r="B3" s="1" t="s">
        <v>42</v>
      </c>
      <c r="C3" s="1" t="s">
        <v>162</v>
      </c>
      <c r="D3" s="1" t="s">
        <v>163</v>
      </c>
      <c r="E3" s="1" t="s">
        <v>164</v>
      </c>
      <c r="G3" t="s">
        <v>165</v>
      </c>
      <c r="K3" s="4" t="s">
        <v>10</v>
      </c>
      <c r="L3" s="4" t="s">
        <v>166</v>
      </c>
      <c r="M3" s="4" t="s">
        <v>167</v>
      </c>
      <c r="N3" s="4" t="s">
        <v>168</v>
      </c>
      <c r="O3" s="4" t="s">
        <v>169</v>
      </c>
      <c r="P3" s="4" t="s">
        <v>170</v>
      </c>
      <c r="Q3" s="4" t="s">
        <v>171</v>
      </c>
      <c r="R3" s="4" t="s">
        <v>172</v>
      </c>
      <c r="S3" s="4" t="s">
        <v>173</v>
      </c>
      <c r="U3" s="4" t="s">
        <v>10</v>
      </c>
      <c r="V3" s="4" t="s">
        <v>166</v>
      </c>
      <c r="W3" s="4" t="s">
        <v>167</v>
      </c>
      <c r="X3" s="4" t="s">
        <v>168</v>
      </c>
      <c r="Y3" s="4" t="s">
        <v>169</v>
      </c>
      <c r="Z3" s="4" t="s">
        <v>170</v>
      </c>
      <c r="AA3" s="4" t="s">
        <v>171</v>
      </c>
      <c r="AB3" s="4" t="s">
        <v>172</v>
      </c>
      <c r="AC3" s="4" t="s">
        <v>173</v>
      </c>
    </row>
    <row r="4" spans="1:29">
      <c r="A4" s="1" t="s">
        <v>29</v>
      </c>
      <c r="B4" s="1" t="s">
        <v>24</v>
      </c>
      <c r="C4" s="1" t="s">
        <v>174</v>
      </c>
      <c r="D4" s="1" t="s">
        <v>175</v>
      </c>
      <c r="E4" s="36">
        <v>53.204214839999999</v>
      </c>
      <c r="G4" s="1" t="s">
        <v>163</v>
      </c>
      <c r="H4" s="57" t="s">
        <v>176</v>
      </c>
      <c r="K4" t="s">
        <v>77</v>
      </c>
      <c r="L4" s="15">
        <f>E10+E12</f>
        <v>8.4985900469218087</v>
      </c>
      <c r="M4" s="15">
        <f>E28+E30</f>
        <v>6.4213301483654934</v>
      </c>
      <c r="N4" s="15">
        <f>E10+E12</f>
        <v>8.4985900469218087</v>
      </c>
      <c r="O4" s="15">
        <f>E10+E12</f>
        <v>8.4985900469218087</v>
      </c>
      <c r="P4" s="15">
        <f>E20+E22</f>
        <v>-19.526570569642459</v>
      </c>
      <c r="Q4" s="15">
        <f>E34+E36</f>
        <v>-8.2059470351344608</v>
      </c>
      <c r="R4" s="15">
        <f>E20+E22</f>
        <v>-19.526570569642459</v>
      </c>
      <c r="S4" s="15">
        <f>E20+E22</f>
        <v>-19.526570569642459</v>
      </c>
      <c r="U4" t="s">
        <v>28</v>
      </c>
      <c r="V4">
        <v>0</v>
      </c>
      <c r="W4" s="15">
        <f>SUM(E4:E7)</f>
        <v>56.104112709999995</v>
      </c>
      <c r="X4" s="15">
        <f>SUM(H5:H6)</f>
        <v>23.530907424020601</v>
      </c>
      <c r="Y4" s="15">
        <f>SUM(H10:H11)</f>
        <v>23.488939528608761</v>
      </c>
      <c r="Z4">
        <v>0</v>
      </c>
      <c r="AA4" s="15">
        <f>SUM(E4:E7)</f>
        <v>56.104112709999995</v>
      </c>
      <c r="AB4" s="15">
        <f>SUM(H15:H16)</f>
        <v>39.49680993070195</v>
      </c>
      <c r="AC4" s="15">
        <f>SUM(H20:H21)</f>
        <v>39.504957230069422</v>
      </c>
    </row>
    <row r="5" spans="1:29">
      <c r="A5" s="1" t="s">
        <v>29</v>
      </c>
      <c r="B5" s="1" t="s">
        <v>24</v>
      </c>
      <c r="C5" s="1" t="s">
        <v>174</v>
      </c>
      <c r="D5" s="1" t="s">
        <v>177</v>
      </c>
      <c r="E5" s="36">
        <v>2.8998978700000002</v>
      </c>
      <c r="G5" s="1" t="s">
        <v>175</v>
      </c>
      <c r="H5" s="42">
        <v>21.846980790477801</v>
      </c>
      <c r="K5" t="s">
        <v>76</v>
      </c>
      <c r="L5" s="15">
        <f>E8</f>
        <v>41.836557994527801</v>
      </c>
      <c r="M5" s="15">
        <f>E4+E26</f>
        <v>71.984268130840803</v>
      </c>
      <c r="N5" s="15">
        <f>E8+H5</f>
        <v>63.683538785005602</v>
      </c>
      <c r="O5" s="15">
        <f>E8+H10</f>
        <v>63.676774916173102</v>
      </c>
      <c r="P5" s="15">
        <f>E18</f>
        <v>50.3667019903287</v>
      </c>
      <c r="Q5" s="15">
        <f>E14+E32</f>
        <v>78.571505508645799</v>
      </c>
      <c r="R5" s="15">
        <f>E18+H15</f>
        <v>87.923990236296703</v>
      </c>
      <c r="S5" s="15">
        <f>E18+H20</f>
        <v>87.928081093397793</v>
      </c>
      <c r="U5" t="s">
        <v>217</v>
      </c>
      <c r="V5" s="15">
        <f>SUM(E26:E31)</f>
        <v>41.241311589592478</v>
      </c>
      <c r="W5" s="15">
        <f>V5</f>
        <v>41.241311589592478</v>
      </c>
      <c r="X5" s="15">
        <f>V5</f>
        <v>41.241311589592478</v>
      </c>
      <c r="Y5" s="15">
        <f>X5</f>
        <v>41.241311589592478</v>
      </c>
      <c r="Z5" s="15">
        <f>SUM(E32:E37)</f>
        <v>30.805983792795935</v>
      </c>
      <c r="AA5" s="15">
        <f>SUM(E32:E37)</f>
        <v>30.805983792795935</v>
      </c>
      <c r="AB5" s="15">
        <f>SUM(E32:E37)</f>
        <v>30.805983792795935</v>
      </c>
      <c r="AC5" s="15">
        <f>AB5</f>
        <v>30.805983792795935</v>
      </c>
    </row>
    <row r="6" spans="1:29">
      <c r="A6" s="1" t="s">
        <v>29</v>
      </c>
      <c r="B6" s="1" t="s">
        <v>24</v>
      </c>
      <c r="C6" s="1" t="s">
        <v>178</v>
      </c>
      <c r="D6" s="1" t="s">
        <v>175</v>
      </c>
      <c r="E6" s="36">
        <v>0</v>
      </c>
      <c r="G6" s="1" t="s">
        <v>177</v>
      </c>
      <c r="H6" s="42">
        <v>1.6839266335428</v>
      </c>
      <c r="K6" t="s">
        <v>79</v>
      </c>
      <c r="L6" s="15">
        <f>E11+E13</f>
        <v>8.8782838730517586</v>
      </c>
      <c r="M6" s="15">
        <f>E29+E31</f>
        <v>7.9623904225624749</v>
      </c>
      <c r="N6" s="15">
        <f>E11+E13</f>
        <v>8.8782838730517586</v>
      </c>
      <c r="O6" s="15">
        <f>E11+E13</f>
        <v>8.8782838730517586</v>
      </c>
      <c r="P6" s="15">
        <f>E21+E23</f>
        <v>6.8123677356706054</v>
      </c>
      <c r="Q6" s="15">
        <f>E35+E37</f>
        <v>10.618598366326415</v>
      </c>
      <c r="R6" s="15">
        <f>E21+E23</f>
        <v>6.8123677356706054</v>
      </c>
      <c r="S6" s="15">
        <f>E21+E23</f>
        <v>6.8123677356706054</v>
      </c>
      <c r="U6" t="s">
        <v>218</v>
      </c>
      <c r="V6" s="15">
        <f>SUM(E8:E13)-V5</f>
        <v>32.457586524073683</v>
      </c>
      <c r="W6">
        <v>0</v>
      </c>
      <c r="X6" s="15">
        <f>V6</f>
        <v>32.457586524073683</v>
      </c>
      <c r="Y6" s="15">
        <f>X6</f>
        <v>32.457586524073683</v>
      </c>
      <c r="Z6" s="15">
        <f>SUM(E18:E23)-Z5</f>
        <v>16.439680119425063</v>
      </c>
      <c r="AA6">
        <v>0</v>
      </c>
      <c r="AB6" s="15">
        <f>SUM(E18:E23)-SUM(E32:E37)</f>
        <v>16.439680119425063</v>
      </c>
      <c r="AC6" s="15">
        <f>AB6</f>
        <v>16.439680119425063</v>
      </c>
    </row>
    <row r="7" spans="1:29">
      <c r="A7" s="1" t="s">
        <v>29</v>
      </c>
      <c r="B7" s="1" t="s">
        <v>24</v>
      </c>
      <c r="C7" s="1" t="s">
        <v>178</v>
      </c>
      <c r="D7" s="1" t="s">
        <v>177</v>
      </c>
      <c r="E7" s="36">
        <v>0</v>
      </c>
      <c r="K7" t="s">
        <v>78</v>
      </c>
      <c r="L7" s="15">
        <f>E9</f>
        <v>14.485466199164801</v>
      </c>
      <c r="M7" s="15">
        <f>E5+E27</f>
        <v>10.97743559782371</v>
      </c>
      <c r="N7" s="15">
        <f>H6+E9</f>
        <v>16.169392832707601</v>
      </c>
      <c r="O7" s="15">
        <f>H11+E9</f>
        <v>16.134188806128261</v>
      </c>
      <c r="P7" s="15">
        <f>E19</f>
        <v>9.5931647558641409</v>
      </c>
      <c r="Q7" s="15">
        <f>E15+E33</f>
        <v>5.9259396629581804</v>
      </c>
      <c r="R7" s="15">
        <f>H16+E19</f>
        <v>11.532686440598091</v>
      </c>
      <c r="S7" s="15">
        <f>H21+E19</f>
        <v>11.536742882864461</v>
      </c>
      <c r="U7" t="s">
        <v>25</v>
      </c>
      <c r="V7" s="15">
        <f>SUM(V4:V6)</f>
        <v>73.698898113666161</v>
      </c>
      <c r="W7" s="15">
        <f t="shared" ref="W7:AC7" si="0">SUM(W4:W6)</f>
        <v>97.34542429959248</v>
      </c>
      <c r="X7" s="15">
        <f t="shared" si="0"/>
        <v>97.229805537686758</v>
      </c>
      <c r="Y7" s="15">
        <f t="shared" si="0"/>
        <v>97.187837642274928</v>
      </c>
      <c r="Z7" s="15">
        <f t="shared" si="0"/>
        <v>47.245663912220998</v>
      </c>
      <c r="AA7" s="15">
        <f t="shared" si="0"/>
        <v>86.910096502795938</v>
      </c>
      <c r="AB7" s="15">
        <f t="shared" si="0"/>
        <v>86.742473842922948</v>
      </c>
      <c r="AC7" s="15">
        <f t="shared" si="0"/>
        <v>86.750621142290427</v>
      </c>
    </row>
    <row r="8" spans="1:29">
      <c r="A8" s="1" t="s">
        <v>29</v>
      </c>
      <c r="B8" s="1" t="s">
        <v>13</v>
      </c>
      <c r="C8" s="1" t="s">
        <v>174</v>
      </c>
      <c r="D8" s="1" t="s">
        <v>175</v>
      </c>
      <c r="E8" s="36">
        <v>41.836557994527801</v>
      </c>
      <c r="G8" t="s">
        <v>179</v>
      </c>
      <c r="K8" t="s">
        <v>25</v>
      </c>
      <c r="L8" s="15">
        <f t="shared" ref="L8:S8" si="1">SUM(L4:L7)</f>
        <v>73.698898113666175</v>
      </c>
      <c r="M8" s="15">
        <f t="shared" si="1"/>
        <v>97.345424299592494</v>
      </c>
      <c r="N8" s="15">
        <f t="shared" si="1"/>
        <v>97.229805537686772</v>
      </c>
      <c r="O8" s="15">
        <f t="shared" si="1"/>
        <v>97.187837642274928</v>
      </c>
      <c r="P8" s="15">
        <f t="shared" si="1"/>
        <v>47.245663912220991</v>
      </c>
      <c r="Q8" s="15">
        <f t="shared" si="1"/>
        <v>86.910096502795938</v>
      </c>
      <c r="R8" s="15">
        <f t="shared" si="1"/>
        <v>86.742473842922948</v>
      </c>
      <c r="S8" s="15">
        <f t="shared" si="1"/>
        <v>86.750621142290399</v>
      </c>
      <c r="V8" s="24"/>
    </row>
    <row r="9" spans="1:29">
      <c r="A9" s="1" t="s">
        <v>29</v>
      </c>
      <c r="B9" s="1" t="s">
        <v>13</v>
      </c>
      <c r="C9" s="1" t="s">
        <v>174</v>
      </c>
      <c r="D9" s="1" t="s">
        <v>177</v>
      </c>
      <c r="E9" s="36">
        <v>14.485466199164801</v>
      </c>
      <c r="G9" s="1" t="s">
        <v>163</v>
      </c>
      <c r="H9" s="57" t="s">
        <v>180</v>
      </c>
    </row>
    <row r="10" spans="1:29">
      <c r="A10" s="1" t="s">
        <v>29</v>
      </c>
      <c r="B10" s="1" t="s">
        <v>13</v>
      </c>
      <c r="C10" s="1" t="s">
        <v>178</v>
      </c>
      <c r="D10" s="1" t="s">
        <v>175</v>
      </c>
      <c r="E10" s="36">
        <v>0.35534237100979899</v>
      </c>
      <c r="G10" s="1" t="s">
        <v>175</v>
      </c>
      <c r="H10" s="42">
        <v>21.8402169216453</v>
      </c>
      <c r="K10" s="103" t="s">
        <v>211</v>
      </c>
      <c r="L10" s="104"/>
      <c r="M10" s="104"/>
      <c r="N10" s="104"/>
      <c r="O10" s="104"/>
      <c r="P10" s="104"/>
      <c r="Q10" s="104"/>
      <c r="R10" s="104"/>
      <c r="S10" s="104"/>
    </row>
    <row r="11" spans="1:29">
      <c r="A11" s="1" t="s">
        <v>29</v>
      </c>
      <c r="B11" s="1" t="s">
        <v>13</v>
      </c>
      <c r="C11" s="1" t="s">
        <v>178</v>
      </c>
      <c r="D11" s="1" t="s">
        <v>177</v>
      </c>
      <c r="E11" s="36">
        <v>5.7079580392357998E-2</v>
      </c>
      <c r="G11" s="1" t="s">
        <v>177</v>
      </c>
      <c r="H11" s="42">
        <v>1.64872260696346</v>
      </c>
      <c r="K11" s="104" t="str">
        <f>K3</f>
        <v>Approach</v>
      </c>
      <c r="L11" s="104" t="str">
        <f t="shared" ref="L11:S12" si="2">L3</f>
        <v>Simplified SPD (gross)</v>
      </c>
      <c r="M11" s="104" t="str">
        <f t="shared" si="2"/>
        <v>GIT-based + simplified SPD (gross)</v>
      </c>
      <c r="N11" s="104" t="str">
        <f t="shared" si="2"/>
        <v>Simplified SPD (gross) + GIT-based (varying rate)</v>
      </c>
      <c r="O11" s="104" t="str">
        <f t="shared" si="2"/>
        <v>Simplified SPD (gross) + GIT-based (constant rate)</v>
      </c>
      <c r="P11" s="104" t="str">
        <f t="shared" si="2"/>
        <v>Simplified SPD (net)</v>
      </c>
      <c r="Q11" s="104" t="str">
        <f t="shared" si="2"/>
        <v>GIT-based + simplified SPD (net)</v>
      </c>
      <c r="R11" s="104" t="str">
        <f t="shared" si="2"/>
        <v>Simplified SPD (net) + GIT-based (varying rate)</v>
      </c>
      <c r="S11" s="104" t="str">
        <f t="shared" si="2"/>
        <v>Simplified SPD (net) + GIT-based (constant rate)</v>
      </c>
    </row>
    <row r="12" spans="1:29">
      <c r="A12" s="1" t="s">
        <v>29</v>
      </c>
      <c r="B12" s="1" t="s">
        <v>13</v>
      </c>
      <c r="C12" s="1" t="s">
        <v>181</v>
      </c>
      <c r="D12" s="1" t="s">
        <v>175</v>
      </c>
      <c r="E12" s="36">
        <v>8.1432476759120096</v>
      </c>
      <c r="K12" s="104" t="str">
        <f t="shared" ref="K12:S15" si="3">K4</f>
        <v>NI generation</v>
      </c>
      <c r="L12" s="105">
        <f>L4</f>
        <v>8.4985900469218087</v>
      </c>
      <c r="M12" s="105">
        <f t="shared" si="2"/>
        <v>6.4213301483654934</v>
      </c>
      <c r="N12" s="105">
        <f t="shared" si="2"/>
        <v>8.4985900469218087</v>
      </c>
      <c r="O12" s="105">
        <f t="shared" si="2"/>
        <v>8.4985900469218087</v>
      </c>
      <c r="P12" s="105">
        <f t="shared" si="2"/>
        <v>-19.526570569642459</v>
      </c>
      <c r="Q12" s="105">
        <f t="shared" si="2"/>
        <v>-8.2059470351344608</v>
      </c>
      <c r="R12" s="105">
        <f t="shared" si="2"/>
        <v>-19.526570569642459</v>
      </c>
      <c r="S12" s="105">
        <f t="shared" si="2"/>
        <v>-19.526570569642459</v>
      </c>
    </row>
    <row r="13" spans="1:29">
      <c r="A13" s="1" t="s">
        <v>29</v>
      </c>
      <c r="B13" s="1" t="s">
        <v>13</v>
      </c>
      <c r="C13" s="1" t="s">
        <v>181</v>
      </c>
      <c r="D13" s="1" t="s">
        <v>177</v>
      </c>
      <c r="E13" s="36">
        <v>8.8212042926594005</v>
      </c>
      <c r="G13" t="s">
        <v>182</v>
      </c>
      <c r="K13" s="104" t="str">
        <f t="shared" si="3"/>
        <v>NI load</v>
      </c>
      <c r="L13" s="105">
        <f>L5-MAX(0,-L$4)</f>
        <v>41.836557994527801</v>
      </c>
      <c r="M13" s="105">
        <f t="shared" ref="M13:S13" si="4">M5-MAX(0,-M$4)</f>
        <v>71.984268130840803</v>
      </c>
      <c r="N13" s="105">
        <f t="shared" si="4"/>
        <v>63.683538785005602</v>
      </c>
      <c r="O13" s="105">
        <f t="shared" si="4"/>
        <v>63.676774916173102</v>
      </c>
      <c r="P13" s="105">
        <f t="shared" si="4"/>
        <v>30.840131420686241</v>
      </c>
      <c r="Q13" s="105">
        <f t="shared" si="4"/>
        <v>70.365558473511342</v>
      </c>
      <c r="R13" s="105">
        <f t="shared" si="4"/>
        <v>68.397419666654244</v>
      </c>
      <c r="S13" s="105">
        <f t="shared" si="4"/>
        <v>68.401510523755334</v>
      </c>
    </row>
    <row r="14" spans="1:29">
      <c r="A14" s="1" t="s">
        <v>30</v>
      </c>
      <c r="B14" s="1" t="s">
        <v>24</v>
      </c>
      <c r="C14" s="1" t="s">
        <v>174</v>
      </c>
      <c r="D14" s="1" t="s">
        <v>175</v>
      </c>
      <c r="E14" s="36">
        <v>53.204214839999999</v>
      </c>
      <c r="G14" s="1" t="s">
        <v>163</v>
      </c>
      <c r="H14" s="57" t="s">
        <v>180</v>
      </c>
      <c r="K14" s="104" t="str">
        <f t="shared" si="3"/>
        <v>SI generation</v>
      </c>
      <c r="L14" s="105">
        <f>L6</f>
        <v>8.8782838730517586</v>
      </c>
      <c r="M14" s="105">
        <f t="shared" ref="M14:S14" si="5">M6</f>
        <v>7.9623904225624749</v>
      </c>
      <c r="N14" s="105">
        <f t="shared" si="5"/>
        <v>8.8782838730517586</v>
      </c>
      <c r="O14" s="105">
        <f t="shared" si="5"/>
        <v>8.8782838730517586</v>
      </c>
      <c r="P14" s="105">
        <f t="shared" si="5"/>
        <v>6.8123677356706054</v>
      </c>
      <c r="Q14" s="105">
        <f t="shared" si="5"/>
        <v>10.618598366326415</v>
      </c>
      <c r="R14" s="105">
        <f t="shared" si="5"/>
        <v>6.8123677356706054</v>
      </c>
      <c r="S14" s="105">
        <f t="shared" si="5"/>
        <v>6.8123677356706054</v>
      </c>
    </row>
    <row r="15" spans="1:29">
      <c r="A15" s="1" t="s">
        <v>30</v>
      </c>
      <c r="B15" s="1" t="s">
        <v>24</v>
      </c>
      <c r="C15" s="1" t="s">
        <v>174</v>
      </c>
      <c r="D15" s="1" t="s">
        <v>177</v>
      </c>
      <c r="E15" s="36">
        <v>2.8998978700000002</v>
      </c>
      <c r="G15" s="1" t="s">
        <v>175</v>
      </c>
      <c r="H15" s="42">
        <v>37.557288245968003</v>
      </c>
      <c r="K15" s="104" t="str">
        <f t="shared" si="3"/>
        <v>SI load</v>
      </c>
      <c r="L15" s="105">
        <f t="shared" si="3"/>
        <v>14.485466199164801</v>
      </c>
      <c r="M15" s="105">
        <f t="shared" si="3"/>
        <v>10.97743559782371</v>
      </c>
      <c r="N15" s="105">
        <f t="shared" si="3"/>
        <v>16.169392832707601</v>
      </c>
      <c r="O15" s="105">
        <f t="shared" si="3"/>
        <v>16.134188806128261</v>
      </c>
      <c r="P15" s="105">
        <f t="shared" si="3"/>
        <v>9.5931647558641409</v>
      </c>
      <c r="Q15" s="105">
        <f t="shared" si="3"/>
        <v>5.9259396629581804</v>
      </c>
      <c r="R15" s="105">
        <f t="shared" si="3"/>
        <v>11.532686440598091</v>
      </c>
      <c r="S15" s="105">
        <f t="shared" si="3"/>
        <v>11.536742882864461</v>
      </c>
    </row>
    <row r="16" spans="1:29">
      <c r="A16" s="1" t="s">
        <v>30</v>
      </c>
      <c r="B16" s="1" t="s">
        <v>24</v>
      </c>
      <c r="C16" s="1" t="s">
        <v>178</v>
      </c>
      <c r="D16" s="1" t="s">
        <v>175</v>
      </c>
      <c r="E16" s="36">
        <v>0</v>
      </c>
      <c r="G16" s="1" t="s">
        <v>177</v>
      </c>
      <c r="H16" s="42">
        <v>1.93952168473395</v>
      </c>
    </row>
    <row r="17" spans="1:12">
      <c r="A17" s="1" t="s">
        <v>30</v>
      </c>
      <c r="B17" s="1" t="s">
        <v>24</v>
      </c>
      <c r="C17" s="1" t="s">
        <v>178</v>
      </c>
      <c r="D17" s="1" t="s">
        <v>177</v>
      </c>
      <c r="E17" s="36">
        <v>-1.384723E-2</v>
      </c>
      <c r="L17" s="23"/>
    </row>
    <row r="18" spans="1:12">
      <c r="A18" s="1" t="s">
        <v>30</v>
      </c>
      <c r="B18" s="1" t="s">
        <v>13</v>
      </c>
      <c r="C18" s="1" t="s">
        <v>174</v>
      </c>
      <c r="D18" s="1" t="s">
        <v>175</v>
      </c>
      <c r="E18" s="36">
        <v>50.3667019903287</v>
      </c>
      <c r="G18" t="s">
        <v>183</v>
      </c>
    </row>
    <row r="19" spans="1:12">
      <c r="A19" s="1" t="s">
        <v>30</v>
      </c>
      <c r="B19" s="1" t="s">
        <v>13</v>
      </c>
      <c r="C19" s="1" t="s">
        <v>174</v>
      </c>
      <c r="D19" s="1" t="s">
        <v>177</v>
      </c>
      <c r="E19" s="36">
        <v>9.5931647558641409</v>
      </c>
      <c r="G19" s="1" t="s">
        <v>163</v>
      </c>
      <c r="H19" s="57" t="s">
        <v>180</v>
      </c>
    </row>
    <row r="20" spans="1:12">
      <c r="A20" s="1" t="s">
        <v>30</v>
      </c>
      <c r="B20" s="1" t="s">
        <v>13</v>
      </c>
      <c r="C20" s="1" t="s">
        <v>178</v>
      </c>
      <c r="D20" s="1" t="s">
        <v>175</v>
      </c>
      <c r="E20" s="36">
        <v>-2.1204968538676598</v>
      </c>
      <c r="G20" s="1" t="s">
        <v>175</v>
      </c>
      <c r="H20" s="42">
        <v>37.5613791030691</v>
      </c>
    </row>
    <row r="21" spans="1:12">
      <c r="A21" s="1" t="s">
        <v>30</v>
      </c>
      <c r="B21" s="1" t="s">
        <v>13</v>
      </c>
      <c r="C21" s="1" t="s">
        <v>178</v>
      </c>
      <c r="D21" s="1" t="s">
        <v>177</v>
      </c>
      <c r="E21" s="36">
        <v>3.9174122257615698E-2</v>
      </c>
      <c r="G21" s="1" t="s">
        <v>177</v>
      </c>
      <c r="H21" s="42">
        <v>1.9435781270003201</v>
      </c>
    </row>
    <row r="22" spans="1:12">
      <c r="A22" s="1" t="s">
        <v>30</v>
      </c>
      <c r="B22" s="1" t="s">
        <v>13</v>
      </c>
      <c r="C22" s="1" t="s">
        <v>181</v>
      </c>
      <c r="D22" s="1" t="s">
        <v>175</v>
      </c>
      <c r="E22" s="36">
        <v>-17.406073715774799</v>
      </c>
    </row>
    <row r="23" spans="1:12">
      <c r="A23" s="1" t="s">
        <v>30</v>
      </c>
      <c r="B23" s="1" t="s">
        <v>13</v>
      </c>
      <c r="C23" s="1" t="s">
        <v>181</v>
      </c>
      <c r="D23" s="1" t="s">
        <v>177</v>
      </c>
      <c r="E23" s="36">
        <v>6.7731936134129898</v>
      </c>
    </row>
    <row r="25" spans="1:12">
      <c r="A25" s="1" t="s">
        <v>161</v>
      </c>
      <c r="B25" s="1" t="s">
        <v>42</v>
      </c>
      <c r="C25" s="1" t="s">
        <v>162</v>
      </c>
      <c r="D25" s="1" t="s">
        <v>163</v>
      </c>
      <c r="E25" s="1" t="s">
        <v>184</v>
      </c>
    </row>
    <row r="26" spans="1:12">
      <c r="A26" s="1" t="s">
        <v>29</v>
      </c>
      <c r="B26" s="1" t="s">
        <v>185</v>
      </c>
      <c r="C26" s="1" t="s">
        <v>174</v>
      </c>
      <c r="D26" s="1" t="s">
        <v>175</v>
      </c>
      <c r="E26" s="36">
        <v>18.780053290840801</v>
      </c>
    </row>
    <row r="27" spans="1:12">
      <c r="A27" s="1" t="s">
        <v>29</v>
      </c>
      <c r="B27" s="1" t="s">
        <v>185</v>
      </c>
      <c r="C27" s="1" t="s">
        <v>174</v>
      </c>
      <c r="D27" s="1" t="s">
        <v>177</v>
      </c>
      <c r="E27" s="36">
        <v>8.0775377278237102</v>
      </c>
    </row>
    <row r="28" spans="1:12">
      <c r="A28" s="1" t="s">
        <v>29</v>
      </c>
      <c r="B28" s="1" t="s">
        <v>185</v>
      </c>
      <c r="C28" s="1" t="s">
        <v>178</v>
      </c>
      <c r="D28" s="1" t="s">
        <v>175</v>
      </c>
      <c r="E28" s="36">
        <v>0.30095796129915398</v>
      </c>
    </row>
    <row r="29" spans="1:12">
      <c r="A29" s="1" t="s">
        <v>29</v>
      </c>
      <c r="B29" s="1" t="s">
        <v>185</v>
      </c>
      <c r="C29" s="1" t="s">
        <v>178</v>
      </c>
      <c r="D29" s="1" t="s">
        <v>177</v>
      </c>
      <c r="E29" s="36">
        <v>5.0730860070794997E-2</v>
      </c>
    </row>
    <row r="30" spans="1:12">
      <c r="A30" s="1" t="s">
        <v>29</v>
      </c>
      <c r="B30" s="1" t="s">
        <v>185</v>
      </c>
      <c r="C30" s="1" t="s">
        <v>181</v>
      </c>
      <c r="D30" s="1" t="s">
        <v>175</v>
      </c>
      <c r="E30" s="36">
        <v>6.1203721870663399</v>
      </c>
    </row>
    <row r="31" spans="1:12">
      <c r="A31" s="1" t="s">
        <v>29</v>
      </c>
      <c r="B31" s="1" t="s">
        <v>185</v>
      </c>
      <c r="C31" s="1" t="s">
        <v>181</v>
      </c>
      <c r="D31" s="1" t="s">
        <v>177</v>
      </c>
      <c r="E31" s="36">
        <v>7.9116595624916801</v>
      </c>
    </row>
    <row r="32" spans="1:12">
      <c r="A32" s="1" t="s">
        <v>30</v>
      </c>
      <c r="B32" s="1" t="s">
        <v>185</v>
      </c>
      <c r="C32" s="1" t="s">
        <v>174</v>
      </c>
      <c r="D32" s="1" t="s">
        <v>175</v>
      </c>
      <c r="E32" s="36">
        <v>25.367290668645801</v>
      </c>
    </row>
    <row r="33" spans="1:5">
      <c r="A33" s="1" t="s">
        <v>30</v>
      </c>
      <c r="B33" s="1" t="s">
        <v>185</v>
      </c>
      <c r="C33" s="1" t="s">
        <v>174</v>
      </c>
      <c r="D33" s="1" t="s">
        <v>177</v>
      </c>
      <c r="E33" s="36">
        <v>3.0260417929581802</v>
      </c>
    </row>
    <row r="34" spans="1:5">
      <c r="A34" s="1" t="s">
        <v>30</v>
      </c>
      <c r="B34" s="1" t="s">
        <v>185</v>
      </c>
      <c r="C34" s="1" t="s">
        <v>178</v>
      </c>
      <c r="D34" s="1" t="s">
        <v>175</v>
      </c>
      <c r="E34" s="36">
        <v>-1.79334863103881</v>
      </c>
    </row>
    <row r="35" spans="1:5">
      <c r="A35" s="1" t="s">
        <v>30</v>
      </c>
      <c r="B35" s="1" t="s">
        <v>185</v>
      </c>
      <c r="C35" s="1" t="s">
        <v>178</v>
      </c>
      <c r="D35" s="1" t="s">
        <v>177</v>
      </c>
      <c r="E35" s="36">
        <v>5.0046921950315598E-2</v>
      </c>
    </row>
    <row r="36" spans="1:5">
      <c r="A36" s="1" t="s">
        <v>30</v>
      </c>
      <c r="B36" s="1" t="s">
        <v>185</v>
      </c>
      <c r="C36" s="1" t="s">
        <v>181</v>
      </c>
      <c r="D36" s="1" t="s">
        <v>175</v>
      </c>
      <c r="E36" s="36">
        <v>-6.4125984040956503</v>
      </c>
    </row>
    <row r="37" spans="1:5">
      <c r="A37" s="1" t="s">
        <v>30</v>
      </c>
      <c r="B37" s="1" t="s">
        <v>185</v>
      </c>
      <c r="C37" s="1" t="s">
        <v>181</v>
      </c>
      <c r="D37" s="1" t="s">
        <v>177</v>
      </c>
      <c r="E37" s="36">
        <v>10.5685514443761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1"/>
  <sheetViews>
    <sheetView workbookViewId="0">
      <selection activeCell="E9" sqref="E9"/>
    </sheetView>
  </sheetViews>
  <sheetFormatPr defaultRowHeight="15"/>
  <cols>
    <col min="1" max="1" width="27.7109375" bestFit="1" customWidth="1"/>
    <col min="4" max="4" width="11.140625" customWidth="1"/>
    <col min="6" max="6" width="1.28515625" customWidth="1"/>
    <col min="7" max="7" width="23.5703125" customWidth="1"/>
    <col min="8" max="8" width="9.140625" style="74"/>
    <col min="9" max="9" width="9.140625" style="3" customWidth="1"/>
    <col min="10" max="10" width="12" customWidth="1"/>
  </cols>
  <sheetData>
    <row r="1" spans="1:22" ht="30">
      <c r="A1" s="107" t="s">
        <v>186</v>
      </c>
      <c r="B1" s="107" t="s">
        <v>187</v>
      </c>
      <c r="C1" s="107" t="s">
        <v>188</v>
      </c>
      <c r="D1" s="107" t="s">
        <v>189</v>
      </c>
      <c r="E1" s="107" t="s">
        <v>190</v>
      </c>
      <c r="F1" s="107"/>
      <c r="G1" s="107" t="s">
        <v>191</v>
      </c>
      <c r="H1" s="74" t="s">
        <v>214</v>
      </c>
      <c r="I1" s="109" t="s">
        <v>220</v>
      </c>
      <c r="J1" s="107" t="s">
        <v>221</v>
      </c>
      <c r="L1" s="23" t="s">
        <v>215</v>
      </c>
      <c r="V1" s="23" t="s">
        <v>216</v>
      </c>
    </row>
    <row r="2" spans="1:22">
      <c r="A2" s="106" t="s">
        <v>193</v>
      </c>
      <c r="B2" s="108">
        <v>7.3158352219902598</v>
      </c>
      <c r="C2" s="108">
        <v>6.7318956577812497</v>
      </c>
      <c r="D2" s="108">
        <v>5.7669296504448999</v>
      </c>
      <c r="E2" s="108">
        <v>6.7480538188841503</v>
      </c>
      <c r="F2" s="107"/>
      <c r="G2" s="2">
        <v>6.6508744159999997</v>
      </c>
      <c r="H2" s="74">
        <v>0</v>
      </c>
      <c r="I2" s="3">
        <f>AVERAGE(B3:E3)</f>
        <v>8.66</v>
      </c>
      <c r="J2" s="14">
        <f>AVERAGE(B2:E2)+AVERAGE(B3:E3)</f>
        <v>15.30067858727514</v>
      </c>
    </row>
    <row r="3" spans="1:22">
      <c r="A3" s="57" t="s">
        <v>192</v>
      </c>
      <c r="B3" s="57">
        <v>6.6000000000000005</v>
      </c>
      <c r="C3" s="57">
        <v>8.33</v>
      </c>
      <c r="D3" s="57">
        <v>9.86</v>
      </c>
      <c r="E3" s="57">
        <v>9.85</v>
      </c>
      <c r="F3" s="74"/>
      <c r="G3" s="57">
        <v>8.58</v>
      </c>
      <c r="H3" s="74">
        <v>99</v>
      </c>
      <c r="I3" s="3">
        <f>I2</f>
        <v>8.66</v>
      </c>
      <c r="J3" s="14">
        <f>J2</f>
        <v>15.30067858727514</v>
      </c>
    </row>
    <row r="4" spans="1:22">
      <c r="H4" s="74">
        <v>99</v>
      </c>
      <c r="I4" s="3">
        <f>I3</f>
        <v>8.66</v>
      </c>
      <c r="J4" s="14">
        <f>J3</f>
        <v>15.30067858727514</v>
      </c>
    </row>
    <row r="5" spans="1:22">
      <c r="H5" s="74">
        <v>99</v>
      </c>
      <c r="I5" s="3">
        <f t="shared" ref="I5:I7" si="0">I4</f>
        <v>8.66</v>
      </c>
      <c r="J5" s="14">
        <f>J4</f>
        <v>15.30067858727514</v>
      </c>
    </row>
    <row r="6" spans="1:22">
      <c r="H6" s="74">
        <v>99</v>
      </c>
      <c r="I6" s="3">
        <f t="shared" si="0"/>
        <v>8.66</v>
      </c>
      <c r="J6" s="14">
        <f>J5</f>
        <v>15.30067858727514</v>
      </c>
    </row>
    <row r="7" spans="1:22">
      <c r="H7" s="74">
        <v>99</v>
      </c>
      <c r="I7" s="3">
        <f t="shared" si="0"/>
        <v>8.66</v>
      </c>
      <c r="J7" s="14">
        <f>J6</f>
        <v>15.30067858727514</v>
      </c>
    </row>
    <row r="9" spans="1:22">
      <c r="H9"/>
    </row>
    <row r="10" spans="1:22">
      <c r="H10"/>
    </row>
    <row r="11" spans="1:22">
      <c r="H11"/>
    </row>
    <row r="15" spans="1:22">
      <c r="I15"/>
    </row>
    <row r="21" spans="12:12">
      <c r="L21" s="23" t="s">
        <v>157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N32"/>
  <sheetViews>
    <sheetView workbookViewId="0">
      <selection activeCell="E21" sqref="E21"/>
    </sheetView>
  </sheetViews>
  <sheetFormatPr defaultRowHeight="15"/>
  <cols>
    <col min="1" max="1" width="19.85546875" customWidth="1"/>
    <col min="2" max="2" width="10.140625" bestFit="1" customWidth="1"/>
    <col min="3" max="3" width="5.5703125" bestFit="1" customWidth="1"/>
    <col min="4" max="4" width="8.42578125" bestFit="1" customWidth="1"/>
    <col min="5" max="5" width="9.42578125" bestFit="1" customWidth="1"/>
    <col min="7" max="7" width="15.28515625" customWidth="1"/>
    <col min="8" max="8" width="18" customWidth="1"/>
    <col min="9" max="9" width="12.7109375" bestFit="1" customWidth="1"/>
    <col min="10" max="10" width="16" bestFit="1" customWidth="1"/>
    <col min="11" max="11" width="21.42578125" customWidth="1"/>
    <col min="12" max="12" width="20.42578125" bestFit="1" customWidth="1"/>
  </cols>
  <sheetData>
    <row r="1" spans="1:12" s="23" customFormat="1">
      <c r="G1" s="23" t="s">
        <v>197</v>
      </c>
      <c r="K1" s="30"/>
      <c r="L1" s="30"/>
    </row>
    <row r="3" spans="1:12">
      <c r="A3" t="s">
        <v>31</v>
      </c>
      <c r="B3" t="s">
        <v>125</v>
      </c>
      <c r="C3" s="3" t="s">
        <v>34</v>
      </c>
      <c r="D3" s="3" t="s">
        <v>35</v>
      </c>
      <c r="E3" s="3" t="s">
        <v>36</v>
      </c>
      <c r="H3" s="11"/>
      <c r="I3" s="37"/>
      <c r="J3" s="37"/>
      <c r="K3" s="6" t="s">
        <v>26</v>
      </c>
      <c r="L3" s="70" t="s">
        <v>127</v>
      </c>
    </row>
    <row r="4" spans="1:12">
      <c r="A4" s="1" t="s">
        <v>0</v>
      </c>
      <c r="B4" s="2">
        <v>2.43931522794289</v>
      </c>
      <c r="C4" s="2">
        <v>4.2810780092921599</v>
      </c>
      <c r="D4" s="2">
        <v>5.3805293625948503</v>
      </c>
      <c r="E4" s="2">
        <v>6.0360053899999597</v>
      </c>
      <c r="G4" s="26" t="s">
        <v>27</v>
      </c>
      <c r="H4" s="5" t="s">
        <v>129</v>
      </c>
      <c r="I4" s="38" t="s">
        <v>39</v>
      </c>
      <c r="J4" s="38" t="s">
        <v>40</v>
      </c>
      <c r="K4" s="21" t="s">
        <v>41</v>
      </c>
      <c r="L4" s="71" t="s">
        <v>128</v>
      </c>
    </row>
    <row r="5" spans="1:12">
      <c r="A5" s="1" t="s">
        <v>1</v>
      </c>
      <c r="B5" s="2">
        <v>18.590402747656899</v>
      </c>
      <c r="C5" s="2">
        <v>27.0643241546822</v>
      </c>
      <c r="D5" s="2">
        <v>29.3505216974234</v>
      </c>
      <c r="E5" s="2">
        <v>30.324199706553198</v>
      </c>
      <c r="G5" s="27" t="s">
        <v>14</v>
      </c>
      <c r="H5" s="33">
        <f>B4</f>
        <v>2.43931522794289</v>
      </c>
      <c r="I5" s="39">
        <f>C4</f>
        <v>4.2810780092921599</v>
      </c>
      <c r="J5" s="39">
        <f t="shared" ref="J5:J14" si="0">D4</f>
        <v>5.3805293625948503</v>
      </c>
      <c r="K5" s="16">
        <f t="shared" ref="K5:K14" si="1">E4</f>
        <v>6.0360053899999597</v>
      </c>
      <c r="L5" s="66">
        <f>VLOOKUP(G5,A$16:B$25,2,FALSE)*123/365</f>
        <v>11.457534246575342</v>
      </c>
    </row>
    <row r="6" spans="1:12">
      <c r="A6" s="1" t="s">
        <v>11</v>
      </c>
      <c r="B6" s="2">
        <v>0</v>
      </c>
      <c r="C6" s="2">
        <v>0</v>
      </c>
      <c r="D6" s="2">
        <v>0</v>
      </c>
      <c r="E6" s="2">
        <v>0</v>
      </c>
      <c r="G6" s="28" t="s">
        <v>15</v>
      </c>
      <c r="H6" s="34">
        <f t="shared" ref="H6:I14" si="2">B5</f>
        <v>18.590402747656899</v>
      </c>
      <c r="I6" s="40">
        <f t="shared" si="2"/>
        <v>27.0643241546822</v>
      </c>
      <c r="J6" s="40">
        <f t="shared" si="0"/>
        <v>29.3505216974234</v>
      </c>
      <c r="K6" s="17">
        <f t="shared" si="1"/>
        <v>30.324199706553198</v>
      </c>
      <c r="L6" s="67">
        <f t="shared" ref="L6:L14" si="3">VLOOKUP(G6,A$16:B$25,2,FALSE)*123/365</f>
        <v>30.328767123287673</v>
      </c>
    </row>
    <row r="7" spans="1:12">
      <c r="A7" s="1" t="s">
        <v>2</v>
      </c>
      <c r="B7" s="2">
        <v>3.5326049870583098</v>
      </c>
      <c r="C7" s="2">
        <v>4.3328851339153198</v>
      </c>
      <c r="D7" s="2">
        <v>4.3800795957181</v>
      </c>
      <c r="E7" s="2">
        <v>4.3802330805815899</v>
      </c>
      <c r="G7" s="28" t="s">
        <v>16</v>
      </c>
      <c r="H7" s="34">
        <f t="shared" si="2"/>
        <v>0</v>
      </c>
      <c r="I7" s="40">
        <f t="shared" si="2"/>
        <v>0</v>
      </c>
      <c r="J7" s="40">
        <f t="shared" si="0"/>
        <v>0</v>
      </c>
      <c r="K7" s="17">
        <f t="shared" si="1"/>
        <v>0</v>
      </c>
      <c r="L7" s="67">
        <f t="shared" si="3"/>
        <v>2.6958904109589041</v>
      </c>
    </row>
    <row r="8" spans="1:12">
      <c r="A8" s="1" t="s">
        <v>3</v>
      </c>
      <c r="B8" s="2">
        <v>0.65243044064278699</v>
      </c>
      <c r="C8" s="2">
        <v>1.0342371901349201</v>
      </c>
      <c r="D8" s="2">
        <v>1.2936049028029499</v>
      </c>
      <c r="E8" s="2">
        <v>2.1365889</v>
      </c>
      <c r="G8" s="28" t="s">
        <v>17</v>
      </c>
      <c r="H8" s="34">
        <f t="shared" si="2"/>
        <v>3.5326049870583098</v>
      </c>
      <c r="I8" s="40">
        <f t="shared" si="2"/>
        <v>4.3328851339153198</v>
      </c>
      <c r="J8" s="40">
        <f t="shared" si="0"/>
        <v>4.3800795957181</v>
      </c>
      <c r="K8" s="17">
        <f t="shared" si="1"/>
        <v>4.3802330805815899</v>
      </c>
      <c r="L8" s="67">
        <f t="shared" si="3"/>
        <v>4.3808219178082188</v>
      </c>
    </row>
    <row r="9" spans="1:12">
      <c r="A9" s="1" t="s">
        <v>4</v>
      </c>
      <c r="B9" s="2">
        <v>16.6813712629238</v>
      </c>
      <c r="C9" s="2">
        <v>17.174914817772201</v>
      </c>
      <c r="D9" s="2">
        <v>17.1799164797701</v>
      </c>
      <c r="E9" s="2">
        <v>17.181920809902</v>
      </c>
      <c r="G9" s="28" t="s">
        <v>18</v>
      </c>
      <c r="H9" s="34">
        <f t="shared" si="2"/>
        <v>0.65243044064278699</v>
      </c>
      <c r="I9" s="40">
        <f t="shared" si="2"/>
        <v>1.0342371901349201</v>
      </c>
      <c r="J9" s="40">
        <f t="shared" si="0"/>
        <v>1.2936049028029499</v>
      </c>
      <c r="K9" s="17">
        <f t="shared" si="1"/>
        <v>2.1365889</v>
      </c>
      <c r="L9" s="67">
        <f t="shared" si="3"/>
        <v>2.6958904109589041</v>
      </c>
    </row>
    <row r="10" spans="1:12">
      <c r="A10" s="1" t="s">
        <v>5</v>
      </c>
      <c r="B10" s="2">
        <v>9.3890472530325795</v>
      </c>
      <c r="C10" s="2">
        <v>14.4777079700148</v>
      </c>
      <c r="D10" s="2">
        <v>22.923475676395501</v>
      </c>
      <c r="E10" s="2">
        <v>24.9238213624972</v>
      </c>
      <c r="G10" s="28" t="s">
        <v>19</v>
      </c>
      <c r="H10" s="34">
        <f t="shared" si="2"/>
        <v>16.6813712629238</v>
      </c>
      <c r="I10" s="40">
        <f t="shared" si="2"/>
        <v>17.174914817772201</v>
      </c>
      <c r="J10" s="40">
        <f t="shared" si="0"/>
        <v>17.1799164797701</v>
      </c>
      <c r="K10" s="17">
        <f t="shared" si="1"/>
        <v>17.181920809902</v>
      </c>
      <c r="L10" s="67">
        <f t="shared" si="3"/>
        <v>17.186301369863013</v>
      </c>
    </row>
    <row r="11" spans="1:12">
      <c r="A11" s="1" t="s">
        <v>12</v>
      </c>
      <c r="B11" s="2">
        <v>1.2845092436589701E-2</v>
      </c>
      <c r="C11" s="2">
        <v>0.19178310225585399</v>
      </c>
      <c r="D11" s="2">
        <v>0.84931410208134495</v>
      </c>
      <c r="E11" s="2">
        <v>1.6849302908462001</v>
      </c>
      <c r="G11" s="28" t="s">
        <v>20</v>
      </c>
      <c r="H11" s="34">
        <f t="shared" si="2"/>
        <v>9.3890472530325795</v>
      </c>
      <c r="I11" s="40">
        <f t="shared" si="2"/>
        <v>14.4777079700148</v>
      </c>
      <c r="J11" s="40">
        <f t="shared" si="0"/>
        <v>22.923475676395501</v>
      </c>
      <c r="K11" s="17">
        <f t="shared" si="1"/>
        <v>24.9238213624972</v>
      </c>
      <c r="L11" s="67">
        <f t="shared" si="3"/>
        <v>24.936986301369863</v>
      </c>
    </row>
    <row r="12" spans="1:12">
      <c r="A12" s="1" t="s">
        <v>6</v>
      </c>
      <c r="B12" s="2">
        <v>3.2135190520533001</v>
      </c>
      <c r="C12" s="2">
        <v>4.2213764034994599</v>
      </c>
      <c r="D12" s="2">
        <v>4.3572185899999996</v>
      </c>
      <c r="E12" s="2">
        <v>4.3572185899999996</v>
      </c>
      <c r="G12" s="28" t="s">
        <v>21</v>
      </c>
      <c r="H12" s="34">
        <f t="shared" si="2"/>
        <v>1.2845092436589701E-2</v>
      </c>
      <c r="I12" s="40">
        <f t="shared" si="2"/>
        <v>0.19178310225585399</v>
      </c>
      <c r="J12" s="40">
        <f t="shared" si="0"/>
        <v>0.84931410208134495</v>
      </c>
      <c r="K12" s="17">
        <f t="shared" si="1"/>
        <v>1.6849302908462001</v>
      </c>
      <c r="L12" s="67">
        <f t="shared" si="3"/>
        <v>1.6849315068493151</v>
      </c>
    </row>
    <row r="13" spans="1:12">
      <c r="A13" s="1" t="s">
        <v>7</v>
      </c>
      <c r="B13" s="2">
        <v>0.68763484685526499</v>
      </c>
      <c r="C13" s="2">
        <v>0.92059133209890898</v>
      </c>
      <c r="D13" s="2">
        <v>1.01051245828536</v>
      </c>
      <c r="E13" s="2">
        <v>1.0104963677979899</v>
      </c>
      <c r="G13" s="28" t="s">
        <v>22</v>
      </c>
      <c r="H13" s="34">
        <f t="shared" si="2"/>
        <v>3.2135190520533001</v>
      </c>
      <c r="I13" s="40">
        <f t="shared" si="2"/>
        <v>4.2213764034994599</v>
      </c>
      <c r="J13" s="40">
        <f t="shared" si="0"/>
        <v>4.3572185899999996</v>
      </c>
      <c r="K13" s="17">
        <f t="shared" si="1"/>
        <v>4.3572185899999996</v>
      </c>
      <c r="L13" s="67">
        <f t="shared" si="3"/>
        <v>9.0986301369863014</v>
      </c>
    </row>
    <row r="14" spans="1:12">
      <c r="G14" s="29" t="s">
        <v>23</v>
      </c>
      <c r="H14" s="35">
        <f t="shared" si="2"/>
        <v>0.68763484685526499</v>
      </c>
      <c r="I14" s="41">
        <f t="shared" si="2"/>
        <v>0.92059133209890898</v>
      </c>
      <c r="J14" s="41">
        <f t="shared" si="0"/>
        <v>1.01051245828536</v>
      </c>
      <c r="K14" s="18">
        <f t="shared" si="1"/>
        <v>1.0104963677979899</v>
      </c>
      <c r="L14" s="67">
        <f t="shared" si="3"/>
        <v>1.010958904109589</v>
      </c>
    </row>
    <row r="15" spans="1:12">
      <c r="A15" t="s">
        <v>75</v>
      </c>
      <c r="B15" t="s">
        <v>126</v>
      </c>
      <c r="G15" s="32" t="s">
        <v>25</v>
      </c>
      <c r="H15" s="72">
        <f>SUM(H5:H14)</f>
        <v>55.199170910602419</v>
      </c>
      <c r="I15" s="41">
        <f>SUM(I5:I14)</f>
        <v>73.698898113665834</v>
      </c>
      <c r="J15" s="41">
        <f>SUM(J5:J14)</f>
        <v>86.725172865071613</v>
      </c>
      <c r="K15" s="18">
        <f>SUM(K5:K14)</f>
        <v>92.035414498178142</v>
      </c>
      <c r="L15" s="69">
        <f>SUM(L5:L14)</f>
        <v>105.47671232876711</v>
      </c>
    </row>
    <row r="16" spans="1:12">
      <c r="A16" s="1" t="s">
        <v>23</v>
      </c>
      <c r="B16" s="1">
        <v>3</v>
      </c>
    </row>
    <row r="17" spans="1:14">
      <c r="A17" s="1" t="s">
        <v>14</v>
      </c>
      <c r="B17" s="1">
        <v>34</v>
      </c>
      <c r="G17" t="s">
        <v>38</v>
      </c>
    </row>
    <row r="18" spans="1:14">
      <c r="A18" s="1" t="s">
        <v>19</v>
      </c>
      <c r="B18" s="1">
        <v>51</v>
      </c>
    </row>
    <row r="19" spans="1:14">
      <c r="A19" s="1" t="s">
        <v>20</v>
      </c>
      <c r="B19" s="1">
        <v>74</v>
      </c>
    </row>
    <row r="20" spans="1:14">
      <c r="A20" s="1" t="s">
        <v>18</v>
      </c>
      <c r="B20" s="1">
        <v>8</v>
      </c>
    </row>
    <row r="21" spans="1:14">
      <c r="A21" s="1" t="s">
        <v>22</v>
      </c>
      <c r="B21" s="1">
        <v>27</v>
      </c>
    </row>
    <row r="22" spans="1:14">
      <c r="A22" s="1" t="s">
        <v>15</v>
      </c>
      <c r="B22" s="1">
        <v>90</v>
      </c>
    </row>
    <row r="23" spans="1:14">
      <c r="A23" s="1" t="s">
        <v>17</v>
      </c>
      <c r="B23" s="1">
        <v>13</v>
      </c>
    </row>
    <row r="24" spans="1:14">
      <c r="A24" s="1" t="s">
        <v>21</v>
      </c>
      <c r="B24" s="1">
        <v>5</v>
      </c>
    </row>
    <row r="25" spans="1:14">
      <c r="A25" s="1" t="s">
        <v>16</v>
      </c>
      <c r="B25" s="1">
        <v>8</v>
      </c>
    </row>
    <row r="30" spans="1:14">
      <c r="N30" s="73"/>
    </row>
    <row r="31" spans="1:14">
      <c r="N31" s="73"/>
    </row>
    <row r="32" spans="1:14">
      <c r="N32" s="73"/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C54"/>
  <sheetViews>
    <sheetView workbookViewId="0">
      <selection activeCell="F17" sqref="F17"/>
    </sheetView>
  </sheetViews>
  <sheetFormatPr defaultRowHeight="15"/>
  <cols>
    <col min="1" max="3" width="9.28515625" bestFit="1" customWidth="1"/>
    <col min="4" max="4" width="9.5703125" bestFit="1" customWidth="1"/>
    <col min="5" max="5" width="9.28515625" bestFit="1" customWidth="1"/>
    <col min="6" max="6" width="9.5703125" bestFit="1" customWidth="1"/>
  </cols>
  <sheetData>
    <row r="1" spans="1:29" s="23" customFormat="1">
      <c r="H1" s="23" t="s">
        <v>198</v>
      </c>
      <c r="I1" s="30"/>
      <c r="R1" s="23" t="s">
        <v>200</v>
      </c>
      <c r="S1" s="30"/>
      <c r="AB1" s="23" t="s">
        <v>199</v>
      </c>
      <c r="AC1" s="30"/>
    </row>
    <row r="2" spans="1:29">
      <c r="A2" t="s">
        <v>82</v>
      </c>
      <c r="B2" s="47">
        <f>13000000/(365*24)</f>
        <v>1484.0182648401826</v>
      </c>
      <c r="D2" s="47">
        <f>74000000/(365*24)</f>
        <v>8447.488584474886</v>
      </c>
      <c r="F2" s="47">
        <f>90000000/(365*24)</f>
        <v>10273.972602739726</v>
      </c>
    </row>
    <row r="3" spans="1:29">
      <c r="A3" s="46"/>
      <c r="B3" s="3" t="s">
        <v>17</v>
      </c>
      <c r="C3" s="3"/>
      <c r="D3" s="3" t="s">
        <v>20</v>
      </c>
      <c r="E3" s="3"/>
      <c r="F3" s="3" t="s">
        <v>15</v>
      </c>
    </row>
    <row r="4" spans="1:29">
      <c r="A4" s="3" t="s">
        <v>80</v>
      </c>
      <c r="B4" s="3" t="s">
        <v>81</v>
      </c>
      <c r="C4" s="3" t="s">
        <v>80</v>
      </c>
      <c r="D4" s="3" t="s">
        <v>81</v>
      </c>
      <c r="E4" s="3" t="s">
        <v>80</v>
      </c>
      <c r="F4" s="3" t="s">
        <v>81</v>
      </c>
    </row>
    <row r="5" spans="1:29">
      <c r="A5" s="45">
        <v>21162.3255550389</v>
      </c>
      <c r="B5" s="45">
        <v>217837.69431406699</v>
      </c>
      <c r="C5" s="45">
        <v>165999.259945522</v>
      </c>
      <c r="D5" s="45">
        <v>2004182.8314130199</v>
      </c>
      <c r="E5" s="45">
        <v>212365.989469311</v>
      </c>
      <c r="F5" s="45">
        <v>2259430.2520098998</v>
      </c>
    </row>
    <row r="6" spans="1:29">
      <c r="A6" s="45">
        <v>20209.6570558075</v>
      </c>
      <c r="B6" s="45">
        <v>96434.354014041397</v>
      </c>
      <c r="C6" s="45">
        <v>148529.41553323399</v>
      </c>
      <c r="D6" s="45">
        <v>1924042.30332975</v>
      </c>
      <c r="E6" s="45">
        <v>112296.126234916</v>
      </c>
      <c r="F6" s="45">
        <v>1054242.3153603999</v>
      </c>
    </row>
    <row r="7" spans="1:29">
      <c r="A7" s="45">
        <v>19900.818205549102</v>
      </c>
      <c r="B7" s="45">
        <v>95181.997867146507</v>
      </c>
      <c r="C7" s="45">
        <v>90820.464925755005</v>
      </c>
      <c r="D7" s="45">
        <v>756015.18700299505</v>
      </c>
      <c r="E7" s="45">
        <v>90282.988473217702</v>
      </c>
      <c r="F7" s="45">
        <v>1022597.44704046</v>
      </c>
    </row>
    <row r="8" spans="1:29">
      <c r="A8" s="45">
        <v>17402.612798528698</v>
      </c>
      <c r="B8" s="45">
        <v>92619.911808895398</v>
      </c>
      <c r="C8" s="45">
        <v>87188.860111145201</v>
      </c>
      <c r="D8" s="45">
        <v>753584.17209286895</v>
      </c>
      <c r="E8" s="45">
        <v>80784.552233733804</v>
      </c>
      <c r="F8" s="45">
        <v>993403.29670773295</v>
      </c>
    </row>
    <row r="9" spans="1:29">
      <c r="A9" s="45">
        <v>14784.784317240599</v>
      </c>
      <c r="B9" s="45">
        <v>91829.600387610597</v>
      </c>
      <c r="C9" s="45">
        <v>85947.9141204068</v>
      </c>
      <c r="D9" s="45">
        <v>302364.951205183</v>
      </c>
      <c r="E9" s="45">
        <v>80554.466655697703</v>
      </c>
      <c r="F9" s="45">
        <v>645000.06827268004</v>
      </c>
    </row>
    <row r="10" spans="1:29">
      <c r="A10" s="45">
        <v>14017.078348753101</v>
      </c>
      <c r="B10" s="45">
        <v>90897.543817730402</v>
      </c>
      <c r="C10" s="45">
        <v>85803.837675328105</v>
      </c>
      <c r="D10" s="45">
        <v>294650.32857709302</v>
      </c>
      <c r="E10" s="45">
        <v>78819.104394250695</v>
      </c>
      <c r="F10" s="45">
        <v>366693.80565842002</v>
      </c>
    </row>
    <row r="11" spans="1:29">
      <c r="A11" s="45">
        <v>13836.759397362501</v>
      </c>
      <c r="B11" s="45">
        <v>82984.904424256005</v>
      </c>
      <c r="C11" s="45">
        <v>79533.618177777898</v>
      </c>
      <c r="D11" s="45">
        <v>285711.90271491202</v>
      </c>
      <c r="E11" s="45">
        <v>75584.809600239096</v>
      </c>
      <c r="F11" s="45">
        <v>242351.96144351701</v>
      </c>
    </row>
    <row r="12" spans="1:29">
      <c r="A12" s="45">
        <v>13285.458001885299</v>
      </c>
      <c r="B12" s="45">
        <v>65475.908303880002</v>
      </c>
      <c r="C12" s="45">
        <v>68975.330000000104</v>
      </c>
      <c r="D12" s="45">
        <v>279953.89960692899</v>
      </c>
      <c r="E12" s="45">
        <v>73000.513807174095</v>
      </c>
      <c r="F12" s="45">
        <v>181813.25546864601</v>
      </c>
    </row>
    <row r="13" spans="1:29">
      <c r="A13" s="45">
        <v>12497.658619481699</v>
      </c>
      <c r="B13" s="45">
        <v>63726.529563794</v>
      </c>
      <c r="C13" s="45">
        <v>67790.809999999896</v>
      </c>
      <c r="D13" s="45">
        <v>263626.49460686999</v>
      </c>
      <c r="E13" s="45">
        <v>67913.923647349598</v>
      </c>
      <c r="F13" s="45">
        <v>133204.296194425</v>
      </c>
    </row>
    <row r="14" spans="1:29">
      <c r="A14" s="45">
        <v>12496.7467683867</v>
      </c>
      <c r="B14" s="45">
        <v>57867.450389724901</v>
      </c>
      <c r="C14" s="45">
        <v>56147.116148737201</v>
      </c>
      <c r="D14" s="45">
        <v>216799.210699249</v>
      </c>
      <c r="E14" s="45">
        <v>66161.468389901202</v>
      </c>
      <c r="F14" s="45">
        <v>104881.197476815</v>
      </c>
    </row>
    <row r="15" spans="1:29">
      <c r="A15" s="45">
        <v>11982.284682514301</v>
      </c>
      <c r="B15" s="45">
        <v>56138.341990004898</v>
      </c>
      <c r="C15" s="45">
        <v>55122.007862336097</v>
      </c>
      <c r="D15" s="45">
        <v>216435.78524683299</v>
      </c>
      <c r="E15" s="45">
        <v>64175.519880201799</v>
      </c>
      <c r="F15" s="45">
        <v>102742.13062249801</v>
      </c>
    </row>
    <row r="16" spans="1:29">
      <c r="A16" s="45">
        <v>11131.5845361182</v>
      </c>
      <c r="B16" s="45">
        <v>45921.806331259599</v>
      </c>
      <c r="C16" s="45">
        <v>52416.32</v>
      </c>
      <c r="D16" s="45">
        <v>195470.822946762</v>
      </c>
      <c r="E16" s="45">
        <v>64134.7404205645</v>
      </c>
      <c r="F16" s="45">
        <v>101224.362389674</v>
      </c>
    </row>
    <row r="17" spans="1:8">
      <c r="A17" s="45">
        <v>10877.7714981026</v>
      </c>
      <c r="B17" s="45">
        <v>38227.208633808601</v>
      </c>
      <c r="C17" s="45">
        <v>51729.917080269101</v>
      </c>
      <c r="D17" s="45">
        <v>194728.331592298</v>
      </c>
      <c r="E17" s="45">
        <v>62343.371970497697</v>
      </c>
      <c r="F17" s="45">
        <v>98012.322152606197</v>
      </c>
    </row>
    <row r="18" spans="1:8">
      <c r="A18" s="45">
        <v>10589.475991027401</v>
      </c>
      <c r="B18" s="45">
        <v>26206.510894383398</v>
      </c>
      <c r="C18" s="45">
        <v>50583.632520253399</v>
      </c>
      <c r="D18" s="45">
        <v>186431.603455751</v>
      </c>
      <c r="E18" s="45">
        <v>60453.579020192301</v>
      </c>
      <c r="F18" s="45">
        <v>97974.415814936903</v>
      </c>
    </row>
    <row r="19" spans="1:8">
      <c r="A19" s="45">
        <v>9534.12542775781</v>
      </c>
      <c r="B19" s="45">
        <v>24024.976641630099</v>
      </c>
      <c r="C19" s="45">
        <v>48900.886623635903</v>
      </c>
      <c r="D19" s="45">
        <v>182710.431656184</v>
      </c>
      <c r="E19" s="45">
        <v>60319.720592777201</v>
      </c>
      <c r="F19" s="45">
        <v>97217.969943196993</v>
      </c>
    </row>
    <row r="20" spans="1:8">
      <c r="A20" s="45">
        <v>9453.1231290937994</v>
      </c>
      <c r="B20" s="45">
        <v>20132.646276319199</v>
      </c>
      <c r="C20" s="45">
        <v>48743.6427130054</v>
      </c>
      <c r="D20" s="45">
        <v>174425.82307448101</v>
      </c>
      <c r="E20" s="45">
        <v>59699.673109074</v>
      </c>
      <c r="F20" s="45">
        <v>89607.343332537697</v>
      </c>
    </row>
    <row r="21" spans="1:8">
      <c r="A21" s="45">
        <v>9419.2227047761298</v>
      </c>
      <c r="B21" s="45">
        <v>18552.0053358312</v>
      </c>
      <c r="C21" s="45">
        <v>46535.149273552503</v>
      </c>
      <c r="D21" s="45">
        <v>171466.82143508599</v>
      </c>
      <c r="E21" s="45">
        <v>57401.470846665499</v>
      </c>
      <c r="F21" s="45">
        <v>82621.61</v>
      </c>
    </row>
    <row r="22" spans="1:8">
      <c r="A22" s="45">
        <v>8951.6670392787</v>
      </c>
      <c r="B22" s="45">
        <v>16718.617532871001</v>
      </c>
      <c r="C22" s="45">
        <v>42272.467786176901</v>
      </c>
      <c r="D22" s="45">
        <v>161993.883571151</v>
      </c>
      <c r="E22" s="45">
        <v>56649.75</v>
      </c>
      <c r="F22" s="45">
        <v>79193.053828069795</v>
      </c>
    </row>
    <row r="23" spans="1:8">
      <c r="A23" s="45">
        <v>8828.0756802865508</v>
      </c>
      <c r="B23" s="45">
        <v>16471.652585389202</v>
      </c>
      <c r="C23" s="45">
        <v>41902.679336269299</v>
      </c>
      <c r="D23" s="45">
        <v>152520.307582048</v>
      </c>
      <c r="E23" s="45">
        <v>55826.705772706999</v>
      </c>
      <c r="F23" s="45">
        <v>69460.47</v>
      </c>
    </row>
    <row r="24" spans="1:8">
      <c r="A24" s="45">
        <v>8814.7097924726495</v>
      </c>
      <c r="B24" s="45">
        <v>13491.5887506075</v>
      </c>
      <c r="C24" s="45">
        <v>39412.870000000003</v>
      </c>
      <c r="D24" s="45">
        <v>137855.34960351099</v>
      </c>
      <c r="E24" s="45">
        <v>55721.021680540798</v>
      </c>
      <c r="F24" s="45">
        <v>69151.813809746498</v>
      </c>
    </row>
    <row r="25" spans="1:8">
      <c r="A25" s="45">
        <v>8780.2278813048597</v>
      </c>
      <c r="B25" s="45">
        <v>13442.695229796</v>
      </c>
      <c r="C25" s="45">
        <v>38404.614405071901</v>
      </c>
      <c r="D25" s="45">
        <v>129809.991425566</v>
      </c>
      <c r="E25" s="45">
        <v>55530.693294804398</v>
      </c>
      <c r="F25" s="45">
        <v>65780.53</v>
      </c>
    </row>
    <row r="26" spans="1:8">
      <c r="A26" s="45">
        <v>8682.1927288083607</v>
      </c>
      <c r="B26" s="45">
        <v>12778.4366609345</v>
      </c>
      <c r="C26" s="45">
        <v>38101.94</v>
      </c>
      <c r="D26" s="45">
        <v>95422.406026785495</v>
      </c>
      <c r="E26" s="45">
        <v>55363.6390693832</v>
      </c>
      <c r="F26" s="45">
        <v>64039.965757995902</v>
      </c>
      <c r="H26" t="s">
        <v>122</v>
      </c>
    </row>
    <row r="27" spans="1:8">
      <c r="A27" s="45">
        <v>8577.7367873353596</v>
      </c>
      <c r="B27" s="45">
        <v>12450.4011264729</v>
      </c>
      <c r="C27" s="45">
        <v>36953.542800001298</v>
      </c>
      <c r="D27" s="45">
        <v>94435.978427758804</v>
      </c>
      <c r="E27" s="45">
        <v>55234.259731355698</v>
      </c>
      <c r="F27" s="45">
        <v>56649.75</v>
      </c>
    </row>
    <row r="28" spans="1:8">
      <c r="A28" s="45">
        <v>8442.7710013331798</v>
      </c>
      <c r="B28" s="45">
        <v>11945.1827616051</v>
      </c>
      <c r="C28" s="45">
        <v>35930.22</v>
      </c>
      <c r="D28" s="45">
        <v>94218.4885613402</v>
      </c>
      <c r="E28" s="45">
        <v>54143.049999999901</v>
      </c>
      <c r="F28" s="45">
        <v>54143.049999999901</v>
      </c>
      <c r="H28" s="73"/>
    </row>
    <row r="29" spans="1:8">
      <c r="A29" s="45">
        <v>8411.1386343694303</v>
      </c>
      <c r="B29" s="45">
        <v>11454.7245186491</v>
      </c>
      <c r="C29" s="45">
        <v>35885.3651481825</v>
      </c>
      <c r="D29" s="45">
        <v>93117.410215738506</v>
      </c>
      <c r="E29" s="45">
        <v>53982.0099999999</v>
      </c>
      <c r="F29" s="45">
        <v>53134.25</v>
      </c>
      <c r="H29" s="73"/>
    </row>
    <row r="30" spans="1:8">
      <c r="A30" s="45">
        <v>8392.6903529688607</v>
      </c>
      <c r="B30" s="45">
        <v>10841.2183975799</v>
      </c>
      <c r="C30" s="45">
        <v>35763.580526342397</v>
      </c>
      <c r="D30" s="45">
        <v>91680.170809143601</v>
      </c>
      <c r="E30" s="45">
        <v>52211.495637234097</v>
      </c>
      <c r="F30" s="45">
        <v>52317.714209746198</v>
      </c>
      <c r="H30" s="73"/>
    </row>
    <row r="31" spans="1:8">
      <c r="A31" s="45">
        <v>8309.5555866429204</v>
      </c>
      <c r="B31" s="45">
        <v>10827.6511802145</v>
      </c>
      <c r="C31" s="45">
        <v>35298.555118080702</v>
      </c>
      <c r="D31" s="45">
        <v>91350.632804999899</v>
      </c>
      <c r="E31" s="45">
        <v>51868.230161535401</v>
      </c>
      <c r="F31" s="45">
        <v>51183.624986954499</v>
      </c>
      <c r="H31" s="73"/>
    </row>
    <row r="32" spans="1:8">
      <c r="A32" s="45">
        <v>8198.6426350007496</v>
      </c>
      <c r="B32" s="45">
        <v>10704.2965358742</v>
      </c>
      <c r="C32" s="45">
        <v>35264.6989459045</v>
      </c>
      <c r="D32" s="45">
        <v>90118.882962824006</v>
      </c>
      <c r="E32" s="45">
        <v>51248.309277230299</v>
      </c>
      <c r="F32" s="45">
        <v>49074.769999999902</v>
      </c>
      <c r="H32" s="73"/>
    </row>
    <row r="33" spans="1:8">
      <c r="A33" s="45">
        <v>8073.6344809960501</v>
      </c>
      <c r="B33" s="45">
        <v>10699.388979167899</v>
      </c>
      <c r="C33" s="45">
        <v>34775.67</v>
      </c>
      <c r="D33" s="45">
        <v>80580.571245146799</v>
      </c>
      <c r="E33" s="45">
        <v>50465.91</v>
      </c>
      <c r="F33" s="45">
        <v>48707.376769035203</v>
      </c>
      <c r="H33" s="73"/>
    </row>
    <row r="34" spans="1:8">
      <c r="A34" s="45">
        <v>7974.7358699628103</v>
      </c>
      <c r="B34" s="45">
        <v>10676.9331893903</v>
      </c>
      <c r="C34" s="45">
        <v>34297.988709460602</v>
      </c>
      <c r="D34" s="45">
        <v>76694.970000000103</v>
      </c>
      <c r="E34" s="45">
        <v>48022.29</v>
      </c>
      <c r="F34" s="45">
        <v>48529.499699583401</v>
      </c>
    </row>
    <row r="35" spans="1:8">
      <c r="A35" s="45">
        <v>7954.8482616214797</v>
      </c>
      <c r="B35" s="45">
        <v>10311.027915151401</v>
      </c>
      <c r="C35" s="45">
        <v>32803.702648051498</v>
      </c>
      <c r="D35" s="45">
        <v>75895.559999999896</v>
      </c>
      <c r="E35" s="45">
        <v>47704.647986905198</v>
      </c>
      <c r="F35" s="45">
        <v>48093.357025993799</v>
      </c>
    </row>
    <row r="36" spans="1:8">
      <c r="A36" s="45">
        <v>7709.3179893629604</v>
      </c>
      <c r="B36" s="45">
        <v>9775.0093926160298</v>
      </c>
      <c r="C36" s="45">
        <v>32762.859148812498</v>
      </c>
      <c r="D36" s="45">
        <v>73483.961669044904</v>
      </c>
      <c r="E36" s="45">
        <v>46823.699187745602</v>
      </c>
      <c r="F36" s="45">
        <v>48021.53</v>
      </c>
    </row>
    <row r="37" spans="1:8">
      <c r="A37" s="45">
        <v>7698.1455268252403</v>
      </c>
      <c r="B37" s="45">
        <v>9250.9828464210896</v>
      </c>
      <c r="C37" s="45">
        <v>32731.904866318899</v>
      </c>
      <c r="D37" s="45">
        <v>70215.634331537294</v>
      </c>
      <c r="E37" s="45">
        <v>46806.26</v>
      </c>
      <c r="F37" s="45">
        <v>47641.577470974698</v>
      </c>
    </row>
    <row r="38" spans="1:8">
      <c r="A38" s="45">
        <v>7613.5076894928798</v>
      </c>
      <c r="B38" s="45">
        <v>8854.4271370371007</v>
      </c>
      <c r="C38" s="45">
        <v>32588.280755488799</v>
      </c>
      <c r="D38" s="45">
        <v>68975.330000000104</v>
      </c>
      <c r="E38" s="45">
        <v>45149.877510291102</v>
      </c>
      <c r="F38" s="45">
        <v>46806.26</v>
      </c>
    </row>
    <row r="39" spans="1:8">
      <c r="A39" s="45">
        <v>7594.7438018160501</v>
      </c>
      <c r="B39" s="45">
        <v>8410.0214677503409</v>
      </c>
      <c r="C39" s="45">
        <v>32248.6053175983</v>
      </c>
      <c r="D39" s="45">
        <v>66416.7909840918</v>
      </c>
      <c r="E39" s="45">
        <v>44833.841792167601</v>
      </c>
      <c r="F39" s="45">
        <v>45791.6</v>
      </c>
    </row>
    <row r="40" spans="1:8">
      <c r="A40" s="45">
        <v>7556.1829691509201</v>
      </c>
      <c r="B40" s="45">
        <v>8362.9202051089305</v>
      </c>
      <c r="C40" s="45">
        <v>31655.962440838899</v>
      </c>
      <c r="D40" s="45">
        <v>65808.67</v>
      </c>
      <c r="E40" s="45">
        <v>43568.282635359399</v>
      </c>
      <c r="F40" s="45">
        <v>45031.057780143499</v>
      </c>
    </row>
    <row r="41" spans="1:8">
      <c r="A41" s="45">
        <v>7409.5887601863997</v>
      </c>
      <c r="B41" s="45">
        <v>8229.1110818934994</v>
      </c>
      <c r="C41" s="45">
        <v>29809.9543113072</v>
      </c>
      <c r="D41" s="45">
        <v>63646.499999999898</v>
      </c>
      <c r="E41" s="45">
        <v>43400.504222252297</v>
      </c>
      <c r="F41" s="45">
        <v>43402.514784327002</v>
      </c>
    </row>
    <row r="42" spans="1:8">
      <c r="A42" s="45">
        <v>7264.93305561744</v>
      </c>
      <c r="B42" s="45">
        <v>8209.5475198927506</v>
      </c>
      <c r="C42" s="45">
        <v>29699.3485057666</v>
      </c>
      <c r="D42" s="45">
        <v>61412.701120413003</v>
      </c>
      <c r="E42" s="45">
        <v>42743.133235700698</v>
      </c>
      <c r="F42" s="45">
        <v>43297.309999999903</v>
      </c>
    </row>
    <row r="43" spans="1:8">
      <c r="A43" s="45">
        <v>7227.3106435502204</v>
      </c>
      <c r="B43" s="45">
        <v>8200.0170140006194</v>
      </c>
      <c r="C43" s="45">
        <v>29696.479999999901</v>
      </c>
      <c r="D43" s="45">
        <v>58729.2227208806</v>
      </c>
      <c r="E43" s="45">
        <v>42194.083061763697</v>
      </c>
      <c r="F43" s="45">
        <v>42867.300971986602</v>
      </c>
    </row>
    <row r="44" spans="1:8">
      <c r="A44" s="45">
        <v>6996.7832246774196</v>
      </c>
      <c r="B44" s="45">
        <v>8011.4504294368098</v>
      </c>
      <c r="C44" s="45">
        <v>29571.48</v>
      </c>
      <c r="D44" s="45">
        <v>58391.660468555703</v>
      </c>
      <c r="E44" s="45">
        <v>41918.493268371298</v>
      </c>
      <c r="F44" s="45">
        <v>42710.2798597562</v>
      </c>
    </row>
    <row r="45" spans="1:8">
      <c r="A45" s="45">
        <v>6944.0215099136403</v>
      </c>
      <c r="B45" s="45">
        <v>7902.8534300947103</v>
      </c>
      <c r="C45" s="45">
        <v>29055.0150337103</v>
      </c>
      <c r="D45" s="45">
        <v>58287.592184830901</v>
      </c>
      <c r="E45" s="45">
        <v>41857.959999999897</v>
      </c>
      <c r="F45" s="45">
        <v>42446.5</v>
      </c>
    </row>
    <row r="46" spans="1:8">
      <c r="A46" s="45">
        <v>6925.7364913719102</v>
      </c>
      <c r="B46" s="45">
        <v>7884.5308594449598</v>
      </c>
      <c r="C46" s="45">
        <v>28924.22</v>
      </c>
      <c r="D46" s="45">
        <v>56961.34</v>
      </c>
      <c r="E46" s="45">
        <v>41582.627211210704</v>
      </c>
      <c r="F46" s="45">
        <v>41854.821466708301</v>
      </c>
    </row>
    <row r="47" spans="1:8">
      <c r="A47" s="45">
        <v>6702.0857316503898</v>
      </c>
      <c r="B47" s="45">
        <v>7880.6950679963302</v>
      </c>
      <c r="C47" s="45">
        <v>28772.609999999899</v>
      </c>
      <c r="D47" s="45">
        <v>55806.34</v>
      </c>
      <c r="E47" s="45">
        <v>41562.139999999898</v>
      </c>
      <c r="F47" s="45">
        <v>40963.852905169399</v>
      </c>
    </row>
    <row r="48" spans="1:8">
      <c r="A48" s="45">
        <v>6622.3105615939303</v>
      </c>
      <c r="B48" s="45">
        <v>7688.53627499698</v>
      </c>
      <c r="C48" s="45">
        <v>28136.09</v>
      </c>
      <c r="D48" s="45">
        <v>52416.32</v>
      </c>
      <c r="E48" s="45">
        <v>41497.969999999899</v>
      </c>
      <c r="F48" s="45">
        <v>40211.258852169398</v>
      </c>
    </row>
    <row r="49" spans="1:6">
      <c r="A49" s="45">
        <v>6554.8000862531198</v>
      </c>
      <c r="B49" s="45">
        <v>7645.3810571680397</v>
      </c>
      <c r="C49" s="45">
        <v>28013.87</v>
      </c>
      <c r="D49" s="45">
        <v>51087.053056819299</v>
      </c>
      <c r="E49" s="45">
        <v>41018.8408838572</v>
      </c>
      <c r="F49" s="45">
        <v>38950.15</v>
      </c>
    </row>
    <row r="50" spans="1:6">
      <c r="A50" s="45">
        <v>6537.5013600207403</v>
      </c>
      <c r="B50" s="45">
        <v>7640.4581162713803</v>
      </c>
      <c r="C50" s="45">
        <v>27962.608422759899</v>
      </c>
      <c r="D50" s="45">
        <v>50807.47</v>
      </c>
      <c r="E50" s="45">
        <v>40939.140809895202</v>
      </c>
      <c r="F50" s="45">
        <v>38722.054711061697</v>
      </c>
    </row>
    <row r="51" spans="1:6">
      <c r="A51" s="45">
        <v>6426.4620246443501</v>
      </c>
      <c r="B51" s="45">
        <v>7607.3359545510903</v>
      </c>
      <c r="C51" s="45">
        <v>26447.419939404401</v>
      </c>
      <c r="D51" s="45">
        <v>50382.299999999901</v>
      </c>
      <c r="E51" s="45">
        <v>40753.14</v>
      </c>
      <c r="F51" s="45">
        <v>38703.799999999901</v>
      </c>
    </row>
    <row r="52" spans="1:6">
      <c r="A52" s="45">
        <v>6317.1993846704299</v>
      </c>
      <c r="B52" s="45">
        <v>7606.2462410713497</v>
      </c>
      <c r="C52" s="45">
        <v>26446.577370968502</v>
      </c>
      <c r="D52" s="45">
        <v>49856.960000000101</v>
      </c>
      <c r="E52" s="45">
        <v>39393.259490420904</v>
      </c>
      <c r="F52" s="45">
        <v>37313.2599999999</v>
      </c>
    </row>
    <row r="53" spans="1:6">
      <c r="A53" s="45">
        <v>6245.7136494201304</v>
      </c>
      <c r="B53" s="45">
        <v>7465.5834610763704</v>
      </c>
      <c r="C53" s="45">
        <v>26144.74</v>
      </c>
      <c r="D53" s="45">
        <v>49667.476984913803</v>
      </c>
      <c r="E53" s="45">
        <v>38930.120120676103</v>
      </c>
      <c r="F53" s="45">
        <v>36815.54</v>
      </c>
    </row>
    <row r="54" spans="1:6">
      <c r="A54" s="45">
        <v>6220.8952524614397</v>
      </c>
      <c r="B54" s="45">
        <v>7362.5427184650398</v>
      </c>
      <c r="C54" s="45">
        <v>25674.0637316311</v>
      </c>
      <c r="D54" s="45">
        <v>49037.554080235997</v>
      </c>
      <c r="E54" s="45">
        <v>38628.634372887696</v>
      </c>
      <c r="F54" s="45">
        <v>36674.519999999997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9"/>
  <sheetViews>
    <sheetView zoomScaleNormal="100" workbookViewId="0">
      <selection activeCell="S1" sqref="S1"/>
    </sheetView>
  </sheetViews>
  <sheetFormatPr defaultRowHeight="15"/>
  <cols>
    <col min="1" max="1" width="24.7109375" customWidth="1"/>
    <col min="2" max="2" width="13.28515625" bestFit="1" customWidth="1"/>
    <col min="3" max="3" width="7.5703125" style="48" bestFit="1" customWidth="1"/>
    <col min="4" max="4" width="13.5703125" style="48" bestFit="1" customWidth="1"/>
    <col min="5" max="5" width="7.28515625" style="48" bestFit="1" customWidth="1"/>
    <col min="6" max="6" width="13.28515625" style="48" bestFit="1" customWidth="1"/>
    <col min="8" max="8" width="54" customWidth="1"/>
    <col min="11" max="11" width="13.28515625" bestFit="1" customWidth="1"/>
    <col min="12" max="12" width="24.5703125" customWidth="1"/>
    <col min="13" max="13" width="54" customWidth="1"/>
    <col min="16" max="16" width="13.28515625" bestFit="1" customWidth="1"/>
    <col min="18" max="23" width="13.28515625" customWidth="1"/>
    <col min="24" max="24" width="22.42578125" customWidth="1"/>
  </cols>
  <sheetData>
    <row r="1" spans="1:23" s="23" customFormat="1">
      <c r="C1" s="58"/>
      <c r="D1" s="58"/>
      <c r="E1" s="58"/>
      <c r="F1" s="58"/>
      <c r="H1" s="23" t="s">
        <v>202</v>
      </c>
      <c r="I1" s="30"/>
      <c r="M1" s="23" t="s">
        <v>203</v>
      </c>
      <c r="N1" s="30"/>
    </row>
    <row r="2" spans="1:23">
      <c r="K2" s="3"/>
      <c r="L2" s="3"/>
      <c r="P2" s="3"/>
      <c r="R2" s="3"/>
      <c r="S2" s="3"/>
      <c r="T2" s="3"/>
      <c r="U2" s="3"/>
      <c r="V2" s="3"/>
      <c r="W2" s="3"/>
    </row>
    <row r="3" spans="1:23">
      <c r="A3" t="s">
        <v>86</v>
      </c>
      <c r="B3" t="s">
        <v>75</v>
      </c>
      <c r="C3" s="48" t="s">
        <v>43</v>
      </c>
      <c r="D3" s="48" t="s">
        <v>44</v>
      </c>
      <c r="E3" s="48" t="s">
        <v>45</v>
      </c>
      <c r="F3" s="48" t="s">
        <v>46</v>
      </c>
      <c r="H3" s="4"/>
      <c r="I3" s="13"/>
      <c r="J3" s="12"/>
      <c r="K3" s="21" t="s">
        <v>92</v>
      </c>
      <c r="L3" s="44"/>
      <c r="M3" s="4"/>
      <c r="N3" s="13"/>
      <c r="O3" s="12"/>
      <c r="P3" s="21" t="s">
        <v>92</v>
      </c>
      <c r="R3" s="44"/>
      <c r="S3" s="44"/>
      <c r="T3" s="44"/>
      <c r="U3" s="44"/>
      <c r="V3" s="44"/>
      <c r="W3" s="44"/>
    </row>
    <row r="4" spans="1:23">
      <c r="A4" s="1" t="s">
        <v>87</v>
      </c>
      <c r="B4" s="1" t="s">
        <v>19</v>
      </c>
      <c r="C4" s="59">
        <v>10.120576405380801</v>
      </c>
      <c r="D4" s="59">
        <v>1.7547638112433099</v>
      </c>
      <c r="E4" s="59">
        <v>2.3899151522159201</v>
      </c>
      <c r="F4" s="59">
        <v>2.9096594489321599</v>
      </c>
      <c r="H4" s="62" t="s">
        <v>91</v>
      </c>
      <c r="I4" s="60" t="s">
        <v>19</v>
      </c>
      <c r="J4" s="60" t="s">
        <v>20</v>
      </c>
      <c r="K4" s="61" t="s">
        <v>17</v>
      </c>
      <c r="L4" s="63"/>
      <c r="M4" s="62" t="s">
        <v>91</v>
      </c>
      <c r="N4" s="60" t="s">
        <v>19</v>
      </c>
      <c r="O4" s="60" t="s">
        <v>20</v>
      </c>
      <c r="P4" s="61" t="s">
        <v>17</v>
      </c>
      <c r="R4" s="63"/>
      <c r="S4" s="63"/>
      <c r="T4" s="63"/>
      <c r="U4" s="63"/>
      <c r="V4" s="63"/>
      <c r="W4" s="63"/>
    </row>
    <row r="5" spans="1:23">
      <c r="A5" s="1" t="s">
        <v>88</v>
      </c>
      <c r="B5" s="1" t="s">
        <v>19</v>
      </c>
      <c r="C5" s="59">
        <v>9.0924956465711304</v>
      </c>
      <c r="D5" s="59">
        <v>1.98955212762454</v>
      </c>
      <c r="E5" s="59">
        <v>2.68638843497946</v>
      </c>
      <c r="F5" s="59">
        <v>3.40545761485523</v>
      </c>
      <c r="H5" s="27" t="s">
        <v>93</v>
      </c>
      <c r="I5" s="53">
        <f>C4/SUM($C4:$F4)</f>
        <v>0.58926501311716961</v>
      </c>
      <c r="J5" s="53">
        <f>C8/SUM($C8:$F8)</f>
        <v>0.39820715561832115</v>
      </c>
      <c r="K5" s="54">
        <f>C12/SUM(C$12:F$12)</f>
        <v>0.39295251553995214</v>
      </c>
      <c r="L5" s="49"/>
      <c r="M5" s="27" t="s">
        <v>93</v>
      </c>
      <c r="N5" s="53">
        <f>C18/SUM($C18:$F18)</f>
        <v>0.79188411515338009</v>
      </c>
      <c r="O5" s="53">
        <f>C22/SUM($C22:$F22)</f>
        <v>0.62638357601503503</v>
      </c>
      <c r="P5" s="54">
        <f>C26/SUM($C26:$F26)</f>
        <v>0.49321442400847954</v>
      </c>
      <c r="R5" s="49"/>
      <c r="S5" s="49"/>
      <c r="T5" s="49"/>
      <c r="U5" s="49"/>
      <c r="V5" s="49"/>
      <c r="W5" s="49"/>
    </row>
    <row r="6" spans="1:23">
      <c r="A6" s="1" t="s">
        <v>89</v>
      </c>
      <c r="B6" s="1" t="s">
        <v>19</v>
      </c>
      <c r="C6" s="59">
        <v>9.6185367898802294</v>
      </c>
      <c r="D6" s="59">
        <v>1.87433411760236</v>
      </c>
      <c r="E6" s="59">
        <v>2.5442595485370298</v>
      </c>
      <c r="F6" s="59">
        <v>3.13729666674555</v>
      </c>
      <c r="H6" s="28" t="s">
        <v>94</v>
      </c>
      <c r="I6" s="49">
        <f t="shared" ref="I6:I8" si="0">C5/SUM($C5:$F5)</f>
        <v>0.52943704786672019</v>
      </c>
      <c r="J6" s="49">
        <f t="shared" ref="J6:J8" si="1">C9/SUM($C9:$F9)</f>
        <v>0.35338865053132795</v>
      </c>
      <c r="K6" s="50">
        <f t="shared" ref="K6:K8" si="2">C13/SUM(C$12:F$12)</f>
        <v>0.37773428824815553</v>
      </c>
      <c r="L6" s="49"/>
      <c r="M6" s="28" t="s">
        <v>94</v>
      </c>
      <c r="N6" s="49">
        <f t="shared" ref="N6:N8" si="3">C19/SUM($C19:$F19)</f>
        <v>0.70967938535724695</v>
      </c>
      <c r="O6" s="49">
        <f t="shared" ref="O6:O8" si="4">C23/SUM($C23:$F23)</f>
        <v>0.45726251897828041</v>
      </c>
      <c r="P6" s="50">
        <f t="shared" ref="P6:P8" si="5">C27/SUM($C27:$F27)</f>
        <v>0.44169211469827935</v>
      </c>
      <c r="R6" s="49"/>
      <c r="S6" s="49"/>
      <c r="T6" s="49"/>
      <c r="U6" s="49"/>
      <c r="V6" s="49"/>
      <c r="W6" s="49"/>
    </row>
    <row r="7" spans="1:23">
      <c r="A7" s="1" t="s">
        <v>90</v>
      </c>
      <c r="B7" s="1" t="s">
        <v>19</v>
      </c>
      <c r="C7" s="59">
        <v>8.7801147269571906</v>
      </c>
      <c r="D7" s="59">
        <v>2.09463961525916</v>
      </c>
      <c r="E7" s="59">
        <v>2.6899674774932301</v>
      </c>
      <c r="F7" s="59">
        <v>3.6088787106835598</v>
      </c>
      <c r="H7" s="28" t="s">
        <v>95</v>
      </c>
      <c r="I7" s="49">
        <f t="shared" si="0"/>
        <v>0.56004993477369602</v>
      </c>
      <c r="J7" s="49">
        <f t="shared" si="1"/>
        <v>0.36864752378018184</v>
      </c>
      <c r="K7" s="50">
        <f t="shared" si="2"/>
        <v>0.386896231006993</v>
      </c>
      <c r="L7" s="49"/>
      <c r="M7" s="28" t="s">
        <v>95</v>
      </c>
      <c r="N7" s="49">
        <f t="shared" si="3"/>
        <v>0.75676135317270288</v>
      </c>
      <c r="O7" s="49">
        <f t="shared" si="4"/>
        <v>0.54877279627040632</v>
      </c>
      <c r="P7" s="50">
        <f t="shared" si="5"/>
        <v>0.46684075807156822</v>
      </c>
      <c r="R7" s="49"/>
      <c r="S7" s="49"/>
      <c r="T7" s="49"/>
      <c r="U7" s="49"/>
      <c r="V7" s="49"/>
      <c r="W7" s="49"/>
    </row>
    <row r="8" spans="1:23">
      <c r="A8" s="1" t="s">
        <v>87</v>
      </c>
      <c r="B8" s="1" t="s">
        <v>20</v>
      </c>
      <c r="C8" s="59">
        <v>5.7651269106122998</v>
      </c>
      <c r="D8" s="59">
        <v>1.9838620155565401</v>
      </c>
      <c r="E8" s="59">
        <v>3.1605439238758</v>
      </c>
      <c r="F8" s="59">
        <v>3.5681751199701801</v>
      </c>
      <c r="H8" s="29" t="s">
        <v>96</v>
      </c>
      <c r="I8" s="51">
        <f t="shared" si="0"/>
        <v>0.51125648994912276</v>
      </c>
      <c r="J8" s="51">
        <f t="shared" si="1"/>
        <v>0.34602350722360969</v>
      </c>
      <c r="K8" s="52">
        <f t="shared" si="2"/>
        <v>0.36893075063609992</v>
      </c>
      <c r="L8" s="49"/>
      <c r="M8" s="29" t="s">
        <v>96</v>
      </c>
      <c r="N8" s="51">
        <f t="shared" si="3"/>
        <v>0.62284517298016695</v>
      </c>
      <c r="O8" s="51">
        <f t="shared" si="4"/>
        <v>0.35908952322669691</v>
      </c>
      <c r="P8" s="52">
        <f t="shared" si="5"/>
        <v>0.38481511975323202</v>
      </c>
      <c r="R8" s="49"/>
      <c r="S8" s="49"/>
      <c r="T8" s="49"/>
      <c r="U8" s="49"/>
      <c r="V8" s="49"/>
      <c r="W8" s="49"/>
    </row>
    <row r="9" spans="1:23">
      <c r="A9" s="1" t="s">
        <v>88</v>
      </c>
      <c r="B9" s="1" t="s">
        <v>20</v>
      </c>
      <c r="C9" s="59">
        <v>5.1794314665356502</v>
      </c>
      <c r="D9" s="59">
        <v>2.5506684064570599</v>
      </c>
      <c r="E9" s="59">
        <v>2.9632171964864602</v>
      </c>
      <c r="F9" s="59">
        <v>3.96315664224942</v>
      </c>
      <c r="L9" s="8"/>
      <c r="R9" s="8"/>
      <c r="S9" s="8"/>
      <c r="T9" s="8"/>
      <c r="U9" s="8"/>
      <c r="V9" s="8"/>
      <c r="W9" s="8"/>
    </row>
    <row r="10" spans="1:23">
      <c r="A10" s="1" t="s">
        <v>89</v>
      </c>
      <c r="B10" s="1" t="s">
        <v>20</v>
      </c>
      <c r="C10" s="59">
        <v>5.3310798667469399</v>
      </c>
      <c r="D10" s="59">
        <v>2.2789407387797</v>
      </c>
      <c r="E10" s="59">
        <v>3.0680516758826202</v>
      </c>
      <c r="F10" s="59">
        <v>3.78311224542828</v>
      </c>
      <c r="H10" t="s">
        <v>37</v>
      </c>
      <c r="M10" s="102" t="s">
        <v>201</v>
      </c>
    </row>
    <row r="11" spans="1:23">
      <c r="A11" s="1" t="s">
        <v>90</v>
      </c>
      <c r="B11" s="1" t="s">
        <v>20</v>
      </c>
      <c r="C11" s="59">
        <v>5.0383357064594803</v>
      </c>
      <c r="D11" s="59">
        <v>2.5775514496001999</v>
      </c>
      <c r="E11" s="59">
        <v>2.87131225783564</v>
      </c>
      <c r="F11" s="59">
        <v>4.0734752260607801</v>
      </c>
    </row>
    <row r="12" spans="1:23">
      <c r="A12" s="1" t="s">
        <v>87</v>
      </c>
      <c r="B12" s="1" t="s">
        <v>17</v>
      </c>
      <c r="C12" s="59">
        <v>1.7026181129176901</v>
      </c>
      <c r="D12" s="59">
        <v>1.90179636220953</v>
      </c>
      <c r="E12" s="59">
        <v>0.40574745389505401</v>
      </c>
      <c r="F12" s="59">
        <v>0.32272320489305301</v>
      </c>
    </row>
    <row r="13" spans="1:23">
      <c r="A13" s="1" t="s">
        <v>88</v>
      </c>
      <c r="B13" s="1" t="s">
        <v>17</v>
      </c>
      <c r="C13" s="59">
        <v>1.6366792821205201</v>
      </c>
      <c r="D13" s="59">
        <v>1.9515505326854701</v>
      </c>
      <c r="E13" s="59">
        <v>0.392661069008577</v>
      </c>
      <c r="F13" s="59">
        <v>0.35194136292672801</v>
      </c>
    </row>
    <row r="14" spans="1:23">
      <c r="A14" s="1" t="s">
        <v>89</v>
      </c>
      <c r="B14" s="1" t="s">
        <v>17</v>
      </c>
      <c r="C14" s="59">
        <v>1.67637692769807</v>
      </c>
      <c r="D14" s="59">
        <v>1.92352147783478</v>
      </c>
      <c r="E14" s="59">
        <v>0.40042629555409598</v>
      </c>
      <c r="F14" s="59">
        <v>0.33255028377168599</v>
      </c>
    </row>
    <row r="15" spans="1:23">
      <c r="A15" s="1" t="s">
        <v>90</v>
      </c>
      <c r="B15" s="1" t="s">
        <v>17</v>
      </c>
      <c r="C15" s="59">
        <v>1.5985345648753799</v>
      </c>
      <c r="D15" s="59">
        <v>1.9809080198343001</v>
      </c>
      <c r="E15" s="59">
        <v>0.38444978830625098</v>
      </c>
      <c r="F15" s="59">
        <v>0.36894443122628001</v>
      </c>
    </row>
    <row r="17" spans="1:18">
      <c r="A17" t="s">
        <v>86</v>
      </c>
      <c r="B17" t="s">
        <v>75</v>
      </c>
      <c r="C17" s="48" t="s">
        <v>43</v>
      </c>
      <c r="D17" s="48" t="s">
        <v>44</v>
      </c>
      <c r="E17" s="48" t="s">
        <v>45</v>
      </c>
      <c r="F17" s="48" t="s">
        <v>46</v>
      </c>
    </row>
    <row r="18" spans="1:18">
      <c r="A18" s="1" t="s">
        <v>87</v>
      </c>
      <c r="B18" s="1" t="s">
        <v>19</v>
      </c>
      <c r="C18" s="59">
        <v>13.6045029599917</v>
      </c>
      <c r="D18" s="59">
        <v>0.66006987598600197</v>
      </c>
      <c r="E18" s="59">
        <v>0.86593338758739702</v>
      </c>
      <c r="F18" s="59">
        <v>2.0494102562049799</v>
      </c>
    </row>
    <row r="19" spans="1:18">
      <c r="A19" s="1" t="s">
        <v>88</v>
      </c>
      <c r="B19" s="1" t="s">
        <v>19</v>
      </c>
      <c r="C19" s="59">
        <v>12.191168349450599</v>
      </c>
      <c r="D19" s="59">
        <v>0.985816906494837</v>
      </c>
      <c r="E19" s="59">
        <v>1.28391461721995</v>
      </c>
      <c r="F19" s="59">
        <v>2.71751703028414</v>
      </c>
    </row>
    <row r="20" spans="1:18">
      <c r="A20" s="1" t="s">
        <v>89</v>
      </c>
      <c r="B20" s="1" t="s">
        <v>19</v>
      </c>
      <c r="C20" s="59">
        <v>13.0005246374145</v>
      </c>
      <c r="D20" s="59">
        <v>0.78217398638600799</v>
      </c>
      <c r="E20" s="59">
        <v>1.0240998662188701</v>
      </c>
      <c r="F20" s="59">
        <v>2.37236186602963</v>
      </c>
    </row>
    <row r="21" spans="1:18">
      <c r="A21" s="1" t="s">
        <v>90</v>
      </c>
      <c r="B21" s="1" t="s">
        <v>19</v>
      </c>
      <c r="C21" s="59">
        <v>10.698639337941</v>
      </c>
      <c r="D21" s="59">
        <v>1.4744550837986801</v>
      </c>
      <c r="E21" s="59">
        <v>1.64095163043058</v>
      </c>
      <c r="F21" s="59">
        <v>3.3629985843812902</v>
      </c>
    </row>
    <row r="22" spans="1:18">
      <c r="A22" s="1" t="s">
        <v>87</v>
      </c>
      <c r="B22" s="1" t="s">
        <v>20</v>
      </c>
      <c r="C22" s="59">
        <v>14.3588886688743</v>
      </c>
      <c r="D22" s="59">
        <v>1.3511376526460599</v>
      </c>
      <c r="E22" s="59">
        <v>2.0242180930175602</v>
      </c>
      <c r="F22" s="59">
        <v>5.1892312618576</v>
      </c>
    </row>
    <row r="23" spans="1:18">
      <c r="A23" s="1" t="s">
        <v>88</v>
      </c>
      <c r="B23" s="1" t="s">
        <v>20</v>
      </c>
      <c r="C23" s="59">
        <v>10.480788062510999</v>
      </c>
      <c r="D23" s="59">
        <v>3.0577741984883802</v>
      </c>
      <c r="E23" s="59">
        <v>2.86465095485344</v>
      </c>
      <c r="F23" s="59">
        <v>6.5175109360622603</v>
      </c>
    </row>
    <row r="24" spans="1:18">
      <c r="A24" s="1" t="s">
        <v>89</v>
      </c>
      <c r="B24" s="1" t="s">
        <v>20</v>
      </c>
      <c r="C24" s="59">
        <v>12.579122906688699</v>
      </c>
      <c r="D24" s="59">
        <v>2.20258351888058</v>
      </c>
      <c r="E24" s="59">
        <v>2.2965492354322299</v>
      </c>
      <c r="F24" s="59">
        <v>5.8440229070679797</v>
      </c>
    </row>
    <row r="25" spans="1:18">
      <c r="A25" s="1" t="s">
        <v>90</v>
      </c>
      <c r="B25" s="1" t="s">
        <v>20</v>
      </c>
      <c r="C25" s="59">
        <v>8.23016575134797</v>
      </c>
      <c r="D25" s="59">
        <v>4.1836427315740297</v>
      </c>
      <c r="E25" s="59">
        <v>3.1002173717812598</v>
      </c>
      <c r="F25" s="59">
        <v>7.4055115280462296</v>
      </c>
    </row>
    <row r="26" spans="1:18">
      <c r="A26" s="1" t="s">
        <v>87</v>
      </c>
      <c r="B26" s="1" t="s">
        <v>17</v>
      </c>
      <c r="C26" s="59">
        <v>2.1603184349134001</v>
      </c>
      <c r="D26" s="59">
        <v>1.5592448565674999</v>
      </c>
      <c r="E26" s="59">
        <v>0.41875908725449401</v>
      </c>
      <c r="F26" s="59">
        <v>0.24175721698271299</v>
      </c>
    </row>
    <row r="27" spans="1:18">
      <c r="A27" s="1" t="s">
        <v>88</v>
      </c>
      <c r="B27" s="1" t="s">
        <v>17</v>
      </c>
      <c r="C27" s="59">
        <v>1.93462603484825</v>
      </c>
      <c r="D27" s="59">
        <v>1.73040013328062</v>
      </c>
      <c r="E27" s="59">
        <v>0.44398335662593802</v>
      </c>
      <c r="F27" s="59">
        <v>0.27102346761544599</v>
      </c>
    </row>
    <row r="28" spans="1:18">
      <c r="A28" s="1" t="s">
        <v>89</v>
      </c>
      <c r="B28" s="1" t="s">
        <v>17</v>
      </c>
      <c r="C28" s="59">
        <v>2.0447911738548399</v>
      </c>
      <c r="D28" s="59">
        <v>1.65961972256924</v>
      </c>
      <c r="E28" s="59">
        <v>0.41610908424013199</v>
      </c>
      <c r="F28" s="59">
        <v>0.25954139679882199</v>
      </c>
      <c r="R28" s="73"/>
    </row>
    <row r="29" spans="1:18">
      <c r="A29" s="1" t="s">
        <v>90</v>
      </c>
      <c r="B29" s="1" t="s">
        <v>17</v>
      </c>
      <c r="C29" s="59">
        <v>1.6854878752584499</v>
      </c>
      <c r="D29" s="59">
        <v>2.0082081305420401</v>
      </c>
      <c r="E29" s="59">
        <v>0.34519010983918602</v>
      </c>
      <c r="F29" s="59">
        <v>0.34110777945283499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3"/>
  <sheetViews>
    <sheetView workbookViewId="0">
      <selection activeCell="A2" sqref="A2"/>
    </sheetView>
  </sheetViews>
  <sheetFormatPr defaultRowHeight="15"/>
  <cols>
    <col min="2" max="2" width="15.85546875" bestFit="1" customWidth="1"/>
    <col min="3" max="3" width="11.7109375" style="3" bestFit="1" customWidth="1"/>
    <col min="4" max="4" width="9.42578125" style="3" bestFit="1" customWidth="1"/>
    <col min="5" max="5" width="3" style="3" bestFit="1" customWidth="1"/>
    <col min="6" max="6" width="9.28515625" style="3" bestFit="1" customWidth="1"/>
    <col min="7" max="7" width="8.28515625" style="3" bestFit="1" customWidth="1"/>
    <col min="8" max="9" width="8" style="3" bestFit="1" customWidth="1"/>
    <col min="10" max="10" width="15.28515625" style="3" bestFit="1" customWidth="1"/>
    <col min="11" max="11" width="14.7109375" style="3" bestFit="1" customWidth="1"/>
    <col min="12" max="12" width="15.5703125" style="3" bestFit="1" customWidth="1"/>
    <col min="13" max="13" width="26.85546875" style="3" bestFit="1" customWidth="1"/>
    <col min="14" max="14" width="23.42578125" style="3" bestFit="1" customWidth="1"/>
    <col min="18" max="18" width="20.28515625" customWidth="1"/>
    <col min="31" max="31" width="17.5703125" customWidth="1"/>
  </cols>
  <sheetData>
    <row r="1" spans="1:57" s="23" customFormat="1">
      <c r="A1" s="22" t="s">
        <v>219</v>
      </c>
      <c r="C1" s="58"/>
      <c r="D1" s="58"/>
      <c r="E1" s="58"/>
      <c r="F1" s="58"/>
      <c r="G1" s="30"/>
      <c r="H1" s="30"/>
      <c r="I1" s="30"/>
      <c r="J1" s="30"/>
      <c r="K1" s="30"/>
      <c r="L1" s="30"/>
      <c r="M1" s="30"/>
      <c r="N1" s="30"/>
      <c r="S1" s="23" t="s">
        <v>204</v>
      </c>
      <c r="U1" s="30"/>
      <c r="AF1" s="23" t="s">
        <v>205</v>
      </c>
      <c r="AH1" s="30"/>
      <c r="BC1" s="30"/>
    </row>
    <row r="2" spans="1:57">
      <c r="O2" s="3"/>
      <c r="P2" s="3"/>
      <c r="Q2" s="3"/>
      <c r="R2" s="3"/>
      <c r="W2" s="3"/>
      <c r="Y2" s="3"/>
      <c r="Z2" s="3"/>
      <c r="AA2" s="3"/>
      <c r="AB2" s="3"/>
      <c r="AC2" s="3"/>
      <c r="AD2" s="3"/>
      <c r="AE2" s="3"/>
      <c r="AJ2" s="3"/>
      <c r="AL2" s="3"/>
      <c r="AM2" s="3"/>
      <c r="AN2" s="3"/>
      <c r="AO2" s="3"/>
      <c r="AP2" s="3"/>
      <c r="AQ2" s="3"/>
      <c r="BE2" s="3"/>
    </row>
    <row r="3" spans="1:57">
      <c r="A3" s="1"/>
      <c r="B3" s="1"/>
      <c r="C3" s="57" t="s">
        <v>97</v>
      </c>
      <c r="D3" s="57" t="s">
        <v>98</v>
      </c>
      <c r="E3" s="57" t="s">
        <v>99</v>
      </c>
      <c r="F3" s="57" t="s">
        <v>83</v>
      </c>
      <c r="G3" s="57" t="s">
        <v>100</v>
      </c>
      <c r="H3" s="57" t="s">
        <v>101</v>
      </c>
      <c r="I3" s="57" t="s">
        <v>102</v>
      </c>
      <c r="J3" s="57" t="s">
        <v>103</v>
      </c>
      <c r="K3" s="57" t="s">
        <v>104</v>
      </c>
      <c r="L3" s="57" t="s">
        <v>105</v>
      </c>
      <c r="M3" s="57" t="s">
        <v>106</v>
      </c>
      <c r="N3" s="57" t="s">
        <v>107</v>
      </c>
    </row>
    <row r="4" spans="1:57">
      <c r="A4" s="1"/>
      <c r="B4" s="1" t="s">
        <v>108</v>
      </c>
      <c r="C4" s="64">
        <v>41099</v>
      </c>
      <c r="D4" s="65">
        <v>0.41666666666666669</v>
      </c>
      <c r="E4" s="57">
        <v>21</v>
      </c>
      <c r="F4" s="57" t="s">
        <v>84</v>
      </c>
      <c r="G4" s="57">
        <v>22.488</v>
      </c>
      <c r="H4" s="57">
        <v>217.41</v>
      </c>
      <c r="I4" s="57">
        <v>2444.5500000000002</v>
      </c>
      <c r="J4" s="57">
        <v>31287.4</v>
      </c>
      <c r="K4" s="57">
        <v>0</v>
      </c>
      <c r="L4" s="57">
        <f>G4+K4</f>
        <v>22.488</v>
      </c>
      <c r="M4" s="57">
        <f>-K4</f>
        <v>0</v>
      </c>
      <c r="N4" s="57"/>
      <c r="O4" t="s">
        <v>117</v>
      </c>
    </row>
    <row r="5" spans="1:57">
      <c r="A5" s="1" t="s">
        <v>109</v>
      </c>
      <c r="B5" s="1" t="s">
        <v>110</v>
      </c>
      <c r="C5" s="64">
        <v>41099</v>
      </c>
      <c r="D5" s="65">
        <v>0.41666666666666669</v>
      </c>
      <c r="E5" s="57">
        <v>21</v>
      </c>
      <c r="F5" s="57" t="s">
        <v>84</v>
      </c>
      <c r="G5" s="57">
        <v>22.488</v>
      </c>
      <c r="H5" s="57">
        <v>592.28</v>
      </c>
      <c r="I5" s="57">
        <v>6659.59</v>
      </c>
      <c r="J5" s="57">
        <v>27072.400000000001</v>
      </c>
      <c r="K5" s="57">
        <v>0</v>
      </c>
      <c r="L5" s="57">
        <f>G5+K5</f>
        <v>22.488</v>
      </c>
      <c r="M5" s="57">
        <f>-K5</f>
        <v>0</v>
      </c>
      <c r="N5" s="57">
        <f>$J$4-J5</f>
        <v>4215</v>
      </c>
      <c r="O5" t="s">
        <v>118</v>
      </c>
    </row>
    <row r="6" spans="1:57">
      <c r="A6" s="1" t="s">
        <v>111</v>
      </c>
      <c r="B6" s="1" t="s">
        <v>112</v>
      </c>
      <c r="C6" s="64">
        <v>41099</v>
      </c>
      <c r="D6" s="65">
        <v>0.41666666666666669</v>
      </c>
      <c r="E6" s="57">
        <v>21</v>
      </c>
      <c r="F6" s="57" t="s">
        <v>84</v>
      </c>
      <c r="G6" s="57">
        <v>22.488</v>
      </c>
      <c r="H6" s="57">
        <v>234.548</v>
      </c>
      <c r="I6" s="57">
        <v>2637.26</v>
      </c>
      <c r="J6" s="57">
        <v>31483.200000000001</v>
      </c>
      <c r="K6" s="57">
        <v>-22.488</v>
      </c>
      <c r="L6" s="57">
        <f>G6+K6</f>
        <v>0</v>
      </c>
      <c r="M6" s="57">
        <f>-K6</f>
        <v>22.488</v>
      </c>
      <c r="N6" s="57">
        <f>$J$4-J6</f>
        <v>-195.79999999999927</v>
      </c>
      <c r="O6" t="s">
        <v>119</v>
      </c>
    </row>
    <row r="7" spans="1:57">
      <c r="A7" s="1" t="s">
        <v>113</v>
      </c>
      <c r="B7" s="1" t="s">
        <v>114</v>
      </c>
      <c r="C7" s="64">
        <v>41099</v>
      </c>
      <c r="D7" s="65">
        <v>0.41666666666666669</v>
      </c>
      <c r="E7" s="57">
        <v>21</v>
      </c>
      <c r="F7" s="57" t="s">
        <v>84</v>
      </c>
      <c r="G7" s="57">
        <v>22.488</v>
      </c>
      <c r="H7" s="57">
        <v>444.21</v>
      </c>
      <c r="I7" s="57">
        <v>4994.7</v>
      </c>
      <c r="J7" s="57">
        <v>29641</v>
      </c>
      <c r="K7" s="57">
        <v>-7.4009400000000003</v>
      </c>
      <c r="L7" s="57">
        <f>G7+K7</f>
        <v>15.087059999999999</v>
      </c>
      <c r="M7" s="57">
        <f>-K7</f>
        <v>7.4009400000000003</v>
      </c>
      <c r="N7" s="57">
        <f>$J$4-J7</f>
        <v>1646.4000000000015</v>
      </c>
      <c r="O7" t="s">
        <v>121</v>
      </c>
    </row>
    <row r="8" spans="1:57">
      <c r="A8" s="1" t="s">
        <v>115</v>
      </c>
      <c r="B8" s="1" t="s">
        <v>116</v>
      </c>
      <c r="C8" s="64">
        <v>41099</v>
      </c>
      <c r="D8" s="65">
        <v>0.41666666666666669</v>
      </c>
      <c r="E8" s="57">
        <v>21</v>
      </c>
      <c r="F8" s="57" t="s">
        <v>84</v>
      </c>
      <c r="G8" s="57">
        <v>22.488</v>
      </c>
      <c r="H8" s="57">
        <v>194.95500000000001</v>
      </c>
      <c r="I8" s="57">
        <v>2192.0700000000002</v>
      </c>
      <c r="J8" s="57">
        <v>31539.9</v>
      </c>
      <c r="K8" s="57">
        <v>0</v>
      </c>
      <c r="L8" s="57">
        <f>G8+K8</f>
        <v>22.488</v>
      </c>
      <c r="M8" s="57">
        <f>-K8</f>
        <v>0</v>
      </c>
      <c r="N8" s="57">
        <f>$J$4-J8</f>
        <v>-252.5</v>
      </c>
      <c r="O8" t="s">
        <v>120</v>
      </c>
    </row>
    <row r="28" spans="19:32">
      <c r="S28" s="73"/>
      <c r="AF28" s="73"/>
    </row>
    <row r="29" spans="19:32">
      <c r="S29" s="73"/>
      <c r="AF29" s="73"/>
    </row>
    <row r="30" spans="19:32">
      <c r="AF30" s="73"/>
    </row>
    <row r="31" spans="19:32">
      <c r="AF31" s="73"/>
    </row>
    <row r="32" spans="19:32">
      <c r="AF32" s="73"/>
    </row>
    <row r="33" spans="32:32">
      <c r="AF33" s="7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"/>
  <sheetViews>
    <sheetView workbookViewId="0">
      <selection activeCell="W24" sqref="W24"/>
    </sheetView>
  </sheetViews>
  <sheetFormatPr defaultRowHeight="15"/>
  <cols>
    <col min="1" max="1" width="34.5703125" customWidth="1"/>
    <col min="7" max="7" width="24.28515625" customWidth="1"/>
    <col min="8" max="8" width="16.28515625" bestFit="1" customWidth="1"/>
    <col min="9" max="9" width="22.42578125" bestFit="1" customWidth="1"/>
    <col min="10" max="10" width="16.28515625" bestFit="1" customWidth="1"/>
    <col min="11" max="11" width="22.7109375" customWidth="1"/>
    <col min="12" max="12" width="15.140625" customWidth="1"/>
    <col min="13" max="13" width="24.28515625" customWidth="1"/>
    <col min="14" max="14" width="16.28515625" bestFit="1" customWidth="1"/>
    <col min="15" max="15" width="22.42578125" bestFit="1" customWidth="1"/>
    <col min="16" max="16" width="16.28515625" bestFit="1" customWidth="1"/>
    <col min="17" max="17" width="22.7109375" customWidth="1"/>
  </cols>
  <sheetData>
    <row r="1" spans="1:18" s="23" customFormat="1">
      <c r="A1" s="79"/>
      <c r="C1" s="58"/>
      <c r="D1" s="58"/>
      <c r="E1" s="58"/>
      <c r="F1" s="58"/>
      <c r="G1" s="23" t="s">
        <v>206</v>
      </c>
      <c r="H1" s="30"/>
      <c r="M1" s="23" t="s">
        <v>207</v>
      </c>
      <c r="N1" s="30"/>
    </row>
    <row r="2" spans="1:18">
      <c r="A2" s="79"/>
      <c r="C2" s="48"/>
      <c r="D2" s="48"/>
      <c r="E2" s="48"/>
      <c r="F2" s="48"/>
      <c r="K2" s="3"/>
      <c r="L2" s="3"/>
      <c r="Q2" s="3"/>
      <c r="R2" s="3"/>
    </row>
    <row r="3" spans="1:18">
      <c r="A3" s="56" t="s">
        <v>85</v>
      </c>
      <c r="G3" s="4"/>
      <c r="H3" s="13"/>
      <c r="I3" s="12"/>
      <c r="J3" s="12"/>
      <c r="K3" s="21" t="s">
        <v>152</v>
      </c>
      <c r="M3" s="4"/>
      <c r="N3" s="13"/>
      <c r="O3" s="12"/>
      <c r="P3" s="12"/>
      <c r="Q3" s="21" t="s">
        <v>152</v>
      </c>
    </row>
    <row r="4" spans="1:18">
      <c r="A4" t="s">
        <v>149</v>
      </c>
      <c r="B4" s="3" t="s">
        <v>76</v>
      </c>
      <c r="C4" s="3" t="s">
        <v>137</v>
      </c>
      <c r="D4" s="3" t="s">
        <v>78</v>
      </c>
      <c r="E4" s="3" t="s">
        <v>138</v>
      </c>
      <c r="G4" s="62" t="s">
        <v>148</v>
      </c>
      <c r="H4" s="85" t="s">
        <v>47</v>
      </c>
      <c r="I4" s="60" t="s">
        <v>48</v>
      </c>
      <c r="J4" s="60" t="s">
        <v>49</v>
      </c>
      <c r="K4" s="61" t="s">
        <v>50</v>
      </c>
      <c r="M4" s="62" t="s">
        <v>148</v>
      </c>
      <c r="N4" s="85" t="s">
        <v>47</v>
      </c>
      <c r="O4" s="60" t="s">
        <v>48</v>
      </c>
      <c r="P4" s="60" t="s">
        <v>49</v>
      </c>
      <c r="Q4" s="61" t="s">
        <v>50</v>
      </c>
    </row>
    <row r="5" spans="1:18">
      <c r="A5" s="46">
        <v>1000</v>
      </c>
      <c r="B5" s="59">
        <v>9.5865602683332298</v>
      </c>
      <c r="C5" s="59">
        <v>1.8681816368752899</v>
      </c>
      <c r="D5" s="59">
        <v>2.4987774471429902</v>
      </c>
      <c r="E5" s="59">
        <v>3.23278201751131</v>
      </c>
      <c r="G5" s="81" t="s">
        <v>150</v>
      </c>
      <c r="H5" s="86">
        <f>B6</f>
        <v>10.120576405381099</v>
      </c>
      <c r="I5" s="83">
        <f>C6</f>
        <v>1.7547638112433099</v>
      </c>
      <c r="J5" s="83">
        <f>D6</f>
        <v>2.3899151522159801</v>
      </c>
      <c r="K5" s="87">
        <f>E6</f>
        <v>2.9096594489321701</v>
      </c>
      <c r="M5" s="81" t="s">
        <v>150</v>
      </c>
      <c r="N5" s="86">
        <f>B11</f>
        <v>13.6045029599921</v>
      </c>
      <c r="O5" s="83">
        <f>C11</f>
        <v>0.66006987598601397</v>
      </c>
      <c r="P5" s="83">
        <f>D11</f>
        <v>0.86593338758742899</v>
      </c>
      <c r="Q5" s="87">
        <f>E11</f>
        <v>2.0494102562050101</v>
      </c>
    </row>
    <row r="6" spans="1:18">
      <c r="A6" s="80">
        <v>3000</v>
      </c>
      <c r="B6" s="59">
        <v>10.120576405381099</v>
      </c>
      <c r="C6" s="59">
        <v>1.7547638112433099</v>
      </c>
      <c r="D6" s="59">
        <v>2.3899151522159801</v>
      </c>
      <c r="E6" s="59">
        <v>2.9096594489321701</v>
      </c>
      <c r="G6" s="82" t="s">
        <v>151</v>
      </c>
      <c r="H6" s="88">
        <f>B5</f>
        <v>9.5865602683332298</v>
      </c>
      <c r="I6" s="84">
        <f>C5</f>
        <v>1.8681816368752899</v>
      </c>
      <c r="J6" s="84">
        <f>D5</f>
        <v>2.4987774471429902</v>
      </c>
      <c r="K6" s="89">
        <f>E5</f>
        <v>3.23278201751131</v>
      </c>
      <c r="M6" s="82" t="s">
        <v>151</v>
      </c>
      <c r="N6" s="88">
        <f>B10</f>
        <v>11.768144572176601</v>
      </c>
      <c r="O6" s="84">
        <f>C10</f>
        <v>1.1912507587289101</v>
      </c>
      <c r="P6" s="84">
        <f>D10</f>
        <v>1.3860313236952699</v>
      </c>
      <c r="Q6" s="89">
        <f>E10</f>
        <v>2.8408747152622098</v>
      </c>
    </row>
    <row r="8" spans="1:18">
      <c r="A8" s="56" t="s">
        <v>40</v>
      </c>
      <c r="G8" s="102" t="s">
        <v>37</v>
      </c>
      <c r="H8" s="102"/>
      <c r="I8" s="102"/>
      <c r="J8" s="102"/>
      <c r="K8" s="102"/>
      <c r="L8" s="102"/>
      <c r="M8" s="102" t="s">
        <v>201</v>
      </c>
    </row>
    <row r="9" spans="1:18">
      <c r="A9" t="s">
        <v>149</v>
      </c>
      <c r="B9" s="3" t="s">
        <v>76</v>
      </c>
      <c r="C9" s="3" t="s">
        <v>137</v>
      </c>
      <c r="D9" s="3" t="s">
        <v>78</v>
      </c>
      <c r="E9" s="3" t="s">
        <v>138</v>
      </c>
    </row>
    <row r="10" spans="1:18">
      <c r="A10" s="46">
        <v>1000</v>
      </c>
      <c r="B10" s="59">
        <v>11.768144572176601</v>
      </c>
      <c r="C10" s="59">
        <v>1.1912507587289101</v>
      </c>
      <c r="D10" s="59">
        <v>1.3860313236952699</v>
      </c>
      <c r="E10" s="59">
        <v>2.8408747152622098</v>
      </c>
    </row>
    <row r="11" spans="1:18">
      <c r="A11" s="80">
        <v>3000</v>
      </c>
      <c r="B11" s="59">
        <v>13.6045029599921</v>
      </c>
      <c r="C11" s="59">
        <v>0.66006987598601397</v>
      </c>
      <c r="D11" s="59">
        <v>0.86593338758742899</v>
      </c>
      <c r="E11" s="59">
        <v>2.0494102562050101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7"/>
  <sheetViews>
    <sheetView workbookViewId="0">
      <selection activeCell="B4" sqref="B4"/>
    </sheetView>
  </sheetViews>
  <sheetFormatPr defaultRowHeight="15"/>
  <cols>
    <col min="1" max="1" width="9.7109375" bestFit="1" customWidth="1"/>
    <col min="2" max="2" width="12.85546875" style="46" customWidth="1"/>
    <col min="3" max="3" width="13.7109375" style="46" bestFit="1" customWidth="1"/>
    <col min="4" max="4" width="9" customWidth="1"/>
    <col min="5" max="5" width="9.140625" customWidth="1"/>
    <col min="6" max="6" width="9.7109375" customWidth="1"/>
    <col min="7" max="7" width="20.140625" bestFit="1" customWidth="1"/>
    <col min="8" max="8" width="6.140625" bestFit="1" customWidth="1"/>
    <col min="9" max="9" width="9.7109375" customWidth="1"/>
    <col min="10" max="10" width="6.7109375" bestFit="1" customWidth="1"/>
    <col min="11" max="11" width="8" customWidth="1"/>
    <col min="12" max="12" width="6.28515625" bestFit="1" customWidth="1"/>
    <col min="13" max="14" width="8.5703125" customWidth="1"/>
    <col min="15" max="15" width="9.85546875" bestFit="1" customWidth="1"/>
    <col min="16" max="16" width="10.42578125" bestFit="1" customWidth="1"/>
    <col min="17" max="18" width="8.5703125" customWidth="1"/>
  </cols>
  <sheetData>
    <row r="1" spans="1:32" s="23" customFormat="1">
      <c r="B1" s="31"/>
      <c r="C1" s="22"/>
      <c r="F1" s="30"/>
      <c r="G1" s="30"/>
      <c r="O1" s="31"/>
      <c r="P1" s="31"/>
      <c r="T1" s="23" t="s">
        <v>208</v>
      </c>
      <c r="W1" s="30"/>
      <c r="AF1" s="23" t="s">
        <v>209</v>
      </c>
    </row>
    <row r="3" spans="1:32">
      <c r="D3" t="s">
        <v>133</v>
      </c>
      <c r="F3" t="s">
        <v>134</v>
      </c>
      <c r="I3" t="s">
        <v>135</v>
      </c>
      <c r="M3" t="s">
        <v>136</v>
      </c>
      <c r="Q3" t="s">
        <v>153</v>
      </c>
    </row>
    <row r="4" spans="1:32" s="55" customFormat="1">
      <c r="A4" s="77" t="s">
        <v>145</v>
      </c>
      <c r="B4" s="75" t="s">
        <v>131</v>
      </c>
      <c r="C4" s="75" t="s">
        <v>132</v>
      </c>
      <c r="D4" s="74" t="s">
        <v>141</v>
      </c>
      <c r="E4" s="74" t="s">
        <v>66</v>
      </c>
      <c r="F4" s="74" t="s">
        <v>141</v>
      </c>
      <c r="G4" s="74" t="s">
        <v>142</v>
      </c>
      <c r="H4" s="74" t="s">
        <v>66</v>
      </c>
      <c r="I4" s="74" t="s">
        <v>76</v>
      </c>
      <c r="J4" s="74" t="s">
        <v>137</v>
      </c>
      <c r="K4" s="74" t="s">
        <v>78</v>
      </c>
      <c r="L4" s="74" t="s">
        <v>138</v>
      </c>
      <c r="M4" s="74" t="s">
        <v>139</v>
      </c>
      <c r="N4" s="74" t="s">
        <v>140</v>
      </c>
      <c r="O4" s="74" t="s">
        <v>143</v>
      </c>
      <c r="P4" s="74" t="s">
        <v>144</v>
      </c>
      <c r="Q4" s="74" t="s">
        <v>141</v>
      </c>
      <c r="R4" s="74" t="s">
        <v>66</v>
      </c>
    </row>
    <row r="5" spans="1:32">
      <c r="A5" s="78">
        <f>DATE(B5,C5,1)</f>
        <v>40544</v>
      </c>
      <c r="B5" s="76">
        <v>2011</v>
      </c>
      <c r="C5" s="76">
        <v>1</v>
      </c>
      <c r="D5" s="59">
        <v>2.0818398734200798</v>
      </c>
      <c r="E5" s="59">
        <v>2.4753505571989498</v>
      </c>
      <c r="F5" s="59">
        <v>0.26766788099675298</v>
      </c>
      <c r="G5" s="59">
        <v>0.23946383204965899</v>
      </c>
      <c r="H5" s="59">
        <v>0.32784029163618</v>
      </c>
      <c r="I5" s="59">
        <v>2.8144283282368798</v>
      </c>
      <c r="J5" s="59">
        <v>5.7522883036570903E-3</v>
      </c>
      <c r="K5" s="59">
        <v>2.5507527506225199E-2</v>
      </c>
      <c r="L5" s="59">
        <v>1.3248965633037699</v>
      </c>
      <c r="M5" s="59">
        <v>0.34693594107596198</v>
      </c>
      <c r="N5" s="59">
        <v>1.5308178326244899</v>
      </c>
      <c r="O5" s="59">
        <v>1.9474821404951599E-3</v>
      </c>
      <c r="P5" s="59">
        <v>1.94221655237822</v>
      </c>
      <c r="Q5" s="59">
        <v>6.3004757666408198</v>
      </c>
      <c r="R5" s="59">
        <v>3.04198998678382</v>
      </c>
    </row>
    <row r="6" spans="1:32">
      <c r="A6" s="78">
        <f t="shared" ref="A6:A37" si="0">DATE(B6,C6,1)</f>
        <v>40575</v>
      </c>
      <c r="B6" s="76">
        <v>2011</v>
      </c>
      <c r="C6" s="76">
        <v>2</v>
      </c>
      <c r="D6" s="59">
        <v>0.91850086316783097</v>
      </c>
      <c r="E6" s="59">
        <v>1.0126167106394199</v>
      </c>
      <c r="F6" s="59">
        <v>0.27539429155478201</v>
      </c>
      <c r="G6" s="59">
        <v>0.32396052091474398</v>
      </c>
      <c r="H6" s="59">
        <v>0.254528584033133</v>
      </c>
      <c r="I6" s="59">
        <v>3.8405250193555802</v>
      </c>
      <c r="J6" s="59">
        <v>8.0734295287297406E-3</v>
      </c>
      <c r="K6" s="59">
        <v>4.2643415189588897E-2</v>
      </c>
      <c r="L6" s="59">
        <v>0.98062543879883501</v>
      </c>
      <c r="M6" s="59">
        <v>0.36344873030994701</v>
      </c>
      <c r="N6" s="59">
        <v>0.74963324105264595</v>
      </c>
      <c r="O6" s="59">
        <v>2.5169336824974599E-3</v>
      </c>
      <c r="P6" s="59">
        <v>2.3364558894754501</v>
      </c>
      <c r="Q6" s="59">
        <v>6.20240886438655</v>
      </c>
      <c r="R6" s="59">
        <v>2.235947299997</v>
      </c>
    </row>
    <row r="7" spans="1:32">
      <c r="A7" s="78">
        <f t="shared" si="0"/>
        <v>40603</v>
      </c>
      <c r="B7" s="76">
        <v>2011</v>
      </c>
      <c r="C7" s="76">
        <v>3</v>
      </c>
      <c r="D7" s="59">
        <v>2.1727766431278202</v>
      </c>
      <c r="E7" s="59">
        <v>2.2855251960651799</v>
      </c>
      <c r="F7" s="59">
        <v>0.28581131768449097</v>
      </c>
      <c r="G7" s="59">
        <v>0.339489245647705</v>
      </c>
      <c r="H7" s="59">
        <v>0.28059260020478</v>
      </c>
      <c r="I7" s="59">
        <v>2.9588994348876301</v>
      </c>
      <c r="J7" s="59">
        <v>5.9947848270290802E-2</v>
      </c>
      <c r="K7" s="59">
        <v>6.8667032765010794E-2</v>
      </c>
      <c r="L7" s="59">
        <v>0.89707913794802596</v>
      </c>
      <c r="M7" s="59">
        <v>0.374942368760731</v>
      </c>
      <c r="N7" s="59">
        <v>2.1208955204285198</v>
      </c>
      <c r="O7" s="59">
        <v>5.4746719431707697E-2</v>
      </c>
      <c r="P7" s="59">
        <v>1.27133319959821</v>
      </c>
      <c r="Q7" s="59">
        <v>5.5878742980197202</v>
      </c>
      <c r="R7" s="59">
        <v>3.7545914554049298</v>
      </c>
    </row>
    <row r="8" spans="1:32">
      <c r="A8" s="78">
        <f t="shared" si="0"/>
        <v>40634</v>
      </c>
      <c r="B8" s="76">
        <v>2011</v>
      </c>
      <c r="C8" s="76">
        <v>4</v>
      </c>
      <c r="D8" s="59">
        <v>2.8473043396216999</v>
      </c>
      <c r="E8" s="59">
        <v>2.6939060968030799</v>
      </c>
      <c r="F8" s="59">
        <v>0.275906891123602</v>
      </c>
      <c r="G8" s="59">
        <v>0.36009444955728298</v>
      </c>
      <c r="H8" s="59">
        <v>0.314600100077783</v>
      </c>
      <c r="I8" s="59">
        <v>3.4929540580991398</v>
      </c>
      <c r="J8" s="59">
        <v>6.8127569522724807E-2</v>
      </c>
      <c r="K8" s="59">
        <v>0.198425157288563</v>
      </c>
      <c r="L8" s="59">
        <v>1.2869886469227101</v>
      </c>
      <c r="M8" s="59">
        <v>0.19108138950142101</v>
      </c>
      <c r="N8" s="59">
        <v>2.8244484899547899</v>
      </c>
      <c r="O8" s="59">
        <v>0.22933334576835901</v>
      </c>
      <c r="P8" s="59">
        <v>0.45376691176172201</v>
      </c>
      <c r="Q8" s="59">
        <v>3.8884354110025998</v>
      </c>
      <c r="R8" s="59">
        <v>5.1526604794083504</v>
      </c>
    </row>
    <row r="9" spans="1:32">
      <c r="A9" s="78">
        <f t="shared" si="0"/>
        <v>40664</v>
      </c>
      <c r="B9" s="76">
        <v>2011</v>
      </c>
      <c r="C9" s="76">
        <v>5</v>
      </c>
      <c r="D9" s="59">
        <v>2.6974685490178598</v>
      </c>
      <c r="E9" s="59">
        <v>3.10928898836268</v>
      </c>
      <c r="F9" s="59">
        <v>0.28980870494055</v>
      </c>
      <c r="G9" s="59">
        <v>0.34520174805679599</v>
      </c>
      <c r="H9" s="59">
        <v>0.33844107607448398</v>
      </c>
      <c r="I9" s="59">
        <v>2.2904283531102498</v>
      </c>
      <c r="J9" s="59">
        <v>7.2324998712290006E-2</v>
      </c>
      <c r="K9" s="59">
        <v>0.12265190449383701</v>
      </c>
      <c r="L9" s="59">
        <v>1.1724252197645699</v>
      </c>
      <c r="M9" s="59">
        <v>0.122290276594617</v>
      </c>
      <c r="N9" s="59">
        <v>2.78917390576947</v>
      </c>
      <c r="O9" s="59">
        <v>0.25343463037835801</v>
      </c>
      <c r="P9" s="59">
        <v>0.65701899547672904</v>
      </c>
      <c r="Q9" s="59">
        <v>5.8426343455920797</v>
      </c>
      <c r="R9" s="59">
        <v>3.4998314078325699</v>
      </c>
    </row>
    <row r="10" spans="1:32">
      <c r="A10" s="78">
        <f t="shared" si="0"/>
        <v>40695</v>
      </c>
      <c r="B10" s="76">
        <v>2011</v>
      </c>
      <c r="C10" s="76">
        <v>6</v>
      </c>
      <c r="D10" s="59">
        <v>2.7839614996589699</v>
      </c>
      <c r="E10" s="59">
        <v>3.5075145483903398</v>
      </c>
      <c r="F10" s="59">
        <v>0.31237962404479303</v>
      </c>
      <c r="G10" s="59">
        <v>0.33780449086707998</v>
      </c>
      <c r="H10" s="59">
        <v>0.30382382594706497</v>
      </c>
      <c r="I10" s="59">
        <v>2.8025760391422101</v>
      </c>
      <c r="J10" s="59">
        <v>5.0411185464598399E-2</v>
      </c>
      <c r="K10" s="59">
        <v>0.33855582918431798</v>
      </c>
      <c r="L10" s="59">
        <v>1.2746680585572201</v>
      </c>
      <c r="M10" s="59">
        <v>0.218763357002727</v>
      </c>
      <c r="N10" s="59">
        <v>2.5251420623794099</v>
      </c>
      <c r="O10" s="59">
        <v>9.8589918829701403E-2</v>
      </c>
      <c r="P10" s="59">
        <v>0.85613479877445398</v>
      </c>
      <c r="Q10" s="59">
        <v>5.6796967584157203</v>
      </c>
      <c r="R10" s="59">
        <v>3.3613991319952299</v>
      </c>
    </row>
    <row r="11" spans="1:32">
      <c r="A11" s="78">
        <f t="shared" si="0"/>
        <v>40725</v>
      </c>
      <c r="B11" s="76">
        <v>2011</v>
      </c>
      <c r="C11" s="76">
        <v>7</v>
      </c>
      <c r="D11" s="59">
        <v>3.2358314534825299</v>
      </c>
      <c r="E11" s="59">
        <v>3.8596820948340298</v>
      </c>
      <c r="F11" s="59">
        <v>0.28308736935169698</v>
      </c>
      <c r="G11" s="59">
        <v>0.392730724131999</v>
      </c>
      <c r="H11" s="59">
        <v>0.32541795533706003</v>
      </c>
      <c r="I11" s="59">
        <v>0.49957485614518599</v>
      </c>
      <c r="J11" s="59">
        <v>0.67251609982314398</v>
      </c>
      <c r="K11" s="59">
        <v>2.85089917009905</v>
      </c>
      <c r="L11" s="59">
        <v>0.42274443428097302</v>
      </c>
      <c r="M11" s="59">
        <v>0.10574585245668899</v>
      </c>
      <c r="N11" s="59">
        <v>2.9229081202079699</v>
      </c>
      <c r="O11" s="59">
        <v>0.54057269474702696</v>
      </c>
      <c r="P11" s="59">
        <v>0.252691140807488</v>
      </c>
      <c r="Q11" s="59">
        <v>4.7825033391519902</v>
      </c>
      <c r="R11" s="59">
        <v>4.5599624142726602</v>
      </c>
    </row>
    <row r="12" spans="1:32">
      <c r="A12" s="78">
        <f t="shared" si="0"/>
        <v>40756</v>
      </c>
      <c r="B12" s="76">
        <v>2011</v>
      </c>
      <c r="C12" s="76">
        <v>8</v>
      </c>
      <c r="D12" s="59">
        <v>3.4970814196593598</v>
      </c>
      <c r="E12" s="59">
        <v>3.6698173979629698</v>
      </c>
      <c r="F12" s="59">
        <v>0.22637951786386301</v>
      </c>
      <c r="G12" s="59">
        <v>0.45830833013682898</v>
      </c>
      <c r="H12" s="59">
        <v>0.33695750611083097</v>
      </c>
      <c r="I12" s="59">
        <v>0.84350488960900905</v>
      </c>
      <c r="J12" s="59">
        <v>0.83442759469689098</v>
      </c>
      <c r="K12" s="59">
        <v>1.8542407265687999</v>
      </c>
      <c r="L12" s="59">
        <v>0.59827863373145795</v>
      </c>
      <c r="M12" s="59">
        <v>0.40619724987982803</v>
      </c>
      <c r="N12" s="59">
        <v>2.5766690322485699</v>
      </c>
      <c r="O12" s="59">
        <v>0.336179567355326</v>
      </c>
      <c r="P12" s="59">
        <v>0.50287195873544799</v>
      </c>
      <c r="Q12" s="59">
        <v>2.1324933446151801</v>
      </c>
      <c r="R12" s="59">
        <v>7.2099724088094703</v>
      </c>
    </row>
    <row r="13" spans="1:32">
      <c r="A13" s="78">
        <f t="shared" si="0"/>
        <v>40787</v>
      </c>
      <c r="B13" s="76">
        <v>2011</v>
      </c>
      <c r="C13" s="76">
        <v>9</v>
      </c>
      <c r="D13" s="59">
        <v>3.30788027872268</v>
      </c>
      <c r="E13" s="59">
        <v>3.0208454936423799</v>
      </c>
      <c r="F13" s="59">
        <v>0.25587307534721498</v>
      </c>
      <c r="G13" s="59">
        <v>0.321371949974182</v>
      </c>
      <c r="H13" s="59">
        <v>0.39596708744004</v>
      </c>
      <c r="I13" s="59">
        <v>0.24118849097349601</v>
      </c>
      <c r="J13" s="59">
        <v>0.98640108830203699</v>
      </c>
      <c r="K13" s="59">
        <v>3.3158998235637598</v>
      </c>
      <c r="L13" s="59">
        <v>0.41088115540124598</v>
      </c>
      <c r="M13" s="59">
        <v>0.39413689024572302</v>
      </c>
      <c r="N13" s="59">
        <v>2.5204339211847002</v>
      </c>
      <c r="O13" s="59">
        <v>0.21904164121941599</v>
      </c>
      <c r="P13" s="59">
        <v>0.56501768433646005</v>
      </c>
      <c r="Q13" s="59">
        <v>1.39765121692107</v>
      </c>
      <c r="R13" s="59">
        <v>7.6434446734898698</v>
      </c>
    </row>
    <row r="14" spans="1:32">
      <c r="A14" s="78">
        <f t="shared" si="0"/>
        <v>40817</v>
      </c>
      <c r="B14" s="76">
        <v>2011</v>
      </c>
      <c r="C14" s="76">
        <v>10</v>
      </c>
      <c r="D14" s="59">
        <v>3.3756758253139298</v>
      </c>
      <c r="E14" s="59">
        <v>3.59148154036839</v>
      </c>
      <c r="F14" s="59">
        <v>0.25049381099074203</v>
      </c>
      <c r="G14" s="59">
        <v>0.41521450637197699</v>
      </c>
      <c r="H14" s="59">
        <v>0.342022538035477</v>
      </c>
      <c r="I14" s="59">
        <v>0.732493038945353</v>
      </c>
      <c r="J14" s="59">
        <v>0.91267073088334205</v>
      </c>
      <c r="K14" s="59">
        <v>2.3703929041210801</v>
      </c>
      <c r="L14" s="59">
        <v>0.63607236665857603</v>
      </c>
      <c r="M14" s="59">
        <v>0.20459496719582099</v>
      </c>
      <c r="N14" s="59">
        <v>2.8290567342575099</v>
      </c>
      <c r="O14" s="59">
        <v>0.23960861752711901</v>
      </c>
      <c r="P14" s="59">
        <v>0.54865748923872104</v>
      </c>
      <c r="Q14" s="59">
        <v>1.8524327190782299</v>
      </c>
      <c r="R14" s="59">
        <v>7.4900330343464203</v>
      </c>
    </row>
    <row r="15" spans="1:32">
      <c r="A15" s="78">
        <f t="shared" si="0"/>
        <v>40848</v>
      </c>
      <c r="B15" s="76">
        <v>2011</v>
      </c>
      <c r="C15" s="76">
        <v>11</v>
      </c>
      <c r="D15" s="59">
        <v>2.3177967367565699</v>
      </c>
      <c r="E15" s="59">
        <v>2.9212022146067</v>
      </c>
      <c r="F15" s="59">
        <v>0.23592233645469701</v>
      </c>
      <c r="G15" s="59">
        <v>0.25193732169400301</v>
      </c>
      <c r="H15" s="59">
        <v>0.38356209353541498</v>
      </c>
      <c r="I15" s="59">
        <v>1.4290988262580999</v>
      </c>
      <c r="J15" s="59">
        <v>0.136937088157326</v>
      </c>
      <c r="K15" s="59">
        <v>0.16364840475693801</v>
      </c>
      <c r="L15" s="59">
        <v>1.6033055870168</v>
      </c>
      <c r="M15" s="59">
        <v>0.58325693043294202</v>
      </c>
      <c r="N15" s="59">
        <v>0.93728699628852796</v>
      </c>
      <c r="O15" s="59">
        <v>2.4919864902445299E-2</v>
      </c>
      <c r="P15" s="59">
        <v>2.1531663453623802</v>
      </c>
      <c r="Q15" s="59">
        <v>4.0646278691362197</v>
      </c>
      <c r="R15" s="59">
        <v>4.9764680212747203</v>
      </c>
    </row>
    <row r="16" spans="1:32">
      <c r="A16" s="78">
        <f t="shared" si="0"/>
        <v>40878</v>
      </c>
      <c r="B16" s="76">
        <v>2011</v>
      </c>
      <c r="C16" s="76">
        <v>12</v>
      </c>
      <c r="D16" s="59">
        <v>1.8122384349999E-2</v>
      </c>
      <c r="E16" s="59">
        <v>3.8528411089998701E-2</v>
      </c>
      <c r="F16" s="59">
        <v>0.244320809328299</v>
      </c>
      <c r="G16" s="59">
        <v>0.36749896895749801</v>
      </c>
      <c r="H16" s="59">
        <v>0.35371699979629001</v>
      </c>
      <c r="I16" s="59">
        <v>1.4470342824339999</v>
      </c>
      <c r="J16" s="59">
        <v>0.112292707290801</v>
      </c>
      <c r="K16" s="59">
        <v>0.305994791772703</v>
      </c>
      <c r="L16" s="59">
        <v>1.7469929591286499</v>
      </c>
      <c r="M16" s="59">
        <v>0.37322576523239798</v>
      </c>
      <c r="N16" s="59">
        <v>2.1547716758878099</v>
      </c>
      <c r="O16" s="59">
        <v>0.30636402257573397</v>
      </c>
      <c r="P16" s="59">
        <v>0.98755634452323204</v>
      </c>
      <c r="Q16" s="59">
        <v>4.80581304413192</v>
      </c>
      <c r="R16" s="59">
        <v>4.5366527092927296</v>
      </c>
    </row>
    <row r="17" spans="1:32">
      <c r="A17" s="78">
        <f t="shared" si="0"/>
        <v>40909</v>
      </c>
      <c r="B17" s="76">
        <v>2012</v>
      </c>
      <c r="C17" s="76">
        <v>1</v>
      </c>
      <c r="D17" s="59">
        <v>2.2295697447646798</v>
      </c>
      <c r="E17" s="59">
        <v>2.2489707117540698</v>
      </c>
      <c r="F17" s="59">
        <v>0.22758714068375499</v>
      </c>
      <c r="G17" s="59">
        <v>0.33685767954768397</v>
      </c>
      <c r="H17" s="59">
        <v>0.34159746380339201</v>
      </c>
      <c r="I17" s="59">
        <v>0.208497393132658</v>
      </c>
      <c r="J17" s="59">
        <v>2.1209296988547899</v>
      </c>
      <c r="K17" s="59">
        <v>3.4247601543899102</v>
      </c>
      <c r="L17" s="59">
        <v>1.9175668114959701E-2</v>
      </c>
      <c r="M17" s="59">
        <v>4.8311350905032899E-2</v>
      </c>
      <c r="N17" s="59">
        <v>3.3019649804498998</v>
      </c>
      <c r="O17" s="59">
        <v>0.44804188359041902</v>
      </c>
      <c r="P17" s="59">
        <v>2.3599593273820298E-2</v>
      </c>
      <c r="Q17" s="59">
        <v>4.60676232512753</v>
      </c>
      <c r="R17" s="59">
        <v>4.7357034282971098</v>
      </c>
    </row>
    <row r="18" spans="1:32">
      <c r="A18" s="78">
        <f t="shared" si="0"/>
        <v>40940</v>
      </c>
      <c r="B18" s="76">
        <v>2012</v>
      </c>
      <c r="C18" s="76">
        <v>2</v>
      </c>
      <c r="D18" s="59">
        <v>2.47847466578125</v>
      </c>
      <c r="E18" s="59">
        <v>2.29226534564354</v>
      </c>
      <c r="F18" s="59">
        <v>0.24895782148307699</v>
      </c>
      <c r="G18" s="59">
        <v>0.40082259607769599</v>
      </c>
      <c r="H18" s="59">
        <v>0.28744354514091502</v>
      </c>
      <c r="I18" s="59">
        <v>0.336187108181489</v>
      </c>
      <c r="J18" s="59">
        <v>3.2142442087182501</v>
      </c>
      <c r="K18" s="59">
        <v>1.99407055518715</v>
      </c>
      <c r="L18" s="59">
        <v>2.6533976430636898E-2</v>
      </c>
      <c r="M18" s="59">
        <v>0.10908964842520399</v>
      </c>
      <c r="N18" s="59">
        <v>2.7395426493283002</v>
      </c>
      <c r="O18" s="59">
        <v>0.70143708239171598</v>
      </c>
      <c r="P18" s="59">
        <v>2.5273085608201001E-2</v>
      </c>
      <c r="Q18" s="59">
        <v>0.96192175758579601</v>
      </c>
      <c r="R18" s="59">
        <v>7.77780426981146</v>
      </c>
    </row>
    <row r="19" spans="1:32">
      <c r="A19" s="78">
        <f t="shared" si="0"/>
        <v>40969</v>
      </c>
      <c r="B19" s="76">
        <v>2012</v>
      </c>
      <c r="C19" s="76">
        <v>3</v>
      </c>
      <c r="D19" s="59">
        <v>1.7747488080423</v>
      </c>
      <c r="E19" s="59">
        <v>2.3037432637792001</v>
      </c>
      <c r="F19" s="59">
        <v>0.23778311289529999</v>
      </c>
      <c r="G19" s="59">
        <v>0.42477397829362101</v>
      </c>
      <c r="H19" s="59">
        <v>0.352692010887104</v>
      </c>
      <c r="I19" s="59">
        <v>0.38156281639908102</v>
      </c>
      <c r="J19" s="59">
        <v>1.88476158074835</v>
      </c>
      <c r="K19" s="59">
        <v>2.99376419846678</v>
      </c>
      <c r="L19" s="59">
        <v>1.80318040685205E-2</v>
      </c>
      <c r="M19" s="59">
        <v>0.122138431425172</v>
      </c>
      <c r="N19" s="59">
        <v>3.1338023895997198</v>
      </c>
      <c r="O19" s="59">
        <v>0.51903098183760699</v>
      </c>
      <c r="P19" s="59">
        <v>4.6946005356676E-2</v>
      </c>
      <c r="Q19" s="59">
        <v>2.5390358881056199</v>
      </c>
      <c r="R19" s="59">
        <v>6.8034298653190302</v>
      </c>
    </row>
    <row r="20" spans="1:32">
      <c r="A20" s="78">
        <f t="shared" si="0"/>
        <v>41000</v>
      </c>
      <c r="B20" s="76">
        <v>2012</v>
      </c>
      <c r="C20" s="76">
        <v>4</v>
      </c>
      <c r="D20" s="59">
        <v>1.7859143213622</v>
      </c>
      <c r="E20" s="59">
        <v>2.1542015528235501</v>
      </c>
      <c r="F20" s="59">
        <v>0.21426134095233901</v>
      </c>
      <c r="G20" s="59">
        <v>0.44606338679249002</v>
      </c>
      <c r="H20" s="59">
        <v>0.32224468351284902</v>
      </c>
      <c r="I20" s="59">
        <v>0.30462895361305198</v>
      </c>
      <c r="J20" s="59">
        <v>1.8837076919058999</v>
      </c>
      <c r="K20" s="59">
        <v>3.21426688070932</v>
      </c>
      <c r="L20" s="59">
        <v>5.7703387596697098E-3</v>
      </c>
      <c r="M20" s="59">
        <v>0.131417494949329</v>
      </c>
      <c r="N20" s="59">
        <v>2.79224925628787</v>
      </c>
      <c r="O20" s="59">
        <v>0.71472214973325399</v>
      </c>
      <c r="P20" s="59">
        <v>6.02412360158378E-2</v>
      </c>
      <c r="Q20" s="59">
        <v>1.9265150144566501</v>
      </c>
      <c r="R20" s="59">
        <v>7.1145808759543003</v>
      </c>
    </row>
    <row r="21" spans="1:32">
      <c r="A21" s="78">
        <f t="shared" si="0"/>
        <v>41030</v>
      </c>
      <c r="B21" s="76">
        <v>2012</v>
      </c>
      <c r="C21" s="76">
        <v>5</v>
      </c>
      <c r="D21" s="59">
        <v>3.5789133477238302</v>
      </c>
      <c r="E21" s="59">
        <v>3.08292612358699</v>
      </c>
      <c r="F21" s="59">
        <v>0.30926437605921903</v>
      </c>
      <c r="G21" s="59">
        <v>0.28155298605372597</v>
      </c>
      <c r="H21" s="59">
        <v>0.39949369107543797</v>
      </c>
      <c r="I21" s="59">
        <v>0.52385945457482996</v>
      </c>
      <c r="J21" s="59">
        <v>2.1580404205674202</v>
      </c>
      <c r="K21" s="59">
        <v>3.4265825116897402</v>
      </c>
      <c r="L21" s="59">
        <v>5.5866787295123697E-2</v>
      </c>
      <c r="M21" s="59">
        <v>0.18441197407375501</v>
      </c>
      <c r="N21" s="59">
        <v>2.23712571553189</v>
      </c>
      <c r="O21" s="59">
        <v>1.14363496134377</v>
      </c>
      <c r="P21" s="59">
        <v>0.25674515726975</v>
      </c>
      <c r="Q21" s="59">
        <v>0.52231694652348803</v>
      </c>
      <c r="R21" s="59">
        <v>8.8201488069011695</v>
      </c>
    </row>
    <row r="22" spans="1:32">
      <c r="A22" s="78">
        <f t="shared" si="0"/>
        <v>41061</v>
      </c>
      <c r="B22" s="76">
        <v>2012</v>
      </c>
      <c r="C22" s="76">
        <v>6</v>
      </c>
      <c r="D22" s="59">
        <v>3.7013440342094501</v>
      </c>
      <c r="E22" s="59">
        <v>2.9058130216928699</v>
      </c>
      <c r="F22" s="59">
        <v>0.29459337871720698</v>
      </c>
      <c r="G22" s="59">
        <v>0.34905251004606103</v>
      </c>
      <c r="H22" s="59">
        <v>0.31982416514328899</v>
      </c>
      <c r="I22" s="59">
        <v>0.28615128454205302</v>
      </c>
      <c r="J22" s="59">
        <v>1.48095710949781</v>
      </c>
      <c r="K22" s="59">
        <v>3.7251411790665001</v>
      </c>
      <c r="L22" s="59">
        <v>5.8630396485957803E-2</v>
      </c>
      <c r="M22" s="59">
        <v>0.64524497987989604</v>
      </c>
      <c r="N22" s="59">
        <v>1.1659102825165399</v>
      </c>
      <c r="O22" s="59">
        <v>0.19425966289819899</v>
      </c>
      <c r="P22" s="59">
        <v>1.6932152116916599</v>
      </c>
      <c r="Q22" s="59">
        <v>0.72825641484427195</v>
      </c>
      <c r="R22" s="59">
        <v>8.3128394755666797</v>
      </c>
    </row>
    <row r="23" spans="1:32">
      <c r="A23" s="78">
        <f t="shared" si="0"/>
        <v>41091</v>
      </c>
      <c r="B23" s="76">
        <v>2012</v>
      </c>
      <c r="C23" s="76">
        <v>7</v>
      </c>
      <c r="D23" s="59">
        <v>3.9713523172329501</v>
      </c>
      <c r="E23" s="59">
        <v>3.6550102642738902</v>
      </c>
      <c r="F23" s="59">
        <v>0.28553085437938602</v>
      </c>
      <c r="G23" s="59">
        <v>0.44064122040432602</v>
      </c>
      <c r="H23" s="59">
        <v>0.27903930418881201</v>
      </c>
      <c r="I23" s="59">
        <v>1.4621788552716699</v>
      </c>
      <c r="J23" s="59">
        <v>0.85404343867089305</v>
      </c>
      <c r="K23" s="59">
        <v>1.66982522270322</v>
      </c>
      <c r="L23" s="59">
        <v>0.35657784965557898</v>
      </c>
      <c r="M23" s="59">
        <v>0.51453222279473398</v>
      </c>
      <c r="N23" s="59">
        <v>1.7458598868433399</v>
      </c>
      <c r="O23" s="59">
        <v>0.14398245897627299</v>
      </c>
      <c r="P23" s="59">
        <v>1.41754323960482</v>
      </c>
      <c r="Q23" s="59">
        <v>1.6845052634473701</v>
      </c>
      <c r="R23" s="59">
        <v>7.6579604899772802</v>
      </c>
    </row>
    <row r="24" spans="1:32">
      <c r="A24" s="78">
        <f t="shared" si="0"/>
        <v>41122</v>
      </c>
      <c r="B24" s="76">
        <v>2012</v>
      </c>
      <c r="C24" s="76">
        <v>8</v>
      </c>
      <c r="D24" s="59">
        <v>3.88329191028423</v>
      </c>
      <c r="E24" s="59">
        <v>3.3957995464280901</v>
      </c>
      <c r="F24" s="59">
        <v>0.25632253905789798</v>
      </c>
      <c r="G24" s="59">
        <v>0.46945499480387198</v>
      </c>
      <c r="H24" s="59">
        <v>0.28386110663512698</v>
      </c>
      <c r="I24" s="59">
        <v>1.03840184855277</v>
      </c>
      <c r="J24" s="59">
        <v>0.67606829045470096</v>
      </c>
      <c r="K24" s="59">
        <v>1.05732527852421</v>
      </c>
      <c r="L24" s="59">
        <v>0.58550278466009298</v>
      </c>
      <c r="M24" s="59">
        <v>9.3720392499808805E-2</v>
      </c>
      <c r="N24" s="59">
        <v>3.1245993055856198</v>
      </c>
      <c r="O24" s="59">
        <v>0.42277344100994502</v>
      </c>
      <c r="P24" s="59">
        <v>0.180824669123793</v>
      </c>
      <c r="Q24" s="59">
        <v>2.69832219440995</v>
      </c>
      <c r="R24" s="59">
        <v>6.6441435590146902</v>
      </c>
    </row>
    <row r="25" spans="1:32">
      <c r="A25" s="78">
        <f t="shared" si="0"/>
        <v>41153</v>
      </c>
      <c r="B25" s="76">
        <v>2012</v>
      </c>
      <c r="C25" s="76">
        <v>9</v>
      </c>
      <c r="D25" s="59">
        <v>2.82875477942925</v>
      </c>
      <c r="E25" s="59">
        <v>2.8692737126255401</v>
      </c>
      <c r="F25" s="59">
        <v>0.26089735924097801</v>
      </c>
      <c r="G25" s="59">
        <v>0.27458536192128202</v>
      </c>
      <c r="H25" s="59">
        <v>0.37766840679948999</v>
      </c>
      <c r="I25" s="59">
        <v>1.45586791783975</v>
      </c>
      <c r="J25" s="59">
        <v>0.27644426035864</v>
      </c>
      <c r="K25" s="59">
        <v>0.37391114757830801</v>
      </c>
      <c r="L25" s="59">
        <v>0.97900472038768205</v>
      </c>
      <c r="M25" s="59">
        <v>0.42595142791142698</v>
      </c>
      <c r="N25" s="59">
        <v>1.47200180811488</v>
      </c>
      <c r="O25" s="59">
        <v>9.2234031048468307E-2</v>
      </c>
      <c r="P25" s="59">
        <v>1.70844286991151</v>
      </c>
      <c r="Q25" s="59">
        <v>5.1078828623938604</v>
      </c>
      <c r="R25" s="59">
        <v>3.9332130280170898</v>
      </c>
    </row>
    <row r="26" spans="1:32">
      <c r="A26" s="78">
        <f t="shared" si="0"/>
        <v>41183</v>
      </c>
      <c r="B26" s="76">
        <v>2012</v>
      </c>
      <c r="C26" s="76">
        <v>10</v>
      </c>
      <c r="D26" s="59">
        <v>3.1215113475763601</v>
      </c>
      <c r="E26" s="59">
        <v>3.3442634818756898</v>
      </c>
      <c r="F26" s="59">
        <v>0.27183203795289701</v>
      </c>
      <c r="G26" s="59">
        <v>0.40108942443449203</v>
      </c>
      <c r="H26" s="59">
        <v>0.31938011191965399</v>
      </c>
      <c r="I26" s="59">
        <v>1.9456534294308601</v>
      </c>
      <c r="J26" s="59">
        <v>4.2223918692618503E-2</v>
      </c>
      <c r="K26" s="59">
        <v>8.8414161056016502E-2</v>
      </c>
      <c r="L26" s="59">
        <v>1.6259910512314499</v>
      </c>
      <c r="M26" s="59">
        <v>0.57165346891161595</v>
      </c>
      <c r="N26" s="59">
        <v>0.37153107991741702</v>
      </c>
      <c r="O26" s="59">
        <v>5.2393719973632104E-6</v>
      </c>
      <c r="P26" s="59">
        <v>2.8787280200181402</v>
      </c>
      <c r="Q26" s="59">
        <v>5.5090921933650803</v>
      </c>
      <c r="R26" s="59">
        <v>3.83337356005956</v>
      </c>
    </row>
    <row r="27" spans="1:32">
      <c r="A27" s="78">
        <f t="shared" si="0"/>
        <v>41214</v>
      </c>
      <c r="B27" s="76">
        <v>2012</v>
      </c>
      <c r="C27" s="76">
        <v>11</v>
      </c>
      <c r="D27" s="59">
        <v>3.3806387852726201</v>
      </c>
      <c r="E27" s="59">
        <v>3.5402222957254499</v>
      </c>
      <c r="F27" s="59">
        <v>0.27977189213120601</v>
      </c>
      <c r="G27" s="59">
        <v>0.431668446504342</v>
      </c>
      <c r="H27" s="59">
        <v>0.22552947959136899</v>
      </c>
      <c r="I27" s="59">
        <v>2.4488353787330399</v>
      </c>
      <c r="J27" s="59">
        <v>7.0182479210010695E-2</v>
      </c>
      <c r="K27" s="59">
        <v>0.17472907828179099</v>
      </c>
      <c r="L27" s="59">
        <v>1.5238427772661101</v>
      </c>
      <c r="M27" s="59">
        <v>0.57112956675218596</v>
      </c>
      <c r="N27" s="59">
        <v>0.60490256634398798</v>
      </c>
      <c r="O27" s="59">
        <v>2.7568870537288599E-3</v>
      </c>
      <c r="P27" s="59">
        <v>2.5198411168364001</v>
      </c>
      <c r="Q27" s="59">
        <v>3.81373033515555</v>
      </c>
      <c r="R27" s="59">
        <v>5.2273655552553997</v>
      </c>
      <c r="T27" t="s">
        <v>123</v>
      </c>
      <c r="AF27" t="s">
        <v>123</v>
      </c>
    </row>
    <row r="28" spans="1:32">
      <c r="A28" s="78">
        <f t="shared" si="0"/>
        <v>41244</v>
      </c>
      <c r="B28" s="76">
        <v>2012</v>
      </c>
      <c r="C28" s="76">
        <v>12</v>
      </c>
      <c r="D28" s="59">
        <v>2.5433791561557801</v>
      </c>
      <c r="E28" s="59">
        <v>2.6243218495902298</v>
      </c>
      <c r="F28" s="59">
        <v>0.252845297642113</v>
      </c>
      <c r="G28" s="59">
        <v>0.32308893775139602</v>
      </c>
      <c r="H28" s="59">
        <v>0.37589460068786801</v>
      </c>
      <c r="I28" s="59">
        <v>2.2558744737817298</v>
      </c>
      <c r="J28" s="59">
        <v>3.58696053134838E-2</v>
      </c>
      <c r="K28" s="59">
        <v>0.12029522844163699</v>
      </c>
      <c r="L28" s="59">
        <v>1.9336282309615</v>
      </c>
      <c r="M28" s="59">
        <v>0.51770863854989102</v>
      </c>
      <c r="N28" s="59">
        <v>1.5783748592589799</v>
      </c>
      <c r="O28" s="59">
        <v>4.7882393856170297E-2</v>
      </c>
      <c r="P28" s="59">
        <v>1.6779519165541299</v>
      </c>
      <c r="Q28" s="59">
        <v>5.0623143275567504</v>
      </c>
      <c r="R28" s="59">
        <v>4.2801514258679001</v>
      </c>
    </row>
    <row r="29" spans="1:32">
      <c r="A29" s="78">
        <f t="shared" si="0"/>
        <v>41275</v>
      </c>
      <c r="B29" s="76">
        <v>2013</v>
      </c>
      <c r="C29" s="76">
        <v>1</v>
      </c>
      <c r="D29" s="59">
        <v>1.5037115648721799</v>
      </c>
      <c r="E29" s="59">
        <v>1.9983749039535601</v>
      </c>
      <c r="F29" s="59">
        <v>0.24334183603097001</v>
      </c>
      <c r="G29" s="59">
        <v>0.19624660258739701</v>
      </c>
      <c r="H29" s="59">
        <v>0.42451892514867101</v>
      </c>
      <c r="I29" s="59">
        <v>1.9382108536707401</v>
      </c>
      <c r="J29" s="59">
        <v>6.76586667700462E-2</v>
      </c>
      <c r="K29" s="59">
        <v>0.110348461528595</v>
      </c>
      <c r="L29" s="59">
        <v>2.1750312117441699</v>
      </c>
      <c r="M29" s="59">
        <v>0.65244827469639999</v>
      </c>
      <c r="N29" s="59">
        <v>0.35123254641429202</v>
      </c>
      <c r="O29" s="59">
        <v>2.2828480935370501E-3</v>
      </c>
      <c r="P29" s="59">
        <v>2.5693787965491901</v>
      </c>
      <c r="Q29" s="59">
        <v>4.45427211642901</v>
      </c>
      <c r="R29" s="59">
        <v>4.2854539109682399</v>
      </c>
      <c r="T29" s="73"/>
      <c r="AF29" s="73"/>
    </row>
    <row r="30" spans="1:32">
      <c r="A30" s="78">
        <f t="shared" si="0"/>
        <v>41306</v>
      </c>
      <c r="B30" s="76">
        <v>2013</v>
      </c>
      <c r="C30" s="76">
        <v>2</v>
      </c>
      <c r="D30" s="59">
        <v>0.96646344554173003</v>
      </c>
      <c r="E30" s="59">
        <v>1.49399615339402</v>
      </c>
      <c r="F30" s="59">
        <v>0.19968072411524301</v>
      </c>
      <c r="G30" s="59">
        <v>0.26647310273501701</v>
      </c>
      <c r="H30" s="59">
        <v>0.40250321331452299</v>
      </c>
      <c r="I30" s="59">
        <v>1.2924510089344301</v>
      </c>
      <c r="J30" s="59">
        <v>0.23854504553767999</v>
      </c>
      <c r="K30" s="59">
        <v>0.338679470153741</v>
      </c>
      <c r="L30" s="59">
        <v>1.20597269773811</v>
      </c>
      <c r="M30" s="59">
        <v>0.31781864195966603</v>
      </c>
      <c r="N30" s="59">
        <v>1.66686344942701</v>
      </c>
      <c r="O30" s="59">
        <v>0.27702061119291999</v>
      </c>
      <c r="P30" s="59">
        <v>1.19035209194094</v>
      </c>
      <c r="Q30" s="59">
        <v>3.1587421720184699</v>
      </c>
      <c r="R30" s="59">
        <v>5.2796139923650802</v>
      </c>
      <c r="T30" s="73"/>
      <c r="AF30" s="73"/>
    </row>
    <row r="31" spans="1:32">
      <c r="A31" s="78">
        <f t="shared" si="0"/>
        <v>41334</v>
      </c>
      <c r="B31" s="76">
        <v>2013</v>
      </c>
      <c r="C31" s="76">
        <v>3</v>
      </c>
      <c r="D31" s="59">
        <v>1.47367107503914</v>
      </c>
      <c r="E31" s="59">
        <v>2.8840528260196199</v>
      </c>
      <c r="F31" s="59">
        <v>0.231770313335944</v>
      </c>
      <c r="G31" s="59">
        <v>0.31017968700122001</v>
      </c>
      <c r="H31" s="59">
        <v>0.45944946461869401</v>
      </c>
      <c r="I31" s="59">
        <v>0.33235687623759502</v>
      </c>
      <c r="J31" s="59">
        <v>1.44445263085455</v>
      </c>
      <c r="K31" s="59">
        <v>2.8716716991359701</v>
      </c>
      <c r="L31" s="59">
        <v>0.52267412763981203</v>
      </c>
      <c r="M31" s="59">
        <v>0.104461395552571</v>
      </c>
      <c r="N31" s="59">
        <v>2.5150702413314301</v>
      </c>
      <c r="O31" s="59">
        <v>1.1604367080228899</v>
      </c>
      <c r="P31" s="59">
        <v>4.1949463312279701E-2</v>
      </c>
      <c r="Q31" s="59">
        <v>1.06380830100576</v>
      </c>
      <c r="R31" s="59">
        <v>8.2786574524188907</v>
      </c>
      <c r="T31" s="73"/>
      <c r="AF31" s="73"/>
    </row>
    <row r="32" spans="1:32">
      <c r="A32" s="78">
        <f t="shared" si="0"/>
        <v>41365</v>
      </c>
      <c r="B32" s="76">
        <v>2013</v>
      </c>
      <c r="C32" s="76">
        <v>4</v>
      </c>
      <c r="D32" s="59">
        <v>1.52802551050282</v>
      </c>
      <c r="E32" s="59">
        <v>2.1196763500244402</v>
      </c>
      <c r="F32" s="59">
        <v>0.219889986914444</v>
      </c>
      <c r="G32" s="59">
        <v>0.34901251206849598</v>
      </c>
      <c r="H32" s="59">
        <v>0.371233756797541</v>
      </c>
      <c r="I32" s="59">
        <v>0.478027237640202</v>
      </c>
      <c r="J32" s="59">
        <v>2.2677693343754299</v>
      </c>
      <c r="K32" s="59">
        <v>2.43712423049534</v>
      </c>
      <c r="L32" s="59">
        <v>0.126039229884364</v>
      </c>
      <c r="M32" s="59">
        <v>0.10967910865903401</v>
      </c>
      <c r="N32" s="59">
        <v>2.8774255313885302</v>
      </c>
      <c r="O32" s="59">
        <v>0.64874947327502097</v>
      </c>
      <c r="P32" s="59">
        <v>6.2776023663710101E-2</v>
      </c>
      <c r="Q32" s="59">
        <v>1.47209659598146</v>
      </c>
      <c r="R32" s="59">
        <v>7.5689992944294904</v>
      </c>
    </row>
    <row r="33" spans="1:18">
      <c r="A33" s="78">
        <f t="shared" si="0"/>
        <v>41395</v>
      </c>
      <c r="B33" s="76">
        <v>2013</v>
      </c>
      <c r="C33" s="76">
        <v>5</v>
      </c>
      <c r="D33" s="59">
        <v>2.9889960591030298</v>
      </c>
      <c r="E33" s="59">
        <v>2.9860617288774298</v>
      </c>
      <c r="F33" s="59">
        <v>0.24483137734837199</v>
      </c>
      <c r="G33" s="59">
        <v>0.36680973026461</v>
      </c>
      <c r="H33" s="59">
        <v>0.39836568105666598</v>
      </c>
      <c r="I33" s="59">
        <v>1.10995239698477</v>
      </c>
      <c r="J33" s="59">
        <v>0.52672895346559201</v>
      </c>
      <c r="K33" s="59">
        <v>1.1081302570980101</v>
      </c>
      <c r="L33" s="59">
        <v>1.1520284993737999</v>
      </c>
      <c r="M33" s="59">
        <v>0.58334268817618096</v>
      </c>
      <c r="N33" s="59">
        <v>1.6066548022651099</v>
      </c>
      <c r="O33" s="59">
        <v>0.30100230272981798</v>
      </c>
      <c r="P33" s="59">
        <v>1.3288379774869099</v>
      </c>
      <c r="Q33" s="59">
        <v>1.62726096645</v>
      </c>
      <c r="R33" s="59">
        <v>7.7103858014458799</v>
      </c>
    </row>
    <row r="34" spans="1:18">
      <c r="A34" s="78">
        <f t="shared" si="0"/>
        <v>41426</v>
      </c>
      <c r="B34" s="76">
        <v>2013</v>
      </c>
      <c r="C34" s="76">
        <v>6</v>
      </c>
      <c r="D34" s="59">
        <v>3.31881091827448</v>
      </c>
      <c r="E34" s="59">
        <v>3.6163330663869799</v>
      </c>
      <c r="F34" s="59">
        <v>0.31679343933587201</v>
      </c>
      <c r="G34" s="59">
        <v>0.27592381904722202</v>
      </c>
      <c r="H34" s="59">
        <v>0.34253111618979298</v>
      </c>
      <c r="I34" s="59">
        <v>3.5596720132456001</v>
      </c>
      <c r="J34" s="59">
        <v>3.2970549103361203E-2</v>
      </c>
      <c r="K34" s="59">
        <v>6.7486234499596801E-2</v>
      </c>
      <c r="L34" s="59">
        <v>2.0834465355913299</v>
      </c>
      <c r="M34" s="59">
        <v>0.54118919651875497</v>
      </c>
      <c r="N34" s="59">
        <v>0.30596171540170702</v>
      </c>
      <c r="O34" s="59">
        <v>2.0935751325772699E-2</v>
      </c>
      <c r="P34" s="59">
        <v>2.80353086366926</v>
      </c>
      <c r="Q34" s="59">
        <v>1.83287001595862</v>
      </c>
      <c r="R34" s="59">
        <v>7.1612494695497597</v>
      </c>
    </row>
    <row r="35" spans="1:18">
      <c r="A35" s="78">
        <f t="shared" si="0"/>
        <v>41456</v>
      </c>
      <c r="B35" s="76">
        <v>2013</v>
      </c>
      <c r="C35" s="76">
        <v>7</v>
      </c>
      <c r="D35" s="59">
        <v>3.5741502348902299</v>
      </c>
      <c r="E35" s="59">
        <v>3.2137034577924002</v>
      </c>
      <c r="F35" s="59">
        <v>0.27409296260849098</v>
      </c>
      <c r="G35" s="59">
        <v>0.43726537417112399</v>
      </c>
      <c r="H35" s="59">
        <v>0.28809968577758799</v>
      </c>
      <c r="I35" s="59">
        <v>2.9420132195063702</v>
      </c>
      <c r="J35" s="59">
        <v>2.2416332633035E-2</v>
      </c>
      <c r="K35" s="59">
        <v>7.1301476767006405E-2</v>
      </c>
      <c r="L35" s="59">
        <v>2.8821004786307398</v>
      </c>
      <c r="M35" s="59">
        <v>0.59946770760341395</v>
      </c>
      <c r="N35" s="59">
        <v>0.29861964700735499</v>
      </c>
      <c r="O35" s="59">
        <v>4.4951257341915801E-6</v>
      </c>
      <c r="P35" s="59">
        <v>2.91146734196071</v>
      </c>
      <c r="Q35" s="59">
        <v>3.8239013611201398</v>
      </c>
      <c r="R35" s="59">
        <v>5.4889185464831103</v>
      </c>
    </row>
    <row r="36" spans="1:18">
      <c r="A36" s="78">
        <f t="shared" si="0"/>
        <v>41487</v>
      </c>
      <c r="B36" s="76">
        <v>2013</v>
      </c>
      <c r="C36" s="76">
        <v>8</v>
      </c>
      <c r="D36" s="59">
        <v>3.6633509817470902</v>
      </c>
      <c r="E36" s="59">
        <v>2.8434387774148902</v>
      </c>
      <c r="F36" s="59">
        <v>0.27854087783960002</v>
      </c>
      <c r="G36" s="59">
        <v>0.50601933409710698</v>
      </c>
      <c r="H36" s="59">
        <v>0.21471152678077099</v>
      </c>
      <c r="I36" s="59">
        <v>1.6231361556899899</v>
      </c>
      <c r="J36" s="59">
        <v>7.3475263169999999E-2</v>
      </c>
      <c r="K36" s="59">
        <v>0.483519185399999</v>
      </c>
      <c r="L36" s="59">
        <v>0.87711870114999901</v>
      </c>
      <c r="M36" s="59">
        <v>0.89226296264288896</v>
      </c>
      <c r="N36" s="59">
        <v>0.50933521941722903</v>
      </c>
      <c r="O36" s="59">
        <v>1.31218350594324E-2</v>
      </c>
      <c r="P36" s="59">
        <v>2.4017407940363298</v>
      </c>
      <c r="Q36" s="59">
        <v>3.7529984126254998</v>
      </c>
      <c r="R36" s="59">
        <v>5.5894673407991604</v>
      </c>
    </row>
    <row r="37" spans="1:18">
      <c r="A37" s="78">
        <f t="shared" si="0"/>
        <v>41518</v>
      </c>
      <c r="B37" s="76">
        <v>2013</v>
      </c>
      <c r="C37" s="76">
        <v>9</v>
      </c>
      <c r="D37" s="59">
        <v>3.1193105629949498</v>
      </c>
      <c r="E37" s="59">
        <v>2.9949706734494801</v>
      </c>
      <c r="F37" s="59">
        <v>0.321644734046512</v>
      </c>
      <c r="G37" s="59">
        <v>0.354257916849332</v>
      </c>
      <c r="H37" s="59">
        <v>0.25965761247174601</v>
      </c>
      <c r="I37" s="59">
        <v>1.21958512259873</v>
      </c>
      <c r="J37" s="59">
        <v>8.0807110244139599E-2</v>
      </c>
      <c r="K37" s="59">
        <v>0.224288092906444</v>
      </c>
      <c r="L37" s="59">
        <v>0.88850297565570302</v>
      </c>
      <c r="M37" s="59">
        <v>0.64278377190008895</v>
      </c>
      <c r="N37" s="59">
        <v>0.55579563017465194</v>
      </c>
      <c r="O37" s="59">
        <v>4.60331295410501E-2</v>
      </c>
      <c r="P37" s="59">
        <v>2.4452212441197698</v>
      </c>
      <c r="Q37" s="59">
        <v>3.6816040808748101</v>
      </c>
      <c r="R37" s="59">
        <v>5.3594918093727104</v>
      </c>
    </row>
    <row r="39" spans="1:18">
      <c r="B39" s="46">
        <v>2011</v>
      </c>
      <c r="D39" s="14">
        <f>SUM(D5:D16)</f>
        <v>29.254239866299333</v>
      </c>
      <c r="E39" s="14">
        <f t="shared" ref="E39:P39" si="1">SUM(E5:E16)</f>
        <v>32.185759249964121</v>
      </c>
      <c r="F39" s="14">
        <f t="shared" si="1"/>
        <v>3.2030456296814842</v>
      </c>
      <c r="G39" s="14">
        <f t="shared" si="1"/>
        <v>4.1530760883597546</v>
      </c>
      <c r="H39" s="14">
        <f t="shared" si="1"/>
        <v>3.9574706582285382</v>
      </c>
      <c r="I39" s="14">
        <f t="shared" si="1"/>
        <v>23.392705617196835</v>
      </c>
      <c r="J39" s="14">
        <f t="shared" si="1"/>
        <v>3.9198826289558322</v>
      </c>
      <c r="K39" s="14">
        <f t="shared" si="1"/>
        <v>11.657526687309874</v>
      </c>
      <c r="L39" s="14">
        <f t="shared" si="1"/>
        <v>12.354958201512833</v>
      </c>
      <c r="M39" s="14">
        <f t="shared" si="1"/>
        <v>3.6846197186888059</v>
      </c>
      <c r="N39" s="14">
        <f t="shared" si="1"/>
        <v>26.48123753228441</v>
      </c>
      <c r="O39" s="14">
        <f t="shared" si="1"/>
        <v>2.3072554385581863</v>
      </c>
      <c r="P39" s="14">
        <f t="shared" si="1"/>
        <v>12.526887310468515</v>
      </c>
      <c r="Q39" s="14">
        <f t="shared" ref="Q39:R39" si="2">SUM(Q5:Q16)</f>
        <v>52.537046977092089</v>
      </c>
      <c r="R39" s="14">
        <f t="shared" si="2"/>
        <v>57.462953022907769</v>
      </c>
    </row>
    <row r="40" spans="1:18">
      <c r="B40" s="46">
        <v>2012</v>
      </c>
      <c r="D40" s="14">
        <f>SUM(D17:D28)</f>
        <v>35.277893217834901</v>
      </c>
      <c r="E40" s="14">
        <f t="shared" ref="E40:P40" si="3">SUM(E17:E28)</f>
        <v>34.416811169799104</v>
      </c>
      <c r="F40" s="14">
        <f t="shared" si="3"/>
        <v>3.139647151195375</v>
      </c>
      <c r="G40" s="14">
        <f t="shared" si="3"/>
        <v>4.5796515226309884</v>
      </c>
      <c r="H40" s="14">
        <f t="shared" si="3"/>
        <v>3.8846685693853074</v>
      </c>
      <c r="I40" s="14">
        <f t="shared" si="3"/>
        <v>12.647698914052981</v>
      </c>
      <c r="J40" s="14">
        <f t="shared" si="3"/>
        <v>14.697472702992869</v>
      </c>
      <c r="K40" s="14">
        <f t="shared" si="3"/>
        <v>22.263085596094587</v>
      </c>
      <c r="L40" s="14">
        <f t="shared" si="3"/>
        <v>7.1885563853172831</v>
      </c>
      <c r="M40" s="14">
        <f t="shared" si="3"/>
        <v>3.9353095970780516</v>
      </c>
      <c r="N40" s="14">
        <f t="shared" si="3"/>
        <v>24.267864779778446</v>
      </c>
      <c r="O40" s="14">
        <f t="shared" si="3"/>
        <v>4.4307611731115477</v>
      </c>
      <c r="P40" s="14">
        <f t="shared" si="3"/>
        <v>12.489352121264739</v>
      </c>
      <c r="Q40" s="14">
        <f t="shared" ref="Q40:R40" si="4">SUM(Q17:Q28)</f>
        <v>35.160655522971922</v>
      </c>
      <c r="R40" s="14">
        <f t="shared" si="4"/>
        <v>75.140714340041669</v>
      </c>
    </row>
    <row r="41" spans="1:18">
      <c r="B41" s="46" t="s">
        <v>146</v>
      </c>
      <c r="D41" s="14">
        <f>SUM(D29:D37)*(D39+D40)/SUM(D5:D13,D17:D25)</f>
        <v>28.699441235966447</v>
      </c>
      <c r="E41" s="14">
        <f t="shared" ref="E41:L41" si="5">SUM(E29:E37)*(E39+E40)/SUM(E5:E13,E17:E25)</f>
        <v>31.824523018460493</v>
      </c>
      <c r="F41" s="14">
        <f t="shared" si="5"/>
        <v>3.0748148331650338</v>
      </c>
      <c r="G41" s="14">
        <f t="shared" si="5"/>
        <v>4.0874830699014915</v>
      </c>
      <c r="H41" s="14">
        <f t="shared" si="5"/>
        <v>4.2433099977246593</v>
      </c>
      <c r="I41" s="14">
        <f t="shared" si="5"/>
        <v>20.263443795533338</v>
      </c>
      <c r="J41" s="14">
        <f t="shared" si="5"/>
        <v>5.1147703990370728</v>
      </c>
      <c r="K41" s="14">
        <f t="shared" si="5"/>
        <v>8.522435884341375</v>
      </c>
      <c r="L41" s="14">
        <f t="shared" si="5"/>
        <v>22.229071499194859</v>
      </c>
      <c r="M41" s="14">
        <f>SUM(M29:M37)*12/9</f>
        <v>5.9246049969453312</v>
      </c>
      <c r="N41" s="14">
        <f t="shared" ref="N41:P41" si="6">SUM(N29:N37)*12/9</f>
        <v>14.249278377103089</v>
      </c>
      <c r="O41" s="14">
        <f t="shared" si="6"/>
        <v>3.292782872488234</v>
      </c>
      <c r="P41" s="14">
        <f t="shared" si="6"/>
        <v>21.007006128985466</v>
      </c>
      <c r="Q41" s="14">
        <f>SUM(Q29:Q37)*12/9</f>
        <v>33.156738696618362</v>
      </c>
      <c r="R41" s="14">
        <f t="shared" ref="R41" si="7">SUM(R29:R37)*12/9</f>
        <v>75.629650157109779</v>
      </c>
    </row>
    <row r="43" spans="1:18">
      <c r="B43" s="46" t="s">
        <v>147</v>
      </c>
    </row>
    <row r="45" spans="1:18">
      <c r="B45" s="75">
        <v>2011</v>
      </c>
      <c r="C45" s="75">
        <v>1</v>
      </c>
      <c r="D45" s="14">
        <f>AVERAGE(D14:D37)</f>
        <v>2.6302491048842103</v>
      </c>
      <c r="E45" s="14">
        <f t="shared" ref="E45:P45" si="8">AVERAGE(E14:E37)</f>
        <v>2.7132763030490428</v>
      </c>
      <c r="F45" s="14">
        <f t="shared" si="8"/>
        <v>0.25837376498102332</v>
      </c>
      <c r="G45" s="14">
        <f t="shared" si="8"/>
        <v>0.36152043326983296</v>
      </c>
      <c r="H45" s="14">
        <f t="shared" si="8"/>
        <v>0.33854338262118677</v>
      </c>
      <c r="I45" s="14">
        <f t="shared" si="8"/>
        <v>1.2813220810916193</v>
      </c>
      <c r="J45" s="14">
        <f t="shared" si="8"/>
        <v>0.8589248798115906</v>
      </c>
      <c r="K45" s="14">
        <f t="shared" si="8"/>
        <v>1.3673196168637503</v>
      </c>
      <c r="L45" s="14">
        <f t="shared" si="8"/>
        <v>0.961993406480389</v>
      </c>
      <c r="M45" s="14">
        <f t="shared" si="8"/>
        <v>0.3974933753186754</v>
      </c>
      <c r="N45" s="14">
        <f t="shared" si="8"/>
        <v>1.7031641237099837</v>
      </c>
      <c r="O45" s="14">
        <f t="shared" si="8"/>
        <v>0.31130170135345919</v>
      </c>
      <c r="P45" s="14">
        <f t="shared" si="8"/>
        <v>1.3305827873803402</v>
      </c>
      <c r="Q45" s="14">
        <f t="shared" ref="Q45:R45" si="9">AVERAGE(Q14:Q37)</f>
        <v>2.9479617990742519</v>
      </c>
      <c r="R45" s="14">
        <f t="shared" si="9"/>
        <v>6.2027544051161625</v>
      </c>
    </row>
    <row r="46" spans="1:18">
      <c r="B46" s="75">
        <v>2011</v>
      </c>
      <c r="C46" s="75">
        <v>2</v>
      </c>
      <c r="D46" s="14">
        <f>AVERAGE(D5,D15:D37)</f>
        <v>2.5763392735552997</v>
      </c>
      <c r="E46" s="14">
        <f t="shared" ref="E46:P46" si="10">AVERAGE(E5,E15:E37)</f>
        <v>2.6667708454169827</v>
      </c>
      <c r="F46" s="14">
        <f t="shared" si="10"/>
        <v>0.2590893512312738</v>
      </c>
      <c r="G46" s="14">
        <f t="shared" si="10"/>
        <v>0.35419748850640304</v>
      </c>
      <c r="H46" s="14">
        <f t="shared" si="10"/>
        <v>0.33795245568788274</v>
      </c>
      <c r="I46" s="14">
        <f t="shared" si="10"/>
        <v>1.3680693848120997</v>
      </c>
      <c r="J46" s="14">
        <f t="shared" si="10"/>
        <v>0.82113661137077043</v>
      </c>
      <c r="K46" s="14">
        <f t="shared" si="10"/>
        <v>1.2696160595047983</v>
      </c>
      <c r="L46" s="14">
        <f t="shared" si="10"/>
        <v>0.99069441467393871</v>
      </c>
      <c r="M46" s="14">
        <f t="shared" si="10"/>
        <v>0.40342424923034798</v>
      </c>
      <c r="N46" s="14">
        <f t="shared" si="10"/>
        <v>1.6490708361419413</v>
      </c>
      <c r="O46" s="14">
        <f t="shared" si="10"/>
        <v>0.30139915404568324</v>
      </c>
      <c r="P46" s="14">
        <f t="shared" si="10"/>
        <v>1.3886477483444859</v>
      </c>
      <c r="Q46" s="14">
        <f t="shared" ref="Q46:R46" si="11">AVERAGE(Q5,Q15:Q37)</f>
        <v>3.1332969260560266</v>
      </c>
      <c r="R46" s="14">
        <f t="shared" si="11"/>
        <v>6.017419278134386</v>
      </c>
    </row>
    <row r="47" spans="1:18">
      <c r="B47" s="75">
        <v>2011</v>
      </c>
      <c r="C47" s="75">
        <v>3</v>
      </c>
      <c r="D47" s="14">
        <f>AVERAGE(D5:D6,D16:D37)</f>
        <v>2.5180352788224356</v>
      </c>
      <c r="E47" s="14">
        <f t="shared" ref="E47:P47" si="12">AVERAGE(E5:E6,E16:E37)</f>
        <v>2.587246449418346</v>
      </c>
      <c r="F47" s="14">
        <f t="shared" si="12"/>
        <v>0.26073401602711066</v>
      </c>
      <c r="G47" s="14">
        <f t="shared" si="12"/>
        <v>0.35719845514060061</v>
      </c>
      <c r="H47" s="14">
        <f t="shared" si="12"/>
        <v>0.33257605945862101</v>
      </c>
      <c r="I47" s="14">
        <f t="shared" si="12"/>
        <v>1.4685454761911612</v>
      </c>
      <c r="J47" s="14">
        <f t="shared" si="12"/>
        <v>0.81576729226124556</v>
      </c>
      <c r="K47" s="14">
        <f t="shared" si="12"/>
        <v>1.264574184939492</v>
      </c>
      <c r="L47" s="14">
        <f t="shared" si="12"/>
        <v>0.96474940849819035</v>
      </c>
      <c r="M47" s="14">
        <f t="shared" si="12"/>
        <v>0.39426557422522324</v>
      </c>
      <c r="N47" s="14">
        <f t="shared" si="12"/>
        <v>1.6412519296737793</v>
      </c>
      <c r="O47" s="14">
        <f t="shared" si="12"/>
        <v>0.30046569857818534</v>
      </c>
      <c r="P47" s="14">
        <f t="shared" si="12"/>
        <v>1.3962848126825307</v>
      </c>
      <c r="Q47" s="14">
        <f t="shared" ref="Q47:R47" si="13">AVERAGE(Q5:Q6,Q16:Q37)</f>
        <v>3.2223711341914565</v>
      </c>
      <c r="R47" s="14">
        <f t="shared" si="13"/>
        <v>5.903230914747815</v>
      </c>
    </row>
    <row r="48" spans="1:18">
      <c r="B48" s="75">
        <v>2011</v>
      </c>
      <c r="C48" s="75">
        <v>4</v>
      </c>
      <c r="D48" s="14">
        <f>AVERAGE(D5:D7,D17:D37)</f>
        <v>2.6078125396048448</v>
      </c>
      <c r="E48" s="14">
        <f t="shared" ref="E48:P48" si="14">AVERAGE(E5:E7,E17:E37)</f>
        <v>2.6808713154589783</v>
      </c>
      <c r="F48" s="14">
        <f t="shared" si="14"/>
        <v>0.26246278720861865</v>
      </c>
      <c r="G48" s="14">
        <f t="shared" si="14"/>
        <v>0.35603138333602585</v>
      </c>
      <c r="H48" s="14">
        <f t="shared" si="14"/>
        <v>0.3295292094756414</v>
      </c>
      <c r="I48" s="14">
        <f t="shared" si="14"/>
        <v>1.5315398575433958</v>
      </c>
      <c r="J48" s="14">
        <f t="shared" si="14"/>
        <v>0.81358625646872429</v>
      </c>
      <c r="K48" s="14">
        <f t="shared" si="14"/>
        <v>1.2546855283141716</v>
      </c>
      <c r="L48" s="14">
        <f t="shared" si="14"/>
        <v>0.92933633261566417</v>
      </c>
      <c r="M48" s="14">
        <f t="shared" si="14"/>
        <v>0.39433709937223704</v>
      </c>
      <c r="N48" s="14">
        <f t="shared" si="14"/>
        <v>1.6398404231963088</v>
      </c>
      <c r="O48" s="14">
        <f t="shared" si="14"/>
        <v>0.28998164428051759</v>
      </c>
      <c r="P48" s="14">
        <f t="shared" si="14"/>
        <v>1.4081088483106547</v>
      </c>
      <c r="Q48" s="14">
        <f t="shared" ref="Q48:R48" si="15">AVERAGE(Q5:Q7,Q17:Q37)</f>
        <v>3.254957019770115</v>
      </c>
      <c r="R48" s="14">
        <f t="shared" si="15"/>
        <v>5.8706450291691565</v>
      </c>
    </row>
    <row r="49" spans="2:18">
      <c r="B49" s="75">
        <v>2011</v>
      </c>
      <c r="C49" s="75">
        <v>5</v>
      </c>
      <c r="D49" s="14">
        <f>AVERAGE(D$5:D8,D18:D$37)</f>
        <v>2.6335514810572205</v>
      </c>
      <c r="E49" s="14">
        <f>AVERAGE(E$5:E8,E18:E$37)</f>
        <v>2.6994102898360208</v>
      </c>
      <c r="F49" s="14">
        <f>AVERAGE(F$5:F8,F18:F$37)</f>
        <v>0.26447611014361233</v>
      </c>
      <c r="G49" s="14">
        <f>AVERAGE(G$5:G8,G18:G$37)</f>
        <v>0.35699958208642579</v>
      </c>
      <c r="H49" s="14">
        <f>AVERAGE(H$5:H8,H18:H$37)</f>
        <v>0.3284043193204077</v>
      </c>
      <c r="I49" s="14">
        <f>AVERAGE(I$5:I8,I18:I$37)</f>
        <v>1.6683922185836659</v>
      </c>
      <c r="J49" s="14">
        <f>AVERAGE(J$5:J8,J18:J$37)</f>
        <v>0.72805283441322155</v>
      </c>
      <c r="K49" s="14">
        <f>AVERAGE(K$5:K8,K18:K$37)</f>
        <v>1.1202549034349489</v>
      </c>
      <c r="L49" s="14">
        <f>AVERAGE(L$5:L8,L18:L$37)</f>
        <v>0.9821618733993206</v>
      </c>
      <c r="M49" s="14">
        <f>AVERAGE(M$5:M8,M18:M$37)</f>
        <v>0.40028585098041991</v>
      </c>
      <c r="N49" s="14">
        <f>AVERAGE(N$5:N8,N18:N$37)</f>
        <v>1.6199439027590128</v>
      </c>
      <c r="O49" s="14">
        <f>AVERAGE(O$5:O8,O18:O$37)</f>
        <v>0.28086878853793174</v>
      </c>
      <c r="P49" s="14">
        <f>AVERAGE(P$5:P8,P18:P$37)</f>
        <v>1.4260324865809839</v>
      </c>
      <c r="Q49" s="14">
        <f>AVERAGE(Q$5:Q8,Q18:Q$37)</f>
        <v>3.2250267316815759</v>
      </c>
      <c r="R49" s="14">
        <f>AVERAGE(R$5:R8,R18:R$37)</f>
        <v>5.8880182396321246</v>
      </c>
    </row>
    <row r="50" spans="2:18">
      <c r="B50" s="75">
        <v>2011</v>
      </c>
      <c r="C50" s="75">
        <v>6</v>
      </c>
      <c r="D50" s="14">
        <f>AVERAGE(D$5:D9,D19:D$37)</f>
        <v>2.6426762261920791</v>
      </c>
      <c r="E50" s="14">
        <f>AVERAGE(E$5:E9,E19:E$37)</f>
        <v>2.733452941615985</v>
      </c>
      <c r="F50" s="14">
        <f>AVERAGE(F$5:F9,F19:F$37)</f>
        <v>0.26617823028767368</v>
      </c>
      <c r="G50" s="14">
        <f>AVERAGE(G$5:G9,G19:G$37)</f>
        <v>0.35468204675222165</v>
      </c>
      <c r="H50" s="14">
        <f>AVERAGE(H$5:H9,H19:H$37)</f>
        <v>0.33052921644263977</v>
      </c>
      <c r="I50" s="14">
        <f>AVERAGE(I$5:I9,I19:I$37)</f>
        <v>1.7498189371223647</v>
      </c>
      <c r="J50" s="14">
        <f>AVERAGE(J$5:J9,J19:J$37)</f>
        <v>0.59713953399630648</v>
      </c>
      <c r="K50" s="14">
        <f>AVERAGE(K$5:K9,K19:K$37)</f>
        <v>1.0422791263227273</v>
      </c>
      <c r="L50" s="14">
        <f>AVERAGE(L$5:L9,L19:L$37)</f>
        <v>1.0299073418715676</v>
      </c>
      <c r="M50" s="14">
        <f>AVERAGE(M$5:M9,M19:M$37)</f>
        <v>0.40083587715414543</v>
      </c>
      <c r="N50" s="14">
        <f>AVERAGE(N$5:N9,N19:N$37)</f>
        <v>1.6220118717773948</v>
      </c>
      <c r="O50" s="14">
        <f>AVERAGE(O$5:O9,O19:O$37)</f>
        <v>0.26220201970404183</v>
      </c>
      <c r="P50" s="14">
        <f>AVERAGE(P$5:P9,P19:P$37)</f>
        <v>1.452355232825506</v>
      </c>
      <c r="Q50" s="14">
        <f>AVERAGE(Q$5:Q9,Q19:Q$37)</f>
        <v>3.4283897561818377</v>
      </c>
      <c r="R50" s="14">
        <f>AVERAGE(R$5:R9,R19:R$37)</f>
        <v>5.7097693703830039</v>
      </c>
    </row>
    <row r="51" spans="2:18">
      <c r="B51" s="75">
        <v>2011</v>
      </c>
      <c r="C51" s="75">
        <v>7</v>
      </c>
      <c r="D51" s="14">
        <f>AVERAGE(D$5:D10,D20:D$37)</f>
        <v>2.6847267550094411</v>
      </c>
      <c r="E51" s="14">
        <f>AVERAGE(E$5:E10,E20:E$37)</f>
        <v>2.7836100784747821</v>
      </c>
      <c r="F51" s="14">
        <f>AVERAGE(F$5:F10,F20:F$37)</f>
        <v>0.26928641825223587</v>
      </c>
      <c r="G51" s="14">
        <f>AVERAGE(G$5:G10,G20:G$37)</f>
        <v>0.3510583181094491</v>
      </c>
      <c r="H51" s="14">
        <f>AVERAGE(H$5:H10,H20:H$37)</f>
        <v>0.32849304207013813</v>
      </c>
      <c r="I51" s="14">
        <f>AVERAGE(I$5:I10,I20:I$37)</f>
        <v>1.8506944880699949</v>
      </c>
      <c r="J51" s="14">
        <f>AVERAGE(J$5:J10,J20:J$37)</f>
        <v>0.52070826752615007</v>
      </c>
      <c r="K51" s="14">
        <f>AVERAGE(K$5:K10,K20:K$37)</f>
        <v>0.93164544426929152</v>
      </c>
      <c r="L51" s="14">
        <f>AVERAGE(L$5:L10,L20:L$37)</f>
        <v>1.082267185808597</v>
      </c>
      <c r="M51" s="14">
        <f>AVERAGE(M$5:M10,M20:M$37)</f>
        <v>0.4048619157198769</v>
      </c>
      <c r="N51" s="14">
        <f>AVERAGE(N$5:N10,N20:N$37)</f>
        <v>1.596651024809882</v>
      </c>
      <c r="O51" s="14">
        <f>AVERAGE(O$5:O10,O20:O$37)</f>
        <v>0.24468364207871249</v>
      </c>
      <c r="P51" s="14">
        <f>AVERAGE(P$5:P10,P20:P$37)</f>
        <v>1.486071432551247</v>
      </c>
      <c r="Q51" s="14">
        <f>AVERAGE(Q$5:Q10,Q20:Q$37)</f>
        <v>3.5592506257780916</v>
      </c>
      <c r="R51" s="14">
        <f>AVERAGE(R$5:R10,R20:R$37)</f>
        <v>5.566351423161179</v>
      </c>
    </row>
    <row r="52" spans="2:18">
      <c r="B52" s="75">
        <v>2011</v>
      </c>
      <c r="C52" s="75">
        <v>8</v>
      </c>
      <c r="D52" s="14">
        <f>AVERAGE(D$5:D11,D21:D$37)</f>
        <v>2.7451399688477878</v>
      </c>
      <c r="E52" s="14">
        <f>AVERAGE(E$5:E11,E21:E$37)</f>
        <v>2.8546717677252196</v>
      </c>
      <c r="F52" s="14">
        <f>AVERAGE(F$5:F11,F21:F$37)</f>
        <v>0.27215416943554244</v>
      </c>
      <c r="G52" s="14">
        <f>AVERAGE(G$5:G11,G21:G$37)</f>
        <v>0.34883612383192864</v>
      </c>
      <c r="H52" s="14">
        <f>AVERAGE(H$5:H11,H21:H$37)</f>
        <v>0.32862526172948026</v>
      </c>
      <c r="I52" s="14">
        <f>AVERAGE(I$5:I11,I21:I$37)</f>
        <v>1.858817234008834</v>
      </c>
      <c r="J52" s="14">
        <f>AVERAGE(J$5:J11,J21:J$37)</f>
        <v>0.47024195118936851</v>
      </c>
      <c r="K52" s="14">
        <f>AVERAGE(K$5:K11,K21:K$37)</f>
        <v>0.91650512299386344</v>
      </c>
      <c r="L52" s="14">
        <f>AVERAGE(L$5:L11,L21:L$37)</f>
        <v>1.099641106455318</v>
      </c>
      <c r="M52" s="14">
        <f>AVERAGE(M$5:M11,M21:M$37)</f>
        <v>0.40379226394935025</v>
      </c>
      <c r="N52" s="14">
        <f>AVERAGE(N$5:N11,N21:N$37)</f>
        <v>1.6020951441398861</v>
      </c>
      <c r="O52" s="14">
        <f>AVERAGE(O$5:O11,O21:O$37)</f>
        <v>0.23742741478761964</v>
      </c>
      <c r="P52" s="14">
        <f>AVERAGE(P$5:P11,P21:P$37)</f>
        <v>1.4940901785842324</v>
      </c>
      <c r="Q52" s="14">
        <f>AVERAGE(Q$5:Q11,Q21:Q$37)</f>
        <v>3.6782501393070639</v>
      </c>
      <c r="R52" s="14">
        <f>AVERAGE(R$5:R11,R21:R$37)</f>
        <v>5.4599089872577773</v>
      </c>
    </row>
    <row r="53" spans="2:18">
      <c r="B53" s="75">
        <v>2011</v>
      </c>
      <c r="C53" s="75">
        <v>9</v>
      </c>
      <c r="D53" s="14">
        <f>AVERAGE(D$5:D12,D22:D$37)</f>
        <v>2.7417303051784354</v>
      </c>
      <c r="E53" s="14">
        <f>AVERAGE(E$5:E12,E22:E$37)</f>
        <v>2.8791255708242183</v>
      </c>
      <c r="F53" s="14">
        <f>AVERAGE(F$5:F12,F22:F$37)</f>
        <v>0.26870063367740266</v>
      </c>
      <c r="G53" s="14">
        <f>AVERAGE(G$5:G12,G22:G$37)</f>
        <v>0.35620092983539126</v>
      </c>
      <c r="H53" s="14">
        <f>AVERAGE(H$5:H12,H22:H$37)</f>
        <v>0.32601958735595499</v>
      </c>
      <c r="I53" s="14">
        <f>AVERAGE(I$5:I12,I22:I$37)</f>
        <v>1.8721357938019247</v>
      </c>
      <c r="J53" s="14">
        <f>AVERAGE(J$5:J12,J22:J$37)</f>
        <v>0.41509141677809652</v>
      </c>
      <c r="K53" s="14">
        <f>AVERAGE(K$5:K12,K22:K$37)</f>
        <v>0.85099088194715755</v>
      </c>
      <c r="L53" s="14">
        <f>AVERAGE(L$5:L12,L22:L$37)</f>
        <v>1.1222416000568318</v>
      </c>
      <c r="M53" s="14">
        <f>AVERAGE(M$5:M12,M22:M$37)</f>
        <v>0.41303331710793662</v>
      </c>
      <c r="N53" s="14">
        <f>AVERAGE(N$5:N12,N22:N$37)</f>
        <v>1.6162427823364143</v>
      </c>
      <c r="O53" s="14">
        <f>AVERAGE(O$5:O12,O22:O$37)</f>
        <v>0.2037834400381012</v>
      </c>
      <c r="P53" s="14">
        <f>AVERAGE(P$5:P12,P22:P$37)</f>
        <v>1.5043454619786363</v>
      </c>
      <c r="Q53" s="14">
        <f>AVERAGE(Q$5:Q12,Q22:Q$37)</f>
        <v>3.7453408225608844</v>
      </c>
      <c r="R53" s="14">
        <f>AVERAGE(R$5:R12,R22:R$37)</f>
        <v>5.3928183040039563</v>
      </c>
    </row>
    <row r="54" spans="2:18">
      <c r="B54" s="75">
        <v>2011</v>
      </c>
      <c r="C54" s="75">
        <v>10</v>
      </c>
      <c r="D54" s="14">
        <f>AVERAGE(D$5:D13,D23:D$37)</f>
        <v>2.7253359820331529</v>
      </c>
      <c r="E54" s="14">
        <f>AVERAGE(E$5:E13,E23:E$37)</f>
        <v>2.8839185904887814</v>
      </c>
      <c r="F54" s="14">
        <f>AVERAGE(F$5:F13,F23:F$37)</f>
        <v>0.26708728770365298</v>
      </c>
      <c r="G54" s="14">
        <f>AVERAGE(G$5:G13,G23:G$37)</f>
        <v>0.35504757316572966</v>
      </c>
      <c r="H54" s="14">
        <f>AVERAGE(H$5:H13,H23:H$37)</f>
        <v>0.32919220911831959</v>
      </c>
      <c r="I54" s="14">
        <f>AVERAGE(I$5:I13,I23:I$37)</f>
        <v>1.8702623440699016</v>
      </c>
      <c r="J54" s="14">
        <f>AVERAGE(J$5:J13,J23:J$37)</f>
        <v>0.39448491589493928</v>
      </c>
      <c r="K54" s="14">
        <f>AVERAGE(K$5:K13,K23:K$37)</f>
        <v>0.83393915880121006</v>
      </c>
      <c r="L54" s="14">
        <f>AVERAGE(L$5:L13,L23:L$37)</f>
        <v>1.1369187150116356</v>
      </c>
      <c r="M54" s="14">
        <f>AVERAGE(M$5:M13,M23:M$37)</f>
        <v>0.40257048003984602</v>
      </c>
      <c r="N54" s="14">
        <f>AVERAGE(N$5:N13,N23:N$37)</f>
        <v>1.672681267280921</v>
      </c>
      <c r="O54" s="14">
        <f>AVERAGE(O$5:O13,O23:O$37)</f>
        <v>0.20481602246815189</v>
      </c>
      <c r="P54" s="14">
        <f>AVERAGE(P$5:P13,P23:P$37)</f>
        <v>1.4573372316721696</v>
      </c>
      <c r="Q54" s="14">
        <f>AVERAGE(Q$5:Q13,Q23:Q$37)</f>
        <v>3.7732322726474177</v>
      </c>
      <c r="R54" s="14">
        <f>AVERAGE(R$5:R13,R23:R$37)</f>
        <v>5.3649268539174235</v>
      </c>
    </row>
    <row r="55" spans="2:18">
      <c r="B55" s="75">
        <v>2011</v>
      </c>
      <c r="C55" s="75">
        <v>11</v>
      </c>
      <c r="D55" s="14">
        <f>AVERAGE(D$5:D14,D24:D$37)</f>
        <v>2.7005161282031942</v>
      </c>
      <c r="E55" s="14">
        <f>AVERAGE(E$5:E14,E24:E$37)</f>
        <v>2.8812715603260521</v>
      </c>
      <c r="F55" s="14">
        <f>AVERAGE(F$5:F14,F24:F$37)</f>
        <v>0.26562741089579284</v>
      </c>
      <c r="G55" s="14">
        <f>AVERAGE(G$5:G14,G24:G$37)</f>
        <v>0.35398812674771513</v>
      </c>
      <c r="H55" s="14">
        <f>AVERAGE(H$5:H14,H24:H$37)</f>
        <v>0.33181651052859734</v>
      </c>
      <c r="I55" s="14">
        <f>AVERAGE(I$5:I14,I24:I$37)</f>
        <v>1.8398587683896384</v>
      </c>
      <c r="J55" s="14">
        <f>AVERAGE(J$5:J14,J24:J$37)</f>
        <v>0.39692771973712465</v>
      </c>
      <c r="K55" s="14">
        <f>AVERAGE(K$5:K14,K24:K$37)</f>
        <v>0.86312947886028768</v>
      </c>
      <c r="L55" s="14">
        <f>AVERAGE(L$5:L14,L24:L$37)</f>
        <v>1.1485643198867603</v>
      </c>
      <c r="M55" s="14">
        <f>AVERAGE(M$5:M14,M24:M$37)</f>
        <v>0.38965642772322467</v>
      </c>
      <c r="N55" s="14">
        <f>AVERAGE(N$5:N14,N24:N$37)</f>
        <v>1.7178144692565116</v>
      </c>
      <c r="O55" s="14">
        <f>AVERAGE(O$5:O14,O24:O$37)</f>
        <v>0.20880044574110379</v>
      </c>
      <c r="P55" s="14">
        <f>AVERAGE(P$5:P14,P24:P$37)</f>
        <v>1.4211336587402486</v>
      </c>
      <c r="Q55" s="14">
        <f>AVERAGE(Q$5:Q14,Q24:Q$37)</f>
        <v>3.78022924996537</v>
      </c>
      <c r="R55" s="14">
        <f>AVERAGE(R$5:R14,R24:R$37)</f>
        <v>5.3579298765994707</v>
      </c>
    </row>
    <row r="56" spans="2:18">
      <c r="B56" s="75">
        <v>2011</v>
      </c>
      <c r="C56" s="75">
        <v>12</v>
      </c>
      <c r="D56" s="14">
        <f>AVERAGE(D$5:D15,D25:D$37)</f>
        <v>2.6352871626395413</v>
      </c>
      <c r="E56" s="14">
        <f>AVERAGE(E$5:E15,E25:E$37)</f>
        <v>2.8614966715001611</v>
      </c>
      <c r="F56" s="14">
        <f>AVERAGE(F$5:F15,F25:F$37)</f>
        <v>0.26477740245399278</v>
      </c>
      <c r="G56" s="14">
        <f>AVERAGE(G$5:G15,G25:G$37)</f>
        <v>0.34492489036813723</v>
      </c>
      <c r="H56" s="14">
        <f>AVERAGE(H$5:H15,H25:H$37)</f>
        <v>0.33597071831610936</v>
      </c>
      <c r="I56" s="14">
        <f>AVERAGE(I$5:I15,I25:I$37)</f>
        <v>1.8561378091273604</v>
      </c>
      <c r="J56" s="14">
        <f>AVERAGE(J$5:J15,J25:J$37)</f>
        <v>0.37446391964140063</v>
      </c>
      <c r="K56" s="14">
        <f>AVERAGE(K$5:K15,K25:K$37)</f>
        <v>0.82589294245331801</v>
      </c>
      <c r="L56" s="14">
        <f>AVERAGE(L$5:L15,L25:L$37)</f>
        <v>1.1909727699849566</v>
      </c>
      <c r="M56" s="14">
        <f>AVERAGE(M$5:M15,M25:M$37)</f>
        <v>0.41005378347043858</v>
      </c>
      <c r="N56" s="14">
        <f>AVERAGE(N$5:N15,N25:N$37)</f>
        <v>1.6266764563691327</v>
      </c>
      <c r="O56" s="14">
        <f>AVERAGE(O$5:O15,O25:O$37)</f>
        <v>0.19222321340329129</v>
      </c>
      <c r="P56" s="14">
        <f>AVERAGE(P$5:P15,P25:P$37)</f>
        <v>1.5033145619168566</v>
      </c>
      <c r="Q56" s="14">
        <f>AVERAGE(Q$5:Q15,Q25:Q$37)</f>
        <v>3.8371586530789652</v>
      </c>
      <c r="R56" s="14">
        <f>AVERAGE(R$5:R15,R25:R$37)</f>
        <v>5.2884433958603054</v>
      </c>
    </row>
    <row r="57" spans="2:18">
      <c r="B57" s="75">
        <v>2012</v>
      </c>
      <c r="C57" s="75">
        <v>1</v>
      </c>
      <c r="D57" s="14">
        <f>AVERAGE(D$5:D16,D26:D$37)</f>
        <v>2.5181774795112397</v>
      </c>
      <c r="E57" s="14">
        <f>AVERAGE(E$5:E16,E26:E$37)</f>
        <v>2.7435489506028468</v>
      </c>
      <c r="F57" s="14">
        <f>AVERAGE(F$5:F16,F26:F$37)</f>
        <v>0.2640867128742978</v>
      </c>
      <c r="G57" s="14">
        <f>AVERAGE(G$5:G16,G26:G$37)</f>
        <v>0.3487962906613129</v>
      </c>
      <c r="H57" s="14">
        <f>AVERAGE(H$5:H16,H26:H$37)</f>
        <v>0.33497274302430929</v>
      </c>
      <c r="I57" s="14">
        <f>AVERAGE(I$5:I16,I26:I$37)</f>
        <v>1.8557697409854541</v>
      </c>
      <c r="J57" s="14">
        <f>AVERAGE(J$5:J16,J26:J$37)</f>
        <v>0.36762427159690736</v>
      </c>
      <c r="K57" s="14">
        <f>AVERAGE(K$5:K16,K26:K$37)</f>
        <v>0.823063094294751</v>
      </c>
      <c r="L57" s="14">
        <f>AVERAGE(L$5:L16,L26:L$37)</f>
        <v>1.2229722799324967</v>
      </c>
      <c r="M57" s="14">
        <f>AVERAGE(M$5:M16,M26:M$37)</f>
        <v>0.40785688085881233</v>
      </c>
      <c r="N57" s="14">
        <f>AVERAGE(N$5:N16,N26:N$37)</f>
        <v>1.6551252008596713</v>
      </c>
      <c r="O57" s="14">
        <f>AVERAGE(O$5:O16,O26:O$37)</f>
        <v>0.20114529638359405</v>
      </c>
      <c r="P57" s="14">
        <f>AVERAGE(P$5:P16,P26:P$37)</f>
        <v>1.4732776233590119</v>
      </c>
      <c r="Q57" s="14">
        <f>AVERAGE(Q$5:Q16,Q26:Q$37)</f>
        <v>3.8245724106513843</v>
      </c>
      <c r="R57" s="14">
        <f>AVERAGE(R$5:R16,R26:R$37)</f>
        <v>5.3135867159134564</v>
      </c>
    </row>
    <row r="58" spans="2:18">
      <c r="B58" s="75">
        <v>2012</v>
      </c>
      <c r="C58" s="75">
        <v>2</v>
      </c>
      <c r="D58" s="14">
        <f>AVERAGE(D$5:D17,D27:D$37)</f>
        <v>2.4810132460607526</v>
      </c>
      <c r="E58" s="14">
        <f>AVERAGE(E$5:E17,E27:E$37)</f>
        <v>2.6979117518477786</v>
      </c>
      <c r="F58" s="14">
        <f>AVERAGE(F$5:F17,F27:F$37)</f>
        <v>0.26224317548808357</v>
      </c>
      <c r="G58" s="14">
        <f>AVERAGE(G$5:G17,G27:G$37)</f>
        <v>0.3461199679576959</v>
      </c>
      <c r="H58" s="14">
        <f>AVERAGE(H$5:H17,H27:H$37)</f>
        <v>0.33589846601946505</v>
      </c>
      <c r="I58" s="14">
        <f>AVERAGE(I$5:I17,I27:I$37)</f>
        <v>1.7833882394730287</v>
      </c>
      <c r="J58" s="14">
        <f>AVERAGE(J$5:J17,J27:J$37)</f>
        <v>0.45423701243699782</v>
      </c>
      <c r="K58" s="14">
        <f>AVERAGE(K$5:K17,K27:K$37)</f>
        <v>0.96207751068366321</v>
      </c>
      <c r="L58" s="14">
        <f>AVERAGE(L$5:L17,L27:L$37)</f>
        <v>1.1560216389693097</v>
      </c>
      <c r="M58" s="14">
        <f>AVERAGE(M$5:M17,M27:M$37)</f>
        <v>0.38605095927520477</v>
      </c>
      <c r="N58" s="14">
        <f>AVERAGE(N$5:N17,N27:N$37)</f>
        <v>1.7772266133818582</v>
      </c>
      <c r="O58" s="14">
        <f>AVERAGE(O$5:O17,O27:O$37)</f>
        <v>0.21981348989269497</v>
      </c>
      <c r="P58" s="14">
        <f>AVERAGE(P$5:P17,P27:P$37)</f>
        <v>1.3543139389113314</v>
      </c>
      <c r="Q58" s="14">
        <f>AVERAGE(Q$5:Q17,Q27:Q$37)</f>
        <v>3.786975332808153</v>
      </c>
      <c r="R58" s="14">
        <f>AVERAGE(R$5:R17,R27:R$37)</f>
        <v>5.3511837937566868</v>
      </c>
    </row>
    <row r="59" spans="2:18">
      <c r="B59" s="75">
        <v>2012</v>
      </c>
      <c r="C59" s="75">
        <v>3</v>
      </c>
      <c r="D59" s="14">
        <f>AVERAGE(D$5:D18,D28:D$37)</f>
        <v>2.443423074415279</v>
      </c>
      <c r="E59" s="14">
        <f>AVERAGE(E$5:E18,E28:E$37)</f>
        <v>2.6459135455943659</v>
      </c>
      <c r="F59" s="14">
        <f>AVERAGE(F$5:F18,F28:F$37)</f>
        <v>0.26095925587774488</v>
      </c>
      <c r="G59" s="14">
        <f>AVERAGE(G$5:G18,G28:G$37)</f>
        <v>0.34483472418991901</v>
      </c>
      <c r="H59" s="14">
        <f>AVERAGE(H$5:H18,H28:H$37)</f>
        <v>0.33847821875069622</v>
      </c>
      <c r="I59" s="14">
        <f>AVERAGE(I$5:I18,I28:I$37)</f>
        <v>1.6953612282000474</v>
      </c>
      <c r="J59" s="14">
        <f>AVERAGE(J$5:J18,J28:J$37)</f>
        <v>0.58523958449984137</v>
      </c>
      <c r="K59" s="14">
        <f>AVERAGE(K$5:K18,K28:K$37)</f>
        <v>1.0378834055547199</v>
      </c>
      <c r="L59" s="14">
        <f>AVERAGE(L$5:L18,L28:L$37)</f>
        <v>1.0936337722678318</v>
      </c>
      <c r="M59" s="14">
        <f>AVERAGE(M$5:M18,M28:M$37)</f>
        <v>0.36679929601158051</v>
      </c>
      <c r="N59" s="14">
        <f>AVERAGE(N$5:N18,N28:N$37)</f>
        <v>1.8661699501728715</v>
      </c>
      <c r="O59" s="14">
        <f>AVERAGE(O$5:O18,O28:O$37)</f>
        <v>0.24892516469844442</v>
      </c>
      <c r="P59" s="14">
        <f>AVERAGE(P$5:P18,P28:P$37)</f>
        <v>1.2503736042768232</v>
      </c>
      <c r="Q59" s="14">
        <f>AVERAGE(Q$5:Q18,Q28:Q$37)</f>
        <v>3.6681499754094133</v>
      </c>
      <c r="R59" s="14">
        <f>AVERAGE(R$5:R18,R28:R$37)</f>
        <v>5.4574520735298568</v>
      </c>
    </row>
    <row r="60" spans="2:18">
      <c r="B60" s="75">
        <v>2012</v>
      </c>
      <c r="C60" s="75">
        <v>4</v>
      </c>
      <c r="D60" s="14">
        <f>AVERAGE(D$5:D19,D29:D$37)</f>
        <v>2.4113968099105501</v>
      </c>
      <c r="E60" s="14">
        <f>AVERAGE(E$5:E19,E29:E$37)</f>
        <v>2.6325561045189061</v>
      </c>
      <c r="F60" s="14">
        <f>AVERAGE(F$5:F19,F29:F$37)</f>
        <v>0.26033166484662768</v>
      </c>
      <c r="G60" s="14">
        <f>AVERAGE(G$5:G19,G29:G$37)</f>
        <v>0.34907160087917838</v>
      </c>
      <c r="H60" s="14">
        <f>AVERAGE(H$5:H19,H29:H$37)</f>
        <v>0.33751144417566437</v>
      </c>
      <c r="I60" s="14">
        <f>AVERAGE(I$5:I19,I29:I$37)</f>
        <v>1.6172649091424371</v>
      </c>
      <c r="J60" s="14">
        <f>AVERAGE(J$5:J19,J29:J$37)</f>
        <v>0.66227675014296061</v>
      </c>
      <c r="K60" s="14">
        <f>AVERAGE(K$5:K19,K29:K$37)</f>
        <v>1.1576112793057676</v>
      </c>
      <c r="L60" s="14">
        <f>AVERAGE(L$5:L19,L29:L$37)</f>
        <v>1.0138172544806241</v>
      </c>
      <c r="M60" s="14">
        <f>AVERAGE(M$5:M19,M29:M$37)</f>
        <v>0.3503172040480505</v>
      </c>
      <c r="N60" s="14">
        <f>AVERAGE(N$5:N19,N29:N$37)</f>
        <v>1.9309794306037358</v>
      </c>
      <c r="O60" s="14">
        <f>AVERAGE(O$5:O19,O29:O$37)</f>
        <v>0.26855635586433763</v>
      </c>
      <c r="P60" s="14">
        <f>AVERAGE(P$5:P19,P29:P$37)</f>
        <v>1.182415024643596</v>
      </c>
      <c r="Q60" s="14">
        <f>AVERAGE(Q$5:Q19,Q29:Q$37)</f>
        <v>3.563013373765616</v>
      </c>
      <c r="R60" s="14">
        <f>AVERAGE(R$5:R19,R29:R$37)</f>
        <v>5.5625886751736537</v>
      </c>
    </row>
    <row r="61" spans="2:18">
      <c r="B61" s="75">
        <v>2012</v>
      </c>
      <c r="C61" s="75">
        <v>5</v>
      </c>
      <c r="D61" s="14">
        <f>AVERAGE(D$5:D20,D30:D$37)</f>
        <v>2.4231552580976343</v>
      </c>
      <c r="E61" s="14">
        <f>AVERAGE(E$5:E20,E30:E$37)</f>
        <v>2.6390488815551558</v>
      </c>
      <c r="F61" s="14">
        <f>AVERAGE(F$5:F20,F30:F$37)</f>
        <v>0.2591199775516847</v>
      </c>
      <c r="G61" s="14">
        <f>AVERAGE(G$5:G20,G30:G$37)</f>
        <v>0.35948063355439058</v>
      </c>
      <c r="H61" s="14">
        <f>AVERAGE(H$5:H20,H30:H$37)</f>
        <v>0.33325001744083843</v>
      </c>
      <c r="I61" s="14">
        <f>AVERAGE(I$5:I20,I30:I$37)</f>
        <v>1.5491989966400332</v>
      </c>
      <c r="J61" s="14">
        <f>AVERAGE(J$5:J20,J30:J$37)</f>
        <v>0.73794545952362134</v>
      </c>
      <c r="K61" s="14">
        <f>AVERAGE(K$5:K20,K30:K$37)</f>
        <v>1.2869412134382978</v>
      </c>
      <c r="L61" s="14">
        <f>AVERAGE(L$5:L20,L30:L$37)</f>
        <v>0.92343138477293663</v>
      </c>
      <c r="M61" s="14">
        <f>AVERAGE(M$5:M20,M30:M$37)</f>
        <v>0.32860758822525593</v>
      </c>
      <c r="N61" s="14">
        <f>AVERAGE(N$5:N20,N30:N$37)</f>
        <v>2.0326884601818014</v>
      </c>
      <c r="O61" s="14">
        <f>AVERAGE(O$5:O20,O30:O$37)</f>
        <v>0.29824132676599246</v>
      </c>
      <c r="P61" s="14">
        <f>AVERAGE(P$5:P20,P30:P$37)</f>
        <v>1.0778676262880398</v>
      </c>
      <c r="Q61" s="14">
        <f>AVERAGE(Q$5:Q20,Q30:Q$37)</f>
        <v>3.4576901611834345</v>
      </c>
      <c r="R61" s="14">
        <f>AVERAGE(R$5:R20,R30:R$37)</f>
        <v>5.6804689653814071</v>
      </c>
    </row>
    <row r="62" spans="2:18">
      <c r="B62" s="75">
        <v>2012</v>
      </c>
      <c r="C62" s="75">
        <v>6</v>
      </c>
      <c r="D62" s="14">
        <f>AVERAGE(D$5:D21,D31:D$37)</f>
        <v>2.5320073373552221</v>
      </c>
      <c r="E62" s="14">
        <f>AVERAGE(E$5:E21,E31:E$37)</f>
        <v>2.705254296979863</v>
      </c>
      <c r="F62" s="14">
        <f>AVERAGE(F$5:F21,F31:F$37)</f>
        <v>0.26368596304935038</v>
      </c>
      <c r="G62" s="14">
        <f>AVERAGE(G$5:G21,G31:G$37)</f>
        <v>0.36010896202600345</v>
      </c>
      <c r="H62" s="14">
        <f>AVERAGE(H$5:H21,H31:H$37)</f>
        <v>0.33312462068087656</v>
      </c>
      <c r="I62" s="14">
        <f>AVERAGE(I$5:I21,I31:I$37)</f>
        <v>1.5171743485417164</v>
      </c>
      <c r="J62" s="14">
        <f>AVERAGE(J$5:J21,J31:J$37)</f>
        <v>0.81792443348319388</v>
      </c>
      <c r="K62" s="14">
        <f>AVERAGE(K$5:K21,K31:K$37)</f>
        <v>1.4156038401689643</v>
      </c>
      <c r="L62" s="14">
        <f>AVERAGE(L$5:L21,L31:L$37)</f>
        <v>0.87551030517114559</v>
      </c>
      <c r="M62" s="14">
        <f>AVERAGE(M$5:M21,M31:M$37)</f>
        <v>0.32304897706334296</v>
      </c>
      <c r="N62" s="14">
        <f>AVERAGE(N$5:N21,N31:N$37)</f>
        <v>2.0564493879361714</v>
      </c>
      <c r="O62" s="14">
        <f>AVERAGE(O$5:O21,O31:O$37)</f>
        <v>0.33435025802227791</v>
      </c>
      <c r="P62" s="14">
        <f>AVERAGE(P$5:P21,P31:P$37)</f>
        <v>1.038967337343407</v>
      </c>
      <c r="Q62" s="14">
        <f>AVERAGE(Q$5:Q21,Q31:Q$37)</f>
        <v>3.3478391101211442</v>
      </c>
      <c r="R62" s="14">
        <f>AVERAGE(R$5:R21,R31:R$37)</f>
        <v>5.8279912493204096</v>
      </c>
    </row>
    <row r="63" spans="2:18">
      <c r="B63" s="75">
        <v>2012</v>
      </c>
      <c r="C63" s="75">
        <v>7</v>
      </c>
      <c r="D63" s="14">
        <f>AVERAGE(D$5:D22,D32:D$37)</f>
        <v>2.624827043987318</v>
      </c>
      <c r="E63" s="14">
        <f>AVERAGE(E$5:E22,E32:E$37)</f>
        <v>2.7061609717995818</v>
      </c>
      <c r="F63" s="14">
        <f>AVERAGE(F$5:F22,F32:F$37)</f>
        <v>0.26630359077356963</v>
      </c>
      <c r="G63" s="14">
        <f>AVERAGE(G$5:G22,G32:G$37)</f>
        <v>0.36172866298620515</v>
      </c>
      <c r="H63" s="14">
        <f>AVERAGE(H$5:H22,H32:H$37)</f>
        <v>0.32730689986940137</v>
      </c>
      <c r="I63" s="14">
        <f>AVERAGE(I$5:I22,I32:I$37)</f>
        <v>1.5152491155544023</v>
      </c>
      <c r="J63" s="14">
        <f>AVERAGE(J$5:J22,J32:J$37)</f>
        <v>0.81944545342666297</v>
      </c>
      <c r="K63" s="14">
        <f>AVERAGE(K$5:K22,K32:K$37)</f>
        <v>1.4511650684994031</v>
      </c>
      <c r="L63" s="14">
        <f>AVERAGE(L$5:L22,L32:L$37)</f>
        <v>0.85617514970640152</v>
      </c>
      <c r="M63" s="14">
        <f>AVERAGE(M$5:M22,M32:M$37)</f>
        <v>0.34558162641031487</v>
      </c>
      <c r="N63" s="14">
        <f>AVERAGE(N$5:N22,N32:N$37)</f>
        <v>2.0002343896522174</v>
      </c>
      <c r="O63" s="14">
        <f>AVERAGE(O$5:O22,O32:O$37)</f>
        <v>0.29409288114208249</v>
      </c>
      <c r="P63" s="14">
        <f>AVERAGE(P$5:P22,P32:P$37)</f>
        <v>1.1077700768592145</v>
      </c>
      <c r="Q63" s="14">
        <f>AVERAGE(Q$5:Q22,Q32:Q$37)</f>
        <v>3.3338577815310821</v>
      </c>
      <c r="R63" s="14">
        <f>AVERAGE(R$5:R22,R32:R$37)</f>
        <v>5.8294155002849015</v>
      </c>
    </row>
    <row r="64" spans="2:18">
      <c r="B64" s="75">
        <v>2012</v>
      </c>
      <c r="C64" s="75">
        <v>8</v>
      </c>
      <c r="D64" s="14">
        <f>AVERAGE(D$5:D23,D33:D$37)</f>
        <v>2.7266323276010738</v>
      </c>
      <c r="E64" s="14">
        <f>AVERAGE(E$5:E23,E33:E$37)</f>
        <v>2.770133218226642</v>
      </c>
      <c r="F64" s="14">
        <f>AVERAGE(F$5:F23,F33:F$37)</f>
        <v>0.26903862691794228</v>
      </c>
      <c r="G64" s="14">
        <f>AVERAGE(G$5:G23,G33:G$37)</f>
        <v>0.36554652583353137</v>
      </c>
      <c r="H64" s="14">
        <f>AVERAGE(H$5:H23,H33:H$37)</f>
        <v>0.32346546434403761</v>
      </c>
      <c r="I64" s="14">
        <f>AVERAGE(I$5:I23,I33:I$37)</f>
        <v>1.5562554329557134</v>
      </c>
      <c r="J64" s="14">
        <f>AVERAGE(J$5:J23,J33:J$37)</f>
        <v>0.76054020777230724</v>
      </c>
      <c r="K64" s="14">
        <f>AVERAGE(K$5:K23,K33:K$37)</f>
        <v>1.4191942765080645</v>
      </c>
      <c r="L64" s="14">
        <f>AVERAGE(L$5:L23,L33:L$37)</f>
        <v>0.86578092553020225</v>
      </c>
      <c r="M64" s="14">
        <f>AVERAGE(M$5:M23,M33:M$37)</f>
        <v>0.36245050616596902</v>
      </c>
      <c r="N64" s="14">
        <f>AVERAGE(N$5:N23,N33:N$37)</f>
        <v>1.9530858211295012</v>
      </c>
      <c r="O64" s="14">
        <f>AVERAGE(O$5:O23,O33:O$37)</f>
        <v>0.27306092221296802</v>
      </c>
      <c r="P64" s="14">
        <f>AVERAGE(P$5:P23,P33:P$37)</f>
        <v>1.1642187108567608</v>
      </c>
      <c r="Q64" s="14">
        <f>AVERAGE(Q$5:Q23,Q33:Q$37)</f>
        <v>3.342708142675495</v>
      </c>
      <c r="R64" s="14">
        <f>AVERAGE(R$5:R23,R33:R$37)</f>
        <v>5.8331222167660597</v>
      </c>
    </row>
    <row r="65" spans="2:18">
      <c r="B65" s="75">
        <v>2012</v>
      </c>
      <c r="C65" s="75">
        <v>9</v>
      </c>
      <c r="D65" s="14">
        <f>AVERAGE(D$5:D24,D34:D$37)</f>
        <v>2.7638946547336238</v>
      </c>
      <c r="E65" s="14">
        <f>AVERAGE(E$5:E24,E34:E$37)</f>
        <v>2.7872056272912524</v>
      </c>
      <c r="F65" s="14">
        <f>AVERAGE(F$5:F24,F34:F$37)</f>
        <v>0.26951742532250583</v>
      </c>
      <c r="G65" s="14">
        <f>AVERAGE(G$5:G24,G34:G$37)</f>
        <v>0.36982341185600065</v>
      </c>
      <c r="H65" s="14">
        <f>AVERAGE(H$5:H24,H34:H$37)</f>
        <v>0.31869444040980682</v>
      </c>
      <c r="I65" s="14">
        <f>AVERAGE(I$5:I24,I34:I$37)</f>
        <v>1.5532741601043802</v>
      </c>
      <c r="J65" s="14">
        <f>AVERAGE(J$5:J24,J34:J$37)</f>
        <v>0.76676268014685345</v>
      </c>
      <c r="K65" s="14">
        <f>AVERAGE(K$5:K24,K34:K$37)</f>
        <v>1.4170774024008228</v>
      </c>
      <c r="L65" s="14">
        <f>AVERAGE(L$5:L24,L34:L$37)</f>
        <v>0.84217568741713122</v>
      </c>
      <c r="M65" s="14">
        <f>AVERAGE(M$5:M24,M34:M$37)</f>
        <v>0.34204957717945356</v>
      </c>
      <c r="N65" s="14">
        <f>AVERAGE(N$5:N24,N34:N$37)</f>
        <v>2.0163335087678558</v>
      </c>
      <c r="O65" s="14">
        <f>AVERAGE(O$5:O24,O34:O$37)</f>
        <v>0.27813471964130665</v>
      </c>
      <c r="P65" s="14">
        <f>AVERAGE(P$5:P24,P34:P$37)</f>
        <v>1.1163848230082973</v>
      </c>
      <c r="Q65" s="14">
        <f>AVERAGE(Q$5:Q24,Q34:Q$37)</f>
        <v>3.3873356938404933</v>
      </c>
      <c r="R65" s="14">
        <f>AVERAGE(R$5:R24,R34:R$37)</f>
        <v>5.7886954566647608</v>
      </c>
    </row>
    <row r="66" spans="2:18">
      <c r="B66" s="75">
        <v>2012</v>
      </c>
      <c r="C66" s="75">
        <v>10</v>
      </c>
      <c r="D66" s="14">
        <f>AVERAGE(D$5:D25,D35:D$37)</f>
        <v>2.7434756489484058</v>
      </c>
      <c r="E66" s="14">
        <f>AVERAGE(E$5:E25,E35:E$37)</f>
        <v>2.7560781542178598</v>
      </c>
      <c r="F66" s="14">
        <f>AVERAGE(F$5:F25,F35:F$37)</f>
        <v>0.26718842198521858</v>
      </c>
      <c r="G66" s="14">
        <f>AVERAGE(G$5:G25,G35:G$37)</f>
        <v>0.36976764280908653</v>
      </c>
      <c r="H66" s="14">
        <f>AVERAGE(H$5:H25,H35:H$37)</f>
        <v>0.32015849418521086</v>
      </c>
      <c r="I66" s="14">
        <f>AVERAGE(I$5:I25,I35:I$37)</f>
        <v>1.4656156561291365</v>
      </c>
      <c r="J66" s="14">
        <f>AVERAGE(J$5:J25,J35:J$37)</f>
        <v>0.77690741811582342</v>
      </c>
      <c r="K66" s="14">
        <f>AVERAGE(K$5:K25,K35:K$37)</f>
        <v>1.4298451071124356</v>
      </c>
      <c r="L66" s="14">
        <f>AVERAGE(L$5:L25,L35:L$37)</f>
        <v>0.79615727845031248</v>
      </c>
      <c r="M66" s="14">
        <f>AVERAGE(M$5:M25,M35:M$37)</f>
        <v>0.33724800348748146</v>
      </c>
      <c r="N66" s="14">
        <f>AVERAGE(N$5:N25,N35:N$37)</f>
        <v>2.0649185126309049</v>
      </c>
      <c r="O66" s="14">
        <f>AVERAGE(O$5:O25,O35:O$37)</f>
        <v>0.28110548129641894</v>
      </c>
      <c r="P66" s="14">
        <f>AVERAGE(P$5:P25,P35:P$37)</f>
        <v>1.0707561566017247</v>
      </c>
      <c r="Q66" s="14">
        <f>AVERAGE(Q$5:Q25,Q35:Q$37)</f>
        <v>3.523794562441962</v>
      </c>
      <c r="R66" s="14">
        <f>AVERAGE(R$5:R25,R35:R$37)</f>
        <v>5.6541939382675652</v>
      </c>
    </row>
    <row r="67" spans="2:18">
      <c r="B67" s="75">
        <v>2012</v>
      </c>
      <c r="C67" s="75">
        <v>11</v>
      </c>
      <c r="D67" s="14">
        <f>AVERAGE(D$5:D26,D36:D$37)</f>
        <v>2.7246156953103271</v>
      </c>
      <c r="E67" s="14">
        <f>AVERAGE(E$5:E26,E36:E$37)</f>
        <v>2.7615181552213302</v>
      </c>
      <c r="F67" s="14">
        <f>AVERAGE(F$5:F26,F36:F$37)</f>
        <v>0.26709421679123552</v>
      </c>
      <c r="G67" s="14">
        <f>AVERAGE(G$5:G26,G36:G$37)</f>
        <v>0.36826031157006017</v>
      </c>
      <c r="H67" s="14">
        <f>AVERAGE(H$5:H26,H36:H$37)</f>
        <v>0.32146184527446359</v>
      </c>
      <c r="I67" s="14">
        <f>AVERAGE(I$5:I26,I36:I$37)</f>
        <v>1.4241006648759902</v>
      </c>
      <c r="J67" s="14">
        <f>AVERAGE(J$5:J26,J36:J$37)</f>
        <v>0.77773273420163935</v>
      </c>
      <c r="K67" s="14">
        <f>AVERAGE(K$5:K26,K36:K$37)</f>
        <v>1.4305581356244776</v>
      </c>
      <c r="L67" s="14">
        <f>AVERAGE(L$5:L26,L36:L$37)</f>
        <v>0.74381938564200867</v>
      </c>
      <c r="M67" s="14">
        <f>AVERAGE(M$5:M26,M36:M$37)</f>
        <v>0.33608907687532324</v>
      </c>
      <c r="N67" s="14">
        <f>AVERAGE(N$5:N26,N36:N$37)</f>
        <v>2.0679564890021571</v>
      </c>
      <c r="O67" s="14">
        <f>AVERAGE(O$5:O26,O36:O$37)</f>
        <v>0.28110551230667996</v>
      </c>
      <c r="P67" s="14">
        <f>AVERAGE(P$5:P26,P36:P$37)</f>
        <v>1.069392018187451</v>
      </c>
      <c r="Q67" s="14">
        <f>AVERAGE(Q$5:Q26,Q36:Q$37)</f>
        <v>3.5940108471188346</v>
      </c>
      <c r="R67" s="14">
        <f>AVERAGE(R$5:R26,R36:R$37)</f>
        <v>5.585212897166584</v>
      </c>
    </row>
    <row r="68" spans="2:18">
      <c r="B68" s="75">
        <v>2012</v>
      </c>
      <c r="C68" s="75">
        <v>12</v>
      </c>
      <c r="D68" s="14">
        <f>AVERAGE(D$5:D27,D37:D$37)</f>
        <v>2.7128360204572246</v>
      </c>
      <c r="E68" s="14">
        <f>AVERAGE(E$5:E27,E37:E$37)</f>
        <v>2.7905508018176035</v>
      </c>
      <c r="F68" s="14">
        <f>AVERAGE(F$5:F27,F37:F$37)</f>
        <v>0.2671455090533858</v>
      </c>
      <c r="G68" s="14">
        <f>AVERAGE(G$5:G27,G37:G$37)</f>
        <v>0.36516235792036161</v>
      </c>
      <c r="H68" s="14">
        <f>AVERAGE(H$5:H27,H37:H$37)</f>
        <v>0.32191259330823851</v>
      </c>
      <c r="I68" s="14">
        <f>AVERAGE(I$5:I27,I37:I$37)</f>
        <v>1.4585047991694504</v>
      </c>
      <c r="J68" s="14">
        <f>AVERAGE(J$5:J27,J37:J$37)</f>
        <v>0.77759553486997313</v>
      </c>
      <c r="K68" s="14">
        <f>AVERAGE(K$5:K27,K37:K$37)</f>
        <v>1.4176918811612191</v>
      </c>
      <c r="L68" s="14">
        <f>AVERAGE(L$5:L27,L37:L$37)</f>
        <v>0.77076622214684665</v>
      </c>
      <c r="M68" s="14">
        <f>AVERAGE(M$5:M27,M37:M$37)</f>
        <v>0.32270851871321066</v>
      </c>
      <c r="N68" s="14">
        <f>AVERAGE(N$5:N27,N37:N$37)</f>
        <v>2.0719384617907721</v>
      </c>
      <c r="O68" s="14">
        <f>AVERAGE(O$5:O27,O37:O$37)</f>
        <v>0.28067363947310897</v>
      </c>
      <c r="P68" s="14">
        <f>AVERAGE(P$5:P27,P37:P$37)</f>
        <v>1.0743128649707874</v>
      </c>
      <c r="Q68" s="14">
        <f>AVERAGE(Q$5:Q27,Q37:Q$37)</f>
        <v>3.59654134389092</v>
      </c>
      <c r="R68" s="14">
        <f>AVERAGE(R$5:R27,R37:R$37)</f>
        <v>5.5701253227689271</v>
      </c>
    </row>
    <row r="69" spans="2:18">
      <c r="B69" s="75">
        <v>2013</v>
      </c>
      <c r="C69" s="75">
        <v>1</v>
      </c>
      <c r="D69" s="14">
        <f>AVERAGE(D5:D28)</f>
        <v>2.6888388785055923</v>
      </c>
      <c r="E69" s="14">
        <f t="shared" ref="E69:P77" si="16">AVERAGE(E5:E28)</f>
        <v>2.7751071008234676</v>
      </c>
      <c r="F69" s="14">
        <f t="shared" si="16"/>
        <v>0.26427886586986921</v>
      </c>
      <c r="G69" s="14">
        <f t="shared" si="16"/>
        <v>0.36386365045794772</v>
      </c>
      <c r="H69" s="14">
        <f t="shared" si="16"/>
        <v>0.32675580115057695</v>
      </c>
      <c r="I69" s="14">
        <f t="shared" si="16"/>
        <v>1.5016835221354088</v>
      </c>
      <c r="J69" s="14">
        <f t="shared" si="16"/>
        <v>0.7757231388311957</v>
      </c>
      <c r="K69" s="14">
        <f t="shared" si="16"/>
        <v>1.4133588451418522</v>
      </c>
      <c r="L69" s="14">
        <f t="shared" si="16"/>
        <v>0.8143131077845881</v>
      </c>
      <c r="M69" s="14">
        <f t="shared" si="16"/>
        <v>0.31749705482361906</v>
      </c>
      <c r="N69" s="14">
        <f t="shared" si="16"/>
        <v>2.1145459296692857</v>
      </c>
      <c r="O69" s="14">
        <f t="shared" si="16"/>
        <v>0.28075069215290566</v>
      </c>
      <c r="P69" s="14">
        <f t="shared" si="16"/>
        <v>1.0423433096555523</v>
      </c>
      <c r="Q69" s="14">
        <f t="shared" ref="Q69:R69" si="17">AVERAGE(Q5:Q28)</f>
        <v>3.6540709375026679</v>
      </c>
      <c r="R69" s="14">
        <f t="shared" si="17"/>
        <v>5.5251528067895599</v>
      </c>
    </row>
    <row r="70" spans="2:18">
      <c r="B70" s="75">
        <v>2013</v>
      </c>
      <c r="C70" s="75">
        <v>2</v>
      </c>
      <c r="D70" s="14">
        <f t="shared" ref="D70:P77" si="18">AVERAGE(D6:D29)</f>
        <v>2.6647501989827629</v>
      </c>
      <c r="E70" s="14">
        <f t="shared" si="18"/>
        <v>2.7552331152715763</v>
      </c>
      <c r="F70" s="14">
        <f t="shared" si="18"/>
        <v>0.26326528066296151</v>
      </c>
      <c r="G70" s="14">
        <f t="shared" si="18"/>
        <v>0.36206293256368682</v>
      </c>
      <c r="H70" s="14">
        <f t="shared" si="18"/>
        <v>0.33078407754693068</v>
      </c>
      <c r="I70" s="14">
        <f t="shared" si="18"/>
        <v>1.4651744606951531</v>
      </c>
      <c r="J70" s="14">
        <f t="shared" si="18"/>
        <v>0.77830257126729541</v>
      </c>
      <c r="K70" s="14">
        <f t="shared" si="18"/>
        <v>1.4168938840594512</v>
      </c>
      <c r="L70" s="14">
        <f t="shared" si="18"/>
        <v>0.84973538480293798</v>
      </c>
      <c r="M70" s="14">
        <f t="shared" si="18"/>
        <v>0.33022673539113728</v>
      </c>
      <c r="N70" s="14">
        <f t="shared" si="18"/>
        <v>2.0653965427438608</v>
      </c>
      <c r="O70" s="14">
        <f t="shared" si="18"/>
        <v>0.28076466573428233</v>
      </c>
      <c r="P70" s="14">
        <f t="shared" si="18"/>
        <v>1.0684750698293426</v>
      </c>
      <c r="Q70" s="14">
        <f t="shared" ref="Q70:R70" si="19">AVERAGE(Q6:Q29)</f>
        <v>3.5771457854105084</v>
      </c>
      <c r="R70" s="14">
        <f t="shared" si="19"/>
        <v>5.5769638036305791</v>
      </c>
    </row>
    <row r="71" spans="2:18">
      <c r="B71" s="75">
        <v>2013</v>
      </c>
      <c r="C71" s="75">
        <v>3</v>
      </c>
      <c r="D71" s="14">
        <f t="shared" si="18"/>
        <v>2.6667486399150095</v>
      </c>
      <c r="E71" s="14">
        <f t="shared" si="16"/>
        <v>2.7752905920530182</v>
      </c>
      <c r="F71" s="14">
        <f t="shared" si="16"/>
        <v>0.26011054868631406</v>
      </c>
      <c r="G71" s="14">
        <f t="shared" si="16"/>
        <v>0.35966762347286479</v>
      </c>
      <c r="H71" s="14">
        <f t="shared" si="16"/>
        <v>0.33694968710032197</v>
      </c>
      <c r="I71" s="14">
        <f t="shared" si="16"/>
        <v>1.3590047102609384</v>
      </c>
      <c r="J71" s="14">
        <f t="shared" si="16"/>
        <v>0.78790555526766815</v>
      </c>
      <c r="K71" s="14">
        <f t="shared" si="16"/>
        <v>1.4292287196829572</v>
      </c>
      <c r="L71" s="14">
        <f t="shared" si="16"/>
        <v>0.85912485392540783</v>
      </c>
      <c r="M71" s="14">
        <f t="shared" si="16"/>
        <v>0.32832548170987558</v>
      </c>
      <c r="N71" s="14">
        <f t="shared" si="16"/>
        <v>2.1036144680927928</v>
      </c>
      <c r="O71" s="14">
        <f t="shared" si="16"/>
        <v>0.29220231896388332</v>
      </c>
      <c r="P71" s="14">
        <f t="shared" si="16"/>
        <v>1.0207207449320712</v>
      </c>
      <c r="Q71" s="14">
        <f t="shared" ref="Q71:R71" si="20">AVERAGE(Q7:Q30)</f>
        <v>3.450326339895172</v>
      </c>
      <c r="R71" s="14">
        <f t="shared" si="20"/>
        <v>5.7037832491459142</v>
      </c>
    </row>
    <row r="72" spans="2:18">
      <c r="B72" s="75">
        <v>2013</v>
      </c>
      <c r="C72" s="75">
        <v>4</v>
      </c>
      <c r="D72" s="14">
        <f t="shared" si="18"/>
        <v>2.6376192412446477</v>
      </c>
      <c r="E72" s="14">
        <f t="shared" si="16"/>
        <v>2.80022924330112</v>
      </c>
      <c r="F72" s="14">
        <f t="shared" si="16"/>
        <v>0.25785884017179123</v>
      </c>
      <c r="G72" s="14">
        <f t="shared" si="16"/>
        <v>0.35844639186259458</v>
      </c>
      <c r="H72" s="14">
        <f t="shared" si="16"/>
        <v>0.34440205645090177</v>
      </c>
      <c r="I72" s="14">
        <f t="shared" si="16"/>
        <v>1.2495654369838538</v>
      </c>
      <c r="J72" s="14">
        <f t="shared" si="16"/>
        <v>0.84559325454201228</v>
      </c>
      <c r="K72" s="14">
        <f t="shared" si="16"/>
        <v>1.5460205807817475</v>
      </c>
      <c r="L72" s="14">
        <f t="shared" si="16"/>
        <v>0.84352464516256564</v>
      </c>
      <c r="M72" s="14">
        <f t="shared" si="16"/>
        <v>0.31705544115953554</v>
      </c>
      <c r="N72" s="14">
        <f t="shared" si="16"/>
        <v>2.1200384147970808</v>
      </c>
      <c r="O72" s="14">
        <f t="shared" si="16"/>
        <v>0.33827273515518258</v>
      </c>
      <c r="P72" s="14">
        <f t="shared" si="16"/>
        <v>0.96949642258682411</v>
      </c>
      <c r="Q72" s="14">
        <f t="shared" ref="Q72:R72" si="21">AVERAGE(Q8:Q31)</f>
        <v>3.2618235900195902</v>
      </c>
      <c r="R72" s="14">
        <f t="shared" si="21"/>
        <v>5.892285999021496</v>
      </c>
    </row>
    <row r="73" spans="2:18">
      <c r="B73" s="75">
        <v>2013</v>
      </c>
      <c r="C73" s="75">
        <v>5</v>
      </c>
      <c r="D73" s="14">
        <f t="shared" si="18"/>
        <v>2.5826492900313611</v>
      </c>
      <c r="E73" s="14">
        <f t="shared" si="16"/>
        <v>2.7763030038520102</v>
      </c>
      <c r="F73" s="14">
        <f t="shared" si="16"/>
        <v>0.25552480249640963</v>
      </c>
      <c r="G73" s="14">
        <f t="shared" si="16"/>
        <v>0.3579846444672285</v>
      </c>
      <c r="H73" s="14">
        <f t="shared" si="16"/>
        <v>0.34676179214755826</v>
      </c>
      <c r="I73" s="14">
        <f t="shared" si="16"/>
        <v>1.1239434861313979</v>
      </c>
      <c r="J73" s="14">
        <f t="shared" si="16"/>
        <v>0.93724499474420842</v>
      </c>
      <c r="K73" s="14">
        <f t="shared" si="16"/>
        <v>1.6392997088320298</v>
      </c>
      <c r="L73" s="14">
        <f t="shared" si="16"/>
        <v>0.79515175278596795</v>
      </c>
      <c r="M73" s="14">
        <f t="shared" si="16"/>
        <v>0.31366367945776946</v>
      </c>
      <c r="N73" s="14">
        <f t="shared" si="16"/>
        <v>2.1222457915234867</v>
      </c>
      <c r="O73" s="14">
        <f t="shared" si="16"/>
        <v>0.3557484071346268</v>
      </c>
      <c r="P73" s="14">
        <f t="shared" si="16"/>
        <v>0.95320513558274023</v>
      </c>
      <c r="Q73" s="14">
        <f t="shared" ref="Q73:R73" si="22">AVERAGE(Q9:Q32)</f>
        <v>3.1611428060603757</v>
      </c>
      <c r="R73" s="14">
        <f t="shared" si="22"/>
        <v>5.9929667829807114</v>
      </c>
    </row>
    <row r="74" spans="2:18">
      <c r="B74" s="75">
        <v>2013</v>
      </c>
      <c r="C74" s="75">
        <v>6</v>
      </c>
      <c r="D74" s="14">
        <f t="shared" si="18"/>
        <v>2.5947962696182434</v>
      </c>
      <c r="E74" s="14">
        <f t="shared" si="16"/>
        <v>2.7711685347067916</v>
      </c>
      <c r="F74" s="14">
        <f t="shared" si="16"/>
        <v>0.25365074718006891</v>
      </c>
      <c r="G74" s="14">
        <f t="shared" si="16"/>
        <v>0.35888497705922068</v>
      </c>
      <c r="H74" s="14">
        <f t="shared" si="16"/>
        <v>0.3492586506884825</v>
      </c>
      <c r="I74" s="14">
        <f t="shared" si="16"/>
        <v>1.0747569879595031</v>
      </c>
      <c r="J74" s="14">
        <f t="shared" si="16"/>
        <v>0.95617849285892931</v>
      </c>
      <c r="K74" s="14">
        <f t="shared" si="16"/>
        <v>1.6803613068572039</v>
      </c>
      <c r="L74" s="14">
        <f t="shared" si="16"/>
        <v>0.79430188943635249</v>
      </c>
      <c r="M74" s="14">
        <f t="shared" si="16"/>
        <v>0.33287419660700129</v>
      </c>
      <c r="N74" s="14">
        <f t="shared" si="16"/>
        <v>2.0729741622108051</v>
      </c>
      <c r="O74" s="14">
        <f t="shared" si="16"/>
        <v>0.35773039348260433</v>
      </c>
      <c r="P74" s="14">
        <f t="shared" si="16"/>
        <v>0.98119759316649791</v>
      </c>
      <c r="Q74" s="14">
        <f t="shared" ref="Q74:R74" si="23">AVERAGE(Q10:Q33)</f>
        <v>2.9855022485961218</v>
      </c>
      <c r="R74" s="14">
        <f t="shared" si="23"/>
        <v>6.1684065493812659</v>
      </c>
    </row>
    <row r="75" spans="2:18">
      <c r="B75" s="75">
        <v>2013</v>
      </c>
      <c r="C75" s="75">
        <v>7</v>
      </c>
      <c r="D75" s="14">
        <f t="shared" si="18"/>
        <v>2.6170816620605559</v>
      </c>
      <c r="E75" s="14">
        <f t="shared" si="16"/>
        <v>2.7757026396233182</v>
      </c>
      <c r="F75" s="14">
        <f t="shared" si="16"/>
        <v>0.25383465615053047</v>
      </c>
      <c r="G75" s="14">
        <f t="shared" si="16"/>
        <v>0.35630661573339334</v>
      </c>
      <c r="H75" s="14">
        <f t="shared" si="16"/>
        <v>0.35087145444859619</v>
      </c>
      <c r="I75" s="14">
        <f t="shared" si="16"/>
        <v>1.1063026535471443</v>
      </c>
      <c r="J75" s="14">
        <f t="shared" si="16"/>
        <v>0.95545179967721117</v>
      </c>
      <c r="K75" s="14">
        <f t="shared" si="16"/>
        <v>1.6690667404120072</v>
      </c>
      <c r="L75" s="14">
        <f t="shared" si="16"/>
        <v>0.82800099264610694</v>
      </c>
      <c r="M75" s="14">
        <f t="shared" si="16"/>
        <v>0.34630860658683577</v>
      </c>
      <c r="N75" s="14">
        <f t="shared" si="16"/>
        <v>1.9805083144200675</v>
      </c>
      <c r="O75" s="14">
        <f t="shared" si="16"/>
        <v>0.35449480316994064</v>
      </c>
      <c r="P75" s="14">
        <f t="shared" si="16"/>
        <v>1.0623390958704479</v>
      </c>
      <c r="Q75" s="14">
        <f t="shared" ref="Q75:R75" si="24">AVERAGE(Q11:Q34)</f>
        <v>2.8252178009937428</v>
      </c>
      <c r="R75" s="14">
        <f t="shared" si="24"/>
        <v>6.3267336467793713</v>
      </c>
    </row>
    <row r="76" spans="2:18">
      <c r="B76" s="75">
        <v>2013</v>
      </c>
      <c r="C76" s="75">
        <v>8</v>
      </c>
      <c r="D76" s="14">
        <f t="shared" si="18"/>
        <v>2.6311782779525434</v>
      </c>
      <c r="E76" s="14">
        <f t="shared" si="16"/>
        <v>2.7487868630799173</v>
      </c>
      <c r="F76" s="14">
        <f t="shared" si="16"/>
        <v>0.25345988920289697</v>
      </c>
      <c r="G76" s="14">
        <f t="shared" si="16"/>
        <v>0.35816222615169019</v>
      </c>
      <c r="H76" s="14">
        <f t="shared" si="16"/>
        <v>0.34931652655028489</v>
      </c>
      <c r="I76" s="14">
        <f t="shared" si="16"/>
        <v>1.2080709186871939</v>
      </c>
      <c r="J76" s="14">
        <f t="shared" si="16"/>
        <v>0.92836430937762338</v>
      </c>
      <c r="K76" s="14">
        <f t="shared" si="16"/>
        <v>1.5532501698565058</v>
      </c>
      <c r="L76" s="14">
        <f t="shared" si="16"/>
        <v>0.9304741611606806</v>
      </c>
      <c r="M76" s="14">
        <f t="shared" si="16"/>
        <v>0.36688035055128271</v>
      </c>
      <c r="N76" s="14">
        <f t="shared" si="16"/>
        <v>1.8711629613700416</v>
      </c>
      <c r="O76" s="14">
        <f t="shared" si="16"/>
        <v>0.33197112818572</v>
      </c>
      <c r="P76" s="14">
        <f t="shared" si="16"/>
        <v>1.1731214375851655</v>
      </c>
      <c r="Q76" s="14">
        <f t="shared" ref="Q76:R76" si="25">AVERAGE(Q12:Q35)</f>
        <v>2.7852760519090829</v>
      </c>
      <c r="R76" s="14">
        <f t="shared" si="25"/>
        <v>6.3654401522881408</v>
      </c>
    </row>
    <row r="77" spans="2:18">
      <c r="B77" s="75">
        <v>2013</v>
      </c>
      <c r="C77" s="75">
        <v>9</v>
      </c>
      <c r="D77" s="14">
        <f t="shared" si="18"/>
        <v>2.6381061763728657</v>
      </c>
      <c r="E77" s="14">
        <f t="shared" si="16"/>
        <v>2.7143544205570804</v>
      </c>
      <c r="F77" s="14">
        <f t="shared" si="16"/>
        <v>0.255633279201886</v>
      </c>
      <c r="G77" s="14">
        <f t="shared" si="16"/>
        <v>0.36015018465003507</v>
      </c>
      <c r="H77" s="14">
        <f t="shared" si="16"/>
        <v>0.34422294407819903</v>
      </c>
      <c r="I77" s="14">
        <f t="shared" si="16"/>
        <v>1.2405555547739013</v>
      </c>
      <c r="J77" s="14">
        <f t="shared" si="16"/>
        <v>0.89665796223066951</v>
      </c>
      <c r="K77" s="14">
        <f t="shared" si="16"/>
        <v>1.4961367723078054</v>
      </c>
      <c r="L77" s="14">
        <f t="shared" si="16"/>
        <v>0.94209249730312006</v>
      </c>
      <c r="M77" s="14">
        <f t="shared" si="16"/>
        <v>0.38713308858307688</v>
      </c>
      <c r="N77" s="14">
        <f t="shared" si="16"/>
        <v>1.7850240525020693</v>
      </c>
      <c r="O77" s="14">
        <f t="shared" si="16"/>
        <v>0.31851038934005776</v>
      </c>
      <c r="P77" s="14">
        <f t="shared" si="16"/>
        <v>1.252240972389369</v>
      </c>
      <c r="Q77" s="14">
        <f t="shared" ref="Q77:R77" si="26">AVERAGE(Q13:Q36)</f>
        <v>2.8527970964095126</v>
      </c>
      <c r="R77" s="14">
        <f t="shared" si="26"/>
        <v>6.2979191077877106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workbookViewId="0"/>
  </sheetViews>
  <sheetFormatPr defaultRowHeight="15"/>
  <cols>
    <col min="1" max="1" width="19" style="55" bestFit="1" customWidth="1"/>
    <col min="2" max="2" width="12" style="74" bestFit="1" customWidth="1"/>
    <col min="3" max="3" width="14.7109375" style="74" bestFit="1" customWidth="1"/>
  </cols>
  <sheetData>
    <row r="1" spans="1:9">
      <c r="A1" s="1" t="s">
        <v>158</v>
      </c>
      <c r="B1" s="57" t="s">
        <v>159</v>
      </c>
      <c r="C1" s="57" t="s">
        <v>160</v>
      </c>
      <c r="D1" s="56"/>
      <c r="F1" s="90" t="s">
        <v>210</v>
      </c>
    </row>
    <row r="2" spans="1:9">
      <c r="A2" s="1" t="s">
        <v>62</v>
      </c>
      <c r="B2" s="43">
        <v>7.1145274241006806E-2</v>
      </c>
      <c r="C2" s="43">
        <v>7.2516948579378904E-2</v>
      </c>
      <c r="D2" s="95">
        <f>(C2/B2)-1</f>
        <v>1.9279907948987818E-2</v>
      </c>
      <c r="I2" s="23"/>
    </row>
    <row r="3" spans="1:9">
      <c r="A3" s="1" t="s">
        <v>51</v>
      </c>
      <c r="B3" s="43">
        <v>2.16099692981973</v>
      </c>
      <c r="C3" s="43">
        <v>2.1813845807910699</v>
      </c>
      <c r="D3" s="95">
        <f t="shared" ref="D3:D25" si="0">(C3/B3)-1</f>
        <v>9.4343729461201509E-3</v>
      </c>
    </row>
    <row r="4" spans="1:9">
      <c r="A4" s="1" t="s">
        <v>71</v>
      </c>
      <c r="B4" s="43">
        <v>1.1447154845167E-2</v>
      </c>
      <c r="C4" s="43">
        <v>1.1660975474741601E-2</v>
      </c>
      <c r="D4" s="95">
        <f t="shared" si="0"/>
        <v>1.8678932229599043E-2</v>
      </c>
    </row>
    <row r="5" spans="1:9">
      <c r="A5" s="1" t="s">
        <v>61</v>
      </c>
      <c r="B5" s="43">
        <v>1.30430616131804E-2</v>
      </c>
      <c r="C5" s="43">
        <v>1.3267962478452199E-2</v>
      </c>
      <c r="D5" s="95">
        <f t="shared" si="0"/>
        <v>1.7242950462223572E-2</v>
      </c>
    </row>
    <row r="6" spans="1:9">
      <c r="A6" s="1" t="s">
        <v>52</v>
      </c>
      <c r="B6" s="43">
        <v>1.2953730281117499</v>
      </c>
      <c r="C6" s="43">
        <v>1.30510513401768</v>
      </c>
      <c r="D6" s="95">
        <f t="shared" si="0"/>
        <v>7.5129755635845452E-3</v>
      </c>
    </row>
    <row r="7" spans="1:9">
      <c r="A7" s="1" t="s">
        <v>68</v>
      </c>
      <c r="B7" s="43">
        <v>2.05760132175388E-2</v>
      </c>
      <c r="C7" s="43">
        <v>2.0945612983652499E-2</v>
      </c>
      <c r="D7" s="95">
        <f t="shared" si="0"/>
        <v>1.7962652055387274E-2</v>
      </c>
    </row>
    <row r="8" spans="1:9">
      <c r="A8" s="1" t="s">
        <v>60</v>
      </c>
      <c r="B8" s="43">
        <v>4.2547350496053796E-3</v>
      </c>
      <c r="C8" s="43">
        <v>4.3471418510855299E-3</v>
      </c>
      <c r="D8" s="95">
        <f t="shared" si="0"/>
        <v>2.1718579512658653E-2</v>
      </c>
    </row>
    <row r="9" spans="1:9">
      <c r="A9" s="1" t="s">
        <v>53</v>
      </c>
      <c r="B9" s="43">
        <v>2.7595894295598402</v>
      </c>
      <c r="C9" s="43">
        <v>2.7918837664238101</v>
      </c>
      <c r="D9" s="95">
        <f t="shared" si="0"/>
        <v>1.1702587536407849E-2</v>
      </c>
    </row>
    <row r="10" spans="1:9">
      <c r="A10" s="1" t="s">
        <v>63</v>
      </c>
      <c r="B10" s="43">
        <v>4.9585093008385102E-3</v>
      </c>
      <c r="C10" s="43">
        <v>5.0602221494861696E-3</v>
      </c>
      <c r="D10" s="95">
        <f t="shared" si="0"/>
        <v>2.0512787710302183E-2</v>
      </c>
    </row>
    <row r="11" spans="1:9">
      <c r="A11" s="1" t="s">
        <v>54</v>
      </c>
      <c r="B11" s="43">
        <v>1.24113165248607</v>
      </c>
      <c r="C11" s="43">
        <v>1.2599844994218401</v>
      </c>
      <c r="D11" s="95">
        <f t="shared" si="0"/>
        <v>1.5190046034203153E-2</v>
      </c>
    </row>
    <row r="12" spans="1:9">
      <c r="A12" s="1" t="s">
        <v>74</v>
      </c>
      <c r="B12" s="43">
        <v>4.9823724704261198E-2</v>
      </c>
      <c r="C12" s="43">
        <v>3.28299707761113E-2</v>
      </c>
      <c r="D12" s="95">
        <f t="shared" si="0"/>
        <v>-0.34107754948109081</v>
      </c>
    </row>
    <row r="13" spans="1:9">
      <c r="A13" s="1" t="s">
        <v>72</v>
      </c>
      <c r="B13" s="43">
        <v>0.121759978261688</v>
      </c>
      <c r="C13" s="43">
        <v>9.6244930283742994E-2</v>
      </c>
      <c r="D13" s="95">
        <f t="shared" si="0"/>
        <v>-0.20955200832171439</v>
      </c>
    </row>
    <row r="14" spans="1:9">
      <c r="A14" s="1" t="s">
        <v>73</v>
      </c>
      <c r="B14" s="43">
        <v>0.68178805097121198</v>
      </c>
      <c r="C14" s="43">
        <v>0.637518622866031</v>
      </c>
      <c r="D14" s="95">
        <f t="shared" si="0"/>
        <v>-6.4931363995187175E-2</v>
      </c>
    </row>
    <row r="15" spans="1:9">
      <c r="A15" s="1" t="s">
        <v>67</v>
      </c>
      <c r="B15" s="43">
        <v>2.31315253339461E-2</v>
      </c>
      <c r="C15" s="43">
        <v>2.3577460795570701E-2</v>
      </c>
      <c r="D15" s="95">
        <f t="shared" si="0"/>
        <v>1.9278255765095675E-2</v>
      </c>
    </row>
    <row r="16" spans="1:9">
      <c r="A16" s="1" t="s">
        <v>65</v>
      </c>
      <c r="B16" s="43">
        <v>4.8030187213667697E-2</v>
      </c>
      <c r="C16" s="43">
        <v>3.5666861672243901E-2</v>
      </c>
      <c r="D16" s="95">
        <f t="shared" si="0"/>
        <v>-0.25740739852676708</v>
      </c>
    </row>
    <row r="17" spans="1:4">
      <c r="A17" s="1" t="s">
        <v>57</v>
      </c>
      <c r="B17" s="43">
        <v>8.1300195382750604E-3</v>
      </c>
      <c r="C17" s="43">
        <v>8.2299440386729393E-3</v>
      </c>
      <c r="D17" s="95">
        <f t="shared" si="0"/>
        <v>1.2290806919644792E-2</v>
      </c>
    </row>
    <row r="18" spans="1:4">
      <c r="A18" s="1" t="s">
        <v>58</v>
      </c>
      <c r="B18" s="43">
        <v>3.7868871138111E-2</v>
      </c>
      <c r="C18" s="43">
        <v>3.8307572046825902E-2</v>
      </c>
      <c r="D18" s="95">
        <f t="shared" si="0"/>
        <v>1.1584736896828041E-2</v>
      </c>
    </row>
    <row r="19" spans="1:4">
      <c r="A19" s="1" t="s">
        <v>59</v>
      </c>
      <c r="B19" s="43">
        <v>8.65480505061033E-3</v>
      </c>
      <c r="C19" s="43">
        <v>8.8194284385445295E-3</v>
      </c>
      <c r="D19" s="95">
        <f t="shared" si="0"/>
        <v>1.9021039407767004E-2</v>
      </c>
    </row>
    <row r="20" spans="1:4">
      <c r="A20" s="1" t="s">
        <v>69</v>
      </c>
      <c r="B20" s="43">
        <v>7.9798144632103607E-3</v>
      </c>
      <c r="C20" s="43">
        <v>7.9749284950127591E-3</v>
      </c>
      <c r="D20" s="95">
        <f t="shared" si="0"/>
        <v>-6.1229095239334619E-4</v>
      </c>
    </row>
    <row r="21" spans="1:4">
      <c r="A21" s="1" t="s">
        <v>56</v>
      </c>
      <c r="B21" s="43">
        <v>9.7968454682960796E-2</v>
      </c>
      <c r="C21" s="43">
        <v>9.9288656422532803E-2</v>
      </c>
      <c r="D21" s="95">
        <f t="shared" si="0"/>
        <v>1.3475784055636764E-2</v>
      </c>
    </row>
    <row r="22" spans="1:4">
      <c r="A22" s="1" t="s">
        <v>70</v>
      </c>
      <c r="B22" s="43">
        <v>0</v>
      </c>
      <c r="C22" s="43">
        <v>0</v>
      </c>
      <c r="D22" s="95" t="e">
        <f t="shared" si="0"/>
        <v>#DIV/0!</v>
      </c>
    </row>
    <row r="23" spans="1:4">
      <c r="A23" s="1" t="s">
        <v>55</v>
      </c>
      <c r="B23" s="43">
        <v>0.68863348110651401</v>
      </c>
      <c r="C23" s="43">
        <v>0.69797949289912697</v>
      </c>
      <c r="D23" s="95">
        <f t="shared" si="0"/>
        <v>1.3571823109145953E-2</v>
      </c>
    </row>
    <row r="24" spans="1:4">
      <c r="A24" s="1" t="s">
        <v>64</v>
      </c>
      <c r="B24" s="43">
        <v>2.79186080516452E-2</v>
      </c>
      <c r="C24" s="43">
        <v>2.10296164585968E-2</v>
      </c>
      <c r="D24" s="95">
        <f t="shared" si="0"/>
        <v>-0.24675268839710085</v>
      </c>
    </row>
    <row r="25" spans="1:4">
      <c r="A25" s="1" t="s">
        <v>66</v>
      </c>
      <c r="B25" s="43">
        <v>4.8439442717177102E-3</v>
      </c>
      <c r="C25" s="43">
        <v>4.9244008632079598E-3</v>
      </c>
      <c r="D25" s="95">
        <f t="shared" si="0"/>
        <v>1.6609726903757061E-2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G13"/>
  <sheetViews>
    <sheetView zoomScaleNormal="100" workbookViewId="0">
      <selection activeCell="F5" sqref="F5"/>
    </sheetView>
  </sheetViews>
  <sheetFormatPr defaultRowHeight="15"/>
  <cols>
    <col min="1" max="1" width="20.85546875" customWidth="1"/>
    <col min="2" max="2" width="26.42578125" customWidth="1"/>
    <col min="4" max="4" width="12.85546875" customWidth="1"/>
    <col min="5" max="5" width="14.140625" bestFit="1" customWidth="1"/>
    <col min="6" max="6" width="23" bestFit="1" customWidth="1"/>
    <col min="7" max="7" width="20.42578125" bestFit="1" customWidth="1"/>
  </cols>
  <sheetData>
    <row r="1" spans="1:7" s="23" customFormat="1">
      <c r="D1" s="23" t="s">
        <v>195</v>
      </c>
    </row>
    <row r="3" spans="1:7" ht="30.75" customHeight="1">
      <c r="A3" t="s">
        <v>8</v>
      </c>
      <c r="B3" s="3" t="s">
        <v>9</v>
      </c>
      <c r="D3" s="4"/>
      <c r="E3" s="10"/>
      <c r="F3" s="96" t="s">
        <v>26</v>
      </c>
      <c r="G3" s="44"/>
    </row>
    <row r="4" spans="1:7">
      <c r="A4" s="1" t="s">
        <v>0</v>
      </c>
      <c r="B4" s="2">
        <v>4.2810780092921599</v>
      </c>
      <c r="D4" s="13" t="s">
        <v>27</v>
      </c>
      <c r="E4" s="20" t="s">
        <v>194</v>
      </c>
      <c r="F4" s="21" t="s">
        <v>28</v>
      </c>
      <c r="G4" s="44"/>
    </row>
    <row r="5" spans="1:7">
      <c r="A5" s="1" t="s">
        <v>1</v>
      </c>
      <c r="B5" s="2">
        <v>27.0643241546822</v>
      </c>
      <c r="D5" s="7" t="s">
        <v>14</v>
      </c>
      <c r="E5" s="97">
        <f>B4</f>
        <v>4.2810780092921599</v>
      </c>
      <c r="F5" s="98">
        <v>12.276088685798966</v>
      </c>
      <c r="G5" s="15"/>
    </row>
    <row r="6" spans="1:7">
      <c r="A6" s="1" t="s">
        <v>11</v>
      </c>
      <c r="B6" s="2">
        <v>0</v>
      </c>
      <c r="D6" s="7" t="s">
        <v>15</v>
      </c>
      <c r="E6" s="97">
        <f>B5</f>
        <v>27.0643241546822</v>
      </c>
      <c r="F6" s="98">
        <v>33.692307162898572</v>
      </c>
      <c r="G6" s="15"/>
    </row>
    <row r="7" spans="1:7">
      <c r="A7" s="1" t="s">
        <v>2</v>
      </c>
      <c r="B7" s="2">
        <v>4.3328851339153198</v>
      </c>
      <c r="D7" s="7" t="s">
        <v>130</v>
      </c>
      <c r="E7" s="99">
        <v>0</v>
      </c>
      <c r="F7" s="19">
        <v>4.2648490079618444</v>
      </c>
      <c r="G7" s="15"/>
    </row>
    <row r="8" spans="1:7">
      <c r="A8" s="1" t="s">
        <v>3</v>
      </c>
      <c r="B8" s="2">
        <v>1.0342371901349201</v>
      </c>
      <c r="D8" s="7" t="s">
        <v>16</v>
      </c>
      <c r="E8" s="97">
        <f>B6</f>
        <v>0</v>
      </c>
      <c r="F8" s="98">
        <v>2.9853943055732906</v>
      </c>
      <c r="G8" s="15"/>
    </row>
    <row r="9" spans="1:7">
      <c r="A9" s="1" t="s">
        <v>4</v>
      </c>
      <c r="B9" s="2">
        <v>17.174914817772201</v>
      </c>
      <c r="D9" s="7" t="s">
        <v>21</v>
      </c>
      <c r="E9" s="97">
        <f>B11</f>
        <v>0.19178310225585399</v>
      </c>
      <c r="F9" s="98">
        <v>1.9041026169674113</v>
      </c>
      <c r="G9" s="15"/>
    </row>
    <row r="10" spans="1:7">
      <c r="A10" s="1" t="s">
        <v>5</v>
      </c>
      <c r="B10" s="2">
        <v>14.4777079700148</v>
      </c>
      <c r="D10" s="9" t="s">
        <v>23</v>
      </c>
      <c r="E10" s="100">
        <f>B13</f>
        <v>0.92059133209890898</v>
      </c>
      <c r="F10" s="101">
        <v>0.98285173345618848</v>
      </c>
      <c r="G10" s="15"/>
    </row>
    <row r="11" spans="1:7">
      <c r="A11" s="1" t="s">
        <v>12</v>
      </c>
      <c r="B11" s="2">
        <v>0.19178310225585399</v>
      </c>
    </row>
    <row r="12" spans="1:7">
      <c r="A12" s="1" t="s">
        <v>6</v>
      </c>
      <c r="B12" s="2">
        <v>4.2213764034994599</v>
      </c>
      <c r="D12" t="s">
        <v>124</v>
      </c>
    </row>
    <row r="13" spans="1:7">
      <c r="A13" s="1" t="s">
        <v>7</v>
      </c>
      <c r="B13" s="2">
        <v>0.92059133209890898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Fig 5</vt:lpstr>
      <vt:lpstr>Fig 6</vt:lpstr>
      <vt:lpstr>Figs 7 8 9</vt:lpstr>
      <vt:lpstr>Fig 11</vt:lpstr>
      <vt:lpstr>Figs 12 13</vt:lpstr>
      <vt:lpstr>Fig 14</vt:lpstr>
      <vt:lpstr>Figs 15 16</vt:lpstr>
      <vt:lpstr>Fig 17</vt:lpstr>
      <vt:lpstr>Fig 19</vt:lpstr>
      <vt:lpstr>Figs 23 24</vt:lpstr>
      <vt:lpstr>Figs 25 26</vt:lpstr>
      <vt:lpstr>'Figs 25 26'!_Ref375581809</vt:lpstr>
      <vt:lpstr>'Figs 7 8 9'!_Toc377461357</vt:lpstr>
      <vt:lpstr>'Fig 19'!_Toc377461369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2014-01-15T09:29:21Z</dcterms:modified>
</cp:coreProperties>
</file>