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225" windowWidth="14805" windowHeight="7890"/>
  </bookViews>
  <sheets>
    <sheet name="General notes" sheetId="3" r:id="rId1"/>
    <sheet name="Beneficiaries-pay notes" sheetId="2" r:id="rId2"/>
    <sheet name="Beneficiaries-pay incidence" sheetId="1" r:id="rId3"/>
    <sheet name="Residual charge notes" sheetId="5" r:id="rId4"/>
    <sheet name="Residual charge incidence" sheetId="4" r:id="rId5"/>
    <sheet name="Generator passthrough notes" sheetId="6" r:id="rId6"/>
    <sheet name="Generator passthrough estimates" sheetId="7" r:id="rId7"/>
    <sheet name="Total effect - notes" sheetId="9" r:id="rId8"/>
    <sheet name="Total effect on end consumers" sheetId="8" r:id="rId9"/>
  </sheets>
  <calcPr calcId="145621"/>
</workbook>
</file>

<file path=xl/calcChain.xml><?xml version="1.0" encoding="utf-8"?>
<calcChain xmlns="http://schemas.openxmlformats.org/spreadsheetml/2006/main">
  <c r="F2" i="1" l="1"/>
  <c r="F3" i="1"/>
  <c r="F4" i="1"/>
  <c r="F5" i="1"/>
  <c r="F6" i="1"/>
  <c r="F7" i="1"/>
  <c r="F8" i="1"/>
  <c r="F9" i="1"/>
  <c r="F10" i="1"/>
  <c r="F11" i="1"/>
  <c r="F12" i="1"/>
  <c r="F13" i="1"/>
  <c r="F14" i="1"/>
  <c r="F15" i="1"/>
  <c r="F16" i="1"/>
  <c r="F17" i="1"/>
  <c r="F18" i="1"/>
  <c r="F19" i="1"/>
  <c r="F20" i="1"/>
  <c r="F21" i="1"/>
  <c r="F22" i="1"/>
  <c r="F23" i="1"/>
  <c r="F24" i="1"/>
  <c r="F25" i="1"/>
  <c r="F26" i="1"/>
  <c r="H2" i="1"/>
  <c r="H3" i="1"/>
  <c r="H4" i="1"/>
  <c r="H5" i="1"/>
  <c r="H6" i="1"/>
  <c r="H7" i="1"/>
  <c r="H8" i="1"/>
  <c r="H9" i="1"/>
  <c r="H10" i="1"/>
  <c r="H11" i="1"/>
  <c r="H12" i="1"/>
  <c r="H13" i="1"/>
  <c r="H14" i="1"/>
  <c r="H15" i="1"/>
  <c r="H16" i="1"/>
  <c r="H17" i="1"/>
  <c r="H18" i="1"/>
  <c r="H19" i="1"/>
  <c r="H20" i="1"/>
  <c r="H21" i="1"/>
  <c r="H22" i="1"/>
  <c r="H23" i="1"/>
  <c r="H24" i="1"/>
  <c r="H25" i="1"/>
  <c r="H26" i="1"/>
  <c r="J2" i="1"/>
  <c r="J3" i="1"/>
  <c r="J4" i="1"/>
  <c r="J5" i="1"/>
  <c r="J6" i="1"/>
  <c r="J7" i="1"/>
  <c r="J8" i="1"/>
  <c r="J9" i="1"/>
  <c r="J10" i="1"/>
  <c r="J11" i="1"/>
  <c r="J12" i="1"/>
  <c r="J13" i="1"/>
  <c r="J14" i="1"/>
  <c r="J15" i="1"/>
  <c r="J16" i="1"/>
  <c r="J17" i="1"/>
  <c r="J18" i="1"/>
  <c r="J19" i="1"/>
  <c r="J20" i="1"/>
  <c r="J21" i="1"/>
  <c r="J22" i="1"/>
  <c r="J23" i="1"/>
  <c r="J24" i="1"/>
  <c r="J25" i="1"/>
  <c r="J26" i="1"/>
  <c r="I29" i="4"/>
  <c r="G29" i="4"/>
  <c r="E29" i="4"/>
  <c r="C29" i="4"/>
  <c r="B27" i="4"/>
  <c r="B26" i="4"/>
  <c r="B25" i="4"/>
  <c r="B24" i="4"/>
  <c r="B23" i="4"/>
  <c r="B22" i="4"/>
  <c r="B21" i="4"/>
  <c r="B20" i="4"/>
  <c r="B19" i="4"/>
  <c r="B18" i="4"/>
  <c r="B17" i="4"/>
  <c r="B16" i="4"/>
  <c r="B15" i="4"/>
  <c r="B14" i="4"/>
  <c r="B13" i="4"/>
  <c r="B12" i="4"/>
  <c r="B11" i="4"/>
  <c r="B10" i="4"/>
  <c r="B9" i="4"/>
  <c r="B8" i="4"/>
  <c r="B7" i="4"/>
  <c r="B6" i="4"/>
  <c r="B5" i="4"/>
  <c r="B4" i="4"/>
  <c r="B3" i="4"/>
  <c r="K32" i="4"/>
  <c r="E7" i="4" l="1"/>
  <c r="E5" i="7"/>
  <c r="E7" i="7" s="1"/>
  <c r="E12" i="7" s="1"/>
  <c r="D5" i="7"/>
  <c r="C5" i="7"/>
  <c r="C7" i="7" s="1"/>
  <c r="C12" i="7" s="1"/>
  <c r="B5" i="7"/>
  <c r="B7" i="7" s="1"/>
  <c r="B12" i="7" s="1"/>
  <c r="K29" i="4"/>
  <c r="D7" i="7" l="1"/>
  <c r="D12" i="7" s="1"/>
  <c r="D11" i="7" s="1"/>
  <c r="C22" i="4"/>
  <c r="E14" i="4"/>
  <c r="C11" i="7"/>
  <c r="C10" i="7"/>
  <c r="B10" i="7"/>
  <c r="B11" i="7"/>
  <c r="E11" i="7"/>
  <c r="E10" i="7"/>
  <c r="E10" i="4"/>
  <c r="E22" i="4"/>
  <c r="E20" i="4"/>
  <c r="C25" i="4"/>
  <c r="E15" i="4"/>
  <c r="E27" i="4"/>
  <c r="E19" i="4"/>
  <c r="E11" i="4"/>
  <c r="E9" i="4"/>
  <c r="E17" i="4"/>
  <c r="F6" i="7"/>
  <c r="F7" i="7" s="1"/>
  <c r="F12" i="7" s="1"/>
  <c r="E23" i="4"/>
  <c r="E13" i="4"/>
  <c r="E5" i="4"/>
  <c r="C14" i="4"/>
  <c r="E24" i="4"/>
  <c r="E3" i="4"/>
  <c r="E21" i="4"/>
  <c r="E12" i="4"/>
  <c r="E8" i="4"/>
  <c r="E16" i="4"/>
  <c r="E26" i="4"/>
  <c r="C18" i="4"/>
  <c r="E18" i="4"/>
  <c r="C6" i="4"/>
  <c r="E6" i="4"/>
  <c r="O28" i="4"/>
  <c r="C26" i="4"/>
  <c r="C10" i="4"/>
  <c r="E25" i="4"/>
  <c r="E4" i="4"/>
  <c r="C7" i="4"/>
  <c r="C15" i="4"/>
  <c r="C23" i="4"/>
  <c r="C4" i="4"/>
  <c r="C8" i="4"/>
  <c r="C12" i="4"/>
  <c r="C16" i="4"/>
  <c r="C20" i="4"/>
  <c r="C24" i="4"/>
  <c r="C3" i="4"/>
  <c r="C11" i="4"/>
  <c r="C19" i="4"/>
  <c r="C27" i="4"/>
  <c r="C5" i="4"/>
  <c r="C9" i="4"/>
  <c r="C13" i="4"/>
  <c r="C17" i="4"/>
  <c r="C21" i="4"/>
  <c r="D10" i="7" l="1"/>
  <c r="F11" i="7"/>
  <c r="F10" i="7"/>
  <c r="E28" i="4"/>
  <c r="C28" i="4"/>
  <c r="F27" i="4"/>
  <c r="F23" i="4"/>
  <c r="F16" i="4"/>
  <c r="F15" i="4"/>
  <c r="F12" i="4"/>
  <c r="F3" i="4"/>
  <c r="D24" i="4"/>
  <c r="D22" i="4"/>
  <c r="D20" i="4"/>
  <c r="D18" i="4"/>
  <c r="D16" i="4"/>
  <c r="D14" i="4"/>
  <c r="D12" i="4"/>
  <c r="D10" i="4"/>
  <c r="D8" i="4"/>
  <c r="D3" i="4"/>
  <c r="F24" i="4"/>
  <c r="F20" i="4"/>
  <c r="F8" i="4"/>
  <c r="B28" i="4"/>
  <c r="D27" i="4"/>
  <c r="F26" i="4"/>
  <c r="D26" i="4"/>
  <c r="F25" i="4"/>
  <c r="D25" i="4"/>
  <c r="D23" i="4"/>
  <c r="F22" i="4"/>
  <c r="F21" i="4"/>
  <c r="D21" i="4"/>
  <c r="F19" i="4"/>
  <c r="D19" i="4"/>
  <c r="F18" i="4"/>
  <c r="F17" i="4"/>
  <c r="D17" i="4"/>
  <c r="D15" i="4"/>
  <c r="F14" i="4"/>
  <c r="F13" i="4"/>
  <c r="D13" i="4"/>
  <c r="F11" i="4"/>
  <c r="D11" i="4"/>
  <c r="F10" i="4"/>
  <c r="F9" i="4"/>
  <c r="D9" i="4"/>
  <c r="F7" i="4"/>
  <c r="D7" i="4"/>
  <c r="F6" i="4"/>
  <c r="D6" i="4"/>
  <c r="F5" i="4"/>
  <c r="D5" i="4"/>
  <c r="D4" i="4"/>
  <c r="F28" i="4" l="1"/>
  <c r="D28" i="4"/>
  <c r="F4" i="4"/>
  <c r="I27" i="1"/>
  <c r="G27" i="1"/>
  <c r="E27" i="1"/>
  <c r="C27" i="1"/>
  <c r="B27" i="1"/>
  <c r="C27" i="8"/>
  <c r="C26" i="8"/>
  <c r="C25" i="8"/>
  <c r="M24" i="8"/>
  <c r="H23" i="8"/>
  <c r="C22" i="8"/>
  <c r="H21" i="8"/>
  <c r="H20" i="8"/>
  <c r="C19" i="8"/>
  <c r="C18" i="8"/>
  <c r="H17" i="8"/>
  <c r="H16" i="8"/>
  <c r="M15" i="8"/>
  <c r="H14" i="8"/>
  <c r="M13" i="8"/>
  <c r="H12" i="8"/>
  <c r="C11" i="8"/>
  <c r="H10" i="8"/>
  <c r="C9" i="8"/>
  <c r="H8" i="8"/>
  <c r="H7" i="8"/>
  <c r="M6" i="8"/>
  <c r="C5" i="8"/>
  <c r="C3" i="8"/>
  <c r="D3" i="1"/>
  <c r="L4" i="8" s="1"/>
  <c r="D4" i="1"/>
  <c r="B5" i="8" s="1"/>
  <c r="D5" i="1"/>
  <c r="B6" i="8" s="1"/>
  <c r="D6" i="1"/>
  <c r="B7" i="8" s="1"/>
  <c r="D7" i="1"/>
  <c r="B8" i="8" s="1"/>
  <c r="D8" i="1"/>
  <c r="L9" i="8" s="1"/>
  <c r="D9" i="1"/>
  <c r="B10" i="8" s="1"/>
  <c r="D10" i="1"/>
  <c r="G11" i="8" s="1"/>
  <c r="D11" i="1"/>
  <c r="G12" i="8" s="1"/>
  <c r="D12" i="1"/>
  <c r="L13" i="8" s="1"/>
  <c r="D13" i="1"/>
  <c r="B14" i="8" s="1"/>
  <c r="D14" i="1"/>
  <c r="B15" i="8" s="1"/>
  <c r="D15" i="1"/>
  <c r="G16" i="8" s="1"/>
  <c r="D16" i="1"/>
  <c r="B17" i="8" s="1"/>
  <c r="D17" i="1"/>
  <c r="B18" i="8" s="1"/>
  <c r="D18" i="1"/>
  <c r="B19" i="8" s="1"/>
  <c r="D19" i="1"/>
  <c r="L20" i="8" s="1"/>
  <c r="D20" i="1"/>
  <c r="G21" i="8" s="1"/>
  <c r="D21" i="1"/>
  <c r="G22" i="8" s="1"/>
  <c r="D22" i="1"/>
  <c r="B23" i="8" s="1"/>
  <c r="D23" i="1"/>
  <c r="G24" i="8" s="1"/>
  <c r="D24" i="1"/>
  <c r="B25" i="8" s="1"/>
  <c r="D25" i="1"/>
  <c r="L26" i="8" s="1"/>
  <c r="D26" i="1"/>
  <c r="L27" i="8" s="1"/>
  <c r="D2" i="1"/>
  <c r="B3" i="8" s="1"/>
  <c r="H9" i="8" l="1"/>
  <c r="M22" i="8"/>
  <c r="H27" i="1"/>
  <c r="G3" i="8"/>
  <c r="G9" i="8"/>
  <c r="G4" i="8"/>
  <c r="H13" i="8"/>
  <c r="B16" i="8"/>
  <c r="H26" i="8"/>
  <c r="H6" i="8"/>
  <c r="C10" i="8"/>
  <c r="B20" i="8"/>
  <c r="H25" i="8"/>
  <c r="M18" i="8"/>
  <c r="L3" i="8"/>
  <c r="G25" i="8"/>
  <c r="L24" i="8"/>
  <c r="L8" i="8"/>
  <c r="G13" i="8"/>
  <c r="B21" i="8"/>
  <c r="G20" i="8"/>
  <c r="L12" i="8"/>
  <c r="H18" i="8"/>
  <c r="D27" i="1"/>
  <c r="H22" i="8"/>
  <c r="G17" i="8"/>
  <c r="L25" i="8"/>
  <c r="B24" i="8"/>
  <c r="G8" i="8"/>
  <c r="M26" i="8"/>
  <c r="C17" i="8"/>
  <c r="M10" i="8"/>
  <c r="B12" i="8"/>
  <c r="M14" i="8"/>
  <c r="J27" i="1"/>
  <c r="L17" i="8"/>
  <c r="B4" i="8"/>
  <c r="L16" i="8"/>
  <c r="C6" i="8"/>
  <c r="C21" i="8"/>
  <c r="C14" i="8"/>
  <c r="C15" i="8"/>
  <c r="B22" i="8"/>
  <c r="G26" i="8"/>
  <c r="L15" i="8"/>
  <c r="M11" i="8"/>
  <c r="L23" i="8"/>
  <c r="L10" i="8"/>
  <c r="M19" i="8"/>
  <c r="L18" i="8"/>
  <c r="G27" i="8"/>
  <c r="M23" i="8"/>
  <c r="M3" i="8"/>
  <c r="C20" i="8"/>
  <c r="M27" i="8"/>
  <c r="C12" i="8"/>
  <c r="C24" i="8"/>
  <c r="B11" i="8"/>
  <c r="M5" i="8"/>
  <c r="L5" i="8"/>
  <c r="L14" i="8"/>
  <c r="B26" i="8"/>
  <c r="G15" i="8"/>
  <c r="G23" i="8"/>
  <c r="M8" i="8"/>
  <c r="B27" i="8"/>
  <c r="C23" i="8"/>
  <c r="H3" i="8"/>
  <c r="H27" i="8"/>
  <c r="H24" i="8"/>
  <c r="C7" i="8"/>
  <c r="H5" i="8"/>
  <c r="G5" i="8"/>
  <c r="H15" i="8"/>
  <c r="H19" i="8"/>
  <c r="L19" i="8"/>
  <c r="H11" i="8"/>
  <c r="L6" i="8"/>
  <c r="G10" i="8"/>
  <c r="C16" i="8"/>
  <c r="G18" i="8"/>
  <c r="L7" i="8"/>
  <c r="L22" i="8"/>
  <c r="G14" i="8"/>
  <c r="G19" i="8"/>
  <c r="B9" i="8"/>
  <c r="G6" i="8"/>
  <c r="M9" i="8"/>
  <c r="C13" i="8"/>
  <c r="M16" i="8"/>
  <c r="C8" i="8"/>
  <c r="B13" i="8"/>
  <c r="M17" i="8"/>
  <c r="G7" i="8"/>
  <c r="M20" i="8"/>
  <c r="L21" i="8"/>
  <c r="M12" i="8"/>
  <c r="M25" i="8"/>
  <c r="M21" i="8"/>
  <c r="L11" i="8"/>
  <c r="M7" i="8"/>
  <c r="H4" i="8"/>
  <c r="M4" i="8"/>
  <c r="C4" i="8"/>
  <c r="F27" i="1"/>
  <c r="B29" i="8" l="1"/>
  <c r="B30" i="8" s="1"/>
  <c r="G29" i="8"/>
  <c r="G30" i="8" s="1"/>
  <c r="L29" i="8"/>
  <c r="L30" i="8" s="1"/>
  <c r="M29" i="8"/>
  <c r="M30" i="8" s="1"/>
  <c r="H29" i="8"/>
  <c r="H30" i="8" s="1"/>
  <c r="C29" i="8"/>
  <c r="C30" i="8" s="1"/>
  <c r="G8" i="4"/>
  <c r="H8" i="4" s="1"/>
  <c r="G16" i="4"/>
  <c r="H16" i="4" s="1"/>
  <c r="G18" i="4"/>
  <c r="H18" i="4" s="1"/>
  <c r="G9" i="4"/>
  <c r="H9" i="4" s="1"/>
  <c r="G13" i="4"/>
  <c r="H13" i="4" s="1"/>
  <c r="G21" i="4"/>
  <c r="H21" i="4" s="1"/>
  <c r="G26" i="4"/>
  <c r="H26" i="4" s="1"/>
  <c r="G19" i="4"/>
  <c r="H19" i="4" s="1"/>
  <c r="G7" i="4"/>
  <c r="H7" i="4" s="1"/>
  <c r="G14" i="4"/>
  <c r="H14" i="4" s="1"/>
  <c r="G17" i="4"/>
  <c r="H17" i="4" s="1"/>
  <c r="G12" i="4"/>
  <c r="H12" i="4" s="1"/>
  <c r="G5" i="4"/>
  <c r="H5" i="4" s="1"/>
  <c r="G27" i="4"/>
  <c r="H27" i="4" s="1"/>
  <c r="G25" i="4"/>
  <c r="H25" i="4" s="1"/>
  <c r="G11" i="4"/>
  <c r="H11" i="4" s="1"/>
  <c r="G22" i="4"/>
  <c r="H22" i="4" s="1"/>
  <c r="G20" i="4"/>
  <c r="H20" i="4" s="1"/>
  <c r="G10" i="4"/>
  <c r="H10" i="4" s="1"/>
  <c r="G4" i="4"/>
  <c r="H4" i="4" s="1"/>
  <c r="G6" i="4"/>
  <c r="H6" i="4" s="1"/>
  <c r="G15" i="4"/>
  <c r="H15" i="4" s="1"/>
  <c r="G23" i="4"/>
  <c r="H23" i="4" s="1"/>
  <c r="G3" i="4"/>
  <c r="G24" i="4"/>
  <c r="H24" i="4" s="1"/>
  <c r="I7" i="4"/>
  <c r="J7" i="4" s="1"/>
  <c r="I22" i="4"/>
  <c r="J22" i="4" s="1"/>
  <c r="I4" i="4"/>
  <c r="J4" i="4" s="1"/>
  <c r="I11" i="4"/>
  <c r="J11" i="4" s="1"/>
  <c r="I26" i="4"/>
  <c r="J26" i="4" s="1"/>
  <c r="I18" i="4"/>
  <c r="J18" i="4" s="1"/>
  <c r="I12" i="4"/>
  <c r="J12" i="4" s="1"/>
  <c r="I21" i="4"/>
  <c r="J21" i="4" s="1"/>
  <c r="I15" i="4"/>
  <c r="J15" i="4" s="1"/>
  <c r="I27" i="4"/>
  <c r="J27" i="4" s="1"/>
  <c r="I5" i="4"/>
  <c r="J5" i="4" s="1"/>
  <c r="I25" i="4"/>
  <c r="J25" i="4" s="1"/>
  <c r="I9" i="4"/>
  <c r="J9" i="4" s="1"/>
  <c r="I23" i="4"/>
  <c r="J23" i="4" s="1"/>
  <c r="I16" i="4"/>
  <c r="J16" i="4" s="1"/>
  <c r="I6" i="4"/>
  <c r="J6" i="4" s="1"/>
  <c r="I14" i="4"/>
  <c r="J14" i="4" s="1"/>
  <c r="I19" i="4"/>
  <c r="J19" i="4" s="1"/>
  <c r="I13" i="4"/>
  <c r="J13" i="4" s="1"/>
  <c r="I8" i="4"/>
  <c r="J8" i="4" s="1"/>
  <c r="I10" i="4"/>
  <c r="J10" i="4" s="1"/>
  <c r="I17" i="4"/>
  <c r="J17" i="4" s="1"/>
  <c r="I24" i="4"/>
  <c r="J24" i="4" s="1"/>
  <c r="I3" i="4"/>
  <c r="I20" i="4"/>
  <c r="J20" i="4" s="1"/>
  <c r="K9" i="4"/>
  <c r="L9" i="4" s="1"/>
  <c r="K25" i="4"/>
  <c r="L25" i="4" s="1"/>
  <c r="K19" i="4"/>
  <c r="L19" i="4" s="1"/>
  <c r="K15" i="4"/>
  <c r="L15" i="4" s="1"/>
  <c r="K4" i="4"/>
  <c r="L4" i="4" s="1"/>
  <c r="K23" i="4"/>
  <c r="L23" i="4" s="1"/>
  <c r="K17" i="4"/>
  <c r="L17" i="4" s="1"/>
  <c r="K18" i="4"/>
  <c r="L18" i="4" s="1"/>
  <c r="K10" i="4"/>
  <c r="L10" i="4" s="1"/>
  <c r="K5" i="4"/>
  <c r="L5" i="4" s="1"/>
  <c r="K27" i="4"/>
  <c r="L27" i="4" s="1"/>
  <c r="K26" i="4"/>
  <c r="L26" i="4" s="1"/>
  <c r="K14" i="4"/>
  <c r="L14" i="4" s="1"/>
  <c r="K13" i="4"/>
  <c r="L13" i="4" s="1"/>
  <c r="K12" i="4"/>
  <c r="L12" i="4" s="1"/>
  <c r="K22" i="4"/>
  <c r="L22" i="4" s="1"/>
  <c r="K8" i="4"/>
  <c r="L8" i="4" s="1"/>
  <c r="K20" i="4"/>
  <c r="L20" i="4" s="1"/>
  <c r="K6" i="4"/>
  <c r="L6" i="4" s="1"/>
  <c r="K7" i="4"/>
  <c r="L7" i="4" s="1"/>
  <c r="K11" i="4"/>
  <c r="L11" i="4" s="1"/>
  <c r="K21" i="4"/>
  <c r="L21" i="4" s="1"/>
  <c r="K16" i="4"/>
  <c r="L16" i="4" s="1"/>
  <c r="K3" i="4"/>
  <c r="K24" i="4"/>
  <c r="L24" i="4" s="1"/>
  <c r="J3" i="4" l="1"/>
  <c r="O3" i="8" s="1"/>
  <c r="I28" i="4"/>
  <c r="J28" i="4" s="1"/>
  <c r="H3" i="4"/>
  <c r="D3" i="8" s="1"/>
  <c r="G28" i="4"/>
  <c r="H28" i="4" s="1"/>
  <c r="L3" i="4"/>
  <c r="F3" i="8" s="1"/>
  <c r="K28" i="4"/>
  <c r="L28" i="4" s="1"/>
  <c r="E27" i="8"/>
  <c r="O27" i="8"/>
  <c r="J27" i="8"/>
  <c r="P13" i="8"/>
  <c r="F13" i="8"/>
  <c r="K13" i="8"/>
  <c r="F24" i="8"/>
  <c r="K24" i="8"/>
  <c r="P24" i="8"/>
  <c r="F11" i="8"/>
  <c r="K11" i="8"/>
  <c r="P11" i="8"/>
  <c r="F8" i="8"/>
  <c r="K8" i="8"/>
  <c r="P8" i="8"/>
  <c r="K14" i="8"/>
  <c r="P14" i="8"/>
  <c r="F14" i="8"/>
  <c r="K10" i="8"/>
  <c r="P10" i="8"/>
  <c r="F10" i="8"/>
  <c r="F4" i="8"/>
  <c r="K4" i="8"/>
  <c r="P4" i="8"/>
  <c r="J24" i="8"/>
  <c r="O24" i="8"/>
  <c r="E24" i="8"/>
  <c r="J13" i="8"/>
  <c r="O13" i="8"/>
  <c r="E13" i="8"/>
  <c r="E16" i="8"/>
  <c r="J16" i="8"/>
  <c r="O16" i="8"/>
  <c r="O5" i="8"/>
  <c r="J5" i="8"/>
  <c r="E5" i="8"/>
  <c r="E21" i="8"/>
  <c r="J21" i="8"/>
  <c r="O21" i="8"/>
  <c r="J11" i="8"/>
  <c r="E11" i="8"/>
  <c r="O11" i="8"/>
  <c r="I15" i="8"/>
  <c r="N15" i="8"/>
  <c r="D15" i="8"/>
  <c r="N10" i="8"/>
  <c r="D10" i="8"/>
  <c r="I10" i="8"/>
  <c r="D12" i="8"/>
  <c r="I12" i="8"/>
  <c r="N12" i="8"/>
  <c r="I19" i="8"/>
  <c r="N19" i="8"/>
  <c r="D19" i="8"/>
  <c r="D9" i="8"/>
  <c r="I9" i="8"/>
  <c r="N9" i="8"/>
  <c r="F20" i="8"/>
  <c r="K20" i="8"/>
  <c r="P20" i="8"/>
  <c r="P5" i="8"/>
  <c r="F5" i="8"/>
  <c r="K5" i="8"/>
  <c r="J8" i="8"/>
  <c r="O8" i="8"/>
  <c r="E8" i="8"/>
  <c r="E6" i="8"/>
  <c r="O6" i="8"/>
  <c r="J6" i="8"/>
  <c r="E25" i="8"/>
  <c r="J25" i="8"/>
  <c r="O25" i="8"/>
  <c r="O15" i="8"/>
  <c r="J15" i="8"/>
  <c r="E15" i="8"/>
  <c r="E26" i="8"/>
  <c r="O26" i="8"/>
  <c r="J26" i="8"/>
  <c r="O7" i="8"/>
  <c r="E7" i="8"/>
  <c r="J7" i="8"/>
  <c r="I23" i="8"/>
  <c r="N23" i="8"/>
  <c r="D23" i="8"/>
  <c r="D4" i="8"/>
  <c r="I4" i="8"/>
  <c r="N4" i="8"/>
  <c r="I11" i="8"/>
  <c r="N11" i="8"/>
  <c r="D11" i="8"/>
  <c r="D5" i="8"/>
  <c r="I5" i="8"/>
  <c r="N5" i="8"/>
  <c r="I7" i="8"/>
  <c r="N7" i="8"/>
  <c r="D7" i="8"/>
  <c r="D13" i="8"/>
  <c r="I13" i="8"/>
  <c r="N13" i="8"/>
  <c r="D8" i="8"/>
  <c r="I8" i="8"/>
  <c r="N8" i="8"/>
  <c r="P21" i="8"/>
  <c r="F21" i="8"/>
  <c r="K21" i="8"/>
  <c r="F23" i="8"/>
  <c r="K23" i="8"/>
  <c r="P23" i="8"/>
  <c r="K6" i="8"/>
  <c r="P6" i="8"/>
  <c r="F6" i="8"/>
  <c r="F27" i="8"/>
  <c r="K27" i="8"/>
  <c r="P27" i="8"/>
  <c r="P17" i="8"/>
  <c r="F17" i="8"/>
  <c r="K17" i="8"/>
  <c r="F19" i="8"/>
  <c r="K19" i="8"/>
  <c r="P19" i="8"/>
  <c r="O20" i="8"/>
  <c r="E20" i="8"/>
  <c r="J20" i="8"/>
  <c r="E10" i="8"/>
  <c r="O10" i="8"/>
  <c r="J10" i="8"/>
  <c r="J14" i="8"/>
  <c r="E14" i="8"/>
  <c r="O14" i="8"/>
  <c r="E9" i="8"/>
  <c r="J9" i="8"/>
  <c r="O9" i="8"/>
  <c r="J18" i="8"/>
  <c r="E18" i="8"/>
  <c r="O18" i="8"/>
  <c r="E22" i="8"/>
  <c r="O22" i="8"/>
  <c r="J22" i="8"/>
  <c r="I3" i="8"/>
  <c r="N6" i="8"/>
  <c r="D6" i="8"/>
  <c r="I6" i="8"/>
  <c r="N22" i="8"/>
  <c r="D22" i="8"/>
  <c r="I22" i="8"/>
  <c r="I27" i="8"/>
  <c r="N27" i="8"/>
  <c r="D27" i="8"/>
  <c r="N14" i="8"/>
  <c r="D14" i="8"/>
  <c r="I14" i="8"/>
  <c r="D21" i="8"/>
  <c r="I21" i="8"/>
  <c r="N21" i="8"/>
  <c r="D16" i="8"/>
  <c r="I16" i="8"/>
  <c r="N16" i="8"/>
  <c r="P25" i="8"/>
  <c r="F25" i="8"/>
  <c r="K25" i="8"/>
  <c r="F16" i="8"/>
  <c r="K16" i="8"/>
  <c r="P16" i="8"/>
  <c r="F12" i="8"/>
  <c r="K12" i="8"/>
  <c r="P12" i="8"/>
  <c r="F7" i="8"/>
  <c r="K7" i="8"/>
  <c r="P7" i="8"/>
  <c r="K22" i="8"/>
  <c r="P22" i="8"/>
  <c r="F22" i="8"/>
  <c r="K26" i="8"/>
  <c r="P26" i="8"/>
  <c r="F26" i="8"/>
  <c r="K18" i="8"/>
  <c r="P18" i="8"/>
  <c r="F18" i="8"/>
  <c r="F15" i="8"/>
  <c r="K15" i="8"/>
  <c r="P15" i="8"/>
  <c r="P9" i="8"/>
  <c r="F9" i="8"/>
  <c r="K9" i="8"/>
  <c r="E17" i="8"/>
  <c r="J17" i="8"/>
  <c r="O17" i="8"/>
  <c r="O19" i="8"/>
  <c r="J19" i="8"/>
  <c r="E19" i="8"/>
  <c r="E23" i="8"/>
  <c r="O23" i="8"/>
  <c r="J23" i="8"/>
  <c r="E12" i="8"/>
  <c r="J12" i="8"/>
  <c r="O12" i="8"/>
  <c r="O4" i="8"/>
  <c r="E4" i="8"/>
  <c r="J4" i="8"/>
  <c r="D24" i="8"/>
  <c r="I24" i="8"/>
  <c r="N24" i="8"/>
  <c r="D20" i="8"/>
  <c r="I20" i="8"/>
  <c r="N20" i="8"/>
  <c r="D25" i="8"/>
  <c r="I25" i="8"/>
  <c r="N25" i="8"/>
  <c r="D17" i="8"/>
  <c r="I17" i="8"/>
  <c r="N17" i="8"/>
  <c r="N26" i="8"/>
  <c r="D26" i="8"/>
  <c r="I26" i="8"/>
  <c r="N18" i="8"/>
  <c r="D18" i="8"/>
  <c r="I18" i="8"/>
  <c r="K3" i="8" l="1"/>
  <c r="N3" i="8"/>
  <c r="N29" i="8" s="1"/>
  <c r="N30" i="8" s="1"/>
  <c r="P3" i="8"/>
  <c r="P29" i="8" s="1"/>
  <c r="P30" i="8" s="1"/>
  <c r="E3" i="8"/>
  <c r="E29" i="8" s="1"/>
  <c r="E30" i="8" s="1"/>
  <c r="J3" i="8"/>
  <c r="J29" i="8" s="1"/>
  <c r="J30" i="8" s="1"/>
  <c r="K29" i="8"/>
  <c r="K30" i="8" s="1"/>
  <c r="I29" i="8"/>
  <c r="I30" i="8" s="1"/>
  <c r="F29" i="8"/>
  <c r="F30" i="8" s="1"/>
  <c r="D29" i="8"/>
  <c r="D30" i="8" s="1"/>
  <c r="O29" i="8"/>
  <c r="O30" i="8" s="1"/>
</calcChain>
</file>

<file path=xl/sharedStrings.xml><?xml version="1.0" encoding="utf-8"?>
<sst xmlns="http://schemas.openxmlformats.org/spreadsheetml/2006/main" count="228" uniqueCount="148">
  <si>
    <t>Alpine Energy</t>
  </si>
  <si>
    <t>Aurora Energy</t>
  </si>
  <si>
    <t>Buller Electricity</t>
  </si>
  <si>
    <t>Counties Power</t>
  </si>
  <si>
    <t>Eastland Network</t>
  </si>
  <si>
    <t>Electra</t>
  </si>
  <si>
    <t>Electricity Ashburton</t>
  </si>
  <si>
    <t>Mainpower</t>
  </si>
  <si>
    <t>Marlborough Lines</t>
  </si>
  <si>
    <t>Network Tasman</t>
  </si>
  <si>
    <t>Network Waitaki</t>
  </si>
  <si>
    <t>Northpower</t>
  </si>
  <si>
    <t>Orion</t>
  </si>
  <si>
    <t>Powerco</t>
  </si>
  <si>
    <t>PowerNet</t>
  </si>
  <si>
    <t>Scanpower</t>
  </si>
  <si>
    <t>The Lines Company</t>
  </si>
  <si>
    <t>Top Energy</t>
  </si>
  <si>
    <t>Vector</t>
  </si>
  <si>
    <t>Wellington Electricity</t>
  </si>
  <si>
    <t>Westpower</t>
  </si>
  <si>
    <t>Offtake (GWh)</t>
  </si>
  <si>
    <t>Simplified SPD charge ($M)</t>
  </si>
  <si>
    <t>"GIT then SPD" charge ($M)</t>
  </si>
  <si>
    <t>"SPD then GIT" charge ($M)</t>
  </si>
  <si>
    <t>Zonal SPD charge ($M)</t>
  </si>
  <si>
    <t>Mean charging rate ($/MWh)</t>
  </si>
  <si>
    <t>Horizon Energy</t>
  </si>
  <si>
    <t>WEL Networks</t>
  </si>
  <si>
    <t>Unison Networks</t>
  </si>
  <si>
    <t>Combined</t>
  </si>
  <si>
    <t>Simplified SPD charge</t>
  </si>
  <si>
    <t>Covers the following investments: NIGU, NAaN, Wairakei Ring, BPE-HAY Reconductoring, HVDC Poles 2 and 3, USI Reactive, LSI Reliability, LSI Renewables.</t>
  </si>
  <si>
    <t>Embedded generation over 10 MW is charged based on net injection.</t>
  </si>
  <si>
    <r>
      <t xml:space="preserve">Only charges on distributors </t>
    </r>
    <r>
      <rPr>
        <i/>
        <sz val="11"/>
        <color theme="1"/>
        <rFont val="Calibri"/>
        <family val="2"/>
        <scheme val="minor"/>
      </rPr>
      <t>in their capacity as distributors</t>
    </r>
    <r>
      <rPr>
        <sz val="11"/>
        <color theme="1"/>
        <rFont val="Calibri"/>
        <family val="2"/>
        <scheme val="minor"/>
      </rPr>
      <t xml:space="preserve"> are shown - charges on load and embedded generation owned by network companies are not included.</t>
    </r>
  </si>
  <si>
    <t>GIT-based charge covers the following investments: NIGU, UNI Reactive, Otahuhu GIS, NAaN, USI Reactive, LSI Reliability.</t>
  </si>
  <si>
    <t>SPD charge covers the following investments: Wairakei Ring, BPE-HAY Reconductoring, HVDC Poles 2 and 3, LSI Renewables.</t>
  </si>
  <si>
    <t>Assumptions for the SPD charge are the same as above.</t>
  </si>
  <si>
    <t>"GIT then SPD" and "SPD then GIT" charges</t>
  </si>
  <si>
    <t>Zonal SPD charge</t>
  </si>
  <si>
    <t>Covers the following interconnectors: CNI-UNI, LNI-CNI, SI-NI, CSI-USI, LSI-CSI.</t>
  </si>
  <si>
    <t>Also includes a within-zonal charge that covers intra-regional and non-asset-specific costs.</t>
  </si>
  <si>
    <t xml:space="preserve">  (As a result, the total amount of money to be recovered is much more than for the other options. On the other hand, no residual charge is required.)</t>
  </si>
  <si>
    <t>Demand-side response is not modelled and (dis)benefits to IR providers are not considered.</t>
  </si>
  <si>
    <t>Waipa Networks</t>
  </si>
  <si>
    <t>The following sheet provides simulated beneficiaries-pay charges ($), and mean charging rates ($/MWh), applying to distributors under four beneficiaries-pay options.</t>
  </si>
  <si>
    <t xml:space="preserve">   but rather as broad indications of the impact on consumer charges as a result of potential changes to the TPM.</t>
  </si>
  <si>
    <t xml:space="preserve">   For instance, in the modelling shown here, the Simplified SPD charge does not consider (dis)benefits to IR providers.</t>
  </si>
  <si>
    <r>
      <t xml:space="preserve">   The Authority's proposal, however, is that any Simplified SPD charge </t>
    </r>
    <r>
      <rPr>
        <i/>
        <sz val="11"/>
        <color theme="1"/>
        <rFont val="Calibri"/>
        <family val="2"/>
        <scheme val="minor"/>
      </rPr>
      <t>should</t>
    </r>
    <r>
      <rPr>
        <sz val="11"/>
        <color theme="1"/>
        <rFont val="Calibri"/>
        <family val="2"/>
        <scheme val="minor"/>
      </rPr>
      <t xml:space="preserve"> include (dis)benefits to IR providers.</t>
    </r>
  </si>
  <si>
    <t>All the beneficiaries-pay charging options shown in this spreadsheet, and the associated modelling results, are consistent with those in the beneficiaries-pay consultation paper.</t>
  </si>
  <si>
    <t xml:space="preserve">The four options shown here are consistent with those used for the modelling in the consultation paper, and are briefly described below. </t>
  </si>
  <si>
    <t>The four beneficiaries-pay options are:</t>
  </si>
  <si>
    <t xml:space="preserve">   - Simplified SPD</t>
  </si>
  <si>
    <t xml:space="preserve">   - GIT then SPD</t>
  </si>
  <si>
    <t xml:space="preserve">   - SPD then GIT</t>
  </si>
  <si>
    <t xml:space="preserve">   - Zonal SPD.</t>
  </si>
  <si>
    <t xml:space="preserve">Under all five options, connection charges and static reactive support charges are not considered. </t>
  </si>
  <si>
    <t>The figures provided are estimates only and are based on a number of assumptions. Accordingly, they should not be treated as forecasts,</t>
  </si>
  <si>
    <t>Distributor</t>
  </si>
  <si>
    <t>This spreadsheet provides information on charges applying to distributors, and to consumers served by distributors, under four beneficiaries-pay options and the status quo.</t>
  </si>
  <si>
    <t xml:space="preserve">   If these charges were instead to be levied on retailers, then it should still be reasonable to assume that the charging rates shown were indicative of the likely effect on end consumers in each network area.</t>
  </si>
  <si>
    <t>For the purpose of the analysis in this spreadsheet, it is assumed that (under all four beneficiaries-pay options) the residual charge will be split 50% between RCPD and RCPI.</t>
  </si>
  <si>
    <t>The status quo option comprises a HVDC charge on South Island generators, and a RCPD charge that recovers all other interconnection costs.</t>
  </si>
  <si>
    <t>The following sheet provides simulated residual charges ($), and mean charging rates ($/MWh), applying to distributors under four beneficiaries-pay options and the status quo.</t>
  </si>
  <si>
    <t>For the purpose of this analysis, it is assumed that beneficiaries-pay charges on mass-market load are levied on distributors rather than retailers.</t>
  </si>
  <si>
    <t>For the purpose of this analysis, it is assumed that RCPD charges on mass-market load are levied on distributors rather than retailers.</t>
  </si>
  <si>
    <t xml:space="preserve">Under the status quo, it is assumed that HVDC charges will be paid by South Island generators as currently, </t>
  </si>
  <si>
    <t xml:space="preserve">   and that the remaining (residual) charge will be RCPD (again with N=12 for UNI and USI, and N=100 for LNI and LSI)</t>
  </si>
  <si>
    <t>RCPD component of residual charge ($M)</t>
  </si>
  <si>
    <t>assuming beneficiaries-pay uses Simplified SPD</t>
  </si>
  <si>
    <t>assuming beneficiaries-pay uses "GIT then SPD"</t>
  </si>
  <si>
    <t>assuming beneficiaries-pay uses "SPD then GIT"</t>
  </si>
  <si>
    <t>assuming beneficiaries-pay uses "Zonal SPD"</t>
  </si>
  <si>
    <t>under status quo option</t>
  </si>
  <si>
    <t>RCPD residual charge ($M)</t>
  </si>
  <si>
    <t>Working</t>
  </si>
  <si>
    <t>Allocation of RCPD charge (%)</t>
  </si>
  <si>
    <t xml:space="preserve">   is assumed to be ($M):</t>
  </si>
  <si>
    <t>The following sheet provides simulated charges applying to generators, and an indication of the possible pass-through to end consumers, under four beneficiaries-pay options and the status quo.</t>
  </si>
  <si>
    <t xml:space="preserve">   - beneficiaries-pay charges</t>
  </si>
  <si>
    <t xml:space="preserve">   - 50% of the residual charge (as an RCPI charge on grid-connected generation).</t>
  </si>
  <si>
    <t>Under the four beneficiaries-pay options, charges faced by generators include:</t>
  </si>
  <si>
    <t>Under the status quo option, the only charge faced by generators is the HVDC charge on South Island generation.</t>
  </si>
  <si>
    <t>Three pass-through options are considered:</t>
  </si>
  <si>
    <t xml:space="preserve">   - nil pass-through - these transmission charges go to the generator's bottom line</t>
  </si>
  <si>
    <t xml:space="preserve">   - 100% pass-through - these transmission charges are fully recovered by generators (in aggregate) through increased energy prices.</t>
  </si>
  <si>
    <t xml:space="preserve">   - 50% pass-through - half these transmission charges are recovered by generators (in aggregate) through increased energy prices</t>
  </si>
  <si>
    <t xml:space="preserve">   - "Generator passthrough estimates" - which seeks to suggest how charges faced by generators might affect energy prices (and hence costs to end consumers) - under the same five options.</t>
  </si>
  <si>
    <t>Caveats</t>
  </si>
  <si>
    <t>Modelling approach</t>
  </si>
  <si>
    <t>Options modelled</t>
  </si>
  <si>
    <t>Structure of this spreadsheet</t>
  </si>
  <si>
    <t xml:space="preserve">   - "Beneficiaries-pay incidence" - which provides simulated beneficiaries-pay charges ($), and mean charging rates ($/MWh), applying to distributors under the four beneficiaries-pay options</t>
  </si>
  <si>
    <t xml:space="preserve">   - "Residual charge incidence" - which provides simulated residual charges ($), and mean charging rates ($/MWh), applying to distributors under the four beneficiaries-pay options and the status quo</t>
  </si>
  <si>
    <t xml:space="preserve">   - "Total effect on end consumers" - which combines the simulated effects on end consumers from the three sheets above, to form a view of the overall price effect.</t>
  </si>
  <si>
    <t>Simplified SPD</t>
  </si>
  <si>
    <t>GIT then SPD</t>
  </si>
  <si>
    <t>SPD then GIT</t>
  </si>
  <si>
    <t>Zonal SPD</t>
  </si>
  <si>
    <t>Status quo</t>
  </si>
  <si>
    <t>Total estimated charge on generation ($M)</t>
  </si>
  <si>
    <t xml:space="preserve">   - with 0% pass-through</t>
  </si>
  <si>
    <t xml:space="preserve">Estimated uplift in energy prices ($/MWh) </t>
  </si>
  <si>
    <t xml:space="preserve">   - with 50% pass-through</t>
  </si>
  <si>
    <t xml:space="preserve">   - with 100% pass-through</t>
  </si>
  <si>
    <t>The spreadsheet has four data sheets:</t>
  </si>
  <si>
    <t xml:space="preserve">   - beneficiaries-pay charges on mass-market load (as passed through by distributors and/or retailers)</t>
  </si>
  <si>
    <t xml:space="preserve">   - residual charges on mass-market load (as passed through by distributors and/or retailers)</t>
  </si>
  <si>
    <t>They are expressed as charging rates ($/MWh), and are the sum of estimated:</t>
  </si>
  <si>
    <t>0% generator pass-through</t>
  </si>
  <si>
    <t>With Simplified SPD charge</t>
  </si>
  <si>
    <t>With "GIT then SPD" charge</t>
  </si>
  <si>
    <t>With "SPD then GIT" charge</t>
  </si>
  <si>
    <t>With Zonal SPD charge</t>
  </si>
  <si>
    <t>50% generator pass-through</t>
  </si>
  <si>
    <t>100% generator pass-through</t>
  </si>
  <si>
    <t>Three sets of figures are provided - assuming 0%, 50% and 100% generator pass-through respectively</t>
  </si>
  <si>
    <t>Total amount ($M)</t>
  </si>
  <si>
    <t>Mean rate ($/MWh)</t>
  </si>
  <si>
    <t xml:space="preserve">   The distribution of LCE is also not considered.</t>
  </si>
  <si>
    <t>Charges are calculated on gross benefit. Daily capping is applied.</t>
  </si>
  <si>
    <t xml:space="preserve">   The within-zonal charge is on all net offtake and net injection, with the rate remaining constant within each region.</t>
  </si>
  <si>
    <t>Under all four beneficiaries-pay options, it is assumed that the residual charge will be split 50% between RCPD (with N=12 for UNI and USI, and N=100 for LNI and LSI) and RCPI.</t>
  </si>
  <si>
    <t>Other charges faced by generators (such as connection charges) are not considered. Distribution of LCE is not considered.</t>
  </si>
  <si>
    <t>It is assumed that any increase in energy prices is fully passed through from retailers to end consumers.</t>
  </si>
  <si>
    <t xml:space="preserve">The figures shown are indicative of the likely effect on prices paid by end consumers in each distributor's area. </t>
  </si>
  <si>
    <t xml:space="preserve">   - beneficiaries-pay, HVDC and residual charges on generation (as passed from generators to retailers to end consumers).</t>
  </si>
  <si>
    <t xml:space="preserve">   (see the "Generator passthrough" sheets).</t>
  </si>
  <si>
    <t>Note that the beneficiaries-pay charging options modelled (both here and in the paper) differ in some respects from the approach the working paper indicates would be applied if the options were implemented.</t>
  </si>
  <si>
    <t xml:space="preserve">Cost applying in event of non supply ("VoLL") of $3,000/MWh is assumed throughout. </t>
  </si>
  <si>
    <t>"VoLL" assumptions are as set out in the consultation paper.</t>
  </si>
  <si>
    <t>Spreadsheet b shows how the results of the Simplified SPD option are sensitive  to changes in the method and key assumptions.</t>
  </si>
  <si>
    <t xml:space="preserve">   Only beneficiaries-pay charges and residual charges are considered, along with HVDC charges and interconnection (RCPD) charges for modelling of the status quo.</t>
  </si>
  <si>
    <t>All load incl DCs</t>
  </si>
  <si>
    <t>All modelling results in this spreadsheet are based on a simulated 12-month scenario, perhaps representing the 2017 calendar year.</t>
  </si>
  <si>
    <t>The scenario is based on actual outcomes in 2012, with various changes such as increased demand, new generation, and new transmission investment (as set out in the beneficiaries-pay consultation paper).</t>
  </si>
  <si>
    <t xml:space="preserve">   beneficiaries-pay charge, residual charge and hVDC charge</t>
  </si>
  <si>
    <t xml:space="preserve">Total annual amount to be recovered through </t>
  </si>
  <si>
    <t>HVDC charge is assumed to be ($M):</t>
  </si>
  <si>
    <t>Total injection into the grid                                              over the 12-month simulated period (GWh)</t>
  </si>
  <si>
    <t>Estimated RCPI charge ($M)</t>
  </si>
  <si>
    <t>Estimated HVDC charge ($M)</t>
  </si>
  <si>
    <t>Total beneficiaries-pay charge on generation ($M)</t>
  </si>
  <si>
    <t>The analysis in this spreadsheet does not consider the extent to which the beneficiaries-pay options may promote more efficient investment and operation in the electricity sector.</t>
  </si>
  <si>
    <t xml:space="preserve">   If the options were effective in achieving this, over the long term consumers would face lower prices relative to what they would face if the status quo were maintained.</t>
  </si>
  <si>
    <t xml:space="preserve">   Spreadsheet d shows how the results of the Simplified SPD option are sensitive  to changes in demand-side assumptions.</t>
  </si>
  <si>
    <t>It is further assumed that load prices exceed generation prices by an average of 3%.</t>
  </si>
  <si>
    <t>Embedded generation over 10 MW (by scheme) is charged based on net injection.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</si>
</sst>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3" x14ac:knownFonts="1">
    <font>
      <sz val="11"/>
      <color theme="1"/>
      <name val="Calibri"/>
      <family val="2"/>
      <scheme val="minor"/>
    </font>
    <font>
      <b/>
      <sz val="11"/>
      <color theme="1"/>
      <name val="Calibri"/>
      <family val="2"/>
      <scheme val="minor"/>
    </font>
    <font>
      <sz val="11"/>
      <color theme="5"/>
      <name val="Calibri"/>
      <family val="2"/>
      <scheme val="minor"/>
    </font>
    <font>
      <b/>
      <sz val="11"/>
      <color theme="5"/>
      <name val="Calibri"/>
      <family val="2"/>
      <scheme val="minor"/>
    </font>
    <font>
      <i/>
      <sz val="11"/>
      <color theme="1"/>
      <name val="Calibri"/>
      <family val="2"/>
      <scheme val="minor"/>
    </font>
    <font>
      <sz val="11"/>
      <color theme="1"/>
      <name val="Calibri"/>
      <family val="2"/>
      <scheme val="minor"/>
    </font>
    <font>
      <sz val="11"/>
      <color theme="0" tint="-0.34998626667073579"/>
      <name val="Calibri"/>
      <family val="2"/>
      <scheme val="minor"/>
    </font>
    <font>
      <b/>
      <sz val="11"/>
      <color theme="0" tint="-0.34998626667073579"/>
      <name val="Calibri"/>
      <family val="2"/>
      <scheme val="minor"/>
    </font>
    <font>
      <u/>
      <sz val="11"/>
      <color theme="1"/>
      <name val="Calibri"/>
      <family val="2"/>
      <scheme val="minor"/>
    </font>
    <font>
      <b/>
      <i/>
      <sz val="11"/>
      <color theme="1"/>
      <name val="Calibri"/>
      <family val="2"/>
      <scheme val="minor"/>
    </font>
    <font>
      <i/>
      <sz val="11"/>
      <color theme="5"/>
      <name val="Calibri"/>
      <family val="2"/>
      <scheme val="minor"/>
    </font>
    <font>
      <sz val="11"/>
      <name val="Calibri"/>
      <family val="2"/>
      <scheme val="minor"/>
    </font>
    <font>
      <i/>
      <sz val="11"/>
      <color theme="0" tint="-0.34998626667073579"/>
      <name val="Calibri"/>
      <family val="2"/>
      <scheme val="minor"/>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indexed="64"/>
      </bottom>
      <diagonal/>
    </border>
    <border>
      <left/>
      <right style="thin">
        <color indexed="64"/>
      </right>
      <top/>
      <bottom/>
      <diagonal/>
    </border>
  </borders>
  <cellStyleXfs count="2">
    <xf numFmtId="0" fontId="0" fillId="0" borderId="0"/>
    <xf numFmtId="9" fontId="5" fillId="0" borderId="0" applyFont="0" applyFill="0" applyBorder="0" applyAlignment="0" applyProtection="0"/>
  </cellStyleXfs>
  <cellXfs count="69">
    <xf numFmtId="0" fontId="0" fillId="0" borderId="0" xfId="0"/>
    <xf numFmtId="0" fontId="0" fillId="0" borderId="0" xfId="0" applyAlignment="1">
      <alignment horizontal="right"/>
    </xf>
    <xf numFmtId="2" fontId="0" fillId="0" borderId="0" xfId="0" applyNumberFormat="1" applyAlignment="1">
      <alignment horizontal="right"/>
    </xf>
    <xf numFmtId="0" fontId="2" fillId="0" borderId="0" xfId="0" applyFont="1" applyAlignment="1">
      <alignment horizontal="right"/>
    </xf>
    <xf numFmtId="2" fontId="2" fillId="0" borderId="0" xfId="0" applyNumberFormat="1" applyFont="1" applyAlignment="1">
      <alignment horizontal="right"/>
    </xf>
    <xf numFmtId="0" fontId="1" fillId="0" borderId="0" xfId="0" applyFont="1"/>
    <xf numFmtId="0" fontId="1" fillId="0" borderId="1" xfId="0" applyFont="1" applyBorder="1"/>
    <xf numFmtId="2" fontId="1" fillId="0" borderId="1" xfId="0" applyNumberFormat="1" applyFont="1" applyBorder="1" applyAlignment="1">
      <alignment horizontal="right"/>
    </xf>
    <xf numFmtId="2" fontId="3" fillId="0" borderId="1" xfId="0" applyNumberFormat="1" applyFont="1" applyBorder="1" applyAlignment="1">
      <alignment horizontal="right"/>
    </xf>
    <xf numFmtId="0" fontId="2" fillId="0" borderId="0" xfId="0" applyFont="1" applyAlignment="1">
      <alignment horizontal="left"/>
    </xf>
    <xf numFmtId="0" fontId="0" fillId="0" borderId="0" xfId="0" applyAlignment="1">
      <alignment horizontal="left"/>
    </xf>
    <xf numFmtId="2" fontId="0" fillId="0" borderId="0" xfId="0" applyNumberFormat="1" applyAlignment="1">
      <alignment horizontal="left"/>
    </xf>
    <xf numFmtId="164" fontId="0" fillId="0" borderId="0" xfId="0" applyNumberFormat="1" applyAlignment="1">
      <alignment horizontal="right"/>
    </xf>
    <xf numFmtId="164" fontId="2" fillId="0" borderId="0" xfId="0" applyNumberFormat="1" applyFont="1" applyAlignment="1">
      <alignment horizontal="right"/>
    </xf>
    <xf numFmtId="0" fontId="6" fillId="0" borderId="0" xfId="0" applyFont="1"/>
    <xf numFmtId="0" fontId="6" fillId="0" borderId="0" xfId="0" applyFont="1" applyAlignment="1">
      <alignment horizontal="right"/>
    </xf>
    <xf numFmtId="0" fontId="7" fillId="0" borderId="0" xfId="0" applyFont="1" applyAlignment="1">
      <alignment horizontal="right"/>
    </xf>
    <xf numFmtId="0" fontId="4" fillId="0" borderId="0" xfId="0" applyFont="1"/>
    <xf numFmtId="10" fontId="6" fillId="0" borderId="0" xfId="1" applyNumberFormat="1" applyFont="1"/>
    <xf numFmtId="10" fontId="6" fillId="0" borderId="2" xfId="1" applyNumberFormat="1" applyFont="1" applyBorder="1"/>
    <xf numFmtId="0" fontId="8" fillId="0" borderId="0" xfId="0" applyFont="1"/>
    <xf numFmtId="0" fontId="0" fillId="0" borderId="0" xfId="0" applyAlignment="1">
      <alignment wrapText="1"/>
    </xf>
    <xf numFmtId="165" fontId="0" fillId="0" borderId="0" xfId="0" applyNumberFormat="1" applyAlignment="1">
      <alignment horizontal="right"/>
    </xf>
    <xf numFmtId="0" fontId="1" fillId="0" borderId="0" xfId="0" applyFont="1" applyAlignment="1">
      <alignment horizontal="right"/>
    </xf>
    <xf numFmtId="0" fontId="3" fillId="0" borderId="0" xfId="0" applyFont="1" applyAlignment="1">
      <alignment horizontal="right"/>
    </xf>
    <xf numFmtId="0" fontId="0" fillId="0" borderId="3" xfId="0" applyBorder="1" applyAlignment="1">
      <alignment horizontal="right"/>
    </xf>
    <xf numFmtId="0" fontId="1" fillId="0" borderId="0" xfId="0" applyFont="1" applyAlignment="1">
      <alignment horizontal="left"/>
    </xf>
    <xf numFmtId="0" fontId="10" fillId="0" borderId="0" xfId="0" applyFont="1" applyAlignment="1">
      <alignment horizontal="right"/>
    </xf>
    <xf numFmtId="0" fontId="4" fillId="0" borderId="0" xfId="0" applyFont="1" applyAlignment="1">
      <alignment horizontal="right"/>
    </xf>
    <xf numFmtId="0" fontId="4" fillId="0" borderId="3" xfId="0" applyFont="1" applyBorder="1" applyAlignment="1">
      <alignment horizontal="right"/>
    </xf>
    <xf numFmtId="0" fontId="0" fillId="0" borderId="3" xfId="0" applyBorder="1" applyAlignment="1">
      <alignment horizontal="left"/>
    </xf>
    <xf numFmtId="0" fontId="9"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0" fontId="4" fillId="0" borderId="3" xfId="0" applyFont="1" applyBorder="1" applyAlignment="1">
      <alignment horizontal="left"/>
    </xf>
    <xf numFmtId="0" fontId="0" fillId="0" borderId="1" xfId="0" applyBorder="1"/>
    <xf numFmtId="165" fontId="2" fillId="0" borderId="0" xfId="0" applyNumberFormat="1" applyFont="1" applyAlignment="1">
      <alignment horizontal="right"/>
    </xf>
    <xf numFmtId="165" fontId="0" fillId="0" borderId="3" xfId="0" applyNumberFormat="1" applyBorder="1" applyAlignment="1">
      <alignment horizontal="right"/>
    </xf>
    <xf numFmtId="165" fontId="4" fillId="0" borderId="0" xfId="0" applyNumberFormat="1" applyFont="1" applyAlignment="1">
      <alignment horizontal="right"/>
    </xf>
    <xf numFmtId="165" fontId="10" fillId="0" borderId="0" xfId="0" applyNumberFormat="1" applyFont="1" applyAlignment="1">
      <alignment horizontal="right"/>
    </xf>
    <xf numFmtId="165" fontId="4" fillId="0" borderId="3" xfId="0" applyNumberFormat="1" applyFont="1" applyBorder="1" applyAlignment="1">
      <alignment horizontal="right"/>
    </xf>
    <xf numFmtId="165" fontId="0" fillId="0" borderId="0" xfId="0" applyNumberFormat="1" applyFont="1" applyAlignment="1">
      <alignment horizontal="right"/>
    </xf>
    <xf numFmtId="165" fontId="0" fillId="0" borderId="3" xfId="0" applyNumberFormat="1" applyFont="1" applyBorder="1" applyAlignment="1">
      <alignment horizontal="right"/>
    </xf>
    <xf numFmtId="0" fontId="11" fillId="0" borderId="0" xfId="0" applyFont="1"/>
    <xf numFmtId="2" fontId="1" fillId="0" borderId="0" xfId="0" applyNumberFormat="1" applyFont="1" applyBorder="1" applyAlignment="1">
      <alignment horizontal="right"/>
    </xf>
    <xf numFmtId="0" fontId="0" fillId="0" borderId="0" xfId="0" applyBorder="1"/>
    <xf numFmtId="0" fontId="2" fillId="0" borderId="0" xfId="0" applyFont="1" applyFill="1" applyAlignment="1">
      <alignment horizontal="right"/>
    </xf>
    <xf numFmtId="2" fontId="2" fillId="0" borderId="0" xfId="0" applyNumberFormat="1" applyFont="1" applyFill="1" applyAlignment="1">
      <alignment horizontal="right"/>
    </xf>
    <xf numFmtId="165" fontId="0" fillId="0" borderId="0" xfId="0" applyNumberFormat="1" applyFill="1" applyAlignment="1">
      <alignment horizontal="right"/>
    </xf>
    <xf numFmtId="0" fontId="1" fillId="0" borderId="0" xfId="0" applyFont="1" applyFill="1" applyBorder="1"/>
    <xf numFmtId="2" fontId="3" fillId="0" borderId="0" xfId="0" applyNumberFormat="1" applyFont="1" applyFill="1" applyBorder="1" applyAlignment="1">
      <alignment horizontal="right"/>
    </xf>
    <xf numFmtId="2" fontId="1" fillId="0" borderId="0" xfId="0" applyNumberFormat="1" applyFont="1" applyFill="1" applyBorder="1" applyAlignment="1">
      <alignment horizontal="right"/>
    </xf>
    <xf numFmtId="2" fontId="0" fillId="0" borderId="0" xfId="0" applyNumberFormat="1" applyFill="1" applyAlignment="1">
      <alignment horizontal="left"/>
    </xf>
    <xf numFmtId="2" fontId="0" fillId="0" borderId="0" xfId="0" applyNumberFormat="1" applyFill="1" applyAlignment="1">
      <alignment horizontal="right"/>
    </xf>
    <xf numFmtId="165" fontId="0" fillId="0" borderId="1" xfId="0" applyNumberFormat="1" applyBorder="1" applyAlignment="1">
      <alignment horizontal="right"/>
    </xf>
    <xf numFmtId="165" fontId="2" fillId="0" borderId="1" xfId="0" applyNumberFormat="1" applyFont="1" applyBorder="1" applyAlignment="1">
      <alignment horizontal="right"/>
    </xf>
    <xf numFmtId="165" fontId="2" fillId="0" borderId="0" xfId="0" applyNumberFormat="1" applyFont="1" applyFill="1" applyAlignment="1">
      <alignment horizontal="right"/>
    </xf>
    <xf numFmtId="165" fontId="0" fillId="0" borderId="0" xfId="0" applyNumberFormat="1"/>
    <xf numFmtId="2" fontId="10" fillId="0" borderId="0" xfId="0" applyNumberFormat="1" applyFont="1" applyFill="1" applyAlignment="1">
      <alignment horizontal="right"/>
    </xf>
    <xf numFmtId="2" fontId="4" fillId="0" borderId="0" xfId="0" applyNumberFormat="1" applyFont="1" applyFill="1" applyAlignment="1">
      <alignment horizontal="right"/>
    </xf>
    <xf numFmtId="2" fontId="10" fillId="0" borderId="0" xfId="0" applyNumberFormat="1" applyFont="1" applyAlignment="1">
      <alignment horizontal="right"/>
    </xf>
    <xf numFmtId="164" fontId="4" fillId="0" borderId="0" xfId="0" applyNumberFormat="1" applyFont="1" applyAlignment="1">
      <alignment horizontal="right"/>
    </xf>
    <xf numFmtId="2" fontId="4" fillId="0" borderId="0" xfId="0" applyNumberFormat="1" applyFont="1" applyAlignment="1">
      <alignment horizontal="right"/>
    </xf>
    <xf numFmtId="164" fontId="10" fillId="0" borderId="0" xfId="0" applyNumberFormat="1" applyFont="1" applyAlignment="1">
      <alignment horizontal="right"/>
    </xf>
    <xf numFmtId="10" fontId="12" fillId="0" borderId="0" xfId="1" applyNumberFormat="1" applyFont="1"/>
    <xf numFmtId="164" fontId="0" fillId="0" borderId="0" xfId="0" applyNumberFormat="1" applyFill="1" applyAlignment="1">
      <alignment horizontal="right"/>
    </xf>
    <xf numFmtId="164" fontId="2" fillId="0" borderId="0" xfId="0" applyNumberFormat="1" applyFont="1" applyFill="1" applyAlignment="1">
      <alignment horizontal="right"/>
    </xf>
    <xf numFmtId="164" fontId="4" fillId="0" borderId="0" xfId="0" applyNumberFormat="1" applyFont="1" applyFill="1" applyAlignment="1">
      <alignment horizontal="right"/>
    </xf>
    <xf numFmtId="164" fontId="10" fillId="0" borderId="0" xfId="0" applyNumberFormat="1" applyFont="1" applyFill="1" applyAlignment="1">
      <alignment horizontal="righ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abSelected="1" workbookViewId="0">
      <selection activeCell="A20" sqref="A20"/>
    </sheetView>
  </sheetViews>
  <sheetFormatPr defaultRowHeight="15" x14ac:dyDescent="0.25"/>
  <sheetData>
    <row r="1" spans="1:1" x14ac:dyDescent="0.25">
      <c r="A1" s="5" t="s">
        <v>59</v>
      </c>
    </row>
    <row r="3" spans="1:1" x14ac:dyDescent="0.25">
      <c r="A3" s="20" t="s">
        <v>88</v>
      </c>
    </row>
    <row r="5" spans="1:1" x14ac:dyDescent="0.25">
      <c r="A5" t="s">
        <v>57</v>
      </c>
    </row>
    <row r="6" spans="1:1" x14ac:dyDescent="0.25">
      <c r="A6" t="s">
        <v>46</v>
      </c>
    </row>
    <row r="8" spans="1:1" x14ac:dyDescent="0.25">
      <c r="A8" s="43" t="s">
        <v>143</v>
      </c>
    </row>
    <row r="9" spans="1:1" x14ac:dyDescent="0.25">
      <c r="A9" t="s">
        <v>144</v>
      </c>
    </row>
    <row r="11" spans="1:1" x14ac:dyDescent="0.25">
      <c r="A11" s="20" t="s">
        <v>89</v>
      </c>
    </row>
    <row r="13" spans="1:1" x14ac:dyDescent="0.25">
      <c r="A13" t="s">
        <v>134</v>
      </c>
    </row>
    <row r="14" spans="1:1" x14ac:dyDescent="0.25">
      <c r="A14" t="s">
        <v>135</v>
      </c>
    </row>
    <row r="16" spans="1:1" x14ac:dyDescent="0.25">
      <c r="A16" t="s">
        <v>128</v>
      </c>
    </row>
    <row r="17" spans="1:1" x14ac:dyDescent="0.25">
      <c r="A17" t="s">
        <v>47</v>
      </c>
    </row>
    <row r="18" spans="1:1" x14ac:dyDescent="0.25">
      <c r="A18" t="s">
        <v>48</v>
      </c>
    </row>
    <row r="19" spans="1:1" x14ac:dyDescent="0.25">
      <c r="A19" t="s">
        <v>145</v>
      </c>
    </row>
    <row r="21" spans="1:1" x14ac:dyDescent="0.25">
      <c r="A21" t="s">
        <v>56</v>
      </c>
    </row>
    <row r="22" spans="1:1" x14ac:dyDescent="0.25">
      <c r="A22" t="s">
        <v>119</v>
      </c>
    </row>
    <row r="23" spans="1:1" x14ac:dyDescent="0.25">
      <c r="A23" t="s">
        <v>132</v>
      </c>
    </row>
    <row r="25" spans="1:1" x14ac:dyDescent="0.25">
      <c r="A25" s="20" t="s">
        <v>90</v>
      </c>
    </row>
    <row r="27" spans="1:1" x14ac:dyDescent="0.25">
      <c r="A27" t="s">
        <v>49</v>
      </c>
    </row>
    <row r="29" spans="1:1" x14ac:dyDescent="0.25">
      <c r="A29" t="s">
        <v>51</v>
      </c>
    </row>
    <row r="30" spans="1:1" x14ac:dyDescent="0.25">
      <c r="A30" t="s">
        <v>52</v>
      </c>
    </row>
    <row r="31" spans="1:1" x14ac:dyDescent="0.25">
      <c r="A31" t="s">
        <v>53</v>
      </c>
    </row>
    <row r="32" spans="1:1" x14ac:dyDescent="0.25">
      <c r="A32" t="s">
        <v>54</v>
      </c>
    </row>
    <row r="33" spans="1:1" x14ac:dyDescent="0.25">
      <c r="A33" t="s">
        <v>55</v>
      </c>
    </row>
    <row r="34" spans="1:1" x14ac:dyDescent="0.25">
      <c r="A34" t="s">
        <v>61</v>
      </c>
    </row>
    <row r="36" spans="1:1" x14ac:dyDescent="0.25">
      <c r="A36" t="s">
        <v>62</v>
      </c>
    </row>
    <row r="38" spans="1:1" x14ac:dyDescent="0.25">
      <c r="A38" s="20" t="s">
        <v>91</v>
      </c>
    </row>
    <row r="40" spans="1:1" x14ac:dyDescent="0.25">
      <c r="A40" t="s">
        <v>105</v>
      </c>
    </row>
    <row r="41" spans="1:1" x14ac:dyDescent="0.25">
      <c r="A41" t="s">
        <v>92</v>
      </c>
    </row>
    <row r="42" spans="1:1" x14ac:dyDescent="0.25">
      <c r="A42" t="s">
        <v>93</v>
      </c>
    </row>
    <row r="43" spans="1:1" x14ac:dyDescent="0.25">
      <c r="A43" t="s">
        <v>87</v>
      </c>
    </row>
    <row r="44" spans="1:1" x14ac:dyDescent="0.25">
      <c r="A44" t="s">
        <v>94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28" sqref="A28"/>
    </sheetView>
  </sheetViews>
  <sheetFormatPr defaultRowHeight="15" x14ac:dyDescent="0.25"/>
  <sheetData>
    <row r="1" spans="1:1" x14ac:dyDescent="0.25">
      <c r="A1" s="5" t="s">
        <v>45</v>
      </c>
    </row>
    <row r="3" spans="1:1" x14ac:dyDescent="0.25">
      <c r="A3" t="s">
        <v>64</v>
      </c>
    </row>
    <row r="4" spans="1:1" x14ac:dyDescent="0.25">
      <c r="A4" t="s">
        <v>60</v>
      </c>
    </row>
    <row r="6" spans="1:1" x14ac:dyDescent="0.25">
      <c r="A6" t="s">
        <v>34</v>
      </c>
    </row>
    <row r="8" spans="1:1" x14ac:dyDescent="0.25">
      <c r="A8" t="s">
        <v>50</v>
      </c>
    </row>
    <row r="9" spans="1:1" x14ac:dyDescent="0.25">
      <c r="A9" t="s">
        <v>131</v>
      </c>
    </row>
    <row r="11" spans="1:1" x14ac:dyDescent="0.25">
      <c r="A11" s="5" t="s">
        <v>31</v>
      </c>
    </row>
    <row r="12" spans="1:1" x14ac:dyDescent="0.25">
      <c r="A12" t="s">
        <v>32</v>
      </c>
    </row>
    <row r="13" spans="1:1" x14ac:dyDescent="0.25">
      <c r="A13" t="s">
        <v>120</v>
      </c>
    </row>
    <row r="14" spans="1:1" x14ac:dyDescent="0.25">
      <c r="A14" t="s">
        <v>129</v>
      </c>
    </row>
    <row r="15" spans="1:1" x14ac:dyDescent="0.25">
      <c r="A15" t="s">
        <v>43</v>
      </c>
    </row>
    <row r="16" spans="1:1" x14ac:dyDescent="0.25">
      <c r="A16" t="s">
        <v>33</v>
      </c>
    </row>
    <row r="18" spans="1:1" x14ac:dyDescent="0.25">
      <c r="A18" s="5" t="s">
        <v>38</v>
      </c>
    </row>
    <row r="19" spans="1:1" x14ac:dyDescent="0.25">
      <c r="A19" t="s">
        <v>35</v>
      </c>
    </row>
    <row r="20" spans="1:1" x14ac:dyDescent="0.25">
      <c r="A20" t="s">
        <v>36</v>
      </c>
    </row>
    <row r="21" spans="1:1" x14ac:dyDescent="0.25">
      <c r="A21" t="s">
        <v>37</v>
      </c>
    </row>
    <row r="23" spans="1:1" x14ac:dyDescent="0.25">
      <c r="A23" s="5" t="s">
        <v>39</v>
      </c>
    </row>
    <row r="24" spans="1:1" x14ac:dyDescent="0.25">
      <c r="A24" t="s">
        <v>40</v>
      </c>
    </row>
    <row r="25" spans="1:1" x14ac:dyDescent="0.25">
      <c r="A25" t="s">
        <v>120</v>
      </c>
    </row>
    <row r="26" spans="1:1" x14ac:dyDescent="0.25">
      <c r="A26" t="s">
        <v>130</v>
      </c>
    </row>
    <row r="27" spans="1:1" x14ac:dyDescent="0.25">
      <c r="A27" t="s">
        <v>43</v>
      </c>
    </row>
    <row r="28" spans="1:1" x14ac:dyDescent="0.25">
      <c r="A28" t="s">
        <v>147</v>
      </c>
    </row>
    <row r="29" spans="1:1" x14ac:dyDescent="0.25">
      <c r="A29" t="s">
        <v>41</v>
      </c>
    </row>
    <row r="30" spans="1:1" x14ac:dyDescent="0.25">
      <c r="A30" t="s">
        <v>42</v>
      </c>
    </row>
    <row r="31" spans="1:1" x14ac:dyDescent="0.25">
      <c r="A31"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pane xSplit="1" ySplit="1" topLeftCell="B2" activePane="bottomRight" state="frozen"/>
      <selection pane="topRight" activeCell="B1" sqref="B1"/>
      <selection pane="bottomLeft" activeCell="A2" sqref="A2"/>
      <selection pane="bottomRight" activeCell="D19" sqref="D19"/>
    </sheetView>
  </sheetViews>
  <sheetFormatPr defaultRowHeight="15" x14ac:dyDescent="0.25"/>
  <cols>
    <col min="1" max="1" width="20.28515625" bestFit="1" customWidth="1"/>
    <col min="2" max="2" width="14" style="3" bestFit="1" customWidth="1"/>
    <col min="3" max="3" width="25.28515625" style="1" bestFit="1" customWidth="1"/>
    <col min="4" max="4" width="26.85546875" style="1" bestFit="1" customWidth="1"/>
    <col min="5" max="5" width="25.28515625" style="3" bestFit="1" customWidth="1"/>
    <col min="6" max="6" width="26.85546875" style="3" bestFit="1" customWidth="1"/>
    <col min="7" max="7" width="25.28515625" style="1" bestFit="1" customWidth="1"/>
    <col min="8" max="8" width="26.85546875" style="1" bestFit="1" customWidth="1"/>
    <col min="9" max="9" width="20.85546875" style="3" bestFit="1" customWidth="1"/>
    <col min="10" max="10" width="26.85546875" style="3" bestFit="1" customWidth="1"/>
  </cols>
  <sheetData>
    <row r="1" spans="1:10" x14ac:dyDescent="0.25">
      <c r="A1" t="s">
        <v>58</v>
      </c>
      <c r="B1" s="46" t="s">
        <v>21</v>
      </c>
      <c r="C1" s="1" t="s">
        <v>22</v>
      </c>
      <c r="D1" s="1" t="s">
        <v>26</v>
      </c>
      <c r="E1" s="3" t="s">
        <v>23</v>
      </c>
      <c r="F1" s="3" t="s">
        <v>26</v>
      </c>
      <c r="G1" s="1" t="s">
        <v>24</v>
      </c>
      <c r="H1" s="1" t="s">
        <v>26</v>
      </c>
      <c r="I1" s="3" t="s">
        <v>25</v>
      </c>
      <c r="J1" s="3" t="s">
        <v>26</v>
      </c>
    </row>
    <row r="2" spans="1:10" x14ac:dyDescent="0.25">
      <c r="A2" t="s">
        <v>0</v>
      </c>
      <c r="B2" s="47">
        <v>761.43723333050195</v>
      </c>
      <c r="C2" s="65">
        <v>3.1531332767951601</v>
      </c>
      <c r="D2" s="53">
        <f t="shared" ref="D2:D27" si="0">C2*1000000/($B2*1000)</f>
        <v>4.1410284902978232</v>
      </c>
      <c r="E2" s="66">
        <v>2.3535716207366399</v>
      </c>
      <c r="F2" s="47">
        <f t="shared" ref="F2:F27" si="1">E2*1000000/($B2*1000)</f>
        <v>3.0909594615464147</v>
      </c>
      <c r="G2" s="65">
        <v>3.1531332767951601</v>
      </c>
      <c r="H2" s="53">
        <f t="shared" ref="H2:H27" si="2">G2*1000000/($B2*1000)</f>
        <v>4.1410284902978232</v>
      </c>
      <c r="I2" s="66">
        <v>6.3722996077541696</v>
      </c>
      <c r="J2" s="4">
        <f t="shared" ref="J2:J27" si="3">I2*1000000/($B2*1000)</f>
        <v>8.3687785792690175</v>
      </c>
    </row>
    <row r="3" spans="1:10" x14ac:dyDescent="0.25">
      <c r="A3" t="s">
        <v>1</v>
      </c>
      <c r="B3" s="47">
        <v>1300.0055788649199</v>
      </c>
      <c r="C3" s="65">
        <v>5.6795482921799696</v>
      </c>
      <c r="D3" s="53">
        <f t="shared" si="0"/>
        <v>4.3688645529805958</v>
      </c>
      <c r="E3" s="66">
        <v>4.25570116973471</v>
      </c>
      <c r="F3" s="47">
        <f t="shared" si="1"/>
        <v>3.2736022359615644</v>
      </c>
      <c r="G3" s="65">
        <v>5.6795482921799696</v>
      </c>
      <c r="H3" s="53">
        <f t="shared" si="2"/>
        <v>4.3688645529805958</v>
      </c>
      <c r="I3" s="66">
        <v>17.066959085145399</v>
      </c>
      <c r="J3" s="4">
        <f t="shared" si="3"/>
        <v>13.128373725939818</v>
      </c>
    </row>
    <row r="4" spans="1:10" x14ac:dyDescent="0.25">
      <c r="A4" t="s">
        <v>2</v>
      </c>
      <c r="B4" s="47">
        <v>120.134073495857</v>
      </c>
      <c r="C4" s="65">
        <v>0.55500548725781396</v>
      </c>
      <c r="D4" s="53">
        <f t="shared" si="0"/>
        <v>4.6198840271320201</v>
      </c>
      <c r="E4" s="66">
        <v>0.52478165808881005</v>
      </c>
      <c r="F4" s="47">
        <f t="shared" si="1"/>
        <v>4.3682998737815044</v>
      </c>
      <c r="G4" s="65">
        <v>0.652388492080622</v>
      </c>
      <c r="H4" s="53">
        <f t="shared" si="2"/>
        <v>5.4305033792358719</v>
      </c>
      <c r="I4" s="66">
        <v>1.74347738286735</v>
      </c>
      <c r="J4" s="4">
        <f t="shared" si="3"/>
        <v>14.512763382883845</v>
      </c>
    </row>
    <row r="5" spans="1:10" x14ac:dyDescent="0.25">
      <c r="A5" t="s">
        <v>3</v>
      </c>
      <c r="B5" s="47">
        <v>486.03741121013502</v>
      </c>
      <c r="C5" s="65">
        <v>2.3228544193755898</v>
      </c>
      <c r="D5" s="53">
        <f t="shared" si="0"/>
        <v>4.7791679525083284</v>
      </c>
      <c r="E5" s="66">
        <v>5.1958649805600601</v>
      </c>
      <c r="F5" s="47">
        <f t="shared" si="1"/>
        <v>10.69025729444037</v>
      </c>
      <c r="G5" s="65">
        <v>3.9309216760184298</v>
      </c>
      <c r="H5" s="53">
        <f t="shared" si="2"/>
        <v>8.0876936329473654</v>
      </c>
      <c r="I5" s="66">
        <v>9.5124526436332602</v>
      </c>
      <c r="J5" s="4">
        <f t="shared" si="3"/>
        <v>19.571441259941643</v>
      </c>
    </row>
    <row r="6" spans="1:10" x14ac:dyDescent="0.25">
      <c r="A6" t="s">
        <v>4</v>
      </c>
      <c r="B6" s="47">
        <v>309.51829206883798</v>
      </c>
      <c r="C6" s="65">
        <v>0.69465911086391896</v>
      </c>
      <c r="D6" s="53">
        <f t="shared" si="0"/>
        <v>2.2443232877151709</v>
      </c>
      <c r="E6" s="66">
        <v>0.40173983691138399</v>
      </c>
      <c r="F6" s="47">
        <f t="shared" si="1"/>
        <v>1.2979518406687112</v>
      </c>
      <c r="G6" s="65">
        <v>0.69465911086391896</v>
      </c>
      <c r="H6" s="53">
        <f t="shared" si="2"/>
        <v>2.2443232877151709</v>
      </c>
      <c r="I6" s="66">
        <v>1.8411587980817601</v>
      </c>
      <c r="J6" s="4">
        <f t="shared" si="3"/>
        <v>5.948465228905695</v>
      </c>
    </row>
    <row r="7" spans="1:10" x14ac:dyDescent="0.25">
      <c r="A7" t="s">
        <v>5</v>
      </c>
      <c r="B7" s="47">
        <v>475.56199832439398</v>
      </c>
      <c r="C7" s="65">
        <v>1.3014140933704501</v>
      </c>
      <c r="D7" s="53">
        <f t="shared" si="0"/>
        <v>2.736581345767497</v>
      </c>
      <c r="E7" s="66">
        <v>0.72806529544112297</v>
      </c>
      <c r="F7" s="47">
        <f t="shared" si="1"/>
        <v>1.5309576837644825</v>
      </c>
      <c r="G7" s="65">
        <v>1.3014140933704501</v>
      </c>
      <c r="H7" s="53">
        <f t="shared" si="2"/>
        <v>2.736581345767497</v>
      </c>
      <c r="I7" s="66">
        <v>4.6808728696842996</v>
      </c>
      <c r="J7" s="4">
        <f t="shared" si="3"/>
        <v>9.8428236195848147</v>
      </c>
    </row>
    <row r="8" spans="1:10" x14ac:dyDescent="0.25">
      <c r="A8" t="s">
        <v>6</v>
      </c>
      <c r="B8" s="47">
        <v>561.80447148433302</v>
      </c>
      <c r="C8" s="65">
        <v>2.2968684616606798</v>
      </c>
      <c r="D8" s="53">
        <f t="shared" si="0"/>
        <v>4.0883769678660027</v>
      </c>
      <c r="E8" s="66">
        <v>2.2229885921583201</v>
      </c>
      <c r="F8" s="47">
        <f t="shared" si="1"/>
        <v>3.9568723728470929</v>
      </c>
      <c r="G8" s="65">
        <v>2.7522773289154299</v>
      </c>
      <c r="H8" s="53">
        <f t="shared" si="2"/>
        <v>4.898995057201466</v>
      </c>
      <c r="I8" s="66">
        <v>8.0980407962236907</v>
      </c>
      <c r="J8" s="4">
        <f t="shared" si="3"/>
        <v>14.41434023269343</v>
      </c>
    </row>
    <row r="9" spans="1:10" x14ac:dyDescent="0.25">
      <c r="A9" t="s">
        <v>27</v>
      </c>
      <c r="B9" s="47">
        <v>487.371387978553</v>
      </c>
      <c r="C9" s="65">
        <v>1.04195198282648</v>
      </c>
      <c r="D9" s="53">
        <f t="shared" si="0"/>
        <v>2.137901420820238</v>
      </c>
      <c r="E9" s="66">
        <v>0.62007119041144299</v>
      </c>
      <c r="F9" s="47">
        <f t="shared" si="1"/>
        <v>1.2722765548123016</v>
      </c>
      <c r="G9" s="65">
        <v>1.04195198282648</v>
      </c>
      <c r="H9" s="53">
        <f t="shared" si="2"/>
        <v>2.137901420820238</v>
      </c>
      <c r="I9" s="66">
        <v>2.8492339660066199</v>
      </c>
      <c r="J9" s="4">
        <f t="shared" si="3"/>
        <v>5.8461248162807653</v>
      </c>
    </row>
    <row r="10" spans="1:10" x14ac:dyDescent="0.25">
      <c r="A10" t="s">
        <v>7</v>
      </c>
      <c r="B10" s="47">
        <v>516.52916296671197</v>
      </c>
      <c r="C10" s="65">
        <v>2.24037445546664</v>
      </c>
      <c r="D10" s="53">
        <f t="shared" si="0"/>
        <v>4.3373629527497224</v>
      </c>
      <c r="E10" s="66">
        <v>2.0868773297555001</v>
      </c>
      <c r="F10" s="47">
        <f t="shared" si="1"/>
        <v>4.0401926539237634</v>
      </c>
      <c r="G10" s="65">
        <v>2.6590824836622202</v>
      </c>
      <c r="H10" s="53">
        <f t="shared" si="2"/>
        <v>5.147981322854343</v>
      </c>
      <c r="I10" s="66">
        <v>7.3543128604356802</v>
      </c>
      <c r="J10" s="4">
        <f t="shared" si="3"/>
        <v>14.237943155417991</v>
      </c>
    </row>
    <row r="11" spans="1:10" x14ac:dyDescent="0.25">
      <c r="A11" t="s">
        <v>8</v>
      </c>
      <c r="B11" s="47">
        <v>400.15205009365002</v>
      </c>
      <c r="C11" s="65">
        <v>1.8537361901948599</v>
      </c>
      <c r="D11" s="53">
        <f t="shared" si="0"/>
        <v>4.6325795151143643</v>
      </c>
      <c r="E11" s="66">
        <v>1.7219540404711799</v>
      </c>
      <c r="F11" s="47">
        <f t="shared" si="1"/>
        <v>4.3032493275198282</v>
      </c>
      <c r="G11" s="65">
        <v>2.1781066596971099</v>
      </c>
      <c r="H11" s="53">
        <f t="shared" si="2"/>
        <v>5.4431975524987424</v>
      </c>
      <c r="I11" s="66">
        <v>5.7609718362045799</v>
      </c>
      <c r="J11" s="4">
        <f t="shared" si="3"/>
        <v>14.396956943882468</v>
      </c>
    </row>
    <row r="12" spans="1:10" x14ac:dyDescent="0.25">
      <c r="A12" t="s">
        <v>9</v>
      </c>
      <c r="B12" s="47">
        <v>831.21064083673002</v>
      </c>
      <c r="C12" s="65">
        <v>3.73255215343828</v>
      </c>
      <c r="D12" s="53">
        <f t="shared" si="0"/>
        <v>4.4905009272751162</v>
      </c>
      <c r="E12" s="66">
        <v>3.46746419755174</v>
      </c>
      <c r="F12" s="47">
        <f t="shared" si="1"/>
        <v>4.1715830226394255</v>
      </c>
      <c r="G12" s="65">
        <v>4.4063472538232196</v>
      </c>
      <c r="H12" s="53">
        <f t="shared" si="2"/>
        <v>5.3011198814630349</v>
      </c>
      <c r="I12" s="66">
        <v>11.4103918577886</v>
      </c>
      <c r="J12" s="4">
        <f t="shared" si="3"/>
        <v>13.727437182833032</v>
      </c>
    </row>
    <row r="13" spans="1:10" x14ac:dyDescent="0.25">
      <c r="A13" t="s">
        <v>10</v>
      </c>
      <c r="B13" s="47">
        <v>243.85148881633401</v>
      </c>
      <c r="C13" s="65">
        <v>1.0015648110143101</v>
      </c>
      <c r="D13" s="53">
        <f t="shared" si="0"/>
        <v>4.1072737176055405</v>
      </c>
      <c r="E13" s="66">
        <v>0.75438588826637898</v>
      </c>
      <c r="F13" s="47">
        <f t="shared" si="1"/>
        <v>3.0936283880332316</v>
      </c>
      <c r="G13" s="65">
        <v>1.0015648110143101</v>
      </c>
      <c r="H13" s="53">
        <f t="shared" si="2"/>
        <v>4.1072737176055405</v>
      </c>
      <c r="I13" s="66">
        <v>1.5582143518028999</v>
      </c>
      <c r="J13" s="4">
        <f t="shared" si="3"/>
        <v>6.3900136897524877</v>
      </c>
    </row>
    <row r="14" spans="1:10" x14ac:dyDescent="0.25">
      <c r="A14" t="s">
        <v>11</v>
      </c>
      <c r="B14" s="47">
        <v>1062.33237213301</v>
      </c>
      <c r="C14" s="65">
        <v>5.6133446162366702</v>
      </c>
      <c r="D14" s="53">
        <f t="shared" si="0"/>
        <v>5.2839815141525666</v>
      </c>
      <c r="E14" s="66">
        <v>20.045199253914699</v>
      </c>
      <c r="F14" s="47">
        <f t="shared" si="1"/>
        <v>18.869046806572253</v>
      </c>
      <c r="G14" s="65">
        <v>14.6157801997528</v>
      </c>
      <c r="H14" s="53">
        <f t="shared" si="2"/>
        <v>13.758199018642747</v>
      </c>
      <c r="I14" s="66">
        <v>22.843825434070801</v>
      </c>
      <c r="J14" s="4">
        <f t="shared" si="3"/>
        <v>21.503463542397466</v>
      </c>
    </row>
    <row r="15" spans="1:10" x14ac:dyDescent="0.25">
      <c r="A15" t="s">
        <v>12</v>
      </c>
      <c r="B15" s="47">
        <v>3343.6033737601101</v>
      </c>
      <c r="C15" s="65">
        <v>14.879624200957499</v>
      </c>
      <c r="D15" s="53">
        <f t="shared" si="0"/>
        <v>4.4501762134018747</v>
      </c>
      <c r="E15" s="66">
        <v>13.9815600330327</v>
      </c>
      <c r="F15" s="47">
        <f t="shared" si="1"/>
        <v>4.1815844973590517</v>
      </c>
      <c r="G15" s="65">
        <v>17.590009811360499</v>
      </c>
      <c r="H15" s="53">
        <f t="shared" si="2"/>
        <v>5.2607943721444848</v>
      </c>
      <c r="I15" s="66">
        <v>47.205546854344703</v>
      </c>
      <c r="J15" s="4">
        <f t="shared" si="3"/>
        <v>14.118165816198122</v>
      </c>
    </row>
    <row r="16" spans="1:10" x14ac:dyDescent="0.25">
      <c r="A16" t="s">
        <v>13</v>
      </c>
      <c r="B16" s="47">
        <v>4217.25974546221</v>
      </c>
      <c r="C16" s="65">
        <v>11.7489927762119</v>
      </c>
      <c r="D16" s="53">
        <f t="shared" si="0"/>
        <v>2.7859305533300072</v>
      </c>
      <c r="E16" s="66">
        <v>6.21055186425576</v>
      </c>
      <c r="F16" s="47">
        <f t="shared" si="1"/>
        <v>1.4726510196433458</v>
      </c>
      <c r="G16" s="65">
        <v>11.7489927762119</v>
      </c>
      <c r="H16" s="53">
        <f t="shared" si="2"/>
        <v>2.7859305533300072</v>
      </c>
      <c r="I16" s="66">
        <v>29.971235887354599</v>
      </c>
      <c r="J16" s="4">
        <f t="shared" si="3"/>
        <v>7.1068033975388349</v>
      </c>
    </row>
    <row r="17" spans="1:10" x14ac:dyDescent="0.25">
      <c r="A17" t="s">
        <v>14</v>
      </c>
      <c r="B17" s="47">
        <v>1358.87540710797</v>
      </c>
      <c r="C17" s="65">
        <v>6.6321660327904404</v>
      </c>
      <c r="D17" s="53">
        <f t="shared" si="0"/>
        <v>4.8806284947825826</v>
      </c>
      <c r="E17" s="66">
        <v>5.4262050341936803</v>
      </c>
      <c r="F17" s="47">
        <f t="shared" si="1"/>
        <v>3.9931586117538291</v>
      </c>
      <c r="G17" s="65">
        <v>6.6649269819932799</v>
      </c>
      <c r="H17" s="53">
        <f t="shared" si="2"/>
        <v>4.9047373638013863</v>
      </c>
      <c r="I17" s="66">
        <v>15.5399967997307</v>
      </c>
      <c r="J17" s="4">
        <f t="shared" si="3"/>
        <v>11.43592467598169</v>
      </c>
    </row>
    <row r="18" spans="1:10" x14ac:dyDescent="0.25">
      <c r="A18" t="s">
        <v>15</v>
      </c>
      <c r="B18" s="47">
        <v>93.507729482412302</v>
      </c>
      <c r="C18" s="65">
        <v>0.24772263559729801</v>
      </c>
      <c r="D18" s="53">
        <f t="shared" si="0"/>
        <v>2.6492209464233833</v>
      </c>
      <c r="E18" s="66">
        <v>0.13741260531528901</v>
      </c>
      <c r="F18" s="47">
        <f t="shared" si="1"/>
        <v>1.4695320491247168</v>
      </c>
      <c r="G18" s="65">
        <v>0.24772263559729801</v>
      </c>
      <c r="H18" s="53">
        <f t="shared" si="2"/>
        <v>2.6492209464233833</v>
      </c>
      <c r="I18" s="66">
        <v>0.91706542252932699</v>
      </c>
      <c r="J18" s="4">
        <f t="shared" si="3"/>
        <v>9.8073755785270809</v>
      </c>
    </row>
    <row r="19" spans="1:10" x14ac:dyDescent="0.25">
      <c r="A19" t="s">
        <v>16</v>
      </c>
      <c r="B19" s="47">
        <v>225.97007204809699</v>
      </c>
      <c r="C19" s="65">
        <v>0.69648433852384894</v>
      </c>
      <c r="D19" s="53">
        <f t="shared" si="0"/>
        <v>3.082197267147857</v>
      </c>
      <c r="E19" s="66">
        <v>0.33095659954567602</v>
      </c>
      <c r="F19" s="47">
        <f t="shared" si="1"/>
        <v>1.4646036820098591</v>
      </c>
      <c r="G19" s="65">
        <v>0.69648433852384894</v>
      </c>
      <c r="H19" s="53">
        <f t="shared" si="2"/>
        <v>3.082197267147857</v>
      </c>
      <c r="I19" s="66">
        <v>1.45798761288109</v>
      </c>
      <c r="J19" s="4">
        <f t="shared" si="3"/>
        <v>6.4521270434907949</v>
      </c>
    </row>
    <row r="20" spans="1:10" s="17" customFormat="1" x14ac:dyDescent="0.25">
      <c r="A20" s="17" t="s">
        <v>17</v>
      </c>
      <c r="B20" s="58">
        <v>175.5681614936</v>
      </c>
      <c r="C20" s="67">
        <v>1.1642382502589299</v>
      </c>
      <c r="D20" s="59">
        <f t="shared" si="0"/>
        <v>6.6312607044151903</v>
      </c>
      <c r="E20" s="68">
        <v>3.37124145853045</v>
      </c>
      <c r="F20" s="58">
        <f t="shared" si="1"/>
        <v>19.201895320031259</v>
      </c>
      <c r="G20" s="67">
        <v>2.6520414750267198</v>
      </c>
      <c r="H20" s="59">
        <f t="shared" si="2"/>
        <v>15.10548070028856</v>
      </c>
      <c r="I20" s="68">
        <v>3.70787170188445</v>
      </c>
      <c r="J20" s="60">
        <f t="shared" si="3"/>
        <v>21.119271685371118</v>
      </c>
    </row>
    <row r="21" spans="1:10" x14ac:dyDescent="0.25">
      <c r="A21" t="s">
        <v>29</v>
      </c>
      <c r="B21" s="47">
        <v>1856.35305965203</v>
      </c>
      <c r="C21" s="65">
        <v>4.14410844987977</v>
      </c>
      <c r="D21" s="53">
        <f t="shared" si="0"/>
        <v>2.2323923934257288</v>
      </c>
      <c r="E21" s="66">
        <v>2.4221736550409001</v>
      </c>
      <c r="F21" s="47">
        <f t="shared" si="1"/>
        <v>1.304802253238903</v>
      </c>
      <c r="G21" s="65">
        <v>4.14410844987977</v>
      </c>
      <c r="H21" s="53">
        <f t="shared" si="2"/>
        <v>2.2323923934257288</v>
      </c>
      <c r="I21" s="66">
        <v>11.4147201681113</v>
      </c>
      <c r="J21" s="4">
        <f t="shared" si="3"/>
        <v>6.1490028035135564</v>
      </c>
    </row>
    <row r="22" spans="1:10" x14ac:dyDescent="0.25">
      <c r="A22" t="s">
        <v>18</v>
      </c>
      <c r="B22" s="47">
        <v>8976.6282392731991</v>
      </c>
      <c r="C22" s="65">
        <v>46.532671880353703</v>
      </c>
      <c r="D22" s="53">
        <f t="shared" si="0"/>
        <v>5.1837583823256628</v>
      </c>
      <c r="E22" s="66">
        <v>119.729579181853</v>
      </c>
      <c r="F22" s="47">
        <f t="shared" si="1"/>
        <v>13.337923326046864</v>
      </c>
      <c r="G22" s="65">
        <v>91.242468523939493</v>
      </c>
      <c r="H22" s="53">
        <f t="shared" si="2"/>
        <v>10.164447729354448</v>
      </c>
      <c r="I22" s="66">
        <v>166.36482356714299</v>
      </c>
      <c r="J22" s="4">
        <f t="shared" si="3"/>
        <v>18.533108326719884</v>
      </c>
    </row>
    <row r="23" spans="1:10" x14ac:dyDescent="0.25">
      <c r="A23" t="s">
        <v>44</v>
      </c>
      <c r="B23" s="47">
        <v>402.71425649595199</v>
      </c>
      <c r="C23" s="65">
        <v>1.37516084730736</v>
      </c>
      <c r="D23" s="53">
        <f t="shared" si="0"/>
        <v>3.4147309789147804</v>
      </c>
      <c r="E23" s="66">
        <v>0.62554735216707902</v>
      </c>
      <c r="F23" s="47">
        <f t="shared" si="1"/>
        <v>1.5533280535186786</v>
      </c>
      <c r="G23" s="65">
        <v>1.37516084730736</v>
      </c>
      <c r="H23" s="53">
        <f t="shared" si="2"/>
        <v>3.4147309789147804</v>
      </c>
      <c r="I23" s="66">
        <v>2.4260519805193299</v>
      </c>
      <c r="J23" s="4">
        <f t="shared" si="3"/>
        <v>6.0242515415982458</v>
      </c>
    </row>
    <row r="24" spans="1:10" x14ac:dyDescent="0.25">
      <c r="A24" t="s">
        <v>28</v>
      </c>
      <c r="B24" s="47">
        <v>1222.1112059616</v>
      </c>
      <c r="C24" s="65">
        <v>4.3909812153880203</v>
      </c>
      <c r="D24" s="53">
        <f t="shared" si="0"/>
        <v>3.5929473471549116</v>
      </c>
      <c r="E24" s="66">
        <v>2.0703424689090499</v>
      </c>
      <c r="F24" s="47">
        <f t="shared" si="1"/>
        <v>1.6940704404064701</v>
      </c>
      <c r="G24" s="65">
        <v>4.4611897061076604</v>
      </c>
      <c r="H24" s="53">
        <f t="shared" si="2"/>
        <v>3.6503958758789383</v>
      </c>
      <c r="I24" s="66">
        <v>7.5589366442917099</v>
      </c>
      <c r="J24" s="4">
        <f t="shared" si="3"/>
        <v>6.185146333180108</v>
      </c>
    </row>
    <row r="25" spans="1:10" x14ac:dyDescent="0.25">
      <c r="A25" t="s">
        <v>19</v>
      </c>
      <c r="B25" s="47">
        <v>2710.1313215314399</v>
      </c>
      <c r="C25" s="65">
        <v>7.4346306739224302</v>
      </c>
      <c r="D25" s="53">
        <f t="shared" si="0"/>
        <v>2.7432732188495104</v>
      </c>
      <c r="E25" s="66">
        <v>4.1968986551035403</v>
      </c>
      <c r="F25" s="47">
        <f t="shared" si="1"/>
        <v>1.5485960483759726</v>
      </c>
      <c r="G25" s="65">
        <v>7.4346306739224302</v>
      </c>
      <c r="H25" s="53">
        <f t="shared" si="2"/>
        <v>2.7432732188495104</v>
      </c>
      <c r="I25" s="66">
        <v>26.477863659995801</v>
      </c>
      <c r="J25" s="4">
        <f t="shared" si="3"/>
        <v>9.7699559610394466</v>
      </c>
    </row>
    <row r="26" spans="1:10" x14ac:dyDescent="0.25">
      <c r="A26" t="s">
        <v>20</v>
      </c>
      <c r="B26" s="47">
        <v>246.893978480827</v>
      </c>
      <c r="C26" s="65">
        <v>1.1253457526738899</v>
      </c>
      <c r="D26" s="53">
        <f t="shared" si="0"/>
        <v>4.5580121459352672</v>
      </c>
      <c r="E26" s="66">
        <v>1.05958917296032</v>
      </c>
      <c r="F26" s="47">
        <f t="shared" si="1"/>
        <v>4.2916768544948711</v>
      </c>
      <c r="G26" s="65">
        <v>1.3254843931454301</v>
      </c>
      <c r="H26" s="53">
        <f t="shared" si="2"/>
        <v>5.3686379931228778</v>
      </c>
      <c r="I26" s="66">
        <v>3.4288856235171199</v>
      </c>
      <c r="J26" s="4">
        <f t="shared" si="3"/>
        <v>13.888089311110502</v>
      </c>
    </row>
    <row r="27" spans="1:10" s="6" customFormat="1" x14ac:dyDescent="0.25">
      <c r="A27" s="6" t="s">
        <v>30</v>
      </c>
      <c r="B27" s="8">
        <f>SUM(B2:B26)</f>
        <v>32385.562712353414</v>
      </c>
      <c r="C27" s="7">
        <f>SUM(C2:C26)</f>
        <v>131.85913440454593</v>
      </c>
      <c r="D27" s="7">
        <f t="shared" si="0"/>
        <v>4.0715406298698804</v>
      </c>
      <c r="E27" s="8">
        <f>SUM(E2:E26)</f>
        <v>203.94072313490943</v>
      </c>
      <c r="F27" s="8">
        <f t="shared" si="1"/>
        <v>6.297272798570722</v>
      </c>
      <c r="G27" s="7">
        <f>SUM(G2:G26)</f>
        <v>193.6503962740158</v>
      </c>
      <c r="H27" s="7">
        <f t="shared" si="2"/>
        <v>5.9795285323280245</v>
      </c>
      <c r="I27" s="8">
        <f>SUM(I2:I26)</f>
        <v>417.56319741200224</v>
      </c>
      <c r="J27" s="8">
        <f t="shared" si="3"/>
        <v>12.89349828875209</v>
      </c>
    </row>
    <row r="30" spans="1:10" x14ac:dyDescent="0.25">
      <c r="D30"/>
    </row>
    <row r="31" spans="1:10" x14ac:dyDescent="0.25">
      <c r="D31"/>
    </row>
    <row r="32" spans="1:10"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sheetData>
  <sortState ref="A2:J27">
    <sortCondition ref="A2:A2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36" sqref="H36"/>
    </sheetView>
  </sheetViews>
  <sheetFormatPr defaultRowHeight="15" x14ac:dyDescent="0.25"/>
  <sheetData>
    <row r="1" spans="1:1" x14ac:dyDescent="0.25">
      <c r="A1" s="5" t="s">
        <v>63</v>
      </c>
    </row>
    <row r="3" spans="1:1" x14ac:dyDescent="0.25">
      <c r="A3" t="s">
        <v>122</v>
      </c>
    </row>
    <row r="4" spans="1:1" x14ac:dyDescent="0.25">
      <c r="A4" t="s">
        <v>66</v>
      </c>
    </row>
    <row r="5" spans="1:1" x14ac:dyDescent="0.25">
      <c r="A5" t="s">
        <v>67</v>
      </c>
    </row>
    <row r="7" spans="1:1" x14ac:dyDescent="0.25">
      <c r="A7" t="s">
        <v>65</v>
      </c>
    </row>
    <row r="8" spans="1:1" x14ac:dyDescent="0.25">
      <c r="A8" t="s">
        <v>60</v>
      </c>
    </row>
    <row r="10" spans="1:1" x14ac:dyDescent="0.25">
      <c r="A10" t="s">
        <v>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xSplit="1" ySplit="2" topLeftCell="B3" activePane="bottomRight" state="frozen"/>
      <selection pane="topRight" activeCell="B1" sqref="B1"/>
      <selection pane="bottomLeft" activeCell="A2" sqref="A2"/>
      <selection pane="bottomRight" activeCell="B21" sqref="B21"/>
    </sheetView>
  </sheetViews>
  <sheetFormatPr defaultRowHeight="15" x14ac:dyDescent="0.25"/>
  <cols>
    <col min="1" max="1" width="20.28515625" bestFit="1" customWidth="1"/>
    <col min="2" max="2" width="14" style="3" bestFit="1" customWidth="1"/>
    <col min="3" max="3" width="44.140625" style="1" bestFit="1" customWidth="1"/>
    <col min="4" max="4" width="26.85546875" style="1" bestFit="1" customWidth="1"/>
    <col min="5" max="5" width="44.140625" style="3" bestFit="1" customWidth="1"/>
    <col min="6" max="6" width="26.85546875" style="3" bestFit="1" customWidth="1"/>
    <col min="7" max="7" width="44.140625" style="1" bestFit="1" customWidth="1"/>
    <col min="8" max="8" width="26.85546875" style="1" bestFit="1" customWidth="1"/>
    <col min="9" max="9" width="41.42578125" style="3" bestFit="1" customWidth="1"/>
    <col min="10" max="10" width="26.85546875" style="3" bestFit="1" customWidth="1"/>
    <col min="11" max="11" width="24.5703125" style="1" bestFit="1" customWidth="1"/>
    <col min="12" max="12" width="26.85546875" style="1" bestFit="1" customWidth="1"/>
    <col min="15" max="15" width="27.7109375" style="14" bestFit="1" customWidth="1"/>
    <col min="18" max="18" width="20.7109375" bestFit="1" customWidth="1"/>
  </cols>
  <sheetData>
    <row r="1" spans="1:15" x14ac:dyDescent="0.25">
      <c r="C1" s="1" t="s">
        <v>68</v>
      </c>
      <c r="E1" s="3" t="s">
        <v>68</v>
      </c>
      <c r="G1" s="1" t="s">
        <v>68</v>
      </c>
      <c r="I1" s="3" t="s">
        <v>68</v>
      </c>
      <c r="K1" s="1" t="s">
        <v>74</v>
      </c>
      <c r="O1" s="16" t="s">
        <v>75</v>
      </c>
    </row>
    <row r="2" spans="1:15" x14ac:dyDescent="0.25">
      <c r="A2" t="s">
        <v>58</v>
      </c>
      <c r="B2" s="3" t="s">
        <v>21</v>
      </c>
      <c r="C2" s="1" t="s">
        <v>69</v>
      </c>
      <c r="D2" s="1" t="s">
        <v>26</v>
      </c>
      <c r="E2" s="3" t="s">
        <v>70</v>
      </c>
      <c r="F2" s="3" t="s">
        <v>26</v>
      </c>
      <c r="G2" s="1" t="s">
        <v>71</v>
      </c>
      <c r="H2" s="1" t="s">
        <v>26</v>
      </c>
      <c r="I2" s="3" t="s">
        <v>72</v>
      </c>
      <c r="J2" s="3" t="s">
        <v>26</v>
      </c>
      <c r="K2" s="1" t="s">
        <v>73</v>
      </c>
      <c r="L2" s="1" t="s">
        <v>26</v>
      </c>
      <c r="O2" s="15" t="s">
        <v>76</v>
      </c>
    </row>
    <row r="3" spans="1:15" x14ac:dyDescent="0.25">
      <c r="A3" t="s">
        <v>0</v>
      </c>
      <c r="B3" s="4">
        <f>VLOOKUP(A3,'Beneficiaries-pay incidence'!A:B,2,FALSE)</f>
        <v>761.43723333050195</v>
      </c>
      <c r="C3" s="12">
        <f t="shared" ref="C3:C27" si="0">C$29*$O3</f>
        <v>3.8090156942712552</v>
      </c>
      <c r="D3" s="2">
        <f t="shared" ref="D3:D27" si="1">C3*1000000/($B3*1000)</f>
        <v>5.0024027293894511</v>
      </c>
      <c r="E3" s="13">
        <f t="shared" ref="E3:E27" si="2">E$29*$O3</f>
        <v>3.3540730830845895</v>
      </c>
      <c r="F3" s="4">
        <f t="shared" ref="F3:F27" si="3">E3*1000000/($B3*1000)</f>
        <v>4.4049239205364064</v>
      </c>
      <c r="G3" s="12">
        <f t="shared" ref="G3:G27" si="4">G$29*$O3</f>
        <v>3.3512948075964264</v>
      </c>
      <c r="H3" s="2">
        <f t="shared" ref="H3:H27" si="5">G3*1000000/($B3*1000)</f>
        <v>4.4012751949861588</v>
      </c>
      <c r="I3" s="13">
        <f t="shared" ref="I3:I27" si="6">I$29*$O3</f>
        <v>0</v>
      </c>
      <c r="J3" s="4">
        <f t="shared" ref="J3:J27" si="7">I3*1000000/($B3*1000)</f>
        <v>0</v>
      </c>
      <c r="K3" s="12">
        <f t="shared" ref="K3:K27" si="8">K$29*$O3</f>
        <v>9.0446758517141284</v>
      </c>
      <c r="L3" s="2">
        <f t="shared" ref="L3:L27" si="9">K3*1000000/($B3*1000)</f>
        <v>11.87842602883104</v>
      </c>
      <c r="O3" s="18">
        <v>1.3891377440814203E-2</v>
      </c>
    </row>
    <row r="4" spans="1:15" x14ac:dyDescent="0.25">
      <c r="A4" t="s">
        <v>1</v>
      </c>
      <c r="B4" s="4">
        <f>VLOOKUP(A4,'Beneficiaries-pay incidence'!A:B,2,FALSE)</f>
        <v>1300.0055788649199</v>
      </c>
      <c r="C4" s="12">
        <f t="shared" si="0"/>
        <v>10.828348974356384</v>
      </c>
      <c r="D4" s="2">
        <f t="shared" si="1"/>
        <v>8.3294634656960422</v>
      </c>
      <c r="E4" s="13">
        <f t="shared" si="2"/>
        <v>9.5350286646912803</v>
      </c>
      <c r="F4" s="4">
        <f t="shared" si="3"/>
        <v>7.3346059583964598</v>
      </c>
      <c r="G4" s="12">
        <f t="shared" si="4"/>
        <v>9.5271305253956147</v>
      </c>
      <c r="H4" s="2">
        <f t="shared" si="5"/>
        <v>7.3285304927030266</v>
      </c>
      <c r="I4" s="13">
        <f t="shared" si="6"/>
        <v>0</v>
      </c>
      <c r="J4" s="4">
        <f t="shared" si="7"/>
        <v>0</v>
      </c>
      <c r="K4" s="12">
        <f t="shared" si="8"/>
        <v>25.712392477036619</v>
      </c>
      <c r="L4" s="2">
        <f t="shared" si="9"/>
        <v>19.778678564969699</v>
      </c>
      <c r="O4" s="18">
        <v>3.9490696478323789E-2</v>
      </c>
    </row>
    <row r="5" spans="1:15" x14ac:dyDescent="0.25">
      <c r="A5" t="s">
        <v>2</v>
      </c>
      <c r="B5" s="4">
        <f>VLOOKUP(A5,'Beneficiaries-pay incidence'!A:B,2,FALSE)</f>
        <v>120.134073495857</v>
      </c>
      <c r="C5" s="12">
        <f t="shared" si="0"/>
        <v>0.62686986751464935</v>
      </c>
      <c r="D5" s="2">
        <f t="shared" si="1"/>
        <v>5.2180855045780827</v>
      </c>
      <c r="E5" s="13">
        <f t="shared" si="2"/>
        <v>0.5519975547462147</v>
      </c>
      <c r="F5" s="4">
        <f t="shared" si="3"/>
        <v>4.5948458974484963</v>
      </c>
      <c r="G5" s="12">
        <f t="shared" si="4"/>
        <v>0.5515403192483922</v>
      </c>
      <c r="H5" s="2">
        <f t="shared" si="5"/>
        <v>4.591039854046179</v>
      </c>
      <c r="I5" s="13">
        <f t="shared" si="6"/>
        <v>0</v>
      </c>
      <c r="J5" s="4">
        <f t="shared" si="7"/>
        <v>0</v>
      </c>
      <c r="K5" s="12">
        <f t="shared" si="8"/>
        <v>1.4885301631611529</v>
      </c>
      <c r="L5" s="2">
        <f t="shared" si="9"/>
        <v>12.390574296246495</v>
      </c>
      <c r="O5" s="18">
        <v>2.2861774891125065E-3</v>
      </c>
    </row>
    <row r="6" spans="1:15" x14ac:dyDescent="0.25">
      <c r="A6" t="s">
        <v>3</v>
      </c>
      <c r="B6" s="4">
        <f>VLOOKUP(A6,'Beneficiaries-pay incidence'!A:B,2,FALSE)</f>
        <v>486.03741121013502</v>
      </c>
      <c r="C6" s="12">
        <f t="shared" si="0"/>
        <v>3.4669953109377882</v>
      </c>
      <c r="D6" s="2">
        <f t="shared" si="1"/>
        <v>7.1331861107268884</v>
      </c>
      <c r="E6" s="13">
        <f t="shared" si="2"/>
        <v>3.0529030555285517</v>
      </c>
      <c r="F6" s="4">
        <f t="shared" si="3"/>
        <v>6.2812100161743505</v>
      </c>
      <c r="G6" s="12">
        <f t="shared" si="4"/>
        <v>3.0503742478619302</v>
      </c>
      <c r="H6" s="2">
        <f t="shared" si="5"/>
        <v>6.2760071087267013</v>
      </c>
      <c r="I6" s="13">
        <f t="shared" si="6"/>
        <v>0</v>
      </c>
      <c r="J6" s="4">
        <f t="shared" si="7"/>
        <v>0</v>
      </c>
      <c r="K6" s="12">
        <f t="shared" si="8"/>
        <v>8.2325333586856075</v>
      </c>
      <c r="L6" s="2">
        <f t="shared" si="9"/>
        <v>16.938065195821576</v>
      </c>
      <c r="O6" s="18">
        <v>1.2644038333106447E-2</v>
      </c>
    </row>
    <row r="7" spans="1:15" x14ac:dyDescent="0.25">
      <c r="A7" t="s">
        <v>4</v>
      </c>
      <c r="B7" s="4">
        <f>VLOOKUP(A7,'Beneficiaries-pay incidence'!A:B,2,FALSE)</f>
        <v>309.51829206883798</v>
      </c>
      <c r="C7" s="12">
        <f t="shared" si="0"/>
        <v>2.0839600256235427</v>
      </c>
      <c r="D7" s="2">
        <f t="shared" si="1"/>
        <v>6.7329139473283943</v>
      </c>
      <c r="E7" s="13">
        <f t="shared" si="2"/>
        <v>1.8350552450284621</v>
      </c>
      <c r="F7" s="4">
        <f t="shared" si="3"/>
        <v>5.928745705989936</v>
      </c>
      <c r="G7" s="12">
        <f t="shared" si="4"/>
        <v>1.8335352158339882</v>
      </c>
      <c r="H7" s="2">
        <f t="shared" si="5"/>
        <v>5.9238347548977925</v>
      </c>
      <c r="I7" s="13">
        <f t="shared" si="6"/>
        <v>0</v>
      </c>
      <c r="J7" s="4">
        <f t="shared" si="7"/>
        <v>0</v>
      </c>
      <c r="K7" s="12">
        <f t="shared" si="8"/>
        <v>4.9484550426093667</v>
      </c>
      <c r="L7" s="2">
        <f t="shared" si="9"/>
        <v>15.987601280472344</v>
      </c>
      <c r="O7" s="18">
        <v>7.6001459723688625E-3</v>
      </c>
    </row>
    <row r="8" spans="1:15" x14ac:dyDescent="0.25">
      <c r="A8" t="s">
        <v>5</v>
      </c>
      <c r="B8" s="4">
        <f>VLOOKUP(A8,'Beneficiaries-pay incidence'!A:B,2,FALSE)</f>
        <v>475.56199832439398</v>
      </c>
      <c r="C8" s="12">
        <f t="shared" si="0"/>
        <v>3.774723930816354</v>
      </c>
      <c r="D8" s="2">
        <f t="shared" si="1"/>
        <v>7.937396057961533</v>
      </c>
      <c r="E8" s="13">
        <f t="shared" si="2"/>
        <v>3.3238770718293531</v>
      </c>
      <c r="F8" s="4">
        <f t="shared" si="3"/>
        <v>6.9893664412648135</v>
      </c>
      <c r="G8" s="12">
        <f t="shared" si="4"/>
        <v>3.3211238085683634</v>
      </c>
      <c r="H8" s="2">
        <f t="shared" si="5"/>
        <v>6.9835769474223905</v>
      </c>
      <c r="I8" s="13">
        <f t="shared" si="6"/>
        <v>0</v>
      </c>
      <c r="J8" s="4">
        <f t="shared" si="7"/>
        <v>0</v>
      </c>
      <c r="K8" s="12">
        <f t="shared" si="8"/>
        <v>8.9632485461507212</v>
      </c>
      <c r="L8" s="2">
        <f t="shared" si="9"/>
        <v>18.847697204007126</v>
      </c>
      <c r="O8" s="18">
        <v>1.3766316304946584E-2</v>
      </c>
    </row>
    <row r="9" spans="1:15" x14ac:dyDescent="0.25">
      <c r="A9" t="s">
        <v>6</v>
      </c>
      <c r="B9" s="4">
        <f>VLOOKUP(A9,'Beneficiaries-pay incidence'!A:B,2,FALSE)</f>
        <v>561.80447148433302</v>
      </c>
      <c r="C9" s="12">
        <f t="shared" si="0"/>
        <v>2.3071371090521864</v>
      </c>
      <c r="D9" s="2">
        <f t="shared" si="1"/>
        <v>4.1066549416321712</v>
      </c>
      <c r="E9" s="13">
        <f t="shared" si="2"/>
        <v>2.0315764222489072</v>
      </c>
      <c r="F9" s="4">
        <f t="shared" si="3"/>
        <v>3.616162785036789</v>
      </c>
      <c r="G9" s="12">
        <f t="shared" si="4"/>
        <v>2.0298936088943829</v>
      </c>
      <c r="H9" s="2">
        <f t="shared" si="5"/>
        <v>3.6131674130881142</v>
      </c>
      <c r="I9" s="13">
        <f t="shared" si="6"/>
        <v>0</v>
      </c>
      <c r="J9" s="4">
        <f t="shared" si="7"/>
        <v>0</v>
      </c>
      <c r="K9" s="12">
        <f t="shared" si="8"/>
        <v>5.4783988756523643</v>
      </c>
      <c r="L9" s="2">
        <f t="shared" si="9"/>
        <v>9.7514333789084837</v>
      </c>
      <c r="O9" s="18">
        <v>8.4140667726192043E-3</v>
      </c>
    </row>
    <row r="10" spans="1:15" x14ac:dyDescent="0.25">
      <c r="A10" t="s">
        <v>27</v>
      </c>
      <c r="B10" s="4">
        <f>VLOOKUP(A10,'Beneficiaries-pay incidence'!A:B,2,FALSE)</f>
        <v>487.371387978553</v>
      </c>
      <c r="C10" s="12">
        <f t="shared" si="0"/>
        <v>2.8960363860742451</v>
      </c>
      <c r="D10" s="2">
        <f t="shared" si="1"/>
        <v>5.9421551151904843</v>
      </c>
      <c r="E10" s="13">
        <f t="shared" si="2"/>
        <v>2.5501385317929484</v>
      </c>
      <c r="F10" s="4">
        <f t="shared" si="3"/>
        <v>5.2324338167860773</v>
      </c>
      <c r="G10" s="12">
        <f t="shared" si="4"/>
        <v>2.5480261784843599</v>
      </c>
      <c r="H10" s="2">
        <f t="shared" si="5"/>
        <v>5.2280996409179581</v>
      </c>
      <c r="I10" s="13">
        <f t="shared" si="6"/>
        <v>0</v>
      </c>
      <c r="J10" s="4">
        <f t="shared" si="7"/>
        <v>0</v>
      </c>
      <c r="K10" s="12">
        <f t="shared" si="8"/>
        <v>6.8767661961084636</v>
      </c>
      <c r="L10" s="2">
        <f t="shared" si="9"/>
        <v>14.109909538659824</v>
      </c>
      <c r="O10" s="18">
        <v>1.0561766542940353E-2</v>
      </c>
    </row>
    <row r="11" spans="1:15" x14ac:dyDescent="0.25">
      <c r="A11" t="s">
        <v>7</v>
      </c>
      <c r="B11" s="4">
        <f>VLOOKUP(A11,'Beneficiaries-pay incidence'!A:B,2,FALSE)</f>
        <v>516.52916296671197</v>
      </c>
      <c r="C11" s="12">
        <f t="shared" si="0"/>
        <v>3.436574861215612</v>
      </c>
      <c r="D11" s="2">
        <f t="shared" si="1"/>
        <v>6.6532058741416771</v>
      </c>
      <c r="E11" s="13">
        <f t="shared" si="2"/>
        <v>3.0261159746189255</v>
      </c>
      <c r="F11" s="4">
        <f t="shared" si="3"/>
        <v>5.858557834834091</v>
      </c>
      <c r="G11" s="12">
        <f t="shared" si="4"/>
        <v>3.0236093554641363</v>
      </c>
      <c r="H11" s="2">
        <f t="shared" si="5"/>
        <v>5.8537050223803035</v>
      </c>
      <c r="I11" s="13">
        <f t="shared" si="6"/>
        <v>0</v>
      </c>
      <c r="J11" s="4">
        <f t="shared" si="7"/>
        <v>0</v>
      </c>
      <c r="K11" s="12">
        <f t="shared" si="8"/>
        <v>8.1602986584153339</v>
      </c>
      <c r="L11" s="2">
        <f t="shared" si="9"/>
        <v>15.798330943302865</v>
      </c>
      <c r="O11" s="18">
        <v>1.2533095773944607E-2</v>
      </c>
    </row>
    <row r="12" spans="1:15" x14ac:dyDescent="0.25">
      <c r="A12" t="s">
        <v>8</v>
      </c>
      <c r="B12" s="4">
        <f>VLOOKUP(A12,'Beneficiaries-pay incidence'!A:B,2,FALSE)</f>
        <v>400.15205009365002</v>
      </c>
      <c r="C12" s="12">
        <f t="shared" si="0"/>
        <v>2.6405586781917201</v>
      </c>
      <c r="D12" s="2">
        <f t="shared" si="1"/>
        <v>6.5988882915225204</v>
      </c>
      <c r="E12" s="13">
        <f t="shared" si="2"/>
        <v>2.3251746639292148</v>
      </c>
      <c r="F12" s="4">
        <f t="shared" si="3"/>
        <v>5.8107278555365145</v>
      </c>
      <c r="G12" s="12">
        <f t="shared" si="4"/>
        <v>2.3232486546818101</v>
      </c>
      <c r="H12" s="2">
        <f t="shared" si="5"/>
        <v>5.8059146620343096</v>
      </c>
      <c r="I12" s="13">
        <f t="shared" si="6"/>
        <v>0</v>
      </c>
      <c r="J12" s="4">
        <f t="shared" si="7"/>
        <v>0</v>
      </c>
      <c r="K12" s="12">
        <f t="shared" si="8"/>
        <v>6.2701231049257062</v>
      </c>
      <c r="L12" s="2">
        <f t="shared" si="9"/>
        <v>15.669351446427106</v>
      </c>
      <c r="O12" s="18">
        <v>9.6300462370230468E-3</v>
      </c>
    </row>
    <row r="13" spans="1:15" x14ac:dyDescent="0.25">
      <c r="A13" t="s">
        <v>9</v>
      </c>
      <c r="B13" s="4">
        <f>VLOOKUP(A13,'Beneficiaries-pay incidence'!A:B,2,FALSE)</f>
        <v>831.21064083673002</v>
      </c>
      <c r="C13" s="12">
        <f t="shared" si="0"/>
        <v>5.9367579781962032</v>
      </c>
      <c r="D13" s="2">
        <f t="shared" si="1"/>
        <v>7.1423026685751081</v>
      </c>
      <c r="E13" s="13">
        <f t="shared" si="2"/>
        <v>5.227681305016314</v>
      </c>
      <c r="F13" s="4">
        <f t="shared" si="3"/>
        <v>6.2892377072482128</v>
      </c>
      <c r="G13" s="12">
        <f t="shared" si="4"/>
        <v>5.2233510657907871</v>
      </c>
      <c r="H13" s="2">
        <f t="shared" si="5"/>
        <v>6.2840281502324755</v>
      </c>
      <c r="I13" s="13">
        <f t="shared" si="6"/>
        <v>0</v>
      </c>
      <c r="J13" s="4">
        <f t="shared" si="7"/>
        <v>0</v>
      </c>
      <c r="K13" s="12">
        <f t="shared" si="8"/>
        <v>14.097093798700028</v>
      </c>
      <c r="L13" s="2">
        <f t="shared" si="9"/>
        <v>16.959712864731046</v>
      </c>
      <c r="O13" s="18">
        <v>2.1651196127630206E-2</v>
      </c>
    </row>
    <row r="14" spans="1:15" x14ac:dyDescent="0.25">
      <c r="A14" t="s">
        <v>10</v>
      </c>
      <c r="B14" s="4">
        <f>VLOOKUP(A14,'Beneficiaries-pay incidence'!A:B,2,FALSE)</f>
        <v>243.85148881633401</v>
      </c>
      <c r="C14" s="12">
        <f t="shared" si="0"/>
        <v>1.3030566984760503</v>
      </c>
      <c r="D14" s="2">
        <f t="shared" si="1"/>
        <v>5.3436487298115152</v>
      </c>
      <c r="E14" s="13">
        <f t="shared" si="2"/>
        <v>1.1474217354013214</v>
      </c>
      <c r="F14" s="4">
        <f t="shared" si="3"/>
        <v>4.7054120562107604</v>
      </c>
      <c r="G14" s="12">
        <f t="shared" si="4"/>
        <v>1.1464712928787275</v>
      </c>
      <c r="H14" s="2">
        <f t="shared" si="5"/>
        <v>4.7015144276696859</v>
      </c>
      <c r="I14" s="13">
        <f t="shared" si="6"/>
        <v>0</v>
      </c>
      <c r="J14" s="4">
        <f t="shared" si="7"/>
        <v>0</v>
      </c>
      <c r="K14" s="12">
        <f t="shared" si="8"/>
        <v>3.0941656323039979</v>
      </c>
      <c r="L14" s="2">
        <f t="shared" si="9"/>
        <v>12.688729715464177</v>
      </c>
      <c r="O14" s="18">
        <v>4.7522126129688185E-3</v>
      </c>
    </row>
    <row r="15" spans="1:15" x14ac:dyDescent="0.25">
      <c r="A15" t="s">
        <v>11</v>
      </c>
      <c r="B15" s="4">
        <f>VLOOKUP(A15,'Beneficiaries-pay incidence'!A:B,2,FALSE)</f>
        <v>1062.33237213301</v>
      </c>
      <c r="C15" s="12">
        <f t="shared" si="0"/>
        <v>6.2412098411227053</v>
      </c>
      <c r="D15" s="2">
        <f t="shared" si="1"/>
        <v>5.8750067350308237</v>
      </c>
      <c r="E15" s="13">
        <f t="shared" si="2"/>
        <v>5.4957699348616957</v>
      </c>
      <c r="F15" s="4">
        <f t="shared" si="3"/>
        <v>5.1733055294427137</v>
      </c>
      <c r="G15" s="12">
        <f t="shared" si="4"/>
        <v>5.4912176300906363</v>
      </c>
      <c r="H15" s="2">
        <f t="shared" si="5"/>
        <v>5.1690203312406489</v>
      </c>
      <c r="I15" s="13">
        <f t="shared" si="6"/>
        <v>0</v>
      </c>
      <c r="J15" s="4">
        <f t="shared" si="7"/>
        <v>0</v>
      </c>
      <c r="K15" s="12">
        <f t="shared" si="8"/>
        <v>14.820028182184512</v>
      </c>
      <c r="L15" s="2">
        <f t="shared" si="9"/>
        <v>13.950462746821914</v>
      </c>
      <c r="O15" s="18">
        <v>2.2761523855297974E-2</v>
      </c>
    </row>
    <row r="16" spans="1:15" x14ac:dyDescent="0.25">
      <c r="A16" t="s">
        <v>12</v>
      </c>
      <c r="B16" s="4">
        <f>VLOOKUP(A16,'Beneficiaries-pay incidence'!A:B,2,FALSE)</f>
        <v>3343.6033737601101</v>
      </c>
      <c r="C16" s="12">
        <f t="shared" si="0"/>
        <v>24.80888610499224</v>
      </c>
      <c r="D16" s="2">
        <f t="shared" si="1"/>
        <v>7.4198053213150565</v>
      </c>
      <c r="E16" s="13">
        <f t="shared" si="2"/>
        <v>21.84575328245943</v>
      </c>
      <c r="F16" s="4">
        <f t="shared" si="3"/>
        <v>6.5335958965409198</v>
      </c>
      <c r="G16" s="12">
        <f t="shared" si="4"/>
        <v>21.827657814840908</v>
      </c>
      <c r="H16" s="2">
        <f t="shared" si="5"/>
        <v>6.5281839305881002</v>
      </c>
      <c r="I16" s="13">
        <f t="shared" si="6"/>
        <v>0</v>
      </c>
      <c r="J16" s="4">
        <f t="shared" si="7"/>
        <v>0</v>
      </c>
      <c r="K16" s="12">
        <f t="shared" si="8"/>
        <v>58.909794832094988</v>
      </c>
      <c r="L16" s="2">
        <f t="shared" si="9"/>
        <v>17.618655159402746</v>
      </c>
      <c r="O16" s="18">
        <v>9.0477338092604803E-2</v>
      </c>
    </row>
    <row r="17" spans="1:15" x14ac:dyDescent="0.25">
      <c r="A17" t="s">
        <v>13</v>
      </c>
      <c r="B17" s="4">
        <f>VLOOKUP(A17,'Beneficiaries-pay incidence'!A:B,2,FALSE)</f>
        <v>4217.25974546221</v>
      </c>
      <c r="C17" s="12">
        <f t="shared" si="0"/>
        <v>29.704043876755076</v>
      </c>
      <c r="D17" s="2">
        <f t="shared" si="1"/>
        <v>7.0434466145265917</v>
      </c>
      <c r="E17" s="13">
        <f t="shared" si="2"/>
        <v>26.156241407886625</v>
      </c>
      <c r="F17" s="4">
        <f t="shared" si="3"/>
        <v>6.2021888587798877</v>
      </c>
      <c r="G17" s="12">
        <f t="shared" si="4"/>
        <v>26.13457543861109</v>
      </c>
      <c r="H17" s="2">
        <f t="shared" si="5"/>
        <v>6.1970514068363967</v>
      </c>
      <c r="I17" s="13">
        <f t="shared" si="6"/>
        <v>0</v>
      </c>
      <c r="J17" s="4">
        <f t="shared" si="7"/>
        <v>0</v>
      </c>
      <c r="K17" s="12">
        <f t="shared" si="8"/>
        <v>70.533562976496086</v>
      </c>
      <c r="L17" s="2">
        <f t="shared" si="9"/>
        <v>16.72497480203597</v>
      </c>
      <c r="O17" s="18">
        <v>0.10832984637766255</v>
      </c>
    </row>
    <row r="18" spans="1:15" x14ac:dyDescent="0.25">
      <c r="A18" t="s">
        <v>14</v>
      </c>
      <c r="B18" s="4">
        <f>VLOOKUP(A18,'Beneficiaries-pay incidence'!A:B,2,FALSE)</f>
        <v>1358.87540710797</v>
      </c>
      <c r="C18" s="12">
        <f t="shared" si="0"/>
        <v>9.0997840474068514</v>
      </c>
      <c r="D18" s="2">
        <f t="shared" si="1"/>
        <v>6.6965551071186802</v>
      </c>
      <c r="E18" s="13">
        <f t="shared" si="2"/>
        <v>8.0129207084113201</v>
      </c>
      <c r="F18" s="4">
        <f t="shared" si="3"/>
        <v>5.8967295062502005</v>
      </c>
      <c r="G18" s="12">
        <f t="shared" si="4"/>
        <v>8.0062833750434077</v>
      </c>
      <c r="H18" s="2">
        <f t="shared" si="5"/>
        <v>5.8918450750998588</v>
      </c>
      <c r="I18" s="13">
        <f t="shared" si="6"/>
        <v>0</v>
      </c>
      <c r="J18" s="4">
        <f t="shared" si="7"/>
        <v>0</v>
      </c>
      <c r="K18" s="12">
        <f t="shared" si="8"/>
        <v>21.607838779236324</v>
      </c>
      <c r="L18" s="2">
        <f t="shared" si="9"/>
        <v>15.901265609937898</v>
      </c>
      <c r="O18" s="18">
        <v>3.318666683955817E-2</v>
      </c>
    </row>
    <row r="19" spans="1:15" x14ac:dyDescent="0.25">
      <c r="A19" t="s">
        <v>15</v>
      </c>
      <c r="B19" s="4">
        <f>VLOOKUP(A19,'Beneficiaries-pay incidence'!A:B,2,FALSE)</f>
        <v>93.507729482412302</v>
      </c>
      <c r="C19" s="12">
        <f t="shared" si="0"/>
        <v>0.59935133338599811</v>
      </c>
      <c r="D19" s="2">
        <f t="shared" si="1"/>
        <v>6.4096448144292619</v>
      </c>
      <c r="E19" s="13">
        <f t="shared" si="2"/>
        <v>0.5277657893729002</v>
      </c>
      <c r="F19" s="4">
        <f t="shared" si="3"/>
        <v>5.6440873101529716</v>
      </c>
      <c r="G19" s="12">
        <f t="shared" si="4"/>
        <v>0.52732862574533923</v>
      </c>
      <c r="H19" s="2">
        <f t="shared" si="5"/>
        <v>5.6394121498215135</v>
      </c>
      <c r="I19" s="13">
        <f t="shared" si="6"/>
        <v>0</v>
      </c>
      <c r="J19" s="4">
        <f t="shared" si="7"/>
        <v>0</v>
      </c>
      <c r="K19" s="12">
        <f t="shared" si="8"/>
        <v>1.4231861895245199</v>
      </c>
      <c r="L19" s="2">
        <f t="shared" si="9"/>
        <v>15.219984459062333</v>
      </c>
      <c r="O19" s="18">
        <v>2.1858181378045152E-3</v>
      </c>
    </row>
    <row r="20" spans="1:15" x14ac:dyDescent="0.25">
      <c r="A20" t="s">
        <v>16</v>
      </c>
      <c r="B20" s="4">
        <f>VLOOKUP(A20,'Beneficiaries-pay incidence'!A:B,2,FALSE)</f>
        <v>225.97007204809699</v>
      </c>
      <c r="C20" s="12">
        <f t="shared" si="0"/>
        <v>1.5444547561816011</v>
      </c>
      <c r="D20" s="2">
        <f t="shared" si="1"/>
        <v>6.8347756947781519</v>
      </c>
      <c r="E20" s="13">
        <f t="shared" si="2"/>
        <v>1.3599876035012675</v>
      </c>
      <c r="F20" s="4">
        <f t="shared" si="3"/>
        <v>6.01844125275049</v>
      </c>
      <c r="G20" s="12">
        <f t="shared" si="4"/>
        <v>1.3588610865383339</v>
      </c>
      <c r="H20" s="2">
        <f t="shared" si="5"/>
        <v>6.0134560042495568</v>
      </c>
      <c r="I20" s="13">
        <f t="shared" si="6"/>
        <v>0</v>
      </c>
      <c r="J20" s="4">
        <f t="shared" si="7"/>
        <v>0</v>
      </c>
      <c r="K20" s="12">
        <f t="shared" si="8"/>
        <v>3.6673759728294688</v>
      </c>
      <c r="L20" s="2">
        <f t="shared" si="9"/>
        <v>16.229476494785025</v>
      </c>
      <c r="O20" s="18">
        <v>5.6325848146666696E-3</v>
      </c>
    </row>
    <row r="21" spans="1:15" s="17" customFormat="1" x14ac:dyDescent="0.25">
      <c r="A21" s="17" t="s">
        <v>17</v>
      </c>
      <c r="B21" s="60">
        <f>VLOOKUP(A21,'Beneficiaries-pay incidence'!A:B,2,FALSE)</f>
        <v>175.5681614936</v>
      </c>
      <c r="C21" s="61">
        <f t="shared" si="0"/>
        <v>1.881469820358324</v>
      </c>
      <c r="D21" s="62">
        <f t="shared" si="1"/>
        <v>10.716463647806151</v>
      </c>
      <c r="E21" s="63">
        <f t="shared" si="2"/>
        <v>1.6567501390427326</v>
      </c>
      <c r="F21" s="60">
        <f t="shared" si="3"/>
        <v>9.4365067387410448</v>
      </c>
      <c r="G21" s="61">
        <f t="shared" si="4"/>
        <v>1.6553778051110342</v>
      </c>
      <c r="H21" s="62">
        <f t="shared" si="5"/>
        <v>9.4286902079986614</v>
      </c>
      <c r="I21" s="63">
        <f t="shared" si="6"/>
        <v>0</v>
      </c>
      <c r="J21" s="60">
        <f t="shared" si="7"/>
        <v>0</v>
      </c>
      <c r="K21" s="61">
        <f t="shared" si="8"/>
        <v>4.4676331146437072</v>
      </c>
      <c r="L21" s="62">
        <f t="shared" si="9"/>
        <v>25.446715831825614</v>
      </c>
      <c r="O21" s="64">
        <v>6.8616696584913334E-3</v>
      </c>
    </row>
    <row r="22" spans="1:15" x14ac:dyDescent="0.25">
      <c r="A22" t="s">
        <v>29</v>
      </c>
      <c r="B22" s="4">
        <f>VLOOKUP(A22,'Beneficiaries-pay incidence'!A:B,2,FALSE)</f>
        <v>1856.35305965203</v>
      </c>
      <c r="C22" s="12">
        <f t="shared" si="0"/>
        <v>13.428420067807021</v>
      </c>
      <c r="D22" s="2">
        <f t="shared" si="1"/>
        <v>7.2337640719724696</v>
      </c>
      <c r="E22" s="13">
        <f t="shared" si="2"/>
        <v>11.824551514850492</v>
      </c>
      <c r="F22" s="4">
        <f t="shared" si="3"/>
        <v>6.3697751100574491</v>
      </c>
      <c r="G22" s="12">
        <f t="shared" si="4"/>
        <v>11.814756897733201</v>
      </c>
      <c r="H22" s="2">
        <f t="shared" si="5"/>
        <v>6.3644988415877393</v>
      </c>
      <c r="I22" s="13">
        <f t="shared" si="6"/>
        <v>0</v>
      </c>
      <c r="J22" s="4">
        <f t="shared" si="7"/>
        <v>0</v>
      </c>
      <c r="K22" s="12">
        <f t="shared" si="8"/>
        <v>31.886376025343363</v>
      </c>
      <c r="L22" s="2">
        <f t="shared" si="9"/>
        <v>17.176892003141042</v>
      </c>
      <c r="O22" s="18">
        <v>4.897308558645886E-2</v>
      </c>
    </row>
    <row r="23" spans="1:15" x14ac:dyDescent="0.25">
      <c r="A23" t="s">
        <v>18</v>
      </c>
      <c r="B23" s="4">
        <f>VLOOKUP(A23,'Beneficiaries-pay incidence'!A:B,2,FALSE)</f>
        <v>8976.6282392731991</v>
      </c>
      <c r="C23" s="12">
        <f t="shared" si="0"/>
        <v>71.000140125573864</v>
      </c>
      <c r="D23" s="2">
        <f t="shared" si="1"/>
        <v>7.9094441958668487</v>
      </c>
      <c r="E23" s="13">
        <f t="shared" si="2"/>
        <v>62.519999392121839</v>
      </c>
      <c r="F23" s="4">
        <f t="shared" si="3"/>
        <v>6.9647531039097395</v>
      </c>
      <c r="G23" s="12">
        <f t="shared" si="4"/>
        <v>62.468212273138917</v>
      </c>
      <c r="H23" s="2">
        <f t="shared" si="5"/>
        <v>6.9589839980046575</v>
      </c>
      <c r="I23" s="13">
        <f t="shared" si="6"/>
        <v>0</v>
      </c>
      <c r="J23" s="4">
        <f t="shared" si="7"/>
        <v>0</v>
      </c>
      <c r="K23" s="12">
        <f t="shared" si="8"/>
        <v>168.59296584887358</v>
      </c>
      <c r="L23" s="2">
        <f t="shared" si="9"/>
        <v>18.781324273993089</v>
      </c>
      <c r="O23" s="18">
        <v>0.25893559491456547</v>
      </c>
    </row>
    <row r="24" spans="1:15" x14ac:dyDescent="0.25">
      <c r="A24" t="s">
        <v>44</v>
      </c>
      <c r="B24" s="4">
        <f>VLOOKUP(A24,'Beneficiaries-pay incidence'!A:B,2,FALSE)</f>
        <v>402.71425649595199</v>
      </c>
      <c r="C24" s="12">
        <f t="shared" si="0"/>
        <v>2.4618618182907763</v>
      </c>
      <c r="D24" s="2">
        <f t="shared" si="1"/>
        <v>6.1131727486174121</v>
      </c>
      <c r="E24" s="13">
        <f t="shared" si="2"/>
        <v>2.1678210650120637</v>
      </c>
      <c r="F24" s="4">
        <f t="shared" si="3"/>
        <v>5.3830253834926118</v>
      </c>
      <c r="G24" s="12">
        <f t="shared" si="4"/>
        <v>2.1660253962897507</v>
      </c>
      <c r="H24" s="2">
        <f t="shared" si="5"/>
        <v>5.378566468285741</v>
      </c>
      <c r="I24" s="13">
        <f t="shared" si="6"/>
        <v>0</v>
      </c>
      <c r="J24" s="4">
        <f t="shared" si="7"/>
        <v>0</v>
      </c>
      <c r="K24" s="12">
        <f t="shared" si="8"/>
        <v>5.8457995254891468</v>
      </c>
      <c r="L24" s="2">
        <f t="shared" si="9"/>
        <v>14.515998455962057</v>
      </c>
      <c r="O24" s="18">
        <v>8.9783436115637334E-3</v>
      </c>
    </row>
    <row r="25" spans="1:15" x14ac:dyDescent="0.25">
      <c r="A25" t="s">
        <v>28</v>
      </c>
      <c r="B25" s="4">
        <f>VLOOKUP(A25,'Beneficiaries-pay incidence'!A:B,2,FALSE)</f>
        <v>1222.1112059616</v>
      </c>
      <c r="C25" s="12">
        <f t="shared" si="0"/>
        <v>9.3257628639898016</v>
      </c>
      <c r="D25" s="2">
        <f t="shared" si="1"/>
        <v>7.6308627385933878</v>
      </c>
      <c r="E25" s="13">
        <f t="shared" si="2"/>
        <v>8.2119089843557163</v>
      </c>
      <c r="F25" s="4">
        <f t="shared" si="3"/>
        <v>6.7194449607344024</v>
      </c>
      <c r="G25" s="12">
        <f t="shared" si="4"/>
        <v>8.2051068232587134</v>
      </c>
      <c r="H25" s="2">
        <f t="shared" si="5"/>
        <v>6.7138790506406067</v>
      </c>
      <c r="I25" s="13">
        <f t="shared" si="6"/>
        <v>0</v>
      </c>
      <c r="J25" s="4">
        <f t="shared" si="7"/>
        <v>0</v>
      </c>
      <c r="K25" s="12">
        <f t="shared" si="8"/>
        <v>22.14443545129015</v>
      </c>
      <c r="L25" s="2">
        <f t="shared" si="9"/>
        <v>18.119820310350669</v>
      </c>
      <c r="O25" s="18">
        <v>3.4010805485010211E-2</v>
      </c>
    </row>
    <row r="26" spans="1:15" x14ac:dyDescent="0.25">
      <c r="A26" t="s">
        <v>19</v>
      </c>
      <c r="B26" s="4">
        <f>VLOOKUP(A26,'Beneficiaries-pay incidence'!A:B,2,FALSE)</f>
        <v>2710.1313215314399</v>
      </c>
      <c r="C26" s="12">
        <f t="shared" si="0"/>
        <v>21.6134960715601</v>
      </c>
      <c r="D26" s="2">
        <f t="shared" si="1"/>
        <v>7.9750733478652078</v>
      </c>
      <c r="E26" s="13">
        <f t="shared" si="2"/>
        <v>19.03201541385188</v>
      </c>
      <c r="F26" s="4">
        <f t="shared" si="3"/>
        <v>7.0225436172212046</v>
      </c>
      <c r="G26" s="12">
        <f t="shared" si="4"/>
        <v>19.016250646476561</v>
      </c>
      <c r="H26" s="2">
        <f t="shared" si="5"/>
        <v>7.0167266417668888</v>
      </c>
      <c r="I26" s="13">
        <f t="shared" si="6"/>
        <v>0</v>
      </c>
      <c r="J26" s="4">
        <f t="shared" si="7"/>
        <v>0</v>
      </c>
      <c r="K26" s="12">
        <f t="shared" si="8"/>
        <v>51.322200190345654</v>
      </c>
      <c r="L26" s="2">
        <f t="shared" si="9"/>
        <v>18.937163591520918</v>
      </c>
      <c r="O26" s="18">
        <v>7.8823836876586784E-2</v>
      </c>
    </row>
    <row r="27" spans="1:15" x14ac:dyDescent="0.25">
      <c r="A27" t="s">
        <v>20</v>
      </c>
      <c r="B27" s="4">
        <f>VLOOKUP(A27,'Beneficiaries-pay incidence'!A:B,2,FALSE)</f>
        <v>246.893978480827</v>
      </c>
      <c r="C27" s="12">
        <f t="shared" si="0"/>
        <v>1.2730517526419607</v>
      </c>
      <c r="D27" s="2">
        <f t="shared" si="1"/>
        <v>5.1562689397093653</v>
      </c>
      <c r="E27" s="13">
        <f t="shared" si="2"/>
        <v>1.1210005312742575</v>
      </c>
      <c r="F27" s="4">
        <f t="shared" si="3"/>
        <v>4.5404126020890816</v>
      </c>
      <c r="G27" s="12">
        <f t="shared" si="4"/>
        <v>1.1200719741972027</v>
      </c>
      <c r="H27" s="2">
        <f t="shared" si="5"/>
        <v>4.536651647355523</v>
      </c>
      <c r="I27" s="13">
        <f t="shared" si="6"/>
        <v>0</v>
      </c>
      <c r="J27" s="4">
        <f t="shared" si="7"/>
        <v>0</v>
      </c>
      <c r="K27" s="12">
        <f t="shared" si="8"/>
        <v>3.0229175643514972</v>
      </c>
      <c r="L27" s="2">
        <f t="shared" si="9"/>
        <v>12.243788135101267</v>
      </c>
      <c r="O27" s="19">
        <v>4.6427853852733791E-3</v>
      </c>
    </row>
    <row r="28" spans="1:15" x14ac:dyDescent="0.25">
      <c r="A28" s="6" t="s">
        <v>30</v>
      </c>
      <c r="B28" s="8">
        <f>SUM(B3:B27)</f>
        <v>32385.562712353414</v>
      </c>
      <c r="C28" s="7">
        <f>SUM(C3:C27)</f>
        <v>236.0919679947923</v>
      </c>
      <c r="D28" s="7">
        <f>C28*1000000/($B28*1000)</f>
        <v>7.2900375420907988</v>
      </c>
      <c r="E28" s="7">
        <f>SUM(E3:E27)</f>
        <v>207.89352907491832</v>
      </c>
      <c r="F28" s="8">
        <f>E28*1000000/($B28*1000)</f>
        <v>6.4193273688469121</v>
      </c>
      <c r="G28" s="7">
        <f>SUM(G3:G27)</f>
        <v>207.72132486777403</v>
      </c>
      <c r="H28" s="7">
        <f>G28*1000000/($B28*1000)</f>
        <v>6.4140100548118344</v>
      </c>
      <c r="I28" s="7">
        <f>SUM(I3:I27)</f>
        <v>0</v>
      </c>
      <c r="J28" s="8">
        <f>I28*1000000/($B28*1000)</f>
        <v>0</v>
      </c>
      <c r="K28" s="7">
        <f>SUM(K3:K27)</f>
        <v>560.61079635816645</v>
      </c>
      <c r="L28" s="7">
        <f>K28*1000000/($B28*1000)</f>
        <v>17.31051584119372</v>
      </c>
      <c r="M28" s="35"/>
      <c r="N28" s="35"/>
      <c r="O28" s="18">
        <f>SUM(O3:O27)</f>
        <v>0.86102103572134314</v>
      </c>
    </row>
    <row r="29" spans="1:15" x14ac:dyDescent="0.25">
      <c r="A29" s="49" t="s">
        <v>133</v>
      </c>
      <c r="B29" s="50"/>
      <c r="C29" s="51">
        <f>(C34-227.7)/2</f>
        <v>274.20000000000005</v>
      </c>
      <c r="D29" s="51"/>
      <c r="E29" s="50">
        <f>(C34-293.2)/2</f>
        <v>241.45000000000002</v>
      </c>
      <c r="F29" s="50"/>
      <c r="G29" s="51">
        <f>(C34-293.6)/2</f>
        <v>241.25</v>
      </c>
      <c r="H29" s="51"/>
      <c r="I29" s="50">
        <f>(C34-776.1)/2</f>
        <v>0</v>
      </c>
      <c r="J29" s="50"/>
      <c r="K29" s="51">
        <f>C34-K32</f>
        <v>651.1</v>
      </c>
      <c r="L29" s="44"/>
      <c r="M29" s="45"/>
      <c r="N29" s="45"/>
      <c r="O29" s="18"/>
    </row>
    <row r="30" spans="1:15" x14ac:dyDescent="0.25">
      <c r="A30" s="17"/>
    </row>
    <row r="31" spans="1:15" x14ac:dyDescent="0.25">
      <c r="C31" s="10" t="s">
        <v>137</v>
      </c>
      <c r="K31" s="10" t="s">
        <v>138</v>
      </c>
    </row>
    <row r="32" spans="1:15" x14ac:dyDescent="0.25">
      <c r="C32" s="10" t="s">
        <v>136</v>
      </c>
      <c r="K32" s="11">
        <f>(51+74)</f>
        <v>125</v>
      </c>
    </row>
    <row r="33" spans="3:3" x14ac:dyDescent="0.25">
      <c r="C33" s="10" t="s">
        <v>77</v>
      </c>
    </row>
    <row r="34" spans="3:3" x14ac:dyDescent="0.25">
      <c r="C34" s="52">
        <v>776.1</v>
      </c>
    </row>
  </sheetData>
  <sortState ref="R3:T45">
    <sortCondition descending="1" ref="T3:T4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5" sqref="A15"/>
    </sheetView>
  </sheetViews>
  <sheetFormatPr defaultRowHeight="15" x14ac:dyDescent="0.25"/>
  <sheetData>
    <row r="1" spans="1:1" x14ac:dyDescent="0.25">
      <c r="A1" s="5" t="s">
        <v>78</v>
      </c>
    </row>
    <row r="3" spans="1:1" x14ac:dyDescent="0.25">
      <c r="A3" t="s">
        <v>81</v>
      </c>
    </row>
    <row r="4" spans="1:1" x14ac:dyDescent="0.25">
      <c r="A4" t="s">
        <v>79</v>
      </c>
    </row>
    <row r="5" spans="1:1" x14ac:dyDescent="0.25">
      <c r="A5" t="s">
        <v>80</v>
      </c>
    </row>
    <row r="6" spans="1:1" x14ac:dyDescent="0.25">
      <c r="A6" t="s">
        <v>82</v>
      </c>
    </row>
    <row r="7" spans="1:1" x14ac:dyDescent="0.25">
      <c r="A7" t="s">
        <v>123</v>
      </c>
    </row>
    <row r="9" spans="1:1" x14ac:dyDescent="0.25">
      <c r="A9" t="s">
        <v>83</v>
      </c>
    </row>
    <row r="10" spans="1:1" x14ac:dyDescent="0.25">
      <c r="A10" t="s">
        <v>84</v>
      </c>
    </row>
    <row r="11" spans="1:1" x14ac:dyDescent="0.25">
      <c r="A11" t="s">
        <v>86</v>
      </c>
    </row>
    <row r="12" spans="1:1" x14ac:dyDescent="0.25">
      <c r="A12" t="s">
        <v>85</v>
      </c>
    </row>
    <row r="13" spans="1:1" x14ac:dyDescent="0.25">
      <c r="A13" t="s">
        <v>124</v>
      </c>
    </row>
    <row r="15" spans="1:1" x14ac:dyDescent="0.25">
      <c r="A15"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11" sqref="B11"/>
    </sheetView>
  </sheetViews>
  <sheetFormatPr defaultRowHeight="15" x14ac:dyDescent="0.25"/>
  <cols>
    <col min="1" max="1" width="46.85546875" style="21" customWidth="1"/>
    <col min="2" max="2" width="14.28515625" style="1" customWidth="1"/>
    <col min="3" max="3" width="14.28515625" style="3" customWidth="1"/>
    <col min="4" max="4" width="14.28515625" style="1" customWidth="1"/>
    <col min="5" max="5" width="14.28515625" style="3" customWidth="1"/>
    <col min="6" max="6" width="15" customWidth="1"/>
  </cols>
  <sheetData>
    <row r="1" spans="1:6" ht="30" x14ac:dyDescent="0.25">
      <c r="A1" s="21" t="s">
        <v>139</v>
      </c>
      <c r="B1" s="48">
        <v>42313.8</v>
      </c>
    </row>
    <row r="3" spans="1:6" x14ac:dyDescent="0.25">
      <c r="B3" s="23" t="s">
        <v>95</v>
      </c>
      <c r="C3" s="24" t="s">
        <v>96</v>
      </c>
      <c r="D3" s="23" t="s">
        <v>97</v>
      </c>
      <c r="E3" s="24" t="s">
        <v>98</v>
      </c>
      <c r="F3" s="23" t="s">
        <v>99</v>
      </c>
    </row>
    <row r="4" spans="1:6" x14ac:dyDescent="0.25">
      <c r="A4" s="21" t="s">
        <v>142</v>
      </c>
      <c r="B4" s="48">
        <v>61.174467044692499</v>
      </c>
      <c r="C4" s="56">
        <v>51.450826730236699</v>
      </c>
      <c r="D4" s="48">
        <v>61.246352925450402</v>
      </c>
      <c r="E4" s="56">
        <v>266.250277005143</v>
      </c>
      <c r="F4" s="1">
        <v>0</v>
      </c>
    </row>
    <row r="5" spans="1:6" x14ac:dyDescent="0.25">
      <c r="A5" s="21" t="s">
        <v>140</v>
      </c>
      <c r="B5" s="22">
        <f>'Residual charge incidence'!C29</f>
        <v>274.20000000000005</v>
      </c>
      <c r="C5" s="36">
        <f>'Residual charge incidence'!E29</f>
        <v>241.45000000000002</v>
      </c>
      <c r="D5" s="22">
        <f>'Residual charge incidence'!G29</f>
        <v>241.25</v>
      </c>
      <c r="E5" s="36">
        <f>'Residual charge incidence'!I29</f>
        <v>0</v>
      </c>
      <c r="F5" s="1">
        <v>0</v>
      </c>
    </row>
    <row r="6" spans="1:6" x14ac:dyDescent="0.25">
      <c r="A6" s="21" t="s">
        <v>141</v>
      </c>
      <c r="B6" s="1">
        <v>0</v>
      </c>
      <c r="C6" s="3">
        <v>0</v>
      </c>
      <c r="D6" s="1">
        <v>0</v>
      </c>
      <c r="E6" s="3">
        <v>0</v>
      </c>
      <c r="F6" s="57">
        <f>'Residual charge incidence'!K32</f>
        <v>125</v>
      </c>
    </row>
    <row r="7" spans="1:6" x14ac:dyDescent="0.25">
      <c r="A7" s="21" t="s">
        <v>100</v>
      </c>
      <c r="B7" s="54">
        <f>SUM(B4:B6)</f>
        <v>335.37446704469255</v>
      </c>
      <c r="C7" s="55">
        <f t="shared" ref="C7:F7" si="0">SUM(C4:C6)</f>
        <v>292.9008267302367</v>
      </c>
      <c r="D7" s="54">
        <f t="shared" si="0"/>
        <v>302.49635292545042</v>
      </c>
      <c r="E7" s="55">
        <f t="shared" si="0"/>
        <v>266.250277005143</v>
      </c>
      <c r="F7" s="54">
        <f t="shared" si="0"/>
        <v>125</v>
      </c>
    </row>
    <row r="9" spans="1:6" x14ac:dyDescent="0.25">
      <c r="A9" s="21" t="s">
        <v>102</v>
      </c>
    </row>
    <row r="10" spans="1:6" x14ac:dyDescent="0.25">
      <c r="A10" s="21" t="s">
        <v>101</v>
      </c>
      <c r="B10" s="2">
        <f>(0*B12)*1.03</f>
        <v>0</v>
      </c>
      <c r="C10" s="4">
        <f>(0*C12)*1.03</f>
        <v>0</v>
      </c>
      <c r="D10" s="2">
        <f>(0*D12)*1.03</f>
        <v>0</v>
      </c>
      <c r="E10" s="4">
        <f>(0*E12)*1.03</f>
        <v>0</v>
      </c>
      <c r="F10" s="2">
        <f>(0*F12)*1.03</f>
        <v>0</v>
      </c>
    </row>
    <row r="11" spans="1:6" x14ac:dyDescent="0.25">
      <c r="A11" s="21" t="s">
        <v>103</v>
      </c>
      <c r="B11" s="2">
        <f>(0.5*B12)*1.03</f>
        <v>4.2042876329674295</v>
      </c>
      <c r="C11" s="4">
        <f>(0.5*C12)*1.03</f>
        <v>3.6718338589078283</v>
      </c>
      <c r="D11" s="2">
        <f>(0.5*D12)*1.03</f>
        <v>3.7921243284532511</v>
      </c>
      <c r="E11" s="4">
        <f>(0.5*E12)*1.03</f>
        <v>3.3377399202477234</v>
      </c>
      <c r="F11" s="2">
        <f>(0.5*F12)*1.03</f>
        <v>1.5670124167529269</v>
      </c>
    </row>
    <row r="12" spans="1:6" x14ac:dyDescent="0.25">
      <c r="A12" s="21" t="s">
        <v>104</v>
      </c>
      <c r="B12" s="2">
        <f>((B$7*1000000/($B$1*1000))*1)*1.03</f>
        <v>8.1636653067328719</v>
      </c>
      <c r="C12" s="4">
        <f>((C$7*1000000/($B$1*1000))*1)*1.03</f>
        <v>7.1297744833161714</v>
      </c>
      <c r="D12" s="2">
        <f>((D$7*1000000/($B$1*1000))*1)*1.03</f>
        <v>7.3633482105888373</v>
      </c>
      <c r="E12" s="4">
        <f>((E$7*1000000/($B$1*1000))*1)*1.03</f>
        <v>6.4810483888305308</v>
      </c>
      <c r="F12" s="2">
        <f>((F$7*1000000/($B$1*1000))*1)*1.03</f>
        <v>3.0427425568017998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5" x14ac:dyDescent="0.25"/>
  <sheetData>
    <row r="1" spans="1:1" x14ac:dyDescent="0.25">
      <c r="A1" t="s">
        <v>125</v>
      </c>
    </row>
    <row r="2" spans="1:1" x14ac:dyDescent="0.25">
      <c r="A2" t="s">
        <v>108</v>
      </c>
    </row>
    <row r="3" spans="1:1" x14ac:dyDescent="0.25">
      <c r="A3" t="s">
        <v>106</v>
      </c>
    </row>
    <row r="4" spans="1:1" x14ac:dyDescent="0.25">
      <c r="A4" t="s">
        <v>107</v>
      </c>
    </row>
    <row r="5" spans="1:1" x14ac:dyDescent="0.25">
      <c r="A5" t="s">
        <v>126</v>
      </c>
    </row>
    <row r="7" spans="1:1" x14ac:dyDescent="0.25">
      <c r="A7" t="s">
        <v>116</v>
      </c>
    </row>
    <row r="8" spans="1:1" x14ac:dyDescent="0.25">
      <c r="A8"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pane xSplit="1" ySplit="2" topLeftCell="B3" activePane="bottomRight" state="frozen"/>
      <selection pane="topRight" activeCell="B1" sqref="B1"/>
      <selection pane="bottomLeft" activeCell="A2" sqref="A2"/>
      <selection pane="bottomRight" activeCell="H36" sqref="H36"/>
    </sheetView>
  </sheetViews>
  <sheetFormatPr defaultRowHeight="15" x14ac:dyDescent="0.25"/>
  <cols>
    <col min="1" max="1" width="20.28515625" bestFit="1" customWidth="1"/>
    <col min="2" max="2" width="24.85546875" style="1" customWidth="1"/>
    <col min="3" max="3" width="25.5703125" style="3" bestFit="1" customWidth="1"/>
    <col min="4" max="4" width="25.5703125" style="1" bestFit="1" customWidth="1"/>
    <col min="5" max="5" width="21" style="3" bestFit="1" customWidth="1"/>
    <col min="6" max="6" width="10.28515625" style="25" bestFit="1" customWidth="1"/>
    <col min="7" max="7" width="24.7109375" style="28" customWidth="1"/>
    <col min="8" max="8" width="26" style="27" bestFit="1" customWidth="1"/>
    <col min="9" max="9" width="26" style="28" bestFit="1" customWidth="1"/>
    <col min="10" max="10" width="21.7109375" style="27" bestFit="1" customWidth="1"/>
    <col min="11" max="11" width="11" style="29" bestFit="1" customWidth="1"/>
    <col min="12" max="12" width="25.140625" style="10" customWidth="1"/>
    <col min="13" max="13" width="25.5703125" style="3" bestFit="1" customWidth="1"/>
    <col min="14" max="14" width="25.5703125" style="1" bestFit="1" customWidth="1"/>
    <col min="15" max="15" width="21" style="3" bestFit="1" customWidth="1"/>
    <col min="16" max="16" width="10.28515625" style="25" bestFit="1" customWidth="1"/>
  </cols>
  <sheetData>
    <row r="1" spans="1:16" s="10" customFormat="1" x14ac:dyDescent="0.25">
      <c r="B1" s="26" t="s">
        <v>109</v>
      </c>
      <c r="C1" s="9"/>
      <c r="E1" s="9"/>
      <c r="F1" s="30"/>
      <c r="G1" s="31" t="s">
        <v>114</v>
      </c>
      <c r="H1" s="32"/>
      <c r="I1" s="33"/>
      <c r="J1" s="32"/>
      <c r="K1" s="34"/>
      <c r="L1" s="26" t="s">
        <v>115</v>
      </c>
      <c r="M1" s="9"/>
      <c r="O1" s="9"/>
      <c r="P1" s="30"/>
    </row>
    <row r="2" spans="1:16" x14ac:dyDescent="0.25">
      <c r="A2" t="s">
        <v>58</v>
      </c>
      <c r="B2" s="1" t="s">
        <v>110</v>
      </c>
      <c r="C2" s="3" t="s">
        <v>111</v>
      </c>
      <c r="D2" s="1" t="s">
        <v>112</v>
      </c>
      <c r="E2" s="3" t="s">
        <v>113</v>
      </c>
      <c r="F2" s="25" t="s">
        <v>99</v>
      </c>
      <c r="G2" s="28" t="s">
        <v>110</v>
      </c>
      <c r="H2" s="27" t="s">
        <v>111</v>
      </c>
      <c r="I2" s="28" t="s">
        <v>112</v>
      </c>
      <c r="J2" s="27" t="s">
        <v>113</v>
      </c>
      <c r="K2" s="29" t="s">
        <v>99</v>
      </c>
      <c r="L2" s="1" t="s">
        <v>110</v>
      </c>
      <c r="M2" s="3" t="s">
        <v>111</v>
      </c>
      <c r="N2" s="1" t="s">
        <v>112</v>
      </c>
      <c r="O2" s="3" t="s">
        <v>113</v>
      </c>
      <c r="P2" s="25" t="s">
        <v>99</v>
      </c>
    </row>
    <row r="3" spans="1:16" x14ac:dyDescent="0.25">
      <c r="A3" t="s">
        <v>0</v>
      </c>
      <c r="B3" s="22">
        <f>'Beneficiaries-pay incidence'!D2+'Residual charge incidence'!D3+'Generator passthrough estimates'!B$12*0</f>
        <v>9.1434312196872742</v>
      </c>
      <c r="C3" s="36">
        <f>'Beneficiaries-pay incidence'!F2+'Residual charge incidence'!F3+'Generator passthrough estimates'!C$12*0</f>
        <v>7.4958833820828215</v>
      </c>
      <c r="D3" s="22">
        <f>'Beneficiaries-pay incidence'!H2+'Residual charge incidence'!H3+'Generator passthrough estimates'!D$12*0</f>
        <v>8.5423036852839829</v>
      </c>
      <c r="E3" s="36">
        <f>'Beneficiaries-pay incidence'!J2+'Residual charge incidence'!J3+'Generator passthrough estimates'!E$12*0</f>
        <v>8.3687785792690175</v>
      </c>
      <c r="F3" s="37">
        <f>'Residual charge incidence'!L3+'Generator passthrough estimates'!F$12*0</f>
        <v>11.87842602883104</v>
      </c>
      <c r="G3" s="38">
        <f>'Beneficiaries-pay incidence'!D2+'Residual charge incidence'!D3+'Generator passthrough estimates'!B$12*0.5</f>
        <v>13.225263873053709</v>
      </c>
      <c r="H3" s="39">
        <f>'Beneficiaries-pay incidence'!F2+'Residual charge incidence'!F3+'Generator passthrough estimates'!C$12*0.5</f>
        <v>11.060770623740908</v>
      </c>
      <c r="I3" s="38">
        <f>'Beneficiaries-pay incidence'!H2+'Residual charge incidence'!H3+'Generator passthrough estimates'!D$12*0.5</f>
        <v>12.223977790578402</v>
      </c>
      <c r="J3" s="39">
        <f>'Beneficiaries-pay incidence'!J2+'Residual charge incidence'!J3+'Generator passthrough estimates'!E$12*0.5</f>
        <v>11.609302773684282</v>
      </c>
      <c r="K3" s="40">
        <f>'Residual charge incidence'!L3+'Generator passthrough estimates'!F$12*0.5</f>
        <v>13.399797307231939</v>
      </c>
      <c r="L3" s="41">
        <f>'Beneficiaries-pay incidence'!D2+'Residual charge incidence'!D3+'Generator passthrough estimates'!B$12*1</f>
        <v>17.307096526420146</v>
      </c>
      <c r="M3" s="36">
        <f>'Beneficiaries-pay incidence'!F2+'Residual charge incidence'!F3+'Generator passthrough estimates'!C$12*1</f>
        <v>14.625657865398992</v>
      </c>
      <c r="N3" s="41">
        <f>'Beneficiaries-pay incidence'!H2+'Residual charge incidence'!H3+'Generator passthrough estimates'!D$12*1</f>
        <v>15.90565189587282</v>
      </c>
      <c r="O3" s="36">
        <f>'Beneficiaries-pay incidence'!J2+'Residual charge incidence'!J3+'Generator passthrough estimates'!E$12*1</f>
        <v>14.849826968099549</v>
      </c>
      <c r="P3" s="42">
        <f>'Residual charge incidence'!L3+'Generator passthrough estimates'!F$12*1</f>
        <v>14.92116858563284</v>
      </c>
    </row>
    <row r="4" spans="1:16" x14ac:dyDescent="0.25">
      <c r="A4" t="s">
        <v>1</v>
      </c>
      <c r="B4" s="22">
        <f>'Beneficiaries-pay incidence'!D3+'Residual charge incidence'!D4+'Generator passthrough estimates'!B$12*0</f>
        <v>12.698328018676637</v>
      </c>
      <c r="C4" s="36">
        <f>'Beneficiaries-pay incidence'!F3+'Residual charge incidence'!F4+'Generator passthrough estimates'!C$12*0</f>
        <v>10.608208194358024</v>
      </c>
      <c r="D4" s="22">
        <f>'Beneficiaries-pay incidence'!H3+'Residual charge incidence'!H4+'Generator passthrough estimates'!D$12*0</f>
        <v>11.697395045683622</v>
      </c>
      <c r="E4" s="36">
        <f>'Beneficiaries-pay incidence'!J3+'Residual charge incidence'!J4+'Generator passthrough estimates'!E$12*0</f>
        <v>13.128373725939818</v>
      </c>
      <c r="F4" s="37">
        <f>'Residual charge incidence'!L4+'Generator passthrough estimates'!F$12*0</f>
        <v>19.778678564969699</v>
      </c>
      <c r="G4" s="38">
        <f>'Beneficiaries-pay incidence'!D3+'Residual charge incidence'!D4+'Generator passthrough estimates'!B$12*0.5</f>
        <v>16.780160672043074</v>
      </c>
      <c r="H4" s="39">
        <f>'Beneficiaries-pay incidence'!F3+'Residual charge incidence'!F4+'Generator passthrough estimates'!C$12*0.5</f>
        <v>14.17309543601611</v>
      </c>
      <c r="I4" s="38">
        <f>'Beneficiaries-pay incidence'!H3+'Residual charge incidence'!H4+'Generator passthrough estimates'!D$12*0.5</f>
        <v>15.37906915097804</v>
      </c>
      <c r="J4" s="39">
        <f>'Beneficiaries-pay incidence'!J3+'Residual charge incidence'!J4+'Generator passthrough estimates'!E$12*0.5</f>
        <v>16.368897920355085</v>
      </c>
      <c r="K4" s="40">
        <f>'Residual charge incidence'!L4+'Generator passthrough estimates'!F$12*0.5</f>
        <v>21.300049843370598</v>
      </c>
      <c r="L4" s="41">
        <f>'Beneficiaries-pay incidence'!D3+'Residual charge incidence'!D4+'Generator passthrough estimates'!B$12*1</f>
        <v>20.861993325409507</v>
      </c>
      <c r="M4" s="36">
        <f>'Beneficiaries-pay incidence'!F3+'Residual charge incidence'!F4+'Generator passthrough estimates'!C$12*1</f>
        <v>17.737982677674196</v>
      </c>
      <c r="N4" s="41">
        <f>'Beneficiaries-pay incidence'!H3+'Residual charge incidence'!H4+'Generator passthrough estimates'!D$12*1</f>
        <v>19.06074325627246</v>
      </c>
      <c r="O4" s="36">
        <f>'Beneficiaries-pay incidence'!J3+'Residual charge incidence'!J4+'Generator passthrough estimates'!E$12*1</f>
        <v>19.60942211477035</v>
      </c>
      <c r="P4" s="42">
        <f>'Residual charge incidence'!L4+'Generator passthrough estimates'!F$12*1</f>
        <v>22.8214211217715</v>
      </c>
    </row>
    <row r="5" spans="1:16" x14ac:dyDescent="0.25">
      <c r="A5" t="s">
        <v>2</v>
      </c>
      <c r="B5" s="22">
        <f>'Beneficiaries-pay incidence'!D4+'Residual charge incidence'!D5+'Generator passthrough estimates'!B$12*0</f>
        <v>9.8379695317101028</v>
      </c>
      <c r="C5" s="36">
        <f>'Beneficiaries-pay incidence'!F4+'Residual charge incidence'!F5+'Generator passthrough estimates'!C$12*0</f>
        <v>8.9631457712299998</v>
      </c>
      <c r="D5" s="22">
        <f>'Beneficiaries-pay incidence'!H4+'Residual charge incidence'!H5+'Generator passthrough estimates'!D$12*0</f>
        <v>10.021543233282051</v>
      </c>
      <c r="E5" s="36">
        <f>'Beneficiaries-pay incidence'!J4+'Residual charge incidence'!J5+'Generator passthrough estimates'!E$12*0</f>
        <v>14.512763382883845</v>
      </c>
      <c r="F5" s="37">
        <f>'Residual charge incidence'!L5+'Generator passthrough estimates'!F$12*0</f>
        <v>12.390574296246495</v>
      </c>
      <c r="G5" s="38">
        <f>'Beneficiaries-pay incidence'!D4+'Residual charge incidence'!D5+'Generator passthrough estimates'!B$12*0.5</f>
        <v>13.919802185076538</v>
      </c>
      <c r="H5" s="39">
        <f>'Beneficiaries-pay incidence'!F4+'Residual charge incidence'!F5+'Generator passthrough estimates'!C$12*0.5</f>
        <v>12.528033012888086</v>
      </c>
      <c r="I5" s="38">
        <f>'Beneficiaries-pay incidence'!H4+'Residual charge incidence'!H5+'Generator passthrough estimates'!D$12*0.5</f>
        <v>13.703217338576469</v>
      </c>
      <c r="J5" s="39">
        <f>'Beneficiaries-pay incidence'!J4+'Residual charge incidence'!J5+'Generator passthrough estimates'!E$12*0.5</f>
        <v>17.753287577299112</v>
      </c>
      <c r="K5" s="40">
        <f>'Residual charge incidence'!L5+'Generator passthrough estimates'!F$12*0.5</f>
        <v>13.911945574647394</v>
      </c>
      <c r="L5" s="41">
        <f>'Beneficiaries-pay incidence'!D4+'Residual charge incidence'!D5+'Generator passthrough estimates'!B$12*1</f>
        <v>18.001634838442975</v>
      </c>
      <c r="M5" s="36">
        <f>'Beneficiaries-pay incidence'!F4+'Residual charge incidence'!F5+'Generator passthrough estimates'!C$12*1</f>
        <v>16.092920254546172</v>
      </c>
      <c r="N5" s="41">
        <f>'Beneficiaries-pay incidence'!H4+'Residual charge incidence'!H5+'Generator passthrough estimates'!D$12*1</f>
        <v>17.384891443870888</v>
      </c>
      <c r="O5" s="36">
        <f>'Beneficiaries-pay incidence'!J4+'Residual charge incidence'!J5+'Generator passthrough estimates'!E$12*1</f>
        <v>20.993811771714377</v>
      </c>
      <c r="P5" s="42">
        <f>'Residual charge incidence'!L5+'Generator passthrough estimates'!F$12*1</f>
        <v>15.433316853048295</v>
      </c>
    </row>
    <row r="6" spans="1:16" x14ac:dyDescent="0.25">
      <c r="A6" t="s">
        <v>3</v>
      </c>
      <c r="B6" s="22">
        <f>'Beneficiaries-pay incidence'!D5+'Residual charge incidence'!D6+'Generator passthrough estimates'!B$12*0</f>
        <v>11.912354063235217</v>
      </c>
      <c r="C6" s="36">
        <f>'Beneficiaries-pay incidence'!F5+'Residual charge incidence'!F6+'Generator passthrough estimates'!C$12*0</f>
        <v>16.97146731061472</v>
      </c>
      <c r="D6" s="22">
        <f>'Beneficiaries-pay incidence'!H5+'Residual charge incidence'!H6+'Generator passthrough estimates'!D$12*0</f>
        <v>14.363700741674066</v>
      </c>
      <c r="E6" s="36">
        <f>'Beneficiaries-pay incidence'!J5+'Residual charge incidence'!J6+'Generator passthrough estimates'!E$12*0</f>
        <v>19.571441259941643</v>
      </c>
      <c r="F6" s="37">
        <f>'Residual charge incidence'!L6+'Generator passthrough estimates'!F$12*0</f>
        <v>16.938065195821576</v>
      </c>
      <c r="G6" s="38">
        <f>'Beneficiaries-pay incidence'!D5+'Residual charge incidence'!D6+'Generator passthrough estimates'!B$12*0.5</f>
        <v>15.994186716601654</v>
      </c>
      <c r="H6" s="39">
        <f>'Beneficiaries-pay incidence'!F5+'Residual charge incidence'!F6+'Generator passthrough estimates'!C$12*0.5</f>
        <v>20.536354552272805</v>
      </c>
      <c r="I6" s="38">
        <f>'Beneficiaries-pay incidence'!H5+'Residual charge incidence'!H6+'Generator passthrough estimates'!D$12*0.5</f>
        <v>18.045374846968485</v>
      </c>
      <c r="J6" s="39">
        <f>'Beneficiaries-pay incidence'!J5+'Residual charge incidence'!J6+'Generator passthrough estimates'!E$12*0.5</f>
        <v>22.811965454356908</v>
      </c>
      <c r="K6" s="40">
        <f>'Residual charge incidence'!L6+'Generator passthrough estimates'!F$12*0.5</f>
        <v>18.459436474222475</v>
      </c>
      <c r="L6" s="41">
        <f>'Beneficiaries-pay incidence'!D5+'Residual charge incidence'!D6+'Generator passthrough estimates'!B$12*1</f>
        <v>20.076019369968087</v>
      </c>
      <c r="M6" s="36">
        <f>'Beneficiaries-pay incidence'!F5+'Residual charge incidence'!F6+'Generator passthrough estimates'!C$12*1</f>
        <v>24.101241793930892</v>
      </c>
      <c r="N6" s="41">
        <f>'Beneficiaries-pay incidence'!H5+'Residual charge incidence'!H6+'Generator passthrough estimates'!D$12*1</f>
        <v>21.727048952262905</v>
      </c>
      <c r="O6" s="36">
        <f>'Beneficiaries-pay incidence'!J5+'Residual charge incidence'!J6+'Generator passthrough estimates'!E$12*1</f>
        <v>26.052489648772173</v>
      </c>
      <c r="P6" s="42">
        <f>'Residual charge incidence'!L6+'Generator passthrough estimates'!F$12*1</f>
        <v>19.980807752623377</v>
      </c>
    </row>
    <row r="7" spans="1:16" x14ac:dyDescent="0.25">
      <c r="A7" t="s">
        <v>4</v>
      </c>
      <c r="B7" s="22">
        <f>'Beneficiaries-pay incidence'!D6+'Residual charge incidence'!D7+'Generator passthrough estimates'!B$12*0</f>
        <v>8.9772372350435656</v>
      </c>
      <c r="C7" s="36">
        <f>'Beneficiaries-pay incidence'!F6+'Residual charge incidence'!F7+'Generator passthrough estimates'!C$12*0</f>
        <v>7.2266975466586469</v>
      </c>
      <c r="D7" s="22">
        <f>'Beneficiaries-pay incidence'!H6+'Residual charge incidence'!H7+'Generator passthrough estimates'!D$12*0</f>
        <v>8.1681580426129639</v>
      </c>
      <c r="E7" s="36">
        <f>'Beneficiaries-pay incidence'!J6+'Residual charge incidence'!J7+'Generator passthrough estimates'!E$12*0</f>
        <v>5.948465228905695</v>
      </c>
      <c r="F7" s="37">
        <f>'Residual charge incidence'!L7+'Generator passthrough estimates'!F$12*0</f>
        <v>15.987601280472344</v>
      </c>
      <c r="G7" s="38">
        <f>'Beneficiaries-pay incidence'!D6+'Residual charge incidence'!D7+'Generator passthrough estimates'!B$12*0.5</f>
        <v>13.059069888410001</v>
      </c>
      <c r="H7" s="39">
        <f>'Beneficiaries-pay incidence'!F6+'Residual charge incidence'!F7+'Generator passthrough estimates'!C$12*0.5</f>
        <v>10.791584788316733</v>
      </c>
      <c r="I7" s="38">
        <f>'Beneficiaries-pay incidence'!H6+'Residual charge incidence'!H7+'Generator passthrough estimates'!D$12*0.5</f>
        <v>11.849832147907382</v>
      </c>
      <c r="J7" s="39">
        <f>'Beneficiaries-pay incidence'!J6+'Residual charge incidence'!J7+'Generator passthrough estimates'!E$12*0.5</f>
        <v>9.1889894233209599</v>
      </c>
      <c r="K7" s="40">
        <f>'Residual charge incidence'!L7+'Generator passthrough estimates'!F$12*0.5</f>
        <v>17.508972558873243</v>
      </c>
      <c r="L7" s="41">
        <f>'Beneficiaries-pay incidence'!D6+'Residual charge incidence'!D7+'Generator passthrough estimates'!B$12*1</f>
        <v>17.140902541776438</v>
      </c>
      <c r="M7" s="36">
        <f>'Beneficiaries-pay incidence'!F6+'Residual charge incidence'!F7+'Generator passthrough estimates'!C$12*1</f>
        <v>14.356472029974817</v>
      </c>
      <c r="N7" s="41">
        <f>'Beneficiaries-pay incidence'!H6+'Residual charge incidence'!H7+'Generator passthrough estimates'!D$12*1</f>
        <v>15.531506253201801</v>
      </c>
      <c r="O7" s="36">
        <f>'Beneficiaries-pay incidence'!J6+'Residual charge incidence'!J7+'Generator passthrough estimates'!E$12*1</f>
        <v>12.429513617736227</v>
      </c>
      <c r="P7" s="42">
        <f>'Residual charge incidence'!L7+'Generator passthrough estimates'!F$12*1</f>
        <v>19.030343837274145</v>
      </c>
    </row>
    <row r="8" spans="1:16" x14ac:dyDescent="0.25">
      <c r="A8" t="s">
        <v>5</v>
      </c>
      <c r="B8" s="22">
        <f>'Beneficiaries-pay incidence'!D7+'Residual charge incidence'!D8+'Generator passthrough estimates'!B$12*0</f>
        <v>10.67397740372903</v>
      </c>
      <c r="C8" s="36">
        <f>'Beneficiaries-pay incidence'!F7+'Residual charge incidence'!F8+'Generator passthrough estimates'!C$12*0</f>
        <v>8.5203241250292958</v>
      </c>
      <c r="D8" s="22">
        <f>'Beneficiaries-pay incidence'!H7+'Residual charge incidence'!H8+'Generator passthrough estimates'!D$12*0</f>
        <v>9.720158293189888</v>
      </c>
      <c r="E8" s="36">
        <f>'Beneficiaries-pay incidence'!J7+'Residual charge incidence'!J8+'Generator passthrough estimates'!E$12*0</f>
        <v>9.8428236195848147</v>
      </c>
      <c r="F8" s="37">
        <f>'Residual charge incidence'!L8+'Generator passthrough estimates'!F$12*0</f>
        <v>18.847697204007126</v>
      </c>
      <c r="G8" s="38">
        <f>'Beneficiaries-pay incidence'!D7+'Residual charge incidence'!D8+'Generator passthrough estimates'!B$12*0.5</f>
        <v>14.755810057095466</v>
      </c>
      <c r="H8" s="39">
        <f>'Beneficiaries-pay incidence'!F7+'Residual charge incidence'!F8+'Generator passthrough estimates'!C$12*0.5</f>
        <v>12.085211366687382</v>
      </c>
      <c r="I8" s="38">
        <f>'Beneficiaries-pay incidence'!H7+'Residual charge incidence'!H8+'Generator passthrough estimates'!D$12*0.5</f>
        <v>13.401832398484306</v>
      </c>
      <c r="J8" s="39">
        <f>'Beneficiaries-pay incidence'!J7+'Residual charge incidence'!J8+'Generator passthrough estimates'!E$12*0.5</f>
        <v>13.08334781400008</v>
      </c>
      <c r="K8" s="40">
        <f>'Residual charge incidence'!L8+'Generator passthrough estimates'!F$12*0.5</f>
        <v>20.369068482408025</v>
      </c>
      <c r="L8" s="41">
        <f>'Beneficiaries-pay incidence'!D7+'Residual charge incidence'!D8+'Generator passthrough estimates'!B$12*1</f>
        <v>18.8376427104619</v>
      </c>
      <c r="M8" s="36">
        <f>'Beneficiaries-pay incidence'!F7+'Residual charge incidence'!F8+'Generator passthrough estimates'!C$12*1</f>
        <v>15.650098608345466</v>
      </c>
      <c r="N8" s="41">
        <f>'Beneficiaries-pay incidence'!H7+'Residual charge incidence'!H8+'Generator passthrough estimates'!D$12*1</f>
        <v>17.083506503778725</v>
      </c>
      <c r="O8" s="36">
        <f>'Beneficiaries-pay incidence'!J7+'Residual charge incidence'!J8+'Generator passthrough estimates'!E$12*1</f>
        <v>16.323872008415346</v>
      </c>
      <c r="P8" s="42">
        <f>'Residual charge incidence'!L8+'Generator passthrough estimates'!F$12*1</f>
        <v>21.890439760808924</v>
      </c>
    </row>
    <row r="9" spans="1:16" x14ac:dyDescent="0.25">
      <c r="A9" t="s">
        <v>6</v>
      </c>
      <c r="B9" s="22">
        <f>'Beneficiaries-pay incidence'!D8+'Residual charge incidence'!D9+'Generator passthrough estimates'!B$12*0</f>
        <v>8.195031909498173</v>
      </c>
      <c r="C9" s="36">
        <f>'Beneficiaries-pay incidence'!F8+'Residual charge incidence'!F9+'Generator passthrough estimates'!C$12*0</f>
        <v>7.5730351578838819</v>
      </c>
      <c r="D9" s="22">
        <f>'Beneficiaries-pay incidence'!H8+'Residual charge incidence'!H9+'Generator passthrough estimates'!D$12*0</f>
        <v>8.5121624702895797</v>
      </c>
      <c r="E9" s="36">
        <f>'Beneficiaries-pay incidence'!J8+'Residual charge incidence'!J9+'Generator passthrough estimates'!E$12*0</f>
        <v>14.41434023269343</v>
      </c>
      <c r="F9" s="37">
        <f>'Residual charge incidence'!L9+'Generator passthrough estimates'!F$12*0</f>
        <v>9.7514333789084837</v>
      </c>
      <c r="G9" s="38">
        <f>'Beneficiaries-pay incidence'!D8+'Residual charge incidence'!D9+'Generator passthrough estimates'!B$12*0.5</f>
        <v>12.27686456286461</v>
      </c>
      <c r="H9" s="39">
        <f>'Beneficiaries-pay incidence'!F8+'Residual charge incidence'!F9+'Generator passthrough estimates'!C$12*0.5</f>
        <v>11.137922399541967</v>
      </c>
      <c r="I9" s="38">
        <f>'Beneficiaries-pay incidence'!H8+'Residual charge incidence'!H9+'Generator passthrough estimates'!D$12*0.5</f>
        <v>12.193836575583997</v>
      </c>
      <c r="J9" s="39">
        <f>'Beneficiaries-pay incidence'!J8+'Residual charge incidence'!J9+'Generator passthrough estimates'!E$12*0.5</f>
        <v>17.654864427108695</v>
      </c>
      <c r="K9" s="40">
        <f>'Residual charge incidence'!L9+'Generator passthrough estimates'!F$12*0.5</f>
        <v>11.272804657309383</v>
      </c>
      <c r="L9" s="41">
        <f>'Beneficiaries-pay incidence'!D8+'Residual charge incidence'!D9+'Generator passthrough estimates'!B$12*1</f>
        <v>16.358697216231043</v>
      </c>
      <c r="M9" s="36">
        <f>'Beneficiaries-pay incidence'!F8+'Residual charge incidence'!F9+'Generator passthrough estimates'!C$12*1</f>
        <v>14.702809641200053</v>
      </c>
      <c r="N9" s="41">
        <f>'Beneficiaries-pay incidence'!H8+'Residual charge incidence'!H9+'Generator passthrough estimates'!D$12*1</f>
        <v>15.875510680878417</v>
      </c>
      <c r="O9" s="36">
        <f>'Beneficiaries-pay incidence'!J8+'Residual charge incidence'!J9+'Generator passthrough estimates'!E$12*1</f>
        <v>20.89538862152396</v>
      </c>
      <c r="P9" s="42">
        <f>'Residual charge incidence'!L9+'Generator passthrough estimates'!F$12*1</f>
        <v>12.794175935710284</v>
      </c>
    </row>
    <row r="10" spans="1:16" x14ac:dyDescent="0.25">
      <c r="A10" t="s">
        <v>27</v>
      </c>
      <c r="B10" s="22">
        <f>'Beneficiaries-pay incidence'!D9+'Residual charge incidence'!D10+'Generator passthrough estimates'!B$12*0</f>
        <v>8.0800565360107228</v>
      </c>
      <c r="C10" s="36">
        <f>'Beneficiaries-pay incidence'!F9+'Residual charge incidence'!F10+'Generator passthrough estimates'!C$12*0</f>
        <v>6.5047103715983789</v>
      </c>
      <c r="D10" s="22">
        <f>'Beneficiaries-pay incidence'!H9+'Residual charge incidence'!H10+'Generator passthrough estimates'!D$12*0</f>
        <v>7.3660010617381957</v>
      </c>
      <c r="E10" s="36">
        <f>'Beneficiaries-pay incidence'!J9+'Residual charge incidence'!J10+'Generator passthrough estimates'!E$12*0</f>
        <v>5.8461248162807653</v>
      </c>
      <c r="F10" s="37">
        <f>'Residual charge incidence'!L10+'Generator passthrough estimates'!F$12*0</f>
        <v>14.109909538659824</v>
      </c>
      <c r="G10" s="38">
        <f>'Beneficiaries-pay incidence'!D9+'Residual charge incidence'!D10+'Generator passthrough estimates'!B$12*0.5</f>
        <v>12.16188918937716</v>
      </c>
      <c r="H10" s="39">
        <f>'Beneficiaries-pay incidence'!F9+'Residual charge incidence'!F10+'Generator passthrough estimates'!C$12*0.5</f>
        <v>10.069597613256464</v>
      </c>
      <c r="I10" s="38">
        <f>'Beneficiaries-pay incidence'!H9+'Residual charge incidence'!H10+'Generator passthrough estimates'!D$12*0.5</f>
        <v>11.047675167032615</v>
      </c>
      <c r="J10" s="39">
        <f>'Beneficiaries-pay incidence'!J9+'Residual charge incidence'!J10+'Generator passthrough estimates'!E$12*0.5</f>
        <v>9.0866490106960303</v>
      </c>
      <c r="K10" s="40">
        <f>'Residual charge incidence'!L10+'Generator passthrough estimates'!F$12*0.5</f>
        <v>15.631280817060723</v>
      </c>
      <c r="L10" s="41">
        <f>'Beneficiaries-pay incidence'!D9+'Residual charge incidence'!D10+'Generator passthrough estimates'!B$12*1</f>
        <v>16.243721842743597</v>
      </c>
      <c r="M10" s="36">
        <f>'Beneficiaries-pay incidence'!F9+'Residual charge incidence'!F10+'Generator passthrough estimates'!C$12*1</f>
        <v>13.63448485491455</v>
      </c>
      <c r="N10" s="41">
        <f>'Beneficiaries-pay incidence'!H9+'Residual charge incidence'!H10+'Generator passthrough estimates'!D$12*1</f>
        <v>14.729349272327033</v>
      </c>
      <c r="O10" s="36">
        <f>'Beneficiaries-pay incidence'!J9+'Residual charge incidence'!J10+'Generator passthrough estimates'!E$12*1</f>
        <v>12.327173205111297</v>
      </c>
      <c r="P10" s="42">
        <f>'Residual charge incidence'!L10+'Generator passthrough estimates'!F$12*1</f>
        <v>17.152652095461626</v>
      </c>
    </row>
    <row r="11" spans="1:16" x14ac:dyDescent="0.25">
      <c r="A11" t="s">
        <v>7</v>
      </c>
      <c r="B11" s="22">
        <f>'Beneficiaries-pay incidence'!D10+'Residual charge incidence'!D11+'Generator passthrough estimates'!B$12*0</f>
        <v>10.990568826891399</v>
      </c>
      <c r="C11" s="36">
        <f>'Beneficiaries-pay incidence'!F10+'Residual charge incidence'!F11+'Generator passthrough estimates'!C$12*0</f>
        <v>9.8987504887578552</v>
      </c>
      <c r="D11" s="22">
        <f>'Beneficiaries-pay incidence'!H10+'Residual charge incidence'!H11+'Generator passthrough estimates'!D$12*0</f>
        <v>11.001686345234646</v>
      </c>
      <c r="E11" s="36">
        <f>'Beneficiaries-pay incidence'!J10+'Residual charge incidence'!J11+'Generator passthrough estimates'!E$12*0</f>
        <v>14.237943155417991</v>
      </c>
      <c r="F11" s="37">
        <f>'Residual charge incidence'!L11+'Generator passthrough estimates'!F$12*0</f>
        <v>15.798330943302865</v>
      </c>
      <c r="G11" s="38">
        <f>'Beneficiaries-pay incidence'!D10+'Residual charge incidence'!D11+'Generator passthrough estimates'!B$12*0.5</f>
        <v>15.072401480257835</v>
      </c>
      <c r="H11" s="39">
        <f>'Beneficiaries-pay incidence'!F10+'Residual charge incidence'!F11+'Generator passthrough estimates'!C$12*0.5</f>
        <v>13.463637730415941</v>
      </c>
      <c r="I11" s="38">
        <f>'Beneficiaries-pay incidence'!H10+'Residual charge incidence'!H11+'Generator passthrough estimates'!D$12*0.5</f>
        <v>14.683360450529065</v>
      </c>
      <c r="J11" s="39">
        <f>'Beneficiaries-pay incidence'!J10+'Residual charge incidence'!J11+'Generator passthrough estimates'!E$12*0.5</f>
        <v>17.478467349833256</v>
      </c>
      <c r="K11" s="40">
        <f>'Residual charge incidence'!L11+'Generator passthrough estimates'!F$12*0.5</f>
        <v>17.319702221703764</v>
      </c>
      <c r="L11" s="41">
        <f>'Beneficiaries-pay incidence'!D10+'Residual charge incidence'!D11+'Generator passthrough estimates'!B$12*1</f>
        <v>19.154234133624271</v>
      </c>
      <c r="M11" s="36">
        <f>'Beneficiaries-pay incidence'!F10+'Residual charge incidence'!F11+'Generator passthrough estimates'!C$12*1</f>
        <v>17.028524972074027</v>
      </c>
      <c r="N11" s="41">
        <f>'Beneficiaries-pay incidence'!H10+'Residual charge incidence'!H11+'Generator passthrough estimates'!D$12*1</f>
        <v>18.365034555823485</v>
      </c>
      <c r="O11" s="36">
        <f>'Beneficiaries-pay incidence'!J10+'Residual charge incidence'!J11+'Generator passthrough estimates'!E$12*1</f>
        <v>20.718991544248521</v>
      </c>
      <c r="P11" s="42">
        <f>'Residual charge incidence'!L11+'Generator passthrough estimates'!F$12*1</f>
        <v>18.841073500104663</v>
      </c>
    </row>
    <row r="12" spans="1:16" x14ac:dyDescent="0.25">
      <c r="A12" t="s">
        <v>8</v>
      </c>
      <c r="B12" s="22">
        <f>'Beneficiaries-pay incidence'!D11+'Residual charge incidence'!D12+'Generator passthrough estimates'!B$12*0</f>
        <v>11.231467806636886</v>
      </c>
      <c r="C12" s="36">
        <f>'Beneficiaries-pay incidence'!F11+'Residual charge incidence'!F12+'Generator passthrough estimates'!C$12*0</f>
        <v>10.113977183056342</v>
      </c>
      <c r="D12" s="22">
        <f>'Beneficiaries-pay incidence'!H11+'Residual charge incidence'!H12+'Generator passthrough estimates'!D$12*0</f>
        <v>11.249112214533053</v>
      </c>
      <c r="E12" s="36">
        <f>'Beneficiaries-pay incidence'!J11+'Residual charge incidence'!J12+'Generator passthrough estimates'!E$12*0</f>
        <v>14.396956943882468</v>
      </c>
      <c r="F12" s="37">
        <f>'Residual charge incidence'!L12+'Generator passthrough estimates'!F$12*0</f>
        <v>15.669351446427106</v>
      </c>
      <c r="G12" s="38">
        <f>'Beneficiaries-pay incidence'!D11+'Residual charge incidence'!D12+'Generator passthrough estimates'!B$12*0.5</f>
        <v>15.313300460003322</v>
      </c>
      <c r="H12" s="39">
        <f>'Beneficiaries-pay incidence'!F11+'Residual charge incidence'!F12+'Generator passthrough estimates'!C$12*0.5</f>
        <v>13.678864424714428</v>
      </c>
      <c r="I12" s="38">
        <f>'Beneficiaries-pay incidence'!H11+'Residual charge incidence'!H12+'Generator passthrough estimates'!D$12*0.5</f>
        <v>14.930786319827472</v>
      </c>
      <c r="J12" s="39">
        <f>'Beneficiaries-pay incidence'!J11+'Residual charge incidence'!J12+'Generator passthrough estimates'!E$12*0.5</f>
        <v>17.637481138297733</v>
      </c>
      <c r="K12" s="40">
        <f>'Residual charge incidence'!L12+'Generator passthrough estimates'!F$12*0.5</f>
        <v>17.190722724828007</v>
      </c>
      <c r="L12" s="41">
        <f>'Beneficiaries-pay incidence'!D11+'Residual charge incidence'!D12+'Generator passthrough estimates'!B$12*1</f>
        <v>19.395133113369759</v>
      </c>
      <c r="M12" s="36">
        <f>'Beneficiaries-pay incidence'!F11+'Residual charge incidence'!F12+'Generator passthrough estimates'!C$12*1</f>
        <v>17.243751666372514</v>
      </c>
      <c r="N12" s="41">
        <f>'Beneficiaries-pay incidence'!H11+'Residual charge incidence'!H12+'Generator passthrough estimates'!D$12*1</f>
        <v>18.612460425121888</v>
      </c>
      <c r="O12" s="36">
        <f>'Beneficiaries-pay incidence'!J11+'Residual charge incidence'!J12+'Generator passthrough estimates'!E$12*1</f>
        <v>20.878005332712998</v>
      </c>
      <c r="P12" s="42">
        <f>'Residual charge incidence'!L12+'Generator passthrough estimates'!F$12*1</f>
        <v>18.712094003228906</v>
      </c>
    </row>
    <row r="13" spans="1:16" x14ac:dyDescent="0.25">
      <c r="A13" t="s">
        <v>9</v>
      </c>
      <c r="B13" s="22">
        <f>'Beneficiaries-pay incidence'!D12+'Residual charge incidence'!D13+'Generator passthrough estimates'!B$12*0</f>
        <v>11.632803595850223</v>
      </c>
      <c r="C13" s="36">
        <f>'Beneficiaries-pay incidence'!F12+'Residual charge incidence'!F13+'Generator passthrough estimates'!C$12*0</f>
        <v>10.460820729887638</v>
      </c>
      <c r="D13" s="22">
        <f>'Beneficiaries-pay incidence'!H12+'Residual charge incidence'!H13+'Generator passthrough estimates'!D$12*0</f>
        <v>11.58514803169551</v>
      </c>
      <c r="E13" s="36">
        <f>'Beneficiaries-pay incidence'!J12+'Residual charge incidence'!J13+'Generator passthrough estimates'!E$12*0</f>
        <v>13.727437182833032</v>
      </c>
      <c r="F13" s="37">
        <f>'Residual charge incidence'!L13+'Generator passthrough estimates'!F$12*0</f>
        <v>16.959712864731046</v>
      </c>
      <c r="G13" s="38">
        <f>'Beneficiaries-pay incidence'!D12+'Residual charge incidence'!D13+'Generator passthrough estimates'!B$12*0.5</f>
        <v>15.71463624921666</v>
      </c>
      <c r="H13" s="39">
        <f>'Beneficiaries-pay incidence'!F12+'Residual charge incidence'!F13+'Generator passthrough estimates'!C$12*0.5</f>
        <v>14.025707971545724</v>
      </c>
      <c r="I13" s="38">
        <f>'Beneficiaries-pay incidence'!H12+'Residual charge incidence'!H13+'Generator passthrough estimates'!D$12*0.5</f>
        <v>15.26682213698993</v>
      </c>
      <c r="J13" s="39">
        <f>'Beneficiaries-pay incidence'!J12+'Residual charge incidence'!J13+'Generator passthrough estimates'!E$12*0.5</f>
        <v>16.967961377248297</v>
      </c>
      <c r="K13" s="40">
        <f>'Residual charge incidence'!L13+'Generator passthrough estimates'!F$12*0.5</f>
        <v>18.481084143131945</v>
      </c>
      <c r="L13" s="41">
        <f>'Beneficiaries-pay incidence'!D12+'Residual charge incidence'!D13+'Generator passthrough estimates'!B$12*1</f>
        <v>19.796468902583094</v>
      </c>
      <c r="M13" s="36">
        <f>'Beneficiaries-pay incidence'!F12+'Residual charge incidence'!F13+'Generator passthrough estimates'!C$12*1</f>
        <v>17.590595213203809</v>
      </c>
      <c r="N13" s="41">
        <f>'Beneficiaries-pay incidence'!H12+'Residual charge incidence'!H13+'Generator passthrough estimates'!D$12*1</f>
        <v>18.948496242284349</v>
      </c>
      <c r="O13" s="36">
        <f>'Beneficiaries-pay incidence'!J12+'Residual charge incidence'!J13+'Generator passthrough estimates'!E$12*1</f>
        <v>20.208485571663562</v>
      </c>
      <c r="P13" s="42">
        <f>'Residual charge incidence'!L13+'Generator passthrough estimates'!F$12*1</f>
        <v>20.002455421532844</v>
      </c>
    </row>
    <row r="14" spans="1:16" x14ac:dyDescent="0.25">
      <c r="A14" t="s">
        <v>10</v>
      </c>
      <c r="B14" s="22">
        <f>'Beneficiaries-pay incidence'!D13+'Residual charge incidence'!D14+'Generator passthrough estimates'!B$12*0</f>
        <v>9.4509224474170566</v>
      </c>
      <c r="C14" s="36">
        <f>'Beneficiaries-pay incidence'!F13+'Residual charge incidence'!F14+'Generator passthrough estimates'!C$12*0</f>
        <v>7.7990404442439925</v>
      </c>
      <c r="D14" s="22">
        <f>'Beneficiaries-pay incidence'!H13+'Residual charge incidence'!H14+'Generator passthrough estimates'!D$12*0</f>
        <v>8.8087881452752264</v>
      </c>
      <c r="E14" s="36">
        <f>'Beneficiaries-pay incidence'!J13+'Residual charge incidence'!J14+'Generator passthrough estimates'!E$12*0</f>
        <v>6.3900136897524877</v>
      </c>
      <c r="F14" s="37">
        <f>'Residual charge incidence'!L14+'Generator passthrough estimates'!F$12*0</f>
        <v>12.688729715464177</v>
      </c>
      <c r="G14" s="38">
        <f>'Beneficiaries-pay incidence'!D13+'Residual charge incidence'!D14+'Generator passthrough estimates'!B$12*0.5</f>
        <v>13.532755100783493</v>
      </c>
      <c r="H14" s="39">
        <f>'Beneficiaries-pay incidence'!F13+'Residual charge incidence'!F14+'Generator passthrough estimates'!C$12*0.5</f>
        <v>11.363927685902079</v>
      </c>
      <c r="I14" s="38">
        <f>'Beneficiaries-pay incidence'!H13+'Residual charge incidence'!H14+'Generator passthrough estimates'!D$12*0.5</f>
        <v>12.490462250569646</v>
      </c>
      <c r="J14" s="39">
        <f>'Beneficiaries-pay incidence'!J13+'Residual charge incidence'!J14+'Generator passthrough estimates'!E$12*0.5</f>
        <v>9.6305378841677527</v>
      </c>
      <c r="K14" s="40">
        <f>'Residual charge incidence'!L14+'Generator passthrough estimates'!F$12*0.5</f>
        <v>14.210100993865076</v>
      </c>
      <c r="L14" s="41">
        <f>'Beneficiaries-pay incidence'!D13+'Residual charge incidence'!D14+'Generator passthrough estimates'!B$12*1</f>
        <v>17.61458775414993</v>
      </c>
      <c r="M14" s="36">
        <f>'Beneficiaries-pay incidence'!F13+'Residual charge incidence'!F14+'Generator passthrough estimates'!C$12*1</f>
        <v>14.928814927560165</v>
      </c>
      <c r="N14" s="41">
        <f>'Beneficiaries-pay incidence'!H13+'Residual charge incidence'!H14+'Generator passthrough estimates'!D$12*1</f>
        <v>16.172136355864062</v>
      </c>
      <c r="O14" s="36">
        <f>'Beneficiaries-pay incidence'!J13+'Residual charge incidence'!J14+'Generator passthrough estimates'!E$12*1</f>
        <v>12.871062078583019</v>
      </c>
      <c r="P14" s="42">
        <f>'Residual charge incidence'!L14+'Generator passthrough estimates'!F$12*1</f>
        <v>15.731472272265977</v>
      </c>
    </row>
    <row r="15" spans="1:16" x14ac:dyDescent="0.25">
      <c r="A15" t="s">
        <v>11</v>
      </c>
      <c r="B15" s="22">
        <f>'Beneficiaries-pay incidence'!D14+'Residual charge incidence'!D15+'Generator passthrough estimates'!B$12*0</f>
        <v>11.158988249183391</v>
      </c>
      <c r="C15" s="36">
        <f>'Beneficiaries-pay incidence'!F14+'Residual charge incidence'!F15+'Generator passthrough estimates'!C$12*0</f>
        <v>24.042352336014968</v>
      </c>
      <c r="D15" s="22">
        <f>'Beneficiaries-pay incidence'!H14+'Residual charge incidence'!H15+'Generator passthrough estimates'!D$12*0</f>
        <v>18.927219349883394</v>
      </c>
      <c r="E15" s="36">
        <f>'Beneficiaries-pay incidence'!J14+'Residual charge incidence'!J15+'Generator passthrough estimates'!E$12*0</f>
        <v>21.503463542397466</v>
      </c>
      <c r="F15" s="37">
        <f>'Residual charge incidence'!L15+'Generator passthrough estimates'!F$12*0</f>
        <v>13.950462746821914</v>
      </c>
      <c r="G15" s="38">
        <f>'Beneficiaries-pay incidence'!D14+'Residual charge incidence'!D15+'Generator passthrough estimates'!B$12*0.5</f>
        <v>15.240820902549828</v>
      </c>
      <c r="H15" s="39">
        <f>'Beneficiaries-pay incidence'!F14+'Residual charge incidence'!F15+'Generator passthrough estimates'!C$12*0.5</f>
        <v>27.607239577673052</v>
      </c>
      <c r="I15" s="38">
        <f>'Beneficiaries-pay incidence'!H14+'Residual charge incidence'!H15+'Generator passthrough estimates'!D$12*0.5</f>
        <v>22.608893455177814</v>
      </c>
      <c r="J15" s="39">
        <f>'Beneficiaries-pay incidence'!J14+'Residual charge incidence'!J15+'Generator passthrough estimates'!E$12*0.5</f>
        <v>24.743987736812731</v>
      </c>
      <c r="K15" s="40">
        <f>'Residual charge incidence'!L15+'Generator passthrough estimates'!F$12*0.5</f>
        <v>15.471834025222815</v>
      </c>
      <c r="L15" s="41">
        <f>'Beneficiaries-pay incidence'!D14+'Residual charge incidence'!D15+'Generator passthrough estimates'!B$12*1</f>
        <v>19.322653555916261</v>
      </c>
      <c r="M15" s="36">
        <f>'Beneficiaries-pay incidence'!F14+'Residual charge incidence'!F15+'Generator passthrough estimates'!C$12*1</f>
        <v>31.17212681933114</v>
      </c>
      <c r="N15" s="41">
        <f>'Beneficiaries-pay incidence'!H14+'Residual charge incidence'!H15+'Generator passthrough estimates'!D$12*1</f>
        <v>26.290567560472233</v>
      </c>
      <c r="O15" s="36">
        <f>'Beneficiaries-pay incidence'!J14+'Residual charge incidence'!J15+'Generator passthrough estimates'!E$12*1</f>
        <v>27.984511931227996</v>
      </c>
      <c r="P15" s="42">
        <f>'Residual charge incidence'!L15+'Generator passthrough estimates'!F$12*1</f>
        <v>16.993205303623714</v>
      </c>
    </row>
    <row r="16" spans="1:16" x14ac:dyDescent="0.25">
      <c r="A16" t="s">
        <v>12</v>
      </c>
      <c r="B16" s="22">
        <f>'Beneficiaries-pay incidence'!D15+'Residual charge incidence'!D16+'Generator passthrough estimates'!B$12*0</f>
        <v>11.869981534716931</v>
      </c>
      <c r="C16" s="36">
        <f>'Beneficiaries-pay incidence'!F15+'Residual charge incidence'!F16+'Generator passthrough estimates'!C$12*0</f>
        <v>10.715180393899971</v>
      </c>
      <c r="D16" s="22">
        <f>'Beneficiaries-pay incidence'!H15+'Residual charge incidence'!H16+'Generator passthrough estimates'!D$12*0</f>
        <v>11.788978302732584</v>
      </c>
      <c r="E16" s="36">
        <f>'Beneficiaries-pay incidence'!J15+'Residual charge incidence'!J16+'Generator passthrough estimates'!E$12*0</f>
        <v>14.118165816198122</v>
      </c>
      <c r="F16" s="37">
        <f>'Residual charge incidence'!L16+'Generator passthrough estimates'!F$12*0</f>
        <v>17.618655159402746</v>
      </c>
      <c r="G16" s="38">
        <f>'Beneficiaries-pay incidence'!D15+'Residual charge incidence'!D16+'Generator passthrough estimates'!B$12*0.5</f>
        <v>15.951814188083368</v>
      </c>
      <c r="H16" s="39">
        <f>'Beneficiaries-pay incidence'!F15+'Residual charge incidence'!F16+'Generator passthrough estimates'!C$12*0.5</f>
        <v>14.280067635558057</v>
      </c>
      <c r="I16" s="38">
        <f>'Beneficiaries-pay incidence'!H15+'Residual charge incidence'!H16+'Generator passthrough estimates'!D$12*0.5</f>
        <v>15.470652408027004</v>
      </c>
      <c r="J16" s="39">
        <f>'Beneficiaries-pay incidence'!J15+'Residual charge incidence'!J16+'Generator passthrough estimates'!E$12*0.5</f>
        <v>17.358690010613387</v>
      </c>
      <c r="K16" s="40">
        <f>'Residual charge incidence'!L16+'Generator passthrough estimates'!F$12*0.5</f>
        <v>19.140026437803645</v>
      </c>
      <c r="L16" s="41">
        <f>'Beneficiaries-pay incidence'!D15+'Residual charge incidence'!D16+'Generator passthrough estimates'!B$12*1</f>
        <v>20.033646841449801</v>
      </c>
      <c r="M16" s="36">
        <f>'Beneficiaries-pay incidence'!F15+'Residual charge incidence'!F16+'Generator passthrough estimates'!C$12*1</f>
        <v>17.844954877216143</v>
      </c>
      <c r="N16" s="41">
        <f>'Beneficiaries-pay incidence'!H15+'Residual charge incidence'!H16+'Generator passthrough estimates'!D$12*1</f>
        <v>19.15232651332142</v>
      </c>
      <c r="O16" s="36">
        <f>'Beneficiaries-pay incidence'!J15+'Residual charge incidence'!J16+'Generator passthrough estimates'!E$12*1</f>
        <v>20.599214205028652</v>
      </c>
      <c r="P16" s="42">
        <f>'Residual charge incidence'!L16+'Generator passthrough estimates'!F$12*1</f>
        <v>20.661397716204547</v>
      </c>
    </row>
    <row r="17" spans="1:16" x14ac:dyDescent="0.25">
      <c r="A17" t="s">
        <v>13</v>
      </c>
      <c r="B17" s="22">
        <f>'Beneficiaries-pay incidence'!D16+'Residual charge incidence'!D17+'Generator passthrough estimates'!B$12*0</f>
        <v>9.8293771678565989</v>
      </c>
      <c r="C17" s="36">
        <f>'Beneficiaries-pay incidence'!F16+'Residual charge incidence'!F17+'Generator passthrough estimates'!C$12*0</f>
        <v>7.6748398784232332</v>
      </c>
      <c r="D17" s="22">
        <f>'Beneficiaries-pay incidence'!H16+'Residual charge incidence'!H17+'Generator passthrough estimates'!D$12*0</f>
        <v>8.9829819601664038</v>
      </c>
      <c r="E17" s="36">
        <f>'Beneficiaries-pay incidence'!J16+'Residual charge incidence'!J17+'Generator passthrough estimates'!E$12*0</f>
        <v>7.1068033975388349</v>
      </c>
      <c r="F17" s="37">
        <f>'Residual charge incidence'!L17+'Generator passthrough estimates'!F$12*0</f>
        <v>16.72497480203597</v>
      </c>
      <c r="G17" s="38">
        <f>'Beneficiaries-pay incidence'!D16+'Residual charge incidence'!D17+'Generator passthrough estimates'!B$12*0.5</f>
        <v>13.911209821223036</v>
      </c>
      <c r="H17" s="39">
        <f>'Beneficiaries-pay incidence'!F16+'Residual charge incidence'!F17+'Generator passthrough estimates'!C$12*0.5</f>
        <v>11.239727120081319</v>
      </c>
      <c r="I17" s="38">
        <f>'Beneficiaries-pay incidence'!H16+'Residual charge incidence'!H17+'Generator passthrough estimates'!D$12*0.5</f>
        <v>12.664656065460822</v>
      </c>
      <c r="J17" s="39">
        <f>'Beneficiaries-pay incidence'!J16+'Residual charge incidence'!J17+'Generator passthrough estimates'!E$12*0.5</f>
        <v>10.3473275919541</v>
      </c>
      <c r="K17" s="40">
        <f>'Residual charge incidence'!L17+'Generator passthrough estimates'!F$12*0.5</f>
        <v>18.246346080436869</v>
      </c>
      <c r="L17" s="41">
        <f>'Beneficiaries-pay incidence'!D16+'Residual charge incidence'!D17+'Generator passthrough estimates'!B$12*1</f>
        <v>17.993042474589473</v>
      </c>
      <c r="M17" s="36">
        <f>'Beneficiaries-pay incidence'!F16+'Residual charge incidence'!F17+'Generator passthrough estimates'!C$12*1</f>
        <v>14.804614361739404</v>
      </c>
      <c r="N17" s="41">
        <f>'Beneficiaries-pay incidence'!H16+'Residual charge incidence'!H17+'Generator passthrough estimates'!D$12*1</f>
        <v>16.346330170755241</v>
      </c>
      <c r="O17" s="36">
        <f>'Beneficiaries-pay incidence'!J16+'Residual charge incidence'!J17+'Generator passthrough estimates'!E$12*1</f>
        <v>13.587851786369367</v>
      </c>
      <c r="P17" s="42">
        <f>'Residual charge incidence'!L17+'Generator passthrough estimates'!F$12*1</f>
        <v>19.767717358837771</v>
      </c>
    </row>
    <row r="18" spans="1:16" x14ac:dyDescent="0.25">
      <c r="A18" t="s">
        <v>14</v>
      </c>
      <c r="B18" s="22">
        <f>'Beneficiaries-pay incidence'!D17+'Residual charge incidence'!D18+'Generator passthrough estimates'!B$12*0</f>
        <v>11.577183601901263</v>
      </c>
      <c r="C18" s="36">
        <f>'Beneficiaries-pay incidence'!F17+'Residual charge incidence'!F18+'Generator passthrough estimates'!C$12*0</f>
        <v>9.8898881180040306</v>
      </c>
      <c r="D18" s="22">
        <f>'Beneficiaries-pay incidence'!H17+'Residual charge incidence'!H18+'Generator passthrough estimates'!D$12*0</f>
        <v>10.796582438901245</v>
      </c>
      <c r="E18" s="36">
        <f>'Beneficiaries-pay incidence'!J17+'Residual charge incidence'!J18+'Generator passthrough estimates'!E$12*0</f>
        <v>11.43592467598169</v>
      </c>
      <c r="F18" s="37">
        <f>'Residual charge incidence'!L18+'Generator passthrough estimates'!F$12*0</f>
        <v>15.901265609937898</v>
      </c>
      <c r="G18" s="38">
        <f>'Beneficiaries-pay incidence'!D17+'Residual charge incidence'!D18+'Generator passthrough estimates'!B$12*0.5</f>
        <v>15.659016255267698</v>
      </c>
      <c r="H18" s="39">
        <f>'Beneficiaries-pay incidence'!F17+'Residual charge incidence'!F18+'Generator passthrough estimates'!C$12*0.5</f>
        <v>13.454775359662117</v>
      </c>
      <c r="I18" s="38">
        <f>'Beneficiaries-pay incidence'!H17+'Residual charge incidence'!H18+'Generator passthrough estimates'!D$12*0.5</f>
        <v>14.478256544195663</v>
      </c>
      <c r="J18" s="39">
        <f>'Beneficiaries-pay incidence'!J17+'Residual charge incidence'!J18+'Generator passthrough estimates'!E$12*0.5</f>
        <v>14.676448870396955</v>
      </c>
      <c r="K18" s="40">
        <f>'Residual charge incidence'!L18+'Generator passthrough estimates'!F$12*0.5</f>
        <v>17.422636888338797</v>
      </c>
      <c r="L18" s="41">
        <f>'Beneficiaries-pay incidence'!D17+'Residual charge incidence'!D18+'Generator passthrough estimates'!B$12*1</f>
        <v>19.740848908634135</v>
      </c>
      <c r="M18" s="36">
        <f>'Beneficiaries-pay incidence'!F17+'Residual charge incidence'!F18+'Generator passthrough estimates'!C$12*1</f>
        <v>17.019662601320203</v>
      </c>
      <c r="N18" s="41">
        <f>'Beneficiaries-pay incidence'!H17+'Residual charge incidence'!H18+'Generator passthrough estimates'!D$12*1</f>
        <v>18.159930649490082</v>
      </c>
      <c r="O18" s="36">
        <f>'Beneficiaries-pay incidence'!J17+'Residual charge incidence'!J18+'Generator passthrough estimates'!E$12*1</f>
        <v>17.916973064812222</v>
      </c>
      <c r="P18" s="42">
        <f>'Residual charge incidence'!L18+'Generator passthrough estimates'!F$12*1</f>
        <v>18.9440081667397</v>
      </c>
    </row>
    <row r="19" spans="1:16" x14ac:dyDescent="0.25">
      <c r="A19" t="s">
        <v>15</v>
      </c>
      <c r="B19" s="22">
        <f>'Beneficiaries-pay incidence'!D18+'Residual charge incidence'!D19+'Generator passthrough estimates'!B$12*0</f>
        <v>9.0588657608526457</v>
      </c>
      <c r="C19" s="36">
        <f>'Beneficiaries-pay incidence'!F18+'Residual charge incidence'!F19+'Generator passthrough estimates'!C$12*0</f>
        <v>7.1136193592776884</v>
      </c>
      <c r="D19" s="22">
        <f>'Beneficiaries-pay incidence'!H18+'Residual charge incidence'!H19+'Generator passthrough estimates'!D$12*0</f>
        <v>8.2886330962448973</v>
      </c>
      <c r="E19" s="36">
        <f>'Beneficiaries-pay incidence'!J18+'Residual charge incidence'!J19+'Generator passthrough estimates'!E$12*0</f>
        <v>9.8073755785270809</v>
      </c>
      <c r="F19" s="37">
        <f>'Residual charge incidence'!L19+'Generator passthrough estimates'!F$12*0</f>
        <v>15.219984459062333</v>
      </c>
      <c r="G19" s="38">
        <f>'Beneficiaries-pay incidence'!D18+'Residual charge incidence'!D19+'Generator passthrough estimates'!B$12*0.5</f>
        <v>13.140698414219081</v>
      </c>
      <c r="H19" s="39">
        <f>'Beneficiaries-pay incidence'!F18+'Residual charge incidence'!F19+'Generator passthrough estimates'!C$12*0.5</f>
        <v>10.678506600935775</v>
      </c>
      <c r="I19" s="38">
        <f>'Beneficiaries-pay incidence'!H18+'Residual charge incidence'!H19+'Generator passthrough estimates'!D$12*0.5</f>
        <v>11.970307201539317</v>
      </c>
      <c r="J19" s="39">
        <f>'Beneficiaries-pay incidence'!J18+'Residual charge incidence'!J19+'Generator passthrough estimates'!E$12*0.5</f>
        <v>13.047899772942346</v>
      </c>
      <c r="K19" s="40">
        <f>'Residual charge incidence'!L19+'Generator passthrough estimates'!F$12*0.5</f>
        <v>16.741355737463234</v>
      </c>
      <c r="L19" s="41">
        <f>'Beneficiaries-pay incidence'!D18+'Residual charge incidence'!D19+'Generator passthrough estimates'!B$12*1</f>
        <v>17.222531067585518</v>
      </c>
      <c r="M19" s="36">
        <f>'Beneficiaries-pay incidence'!F18+'Residual charge incidence'!F19+'Generator passthrough estimates'!C$12*1</f>
        <v>14.243393842593861</v>
      </c>
      <c r="N19" s="41">
        <f>'Beneficiaries-pay incidence'!H18+'Residual charge incidence'!H19+'Generator passthrough estimates'!D$12*1</f>
        <v>15.651981306833735</v>
      </c>
      <c r="O19" s="36">
        <f>'Beneficiaries-pay incidence'!J18+'Residual charge incidence'!J19+'Generator passthrough estimates'!E$12*1</f>
        <v>16.288423967357613</v>
      </c>
      <c r="P19" s="42">
        <f>'Residual charge incidence'!L19+'Generator passthrough estimates'!F$12*1</f>
        <v>18.262727015864133</v>
      </c>
    </row>
    <row r="20" spans="1:16" x14ac:dyDescent="0.25">
      <c r="A20" t="s">
        <v>16</v>
      </c>
      <c r="B20" s="22">
        <f>'Beneficiaries-pay incidence'!D19+'Residual charge incidence'!D20+'Generator passthrough estimates'!B$12*0</f>
        <v>9.9169729619260085</v>
      </c>
      <c r="C20" s="36">
        <f>'Beneficiaries-pay incidence'!F19+'Residual charge incidence'!F20+'Generator passthrough estimates'!C$12*0</f>
        <v>7.4830449347603487</v>
      </c>
      <c r="D20" s="22">
        <f>'Beneficiaries-pay incidence'!H19+'Residual charge incidence'!H20+'Generator passthrough estimates'!D$12*0</f>
        <v>9.0956532713974134</v>
      </c>
      <c r="E20" s="36">
        <f>'Beneficiaries-pay incidence'!J19+'Residual charge incidence'!J20+'Generator passthrough estimates'!E$12*0</f>
        <v>6.4521270434907949</v>
      </c>
      <c r="F20" s="37">
        <f>'Residual charge incidence'!L20+'Generator passthrough estimates'!F$12*0</f>
        <v>16.229476494785025</v>
      </c>
      <c r="G20" s="38">
        <f>'Beneficiaries-pay incidence'!D19+'Residual charge incidence'!D20+'Generator passthrough estimates'!B$12*0.5</f>
        <v>13.998805615292444</v>
      </c>
      <c r="H20" s="39">
        <f>'Beneficiaries-pay incidence'!F19+'Residual charge incidence'!F20+'Generator passthrough estimates'!C$12*0.5</f>
        <v>11.047932176418435</v>
      </c>
      <c r="I20" s="38">
        <f>'Beneficiaries-pay incidence'!H19+'Residual charge incidence'!H20+'Generator passthrough estimates'!D$12*0.5</f>
        <v>12.777327376691833</v>
      </c>
      <c r="J20" s="39">
        <f>'Beneficiaries-pay incidence'!J19+'Residual charge incidence'!J20+'Generator passthrough estimates'!E$12*0.5</f>
        <v>9.6926512379060608</v>
      </c>
      <c r="K20" s="40">
        <f>'Residual charge incidence'!L20+'Generator passthrough estimates'!F$12*0.5</f>
        <v>17.750847773185924</v>
      </c>
      <c r="L20" s="41">
        <f>'Beneficiaries-pay incidence'!D19+'Residual charge incidence'!D20+'Generator passthrough estimates'!B$12*1</f>
        <v>18.08063826865888</v>
      </c>
      <c r="M20" s="36">
        <f>'Beneficiaries-pay incidence'!F19+'Residual charge incidence'!F20+'Generator passthrough estimates'!C$12*1</f>
        <v>14.612819418076519</v>
      </c>
      <c r="N20" s="41">
        <f>'Beneficiaries-pay incidence'!H19+'Residual charge incidence'!H20+'Generator passthrough estimates'!D$12*1</f>
        <v>16.459001481986249</v>
      </c>
      <c r="O20" s="36">
        <f>'Beneficiaries-pay incidence'!J19+'Residual charge incidence'!J20+'Generator passthrough estimates'!E$12*1</f>
        <v>12.933175432321326</v>
      </c>
      <c r="P20" s="42">
        <f>'Residual charge incidence'!L20+'Generator passthrough estimates'!F$12*1</f>
        <v>19.272219051586823</v>
      </c>
    </row>
    <row r="21" spans="1:16" x14ac:dyDescent="0.25">
      <c r="A21" t="s">
        <v>17</v>
      </c>
      <c r="B21" s="22">
        <f>'Beneficiaries-pay incidence'!D20+'Residual charge incidence'!D21+'Generator passthrough estimates'!B$12*0</f>
        <v>17.347724352221341</v>
      </c>
      <c r="C21" s="36">
        <f>'Beneficiaries-pay incidence'!F20+'Residual charge incidence'!F21+'Generator passthrough estimates'!C$12*0</f>
        <v>28.638402058772304</v>
      </c>
      <c r="D21" s="22">
        <f>'Beneficiaries-pay incidence'!H20+'Residual charge incidence'!H21+'Generator passthrough estimates'!D$12*0</f>
        <v>24.534170908287223</v>
      </c>
      <c r="E21" s="36">
        <f>'Beneficiaries-pay incidence'!J20+'Residual charge incidence'!J21+'Generator passthrough estimates'!E$12*0</f>
        <v>21.119271685371118</v>
      </c>
      <c r="F21" s="37">
        <f>'Residual charge incidence'!L21+'Generator passthrough estimates'!F$12*0</f>
        <v>25.446715831825614</v>
      </c>
      <c r="G21" s="38">
        <f>'Beneficiaries-pay incidence'!D20+'Residual charge incidence'!D21+'Generator passthrough estimates'!B$12*0.5</f>
        <v>21.429557005587778</v>
      </c>
      <c r="H21" s="39">
        <f>'Beneficiaries-pay incidence'!F20+'Residual charge incidence'!F21+'Generator passthrough estimates'!C$12*0.5</f>
        <v>32.203289300430392</v>
      </c>
      <c r="I21" s="38">
        <f>'Beneficiaries-pay incidence'!H20+'Residual charge incidence'!H21+'Generator passthrough estimates'!D$12*0.5</f>
        <v>28.215845013581642</v>
      </c>
      <c r="J21" s="39">
        <f>'Beneficiaries-pay incidence'!J20+'Residual charge incidence'!J21+'Generator passthrough estimates'!E$12*0.5</f>
        <v>24.359795879786382</v>
      </c>
      <c r="K21" s="40">
        <f>'Residual charge incidence'!L21+'Generator passthrough estimates'!F$12*0.5</f>
        <v>26.968087110226513</v>
      </c>
      <c r="L21" s="41">
        <f>'Beneficiaries-pay incidence'!D20+'Residual charge incidence'!D21+'Generator passthrough estimates'!B$12*1</f>
        <v>25.511389658954215</v>
      </c>
      <c r="M21" s="36">
        <f>'Beneficiaries-pay incidence'!F20+'Residual charge incidence'!F21+'Generator passthrough estimates'!C$12*1</f>
        <v>35.768176542088476</v>
      </c>
      <c r="N21" s="41">
        <f>'Beneficiaries-pay incidence'!H20+'Residual charge incidence'!H21+'Generator passthrough estimates'!D$12*1</f>
        <v>31.897519118876062</v>
      </c>
      <c r="O21" s="36">
        <f>'Beneficiaries-pay incidence'!J20+'Residual charge incidence'!J21+'Generator passthrough estimates'!E$12*1</f>
        <v>27.600320074201647</v>
      </c>
      <c r="P21" s="42">
        <f>'Residual charge incidence'!L21+'Generator passthrough estimates'!F$12*1</f>
        <v>28.489458388627412</v>
      </c>
    </row>
    <row r="22" spans="1:16" x14ac:dyDescent="0.25">
      <c r="A22" t="s">
        <v>29</v>
      </c>
      <c r="B22" s="22">
        <f>'Beneficiaries-pay incidence'!D21+'Residual charge incidence'!D22+'Generator passthrough estimates'!B$12*0</f>
        <v>9.466156465398198</v>
      </c>
      <c r="C22" s="36">
        <f>'Beneficiaries-pay incidence'!F21+'Residual charge incidence'!F22+'Generator passthrough estimates'!C$12*0</f>
        <v>7.6745773632963523</v>
      </c>
      <c r="D22" s="22">
        <f>'Beneficiaries-pay incidence'!H21+'Residual charge incidence'!H22+'Generator passthrough estimates'!D$12*0</f>
        <v>8.5968912350134676</v>
      </c>
      <c r="E22" s="36">
        <f>'Beneficiaries-pay incidence'!J21+'Residual charge incidence'!J22+'Generator passthrough estimates'!E$12*0</f>
        <v>6.1490028035135564</v>
      </c>
      <c r="F22" s="37">
        <f>'Residual charge incidence'!L22+'Generator passthrough estimates'!F$12*0</f>
        <v>17.176892003141042</v>
      </c>
      <c r="G22" s="38">
        <f>'Beneficiaries-pay incidence'!D21+'Residual charge incidence'!D22+'Generator passthrough estimates'!B$12*0.5</f>
        <v>13.547989118764633</v>
      </c>
      <c r="H22" s="39">
        <f>'Beneficiaries-pay incidence'!F21+'Residual charge incidence'!F22+'Generator passthrough estimates'!C$12*0.5</f>
        <v>11.239464604954438</v>
      </c>
      <c r="I22" s="38">
        <f>'Beneficiaries-pay incidence'!H21+'Residual charge incidence'!H22+'Generator passthrough estimates'!D$12*0.5</f>
        <v>12.278565340307885</v>
      </c>
      <c r="J22" s="39">
        <f>'Beneficiaries-pay incidence'!J21+'Residual charge incidence'!J22+'Generator passthrough estimates'!E$12*0.5</f>
        <v>9.3895269979288223</v>
      </c>
      <c r="K22" s="40">
        <f>'Residual charge incidence'!L22+'Generator passthrough estimates'!F$12*0.5</f>
        <v>18.698263281541941</v>
      </c>
      <c r="L22" s="41">
        <f>'Beneficiaries-pay incidence'!D21+'Residual charge incidence'!D22+'Generator passthrough estimates'!B$12*1</f>
        <v>17.62982177213107</v>
      </c>
      <c r="M22" s="36">
        <f>'Beneficiaries-pay incidence'!F21+'Residual charge incidence'!F22+'Generator passthrough estimates'!C$12*1</f>
        <v>14.804351846612523</v>
      </c>
      <c r="N22" s="41">
        <f>'Beneficiaries-pay incidence'!H21+'Residual charge incidence'!H22+'Generator passthrough estimates'!D$12*1</f>
        <v>15.960239445602305</v>
      </c>
      <c r="O22" s="36">
        <f>'Beneficiaries-pay incidence'!J21+'Residual charge incidence'!J22+'Generator passthrough estimates'!E$12*1</f>
        <v>12.630051192344087</v>
      </c>
      <c r="P22" s="42">
        <f>'Residual charge incidence'!L22+'Generator passthrough estimates'!F$12*1</f>
        <v>20.21963455994284</v>
      </c>
    </row>
    <row r="23" spans="1:16" x14ac:dyDescent="0.25">
      <c r="A23" t="s">
        <v>18</v>
      </c>
      <c r="B23" s="22">
        <f>'Beneficiaries-pay incidence'!D22+'Residual charge incidence'!D23+'Generator passthrough estimates'!B$12*0</f>
        <v>13.093202578192511</v>
      </c>
      <c r="C23" s="36">
        <f>'Beneficiaries-pay incidence'!F22+'Residual charge incidence'!F23+'Generator passthrough estimates'!C$12*0</f>
        <v>20.302676429956605</v>
      </c>
      <c r="D23" s="22">
        <f>'Beneficiaries-pay incidence'!H22+'Residual charge incidence'!H23+'Generator passthrough estimates'!D$12*0</f>
        <v>17.123431727359105</v>
      </c>
      <c r="E23" s="36">
        <f>'Beneficiaries-pay incidence'!J22+'Residual charge incidence'!J23+'Generator passthrough estimates'!E$12*0</f>
        <v>18.533108326719884</v>
      </c>
      <c r="F23" s="37">
        <f>'Residual charge incidence'!L23+'Generator passthrough estimates'!F$12*0</f>
        <v>18.781324273993089</v>
      </c>
      <c r="G23" s="38">
        <f>'Beneficiaries-pay incidence'!D22+'Residual charge incidence'!D23+'Generator passthrough estimates'!B$12*0.5</f>
        <v>17.175035231558947</v>
      </c>
      <c r="H23" s="39">
        <f>'Beneficiaries-pay incidence'!F22+'Residual charge incidence'!F23+'Generator passthrough estimates'!C$12*0.5</f>
        <v>23.86756367161469</v>
      </c>
      <c r="I23" s="38">
        <f>'Beneficiaries-pay incidence'!H22+'Residual charge incidence'!H23+'Generator passthrough estimates'!D$12*0.5</f>
        <v>20.805105832653524</v>
      </c>
      <c r="J23" s="39">
        <f>'Beneficiaries-pay incidence'!J22+'Residual charge incidence'!J23+'Generator passthrough estimates'!E$12*0.5</f>
        <v>21.773632521135148</v>
      </c>
      <c r="K23" s="40">
        <f>'Residual charge incidence'!L23+'Generator passthrough estimates'!F$12*0.5</f>
        <v>20.302695552393988</v>
      </c>
      <c r="L23" s="41">
        <f>'Beneficiaries-pay incidence'!D22+'Residual charge incidence'!D23+'Generator passthrough estimates'!B$12*1</f>
        <v>21.256867884925384</v>
      </c>
      <c r="M23" s="36">
        <f>'Beneficiaries-pay incidence'!F22+'Residual charge incidence'!F23+'Generator passthrough estimates'!C$12*1</f>
        <v>27.432450913272778</v>
      </c>
      <c r="N23" s="41">
        <f>'Beneficiaries-pay incidence'!H22+'Residual charge incidence'!H23+'Generator passthrough estimates'!D$12*1</f>
        <v>24.486779937947944</v>
      </c>
      <c r="O23" s="36">
        <f>'Beneficiaries-pay incidence'!J22+'Residual charge incidence'!J23+'Generator passthrough estimates'!E$12*1</f>
        <v>25.014156715550413</v>
      </c>
      <c r="P23" s="42">
        <f>'Residual charge incidence'!L23+'Generator passthrough estimates'!F$12*1</f>
        <v>21.824066830794891</v>
      </c>
    </row>
    <row r="24" spans="1:16" x14ac:dyDescent="0.25">
      <c r="A24" t="s">
        <v>44</v>
      </c>
      <c r="B24" s="22">
        <f>'Beneficiaries-pay incidence'!D23+'Residual charge incidence'!D24+'Generator passthrough estimates'!B$12*0</f>
        <v>9.5279037275321929</v>
      </c>
      <c r="C24" s="36">
        <f>'Beneficiaries-pay incidence'!F23+'Residual charge incidence'!F24+'Generator passthrough estimates'!C$12*0</f>
        <v>6.9363534370112907</v>
      </c>
      <c r="D24" s="22">
        <f>'Beneficiaries-pay incidence'!H23+'Residual charge incidence'!H24+'Generator passthrough estimates'!D$12*0</f>
        <v>8.793297447200521</v>
      </c>
      <c r="E24" s="36">
        <f>'Beneficiaries-pay incidence'!J23+'Residual charge incidence'!J24+'Generator passthrough estimates'!E$12*0</f>
        <v>6.0242515415982458</v>
      </c>
      <c r="F24" s="37">
        <f>'Residual charge incidence'!L24+'Generator passthrough estimates'!F$12*0</f>
        <v>14.515998455962057</v>
      </c>
      <c r="G24" s="38">
        <f>'Beneficiaries-pay incidence'!D23+'Residual charge incidence'!D24+'Generator passthrough estimates'!B$12*0.5</f>
        <v>13.609736380898628</v>
      </c>
      <c r="H24" s="39">
        <f>'Beneficiaries-pay incidence'!F23+'Residual charge incidence'!F24+'Generator passthrough estimates'!C$12*0.5</f>
        <v>10.501240678669376</v>
      </c>
      <c r="I24" s="38">
        <f>'Beneficiaries-pay incidence'!H23+'Residual charge incidence'!H24+'Generator passthrough estimates'!D$12*0.5</f>
        <v>12.474971552494939</v>
      </c>
      <c r="J24" s="39">
        <f>'Beneficiaries-pay incidence'!J23+'Residual charge incidence'!J24+'Generator passthrough estimates'!E$12*0.5</f>
        <v>9.2647757360135117</v>
      </c>
      <c r="K24" s="40">
        <f>'Residual charge incidence'!L24+'Generator passthrough estimates'!F$12*0.5</f>
        <v>16.037369734362958</v>
      </c>
      <c r="L24" s="41">
        <f>'Beneficiaries-pay incidence'!D23+'Residual charge incidence'!D24+'Generator passthrough estimates'!B$12*1</f>
        <v>17.691569034265065</v>
      </c>
      <c r="M24" s="36">
        <f>'Beneficiaries-pay incidence'!F23+'Residual charge incidence'!F24+'Generator passthrough estimates'!C$12*1</f>
        <v>14.066127920327462</v>
      </c>
      <c r="N24" s="41">
        <f>'Beneficiaries-pay incidence'!H23+'Residual charge incidence'!H24+'Generator passthrough estimates'!D$12*1</f>
        <v>16.156645657789358</v>
      </c>
      <c r="O24" s="36">
        <f>'Beneficiaries-pay incidence'!J23+'Residual charge incidence'!J24+'Generator passthrough estimates'!E$12*1</f>
        <v>12.505299930428777</v>
      </c>
      <c r="P24" s="42">
        <f>'Residual charge incidence'!L24+'Generator passthrough estimates'!F$12*1</f>
        <v>17.558741012763857</v>
      </c>
    </row>
    <row r="25" spans="1:16" x14ac:dyDescent="0.25">
      <c r="A25" t="s">
        <v>28</v>
      </c>
      <c r="B25" s="22">
        <f>'Beneficiaries-pay incidence'!D24+'Residual charge incidence'!D25+'Generator passthrough estimates'!B$12*0</f>
        <v>11.223810085748299</v>
      </c>
      <c r="C25" s="36">
        <f>'Beneficiaries-pay incidence'!F24+'Residual charge incidence'!F25+'Generator passthrough estimates'!C$12*0</f>
        <v>8.4135154011408719</v>
      </c>
      <c r="D25" s="22">
        <f>'Beneficiaries-pay incidence'!H24+'Residual charge incidence'!H25+'Generator passthrough estimates'!D$12*0</f>
        <v>10.364274926519546</v>
      </c>
      <c r="E25" s="36">
        <f>'Beneficiaries-pay incidence'!J24+'Residual charge incidence'!J25+'Generator passthrough estimates'!E$12*0</f>
        <v>6.185146333180108</v>
      </c>
      <c r="F25" s="37">
        <f>'Residual charge incidence'!L25+'Generator passthrough estimates'!F$12*0</f>
        <v>18.119820310350669</v>
      </c>
      <c r="G25" s="38">
        <f>'Beneficiaries-pay incidence'!D24+'Residual charge incidence'!D25+'Generator passthrough estimates'!B$12*0.5</f>
        <v>15.305642739114734</v>
      </c>
      <c r="H25" s="39">
        <f>'Beneficiaries-pay incidence'!F24+'Residual charge incidence'!F25+'Generator passthrough estimates'!C$12*0.5</f>
        <v>11.978402642798958</v>
      </c>
      <c r="I25" s="38">
        <f>'Beneficiaries-pay incidence'!H24+'Residual charge incidence'!H25+'Generator passthrough estimates'!D$12*0.5</f>
        <v>14.045949031813965</v>
      </c>
      <c r="J25" s="39">
        <f>'Beneficiaries-pay incidence'!J24+'Residual charge incidence'!J25+'Generator passthrough estimates'!E$12*0.5</f>
        <v>9.4256705275953738</v>
      </c>
      <c r="K25" s="40">
        <f>'Residual charge incidence'!L25+'Generator passthrough estimates'!F$12*0.5</f>
        <v>19.641191588751568</v>
      </c>
      <c r="L25" s="41">
        <f>'Beneficiaries-pay incidence'!D24+'Residual charge incidence'!D25+'Generator passthrough estimates'!B$12*1</f>
        <v>19.387475392481171</v>
      </c>
      <c r="M25" s="36">
        <f>'Beneficiaries-pay incidence'!F24+'Residual charge incidence'!F25+'Generator passthrough estimates'!C$12*1</f>
        <v>15.543289884457042</v>
      </c>
      <c r="N25" s="41">
        <f>'Beneficiaries-pay incidence'!H24+'Residual charge incidence'!H25+'Generator passthrough estimates'!D$12*1</f>
        <v>17.727623137108381</v>
      </c>
      <c r="O25" s="36">
        <f>'Beneficiaries-pay incidence'!J24+'Residual charge incidence'!J25+'Generator passthrough estimates'!E$12*1</f>
        <v>12.666194722010639</v>
      </c>
      <c r="P25" s="42">
        <f>'Residual charge incidence'!L25+'Generator passthrough estimates'!F$12*1</f>
        <v>21.162562867152467</v>
      </c>
    </row>
    <row r="26" spans="1:16" x14ac:dyDescent="0.25">
      <c r="A26" t="s">
        <v>19</v>
      </c>
      <c r="B26" s="22">
        <f>'Beneficiaries-pay incidence'!D25+'Residual charge incidence'!D26+'Generator passthrough estimates'!B$12*0</f>
        <v>10.718346566714718</v>
      </c>
      <c r="C26" s="36">
        <f>'Beneficiaries-pay incidence'!F25+'Residual charge incidence'!F26+'Generator passthrough estimates'!C$12*0</f>
        <v>8.5711396655971779</v>
      </c>
      <c r="D26" s="22">
        <f>'Beneficiaries-pay incidence'!H25+'Residual charge incidence'!H26+'Generator passthrough estimates'!D$12*0</f>
        <v>9.7599998606164</v>
      </c>
      <c r="E26" s="36">
        <f>'Beneficiaries-pay incidence'!J25+'Residual charge incidence'!J26+'Generator passthrough estimates'!E$12*0</f>
        <v>9.7699559610394466</v>
      </c>
      <c r="F26" s="37">
        <f>'Residual charge incidence'!L26+'Generator passthrough estimates'!F$12*0</f>
        <v>18.937163591520918</v>
      </c>
      <c r="G26" s="38">
        <f>'Beneficiaries-pay incidence'!D25+'Residual charge incidence'!D26+'Generator passthrough estimates'!B$12*0.5</f>
        <v>14.800179220081155</v>
      </c>
      <c r="H26" s="39">
        <f>'Beneficiaries-pay incidence'!F25+'Residual charge incidence'!F26+'Generator passthrough estimates'!C$12*0.5</f>
        <v>12.136026907255264</v>
      </c>
      <c r="I26" s="38">
        <f>'Beneficiaries-pay incidence'!H25+'Residual charge incidence'!H26+'Generator passthrough estimates'!D$12*0.5</f>
        <v>13.44167396591082</v>
      </c>
      <c r="J26" s="39">
        <f>'Beneficiaries-pay incidence'!J25+'Residual charge incidence'!J26+'Generator passthrough estimates'!E$12*0.5</f>
        <v>13.010480155454712</v>
      </c>
      <c r="K26" s="40">
        <f>'Residual charge incidence'!L26+'Generator passthrough estimates'!F$12*0.5</f>
        <v>20.458534869921817</v>
      </c>
      <c r="L26" s="41">
        <f>'Beneficiaries-pay incidence'!D25+'Residual charge incidence'!D26+'Generator passthrough estimates'!B$12*1</f>
        <v>18.882011873447588</v>
      </c>
      <c r="M26" s="36">
        <f>'Beneficiaries-pay incidence'!F25+'Residual charge incidence'!F26+'Generator passthrough estimates'!C$12*1</f>
        <v>15.700914148913348</v>
      </c>
      <c r="N26" s="41">
        <f>'Beneficiaries-pay incidence'!H25+'Residual charge incidence'!H26+'Generator passthrough estimates'!D$12*1</f>
        <v>17.123348071205235</v>
      </c>
      <c r="O26" s="36">
        <f>'Beneficiaries-pay incidence'!J25+'Residual charge incidence'!J26+'Generator passthrough estimates'!E$12*1</f>
        <v>16.251004349869977</v>
      </c>
      <c r="P26" s="42">
        <f>'Residual charge incidence'!L26+'Generator passthrough estimates'!F$12*1</f>
        <v>21.979906148322719</v>
      </c>
    </row>
    <row r="27" spans="1:16" x14ac:dyDescent="0.25">
      <c r="A27" t="s">
        <v>20</v>
      </c>
      <c r="B27" s="22">
        <f>'Beneficiaries-pay incidence'!D26+'Residual charge incidence'!D27+'Generator passthrough estimates'!B$12*0</f>
        <v>9.7142810856446324</v>
      </c>
      <c r="C27" s="36">
        <f>'Beneficiaries-pay incidence'!F26+'Residual charge incidence'!F27+'Generator passthrough estimates'!C$12*0</f>
        <v>8.8320894565839527</v>
      </c>
      <c r="D27" s="22">
        <f>'Beneficiaries-pay incidence'!H26+'Residual charge incidence'!H27+'Generator passthrough estimates'!D$12*0</f>
        <v>9.9052896404784008</v>
      </c>
      <c r="E27" s="36">
        <f>'Beneficiaries-pay incidence'!J26+'Residual charge incidence'!J27+'Generator passthrough estimates'!E$12*0</f>
        <v>13.888089311110502</v>
      </c>
      <c r="F27" s="37">
        <f>'Residual charge incidence'!L27+'Generator passthrough estimates'!F$12*0</f>
        <v>12.243788135101267</v>
      </c>
      <c r="G27" s="38">
        <f>'Beneficiaries-pay incidence'!D26+'Residual charge incidence'!D27+'Generator passthrough estimates'!B$12*0.5</f>
        <v>13.796113739011069</v>
      </c>
      <c r="H27" s="39">
        <f>'Beneficiaries-pay incidence'!F26+'Residual charge incidence'!F27+'Generator passthrough estimates'!C$12*0.5</f>
        <v>12.396976698242039</v>
      </c>
      <c r="I27" s="38">
        <f>'Beneficiaries-pay incidence'!H26+'Residual charge incidence'!H27+'Generator passthrough estimates'!D$12*0.5</f>
        <v>13.58696374577282</v>
      </c>
      <c r="J27" s="39">
        <f>'Beneficiaries-pay incidence'!J26+'Residual charge incidence'!J27+'Generator passthrough estimates'!E$12*0.5</f>
        <v>17.128613505525767</v>
      </c>
      <c r="K27" s="40">
        <f>'Residual charge incidence'!L27+'Generator passthrough estimates'!F$12*0.5</f>
        <v>13.765159413502168</v>
      </c>
      <c r="L27" s="41">
        <f>'Beneficiaries-pay incidence'!D26+'Residual charge incidence'!D27+'Generator passthrough estimates'!B$12*1</f>
        <v>17.877946392377503</v>
      </c>
      <c r="M27" s="36">
        <f>'Beneficiaries-pay incidence'!F26+'Residual charge incidence'!F27+'Generator passthrough estimates'!C$12*1</f>
        <v>15.961863939900123</v>
      </c>
      <c r="N27" s="41">
        <f>'Beneficiaries-pay incidence'!H26+'Residual charge incidence'!H27+'Generator passthrough estimates'!D$12*1</f>
        <v>17.26863785106724</v>
      </c>
      <c r="O27" s="36">
        <f>'Beneficiaries-pay incidence'!J26+'Residual charge incidence'!J27+'Generator passthrough estimates'!E$12*1</f>
        <v>20.369137699941032</v>
      </c>
      <c r="P27" s="42">
        <f>'Residual charge incidence'!L27+'Generator passthrough estimates'!F$12*1</f>
        <v>15.286530691903067</v>
      </c>
    </row>
    <row r="29" spans="1:16" x14ac:dyDescent="0.25">
      <c r="A29" s="5" t="s">
        <v>117</v>
      </c>
      <c r="B29" s="22">
        <f>SUMPRODUCT(B3:B27,'Beneficiaries-pay incidence'!$B2:$B26)*1000/1000000</f>
        <v>367.95110239933825</v>
      </c>
      <c r="C29" s="36">
        <f>SUMPRODUCT(C3:C27,'Beneficiaries-pay incidence'!$B2:$B26)*1000/1000000</f>
        <v>411.83425220982775</v>
      </c>
      <c r="D29" s="22">
        <f>SUMPRODUCT(D3:D27,'Beneficiaries-pay incidence'!$B2:$B26)*1000/1000000</f>
        <v>401.37172114178981</v>
      </c>
      <c r="E29" s="36">
        <f>SUMPRODUCT(E3:E27,'Beneficiaries-pay incidence'!$B2:$B26)*1000/1000000</f>
        <v>417.56319741200218</v>
      </c>
      <c r="F29" s="37">
        <f>SUMPRODUCT(F3:F27,'Beneficiaries-pay incidence'!$B2:$B26)*1000/1000000</f>
        <v>560.61079635816645</v>
      </c>
      <c r="G29" s="38">
        <f>SUMPRODUCT(G3:G27,'Beneficiaries-pay incidence'!$B2:$B26)*1000/1000000</f>
        <v>500.14354977626891</v>
      </c>
      <c r="H29" s="39">
        <f>SUMPRODUCT(H3:H27,'Beneficiaries-pay incidence'!$B2:$B26)*1000/1000000</f>
        <v>527.28513153701408</v>
      </c>
      <c r="I29" s="38">
        <f>SUMPRODUCT(I3:I27,'Beneficiaries-pay incidence'!$B2:$B26)*1000/1000000</f>
        <v>520.60480876524991</v>
      </c>
      <c r="J29" s="39">
        <f>SUMPRODUCT(J3:J27,'Beneficiaries-pay incidence'!$B2:$B26)*1000/1000000</f>
        <v>522.50939693113628</v>
      </c>
      <c r="K29" s="40">
        <f>SUMPRODUCT(K3:K27,'Beneficiaries-pay incidence'!$B2:$B26)*1000/1000000</f>
        <v>609.88126130359205</v>
      </c>
      <c r="L29" s="41">
        <f>SUMPRODUCT(L3:L27,'Beneficiaries-pay incidence'!$B2:$B26)*1000/1000000</f>
        <v>632.33599715319951</v>
      </c>
      <c r="M29" s="36">
        <f>SUMPRODUCT(M3:M27,'Beneficiaries-pay incidence'!$B2:$B26)*1000/1000000</f>
        <v>642.73601086420069</v>
      </c>
      <c r="N29" s="41">
        <f>SUMPRODUCT(N3:N27,'Beneficiaries-pay incidence'!$B2:$B26)*1000/1000000</f>
        <v>639.83789638870985</v>
      </c>
      <c r="O29" s="36">
        <f>SUMPRODUCT(O3:O27,'Beneficiaries-pay incidence'!$B2:$B26)*1000/1000000</f>
        <v>627.45559645027049</v>
      </c>
      <c r="P29" s="42">
        <f>SUMPRODUCT(P3:P27,'Beneficiaries-pay incidence'!$B2:$B26)*1000/1000000</f>
        <v>659.15172624901777</v>
      </c>
    </row>
    <row r="30" spans="1:16" x14ac:dyDescent="0.25">
      <c r="A30" s="5" t="s">
        <v>118</v>
      </c>
      <c r="B30" s="22">
        <f>B29*1000000/('Beneficiaries-pay incidence'!$B27*1000)</f>
        <v>11.361578171960678</v>
      </c>
      <c r="C30" s="36">
        <f>C29*1000000/('Beneficiaries-pay incidence'!$B27*1000)</f>
        <v>12.716600167417635</v>
      </c>
      <c r="D30" s="22">
        <f>D29*1000000/('Beneficiaries-pay incidence'!$B27*1000)</f>
        <v>12.393538587139858</v>
      </c>
      <c r="E30" s="36">
        <f>E29*1000000/('Beneficiaries-pay incidence'!$B27*1000)</f>
        <v>12.893498288752088</v>
      </c>
      <c r="F30" s="37">
        <f>F29*1000000/('Beneficiaries-pay incidence'!$B27*1000)</f>
        <v>17.31051584119372</v>
      </c>
      <c r="G30" s="38">
        <f>G29*1000000/('Beneficiaries-pay incidence'!$B27*1000)</f>
        <v>15.443410825327115</v>
      </c>
      <c r="H30" s="39">
        <f>H29*1000000/('Beneficiaries-pay incidence'!$B27*1000)</f>
        <v>16.281487409075712</v>
      </c>
      <c r="I30" s="38">
        <f>I29*1000000/('Beneficiaries-pay incidence'!$B27*1000)</f>
        <v>16.075212692434278</v>
      </c>
      <c r="J30" s="39">
        <f>J29*1000000/('Beneficiaries-pay incidence'!$B27*1000)</f>
        <v>16.134022483167353</v>
      </c>
      <c r="K30" s="40">
        <f>K29*1000000/('Beneficiaries-pay incidence'!$B27*1000)</f>
        <v>18.831887119594619</v>
      </c>
      <c r="L30" s="41">
        <f>L29*1000000/('Beneficiaries-pay incidence'!$B27*1000)</f>
        <v>19.52524347869355</v>
      </c>
      <c r="M30" s="36">
        <f>M29*1000000/('Beneficiaries-pay incidence'!$B27*1000)</f>
        <v>19.846374650733804</v>
      </c>
      <c r="N30" s="41">
        <f>N29*1000000/('Beneficiaries-pay incidence'!$B27*1000)</f>
        <v>19.756886797728693</v>
      </c>
      <c r="O30" s="36">
        <f>O29*1000000/('Beneficiaries-pay incidence'!$B27*1000)</f>
        <v>19.374546677582622</v>
      </c>
      <c r="P30" s="42">
        <f>P29*1000000/('Beneficiaries-pay incidence'!$B27*1000)</f>
        <v>20.353258397995521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notes</vt:lpstr>
      <vt:lpstr>Beneficiaries-pay notes</vt:lpstr>
      <vt:lpstr>Beneficiaries-pay incidence</vt:lpstr>
      <vt:lpstr>Residual charge notes</vt:lpstr>
      <vt:lpstr>Residual charge incidence</vt:lpstr>
      <vt:lpstr>Generator passthrough notes</vt:lpstr>
      <vt:lpstr>Generator passthrough estimates</vt:lpstr>
      <vt:lpstr>Total effect - notes</vt:lpstr>
      <vt:lpstr>Total effect on end consumers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2014-02-23T23:39:26Z</dcterms:modified>
</cp:coreProperties>
</file>